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249" documentId="13_ncr:1_{7DB32F74-B666-4CBC-A716-7251E20BD98B}" xr6:coauthVersionLast="47" xr6:coauthVersionMax="47" xr10:uidLastSave="{3065D640-563F-488A-A879-BF46242F878A}"/>
  <bookViews>
    <workbookView xWindow="25800" yWindow="0" windowWidth="25800" windowHeight="21000" tabRatio="942" activeTab="3" xr2:uid="{00000000-000D-0000-FFFF-FFFF00000000}"/>
  </bookViews>
  <sheets>
    <sheet name="Titelblad" sheetId="9" r:id="rId1"/>
    <sheet name="Toelichting" sheetId="10" r:id="rId2"/>
    <sheet name="Bronnen en toepassingen" sheetId="11" r:id="rId3"/>
    <sheet name="1. Entry- en exittarieven" sheetId="21" r:id="rId4"/>
    <sheet name="Input --&gt;" sheetId="13" r:id="rId5"/>
    <sheet name="2. Parameters" sheetId="24" r:id="rId6"/>
    <sheet name="3. Input (des)investeringen " sheetId="53" r:id="rId7"/>
    <sheet name="4. Input nacalculaties" sheetId="59" r:id="rId8"/>
    <sheet name="5. Input GAW-waarde desinv." sheetId="69" r:id="rId9"/>
    <sheet name="6. Input incidentele corr. WQA" sheetId="67" r:id="rId10"/>
    <sheet name="7. Input IC peakshaver" sheetId="38" r:id="rId11"/>
    <sheet name="8. Input IC huur Gasunie" sheetId="86" r:id="rId12"/>
    <sheet name="9. Input incidentele correcties" sheetId="88" r:id="rId13"/>
    <sheet name="10. Input capaciteit" sheetId="35" r:id="rId14"/>
    <sheet name="Input database --&gt;" sheetId="52" r:id="rId15"/>
    <sheet name="11. Investeringen (WUI+ombouw)" sheetId="83" r:id="rId16"/>
    <sheet name="12. Investeringen (bijschatten)" sheetId="79" r:id="rId17"/>
    <sheet name="13. Desinvesteringen" sheetId="80" r:id="rId18"/>
    <sheet name="14. Omzet" sheetId="81" r:id="rId19"/>
    <sheet name="15. Operationele kosten" sheetId="84" r:id="rId20"/>
    <sheet name="Berekeningen --&gt;" sheetId="15" r:id="rId21"/>
    <sheet name="16. WUI &amp; ombouwtaak" sheetId="42" r:id="rId22"/>
    <sheet name="17. Nacalculatie bijschatten" sheetId="50" r:id="rId23"/>
    <sheet name="18. Nacalculatie desinv." sheetId="65" r:id="rId24"/>
    <sheet name="19. Indexatie desinvesteringen" sheetId="40" r:id="rId25"/>
    <sheet name="20. Nacalculaties" sheetId="25" r:id="rId26"/>
    <sheet name="21. Correctie WQA" sheetId="68" r:id="rId27"/>
    <sheet name="22. Correctie assetoverdracht" sheetId="37" r:id="rId28"/>
    <sheet name="23. Correctie peakshaver" sheetId="66" r:id="rId29"/>
    <sheet name="24. Incidentele correcties" sheetId="89" r:id="rId30"/>
    <sheet name="25. Toegestane inkomsten" sheetId="32" r:id="rId31"/>
    <sheet name="26. RPM" sheetId="34" r:id="rId32"/>
    <sheet name="27. Entry- en exittarieven " sheetId="36" r:id="rId33"/>
  </sheets>
  <definedNames>
    <definedName name="__DAT1" localSheetId="28">#REF!</definedName>
    <definedName name="__DAT1">#REF!</definedName>
    <definedName name="__DAT10" localSheetId="28">#REF!</definedName>
    <definedName name="__DAT10">#REF!</definedName>
    <definedName name="__DAT11" localSheetId="28">#REF!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4" hidden="1">'19. Indexatie desinvesteringen'!$D$16:$G$548</definedName>
    <definedName name="AF">#REF!</definedName>
    <definedName name="afd">#REF!</definedName>
    <definedName name="afdtennet">#REF!</definedName>
    <definedName name="afwijking" localSheetId="28">#REF!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 localSheetId="28">#REF!</definedName>
    <definedName name="dd">#REF!</definedName>
    <definedName name="DF_GRID_3" localSheetId="28">#REF!</definedName>
    <definedName name="DF_GRID_3">#REF!</definedName>
    <definedName name="ee" localSheetId="28">#REF!</definedName>
    <definedName name="ee">#REF!</definedName>
    <definedName name="eeee">#REF!</definedName>
    <definedName name="Eigenaar">#REF!</definedName>
    <definedName name="eur" localSheetId="28">#REF!</definedName>
    <definedName name="eur">#REF!</definedName>
    <definedName name="ExternalData_1" localSheetId="17" hidden="1">'13. Desinvesteringen'!$B$19:$I$667</definedName>
    <definedName name="ExternalData_1" localSheetId="18" hidden="1">'14. Omzet'!$B$19:$J$24</definedName>
    <definedName name="ExternalData_2" localSheetId="16" hidden="1">'12. Investeringen (bijschatten)'!$B$19:$G$126</definedName>
    <definedName name="ExternalData_2" localSheetId="19" hidden="1">'15. Operationele kosten'!$B$19:$H$28</definedName>
    <definedName name="ExternalData_3" localSheetId="15" hidden="1">'11. Investeringen (WUI+ombouw)'!$B$19:$H$50</definedName>
    <definedName name="factor" localSheetId="28">#REF!</definedName>
    <definedName name="factor">#REF!</definedName>
    <definedName name="fik">#REF!</definedName>
    <definedName name="Financiering">#REF!</definedName>
    <definedName name="Jaar">#REF!</definedName>
    <definedName name="Kwartaal">#REF!</definedName>
    <definedName name="METHODE" localSheetId="28">#REF!</definedName>
    <definedName name="METHODE">#REF!</definedName>
    <definedName name="Naam">#REF!</definedName>
    <definedName name="NAAM_NE">#REF!</definedName>
    <definedName name="NAAM_VOL">#REF!</definedName>
    <definedName name="omzet_2000_aanpas_kolom" localSheetId="28">#REF!</definedName>
    <definedName name="omzet_2000_aanpas_kolom">#REF!</definedName>
    <definedName name="omzet_2000_kolom" localSheetId="28">#REF!</definedName>
    <definedName name="omzet_2000_kolom">#REF!</definedName>
    <definedName name="omzet_2001_kolom" localSheetId="28">#REF!</definedName>
    <definedName name="omzet_2001_kolom">#REF!</definedName>
    <definedName name="PB">#REF!</definedName>
    <definedName name="PC">#REF!</definedName>
    <definedName name="PGcode">#REF!</definedName>
    <definedName name="PLAATS">#REF!</definedName>
    <definedName name="PR_ME_2000" localSheetId="28">#REF!</definedName>
    <definedName name="PR_ME_2000">#REF!</definedName>
    <definedName name="Projecteigenaar">#REF!</definedName>
    <definedName name="Projectleider">#REF!</definedName>
    <definedName name="Regio">#REF!</definedName>
    <definedName name="required_x" localSheetId="28">#REF!</definedName>
    <definedName name="required_x">#REF!</definedName>
    <definedName name="s" localSheetId="28">#REF!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 localSheetId="28">#REF!</definedName>
    <definedName name="tarief_factor">#REF!</definedName>
    <definedName name="test" localSheetId="28">#REF!</definedName>
    <definedName name="test">#REF!</definedName>
    <definedName name="TEST0" localSheetId="28">#REF!</definedName>
    <definedName name="TEST0">#REF!</definedName>
    <definedName name="TESTHKEY">#REF!</definedName>
    <definedName name="TESTKEYS">#REF!</definedName>
    <definedName name="TESTVKEY">#REF!</definedName>
    <definedName name="TIPROJ">#REF!</definedName>
    <definedName name="TTTI">#REF!</definedName>
    <definedName name="VerbruikstarRC" localSheetId="28">#REF!</definedName>
    <definedName name="VerbruikstarRC">#REF!</definedName>
    <definedName name="wac" localSheetId="28">#REF!</definedName>
    <definedName name="wac">#REF!</definedName>
    <definedName name="wacc" localSheetId="28">#REF!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1" i="25" l="1"/>
  <c r="M846" i="37" l="1"/>
  <c r="N205" i="50"/>
  <c r="M308" i="50" l="1"/>
  <c r="N308" i="50"/>
  <c r="P308" i="50"/>
  <c r="Q308" i="50"/>
  <c r="S308" i="50"/>
  <c r="T308" i="50"/>
  <c r="V308" i="50"/>
  <c r="AH308" i="50" s="1"/>
  <c r="AZ308" i="50" s="1"/>
  <c r="W308" i="50"/>
  <c r="AI308" i="50" s="1"/>
  <c r="BA308" i="50" s="1"/>
  <c r="AB308" i="50"/>
  <c r="AC308" i="50"/>
  <c r="AN308" i="50"/>
  <c r="AO308" i="50"/>
  <c r="AT308" i="50"/>
  <c r="AU308" i="50"/>
  <c r="AV308" i="50"/>
  <c r="AW308" i="50"/>
  <c r="AX308" i="50"/>
  <c r="M309" i="50"/>
  <c r="N309" i="50"/>
  <c r="P309" i="50"/>
  <c r="Q309" i="50"/>
  <c r="S309" i="50"/>
  <c r="T309" i="50"/>
  <c r="V309" i="50"/>
  <c r="W309" i="50"/>
  <c r="X309" i="50"/>
  <c r="Y309" i="50"/>
  <c r="AB309" i="50"/>
  <c r="AC309" i="50"/>
  <c r="AE309" i="50"/>
  <c r="AF309" i="50"/>
  <c r="AH309" i="50"/>
  <c r="AI309" i="50"/>
  <c r="AN309" i="50"/>
  <c r="AO309" i="50"/>
  <c r="AT309" i="50"/>
  <c r="AU309" i="50"/>
  <c r="AV309" i="50"/>
  <c r="AW309" i="50"/>
  <c r="AX309" i="50"/>
  <c r="AZ309" i="50"/>
  <c r="BA309" i="50"/>
  <c r="M310" i="50"/>
  <c r="N310" i="50"/>
  <c r="P310" i="50"/>
  <c r="Q310" i="50"/>
  <c r="S310" i="50"/>
  <c r="AE310" i="50" s="1"/>
  <c r="T310" i="50"/>
  <c r="V310" i="50"/>
  <c r="AH310" i="50" s="1"/>
  <c r="AZ310" i="50" s="1"/>
  <c r="W310" i="50"/>
  <c r="AI310" i="50" s="1"/>
  <c r="BA310" i="50" s="1"/>
  <c r="X310" i="50"/>
  <c r="Y310" i="50"/>
  <c r="AK310" i="50" s="1"/>
  <c r="AB310" i="50"/>
  <c r="AC310" i="50"/>
  <c r="AN310" i="50"/>
  <c r="AO310" i="50"/>
  <c r="AT310" i="50"/>
  <c r="AU310" i="50"/>
  <c r="AV310" i="50"/>
  <c r="AW310" i="50"/>
  <c r="AX310" i="50"/>
  <c r="M311" i="50"/>
  <c r="N311" i="50"/>
  <c r="P311" i="50"/>
  <c r="Q311" i="50"/>
  <c r="S311" i="50"/>
  <c r="AF311" i="50" s="1"/>
  <c r="T311" i="50"/>
  <c r="V311" i="50"/>
  <c r="W311" i="50"/>
  <c r="AB311" i="50"/>
  <c r="AC311" i="50"/>
  <c r="AH311" i="50"/>
  <c r="AZ311" i="50" s="1"/>
  <c r="AI311" i="50"/>
  <c r="BA311" i="50" s="1"/>
  <c r="AN311" i="50"/>
  <c r="AO311" i="50"/>
  <c r="AT311" i="50"/>
  <c r="AU311" i="50"/>
  <c r="AV311" i="50"/>
  <c r="AW311" i="50"/>
  <c r="AX311" i="50"/>
  <c r="M312" i="50"/>
  <c r="N312" i="50"/>
  <c r="P312" i="50"/>
  <c r="Q312" i="50"/>
  <c r="S312" i="50"/>
  <c r="T312" i="50"/>
  <c r="V312" i="50"/>
  <c r="AH312" i="50" s="1"/>
  <c r="W312" i="50"/>
  <c r="AI312" i="50" s="1"/>
  <c r="BA312" i="50" s="1"/>
  <c r="X312" i="50"/>
  <c r="Y312" i="50"/>
  <c r="AB312" i="50"/>
  <c r="AC312" i="50"/>
  <c r="AE312" i="50"/>
  <c r="AN312" i="50"/>
  <c r="AO312" i="50"/>
  <c r="AT312" i="50"/>
  <c r="AU312" i="50"/>
  <c r="AV312" i="50"/>
  <c r="AW312" i="50"/>
  <c r="AX312" i="50"/>
  <c r="M313" i="50"/>
  <c r="N313" i="50"/>
  <c r="P313" i="50"/>
  <c r="Q313" i="50"/>
  <c r="S313" i="50"/>
  <c r="T313" i="50"/>
  <c r="V313" i="50"/>
  <c r="AH313" i="50" s="1"/>
  <c r="AZ313" i="50" s="1"/>
  <c r="W313" i="50"/>
  <c r="AI313" i="50" s="1"/>
  <c r="BA313" i="50" s="1"/>
  <c r="AB313" i="50"/>
  <c r="AC313" i="50"/>
  <c r="AN313" i="50"/>
  <c r="AO313" i="50"/>
  <c r="AT313" i="50"/>
  <c r="AU313" i="50"/>
  <c r="AV313" i="50"/>
  <c r="AW313" i="50"/>
  <c r="AX313" i="50"/>
  <c r="M314" i="50"/>
  <c r="N314" i="50"/>
  <c r="P314" i="50"/>
  <c r="Q314" i="50"/>
  <c r="S314" i="50"/>
  <c r="T314" i="50"/>
  <c r="V314" i="50"/>
  <c r="W314" i="50"/>
  <c r="AI314" i="50" s="1"/>
  <c r="X314" i="50"/>
  <c r="Y314" i="50"/>
  <c r="AB314" i="50"/>
  <c r="AC314" i="50"/>
  <c r="AE314" i="50"/>
  <c r="AF314" i="50"/>
  <c r="AH314" i="50"/>
  <c r="AZ314" i="50" s="1"/>
  <c r="AN314" i="50"/>
  <c r="AO314" i="50"/>
  <c r="AT314" i="50"/>
  <c r="AU314" i="50"/>
  <c r="AV314" i="50"/>
  <c r="AW314" i="50"/>
  <c r="AX314" i="50"/>
  <c r="M315" i="50"/>
  <c r="N315" i="50"/>
  <c r="P315" i="50"/>
  <c r="Q315" i="50"/>
  <c r="S315" i="50"/>
  <c r="T315" i="50"/>
  <c r="V315" i="50"/>
  <c r="AH315" i="50" s="1"/>
  <c r="AZ315" i="50" s="1"/>
  <c r="W315" i="50"/>
  <c r="AI315" i="50" s="1"/>
  <c r="BA315" i="50" s="1"/>
  <c r="X315" i="50"/>
  <c r="Y315" i="50"/>
  <c r="AB315" i="50"/>
  <c r="AC315" i="50"/>
  <c r="AN315" i="50"/>
  <c r="AO315" i="50"/>
  <c r="AT315" i="50"/>
  <c r="AU315" i="50"/>
  <c r="AV315" i="50"/>
  <c r="AW315" i="50"/>
  <c r="AX315" i="50"/>
  <c r="M316" i="50"/>
  <c r="N316" i="50"/>
  <c r="P316" i="50"/>
  <c r="Q316" i="50"/>
  <c r="S316" i="50"/>
  <c r="T316" i="50"/>
  <c r="V316" i="50"/>
  <c r="W316" i="50"/>
  <c r="AB316" i="50"/>
  <c r="AC316" i="50"/>
  <c r="AE316" i="50"/>
  <c r="AF316" i="50"/>
  <c r="AH316" i="50"/>
  <c r="AZ316" i="50" s="1"/>
  <c r="AI316" i="50"/>
  <c r="AN316" i="50"/>
  <c r="AO316" i="50"/>
  <c r="AT316" i="50"/>
  <c r="AU316" i="50"/>
  <c r="AV316" i="50"/>
  <c r="AW316" i="50"/>
  <c r="AX316" i="50"/>
  <c r="BA316" i="50"/>
  <c r="M317" i="50"/>
  <c r="N317" i="50"/>
  <c r="P317" i="50"/>
  <c r="Q317" i="50"/>
  <c r="S317" i="50"/>
  <c r="AD317" i="50" s="1"/>
  <c r="T317" i="50"/>
  <c r="V317" i="50"/>
  <c r="AH317" i="50" s="1"/>
  <c r="AZ317" i="50" s="1"/>
  <c r="W317" i="50"/>
  <c r="AI317" i="50" s="1"/>
  <c r="BA317" i="50" s="1"/>
  <c r="X317" i="50"/>
  <c r="AJ317" i="50" s="1"/>
  <c r="Y317" i="50"/>
  <c r="AB317" i="50"/>
  <c r="AC317" i="50"/>
  <c r="AN317" i="50"/>
  <c r="AO317" i="50"/>
  <c r="AT317" i="50"/>
  <c r="AU317" i="50"/>
  <c r="AV317" i="50"/>
  <c r="AW317" i="50"/>
  <c r="AX317" i="50"/>
  <c r="M318" i="50"/>
  <c r="N318" i="50"/>
  <c r="P318" i="50"/>
  <c r="Q318" i="50"/>
  <c r="S318" i="50"/>
  <c r="T318" i="50"/>
  <c r="V318" i="50"/>
  <c r="W318" i="50"/>
  <c r="AI318" i="50" s="1"/>
  <c r="X318" i="50"/>
  <c r="Y318" i="50"/>
  <c r="AB318" i="50"/>
  <c r="AC318" i="50"/>
  <c r="AD318" i="50"/>
  <c r="AE318" i="50"/>
  <c r="AF318" i="50"/>
  <c r="AH318" i="50"/>
  <c r="AN318" i="50"/>
  <c r="AO318" i="50"/>
  <c r="AT318" i="50"/>
  <c r="AU318" i="50"/>
  <c r="AV318" i="50"/>
  <c r="AW318" i="50"/>
  <c r="AX318" i="50"/>
  <c r="M319" i="50"/>
  <c r="N319" i="50"/>
  <c r="P319" i="50"/>
  <c r="Q319" i="50"/>
  <c r="S319" i="50"/>
  <c r="T319" i="50"/>
  <c r="V319" i="50"/>
  <c r="AH319" i="50" s="1"/>
  <c r="W319" i="50"/>
  <c r="X319" i="50"/>
  <c r="AB319" i="50"/>
  <c r="AC319" i="50"/>
  <c r="AI319" i="50"/>
  <c r="BA319" i="50" s="1"/>
  <c r="AN319" i="50"/>
  <c r="AO319" i="50"/>
  <c r="AT319" i="50"/>
  <c r="AU319" i="50"/>
  <c r="AV319" i="50"/>
  <c r="AW319" i="50"/>
  <c r="AX319" i="50"/>
  <c r="AZ319" i="50"/>
  <c r="M320" i="50"/>
  <c r="N320" i="50"/>
  <c r="P320" i="50"/>
  <c r="Q320" i="50"/>
  <c r="S320" i="50"/>
  <c r="T320" i="50"/>
  <c r="V320" i="50"/>
  <c r="AH320" i="50" s="1"/>
  <c r="AZ320" i="50" s="1"/>
  <c r="W320" i="50"/>
  <c r="AI320" i="50" s="1"/>
  <c r="BA320" i="50" s="1"/>
  <c r="X320" i="50"/>
  <c r="Y320" i="50"/>
  <c r="AB320" i="50"/>
  <c r="AC320" i="50"/>
  <c r="AD320" i="50"/>
  <c r="AE320" i="50"/>
  <c r="AN320" i="50"/>
  <c r="AO320" i="50"/>
  <c r="AT320" i="50"/>
  <c r="AU320" i="50"/>
  <c r="AV320" i="50"/>
  <c r="AW320" i="50"/>
  <c r="AX320" i="50"/>
  <c r="M321" i="50"/>
  <c r="N321" i="50"/>
  <c r="P321" i="50"/>
  <c r="Q321" i="50"/>
  <c r="S321" i="50"/>
  <c r="T321" i="50"/>
  <c r="V321" i="50"/>
  <c r="W321" i="50"/>
  <c r="AB321" i="50"/>
  <c r="AC321" i="50"/>
  <c r="AF321" i="50"/>
  <c r="AH321" i="50"/>
  <c r="AZ321" i="50" s="1"/>
  <c r="AI321" i="50"/>
  <c r="BA321" i="50" s="1"/>
  <c r="AN321" i="50"/>
  <c r="AO321" i="50"/>
  <c r="AT321" i="50"/>
  <c r="AU321" i="50"/>
  <c r="AV321" i="50"/>
  <c r="AW321" i="50"/>
  <c r="AX321" i="50"/>
  <c r="M322" i="50"/>
  <c r="N322" i="50"/>
  <c r="P322" i="50"/>
  <c r="Q322" i="50"/>
  <c r="S322" i="50"/>
  <c r="T322" i="50"/>
  <c r="V322" i="50"/>
  <c r="AH322" i="50" s="1"/>
  <c r="W322" i="50"/>
  <c r="AI322" i="50" s="1"/>
  <c r="BA322" i="50" s="1"/>
  <c r="X322" i="50"/>
  <c r="Y322" i="50"/>
  <c r="AB322" i="50"/>
  <c r="AC322" i="50"/>
  <c r="AN322" i="50"/>
  <c r="AO322" i="50"/>
  <c r="AT322" i="50"/>
  <c r="AU322" i="50"/>
  <c r="AV322" i="50"/>
  <c r="AW322" i="50"/>
  <c r="AX322" i="50"/>
  <c r="M323" i="50"/>
  <c r="N323" i="50"/>
  <c r="P323" i="50"/>
  <c r="Q323" i="50"/>
  <c r="S323" i="50"/>
  <c r="T323" i="50"/>
  <c r="V323" i="50"/>
  <c r="W323" i="50"/>
  <c r="AI323" i="50" s="1"/>
  <c r="X323" i="50"/>
  <c r="Y323" i="50"/>
  <c r="Z323" i="50"/>
  <c r="AB323" i="50"/>
  <c r="AC323" i="50"/>
  <c r="AD323" i="50"/>
  <c r="AE323" i="50"/>
  <c r="AF323" i="50"/>
  <c r="AL323" i="50" s="1"/>
  <c r="BD323" i="50" s="1"/>
  <c r="AH323" i="50"/>
  <c r="AZ323" i="50" s="1"/>
  <c r="AN323" i="50"/>
  <c r="AO323" i="50"/>
  <c r="AP323" i="50"/>
  <c r="AQ323" i="50"/>
  <c r="AR323" i="50"/>
  <c r="AT323" i="50"/>
  <c r="AU323" i="50"/>
  <c r="AV323" i="50"/>
  <c r="AW323" i="50"/>
  <c r="AX323" i="50"/>
  <c r="B308" i="50"/>
  <c r="F308" i="50"/>
  <c r="H308" i="50"/>
  <c r="I308" i="50"/>
  <c r="J308" i="50"/>
  <c r="B309" i="50"/>
  <c r="F309" i="50"/>
  <c r="H309" i="50"/>
  <c r="I309" i="50"/>
  <c r="J309" i="50" s="1"/>
  <c r="B310" i="50"/>
  <c r="F310" i="50"/>
  <c r="H310" i="50"/>
  <c r="I310" i="50"/>
  <c r="J310" i="50"/>
  <c r="B311" i="50"/>
  <c r="F311" i="50"/>
  <c r="H311" i="50"/>
  <c r="I311" i="50"/>
  <c r="J311" i="50"/>
  <c r="B312" i="50"/>
  <c r="F312" i="50"/>
  <c r="H312" i="50"/>
  <c r="I312" i="50"/>
  <c r="J312" i="50" s="1"/>
  <c r="B313" i="50"/>
  <c r="F313" i="50"/>
  <c r="H313" i="50"/>
  <c r="I313" i="50"/>
  <c r="J313" i="50" s="1"/>
  <c r="B314" i="50"/>
  <c r="F314" i="50"/>
  <c r="H314" i="50"/>
  <c r="I314" i="50"/>
  <c r="J314" i="50"/>
  <c r="B315" i="50"/>
  <c r="F315" i="50"/>
  <c r="H315" i="50"/>
  <c r="I315" i="50"/>
  <c r="J315" i="50"/>
  <c r="B316" i="50"/>
  <c r="F316" i="50"/>
  <c r="H316" i="50"/>
  <c r="I316" i="50"/>
  <c r="J316" i="50"/>
  <c r="B317" i="50"/>
  <c r="F317" i="50"/>
  <c r="H317" i="50"/>
  <c r="I317" i="50"/>
  <c r="J317" i="50"/>
  <c r="B318" i="50"/>
  <c r="F318" i="50"/>
  <c r="H318" i="50"/>
  <c r="I318" i="50"/>
  <c r="J318" i="50"/>
  <c r="B319" i="50"/>
  <c r="F319" i="50"/>
  <c r="H319" i="50"/>
  <c r="I319" i="50"/>
  <c r="J319" i="50" s="1"/>
  <c r="B320" i="50"/>
  <c r="F320" i="50"/>
  <c r="H320" i="50"/>
  <c r="I320" i="50"/>
  <c r="J320" i="50"/>
  <c r="B321" i="50"/>
  <c r="F321" i="50"/>
  <c r="H321" i="50"/>
  <c r="I321" i="50"/>
  <c r="J321" i="50" s="1"/>
  <c r="B322" i="50"/>
  <c r="F322" i="50"/>
  <c r="H322" i="50"/>
  <c r="I322" i="50"/>
  <c r="J322" i="50"/>
  <c r="B323" i="50"/>
  <c r="F323" i="50"/>
  <c r="H323" i="50"/>
  <c r="I323" i="50"/>
  <c r="J323" i="50"/>
  <c r="L80" i="42"/>
  <c r="BX80" i="42" s="1"/>
  <c r="M80" i="42"/>
  <c r="V80" i="42" s="1"/>
  <c r="O80" i="42"/>
  <c r="BD80" i="42" s="1"/>
  <c r="P80" i="42"/>
  <c r="R80" i="42"/>
  <c r="AV80" i="42" s="1"/>
  <c r="BL80" i="42" s="1"/>
  <c r="S80" i="42"/>
  <c r="U80" i="42"/>
  <c r="AD80" i="42"/>
  <c r="AE80" i="42"/>
  <c r="BV80" i="42"/>
  <c r="BW80" i="42"/>
  <c r="L81" i="42"/>
  <c r="M81" i="42"/>
  <c r="S81" i="42"/>
  <c r="U81" i="42"/>
  <c r="V81" i="42"/>
  <c r="X81" i="42"/>
  <c r="Y81" i="42"/>
  <c r="Z81" i="42"/>
  <c r="AP81" i="42"/>
  <c r="AQ81" i="42"/>
  <c r="BV81" i="42"/>
  <c r="L82" i="42"/>
  <c r="BV82" i="42" s="1"/>
  <c r="M82" i="42"/>
  <c r="O82" i="42"/>
  <c r="P82" i="42"/>
  <c r="R82" i="42"/>
  <c r="AV82" i="42" s="1"/>
  <c r="S82" i="42"/>
  <c r="U82" i="42"/>
  <c r="Z82" i="42" s="1"/>
  <c r="V82" i="42"/>
  <c r="AD82" i="42"/>
  <c r="AE82" i="42"/>
  <c r="AP82" i="42"/>
  <c r="AQ82" i="42"/>
  <c r="BD82" i="42"/>
  <c r="BL82" i="42"/>
  <c r="BW82" i="42"/>
  <c r="BX82" i="42"/>
  <c r="BY82" i="42"/>
  <c r="L83" i="42"/>
  <c r="M83" i="42"/>
  <c r="U83" i="42"/>
  <c r="L84" i="42"/>
  <c r="M84" i="42"/>
  <c r="O84" i="42"/>
  <c r="P84" i="42"/>
  <c r="R84" i="42"/>
  <c r="U84" i="42"/>
  <c r="BD84" i="42"/>
  <c r="BE84" i="42"/>
  <c r="BV84" i="42"/>
  <c r="BW84" i="42"/>
  <c r="L85" i="42"/>
  <c r="BV85" i="42" s="1"/>
  <c r="M85" i="42"/>
  <c r="AD85" i="42" s="1"/>
  <c r="U85" i="42"/>
  <c r="L86" i="42"/>
  <c r="M86" i="42"/>
  <c r="O86" i="42"/>
  <c r="P86" i="42"/>
  <c r="R86" i="42"/>
  <c r="S86" i="42"/>
  <c r="U86" i="42"/>
  <c r="V86" i="42"/>
  <c r="Z86" i="42"/>
  <c r="AA86" i="42"/>
  <c r="AB86" i="42"/>
  <c r="AD86" i="42"/>
  <c r="AE86" i="42"/>
  <c r="AP86" i="42"/>
  <c r="AQ86" i="42"/>
  <c r="AV86" i="42"/>
  <c r="BL86" i="42" s="1"/>
  <c r="BD86" i="42"/>
  <c r="L87" i="42"/>
  <c r="M87" i="42"/>
  <c r="U87" i="42"/>
  <c r="V87" i="42"/>
  <c r="X87" i="42"/>
  <c r="Y87" i="42"/>
  <c r="Z87" i="42"/>
  <c r="AA87" i="42"/>
  <c r="AP87" i="42"/>
  <c r="AQ87" i="42"/>
  <c r="L88" i="42"/>
  <c r="M88" i="42"/>
  <c r="U88" i="42"/>
  <c r="BV88" i="42"/>
  <c r="BW88" i="42"/>
  <c r="BX88" i="42"/>
  <c r="BY88" i="42"/>
  <c r="L89" i="42"/>
  <c r="M89" i="42"/>
  <c r="U89" i="42"/>
  <c r="L90" i="42"/>
  <c r="M90" i="42"/>
  <c r="O90" i="42" s="1"/>
  <c r="U90" i="42"/>
  <c r="BV90" i="42"/>
  <c r="BW90" i="42"/>
  <c r="BX90" i="42"/>
  <c r="BY90" i="42"/>
  <c r="F80" i="42"/>
  <c r="H80" i="42"/>
  <c r="I80" i="42"/>
  <c r="J80" i="42"/>
  <c r="K80" i="42"/>
  <c r="F81" i="42"/>
  <c r="H81" i="42"/>
  <c r="I81" i="42"/>
  <c r="J81" i="42"/>
  <c r="K81" i="42"/>
  <c r="F82" i="42"/>
  <c r="H82" i="42"/>
  <c r="I82" i="42"/>
  <c r="J82" i="42"/>
  <c r="K82" i="42"/>
  <c r="F83" i="42"/>
  <c r="H83" i="42"/>
  <c r="I83" i="42"/>
  <c r="J83" i="42"/>
  <c r="K83" i="42"/>
  <c r="F84" i="42"/>
  <c r="H84" i="42"/>
  <c r="I84" i="42"/>
  <c r="J84" i="42"/>
  <c r="K84" i="42"/>
  <c r="F85" i="42"/>
  <c r="H85" i="42"/>
  <c r="I85" i="42"/>
  <c r="J85" i="42"/>
  <c r="K85" i="42"/>
  <c r="F86" i="42"/>
  <c r="H86" i="42"/>
  <c r="I86" i="42"/>
  <c r="J86" i="42"/>
  <c r="K86" i="42"/>
  <c r="F87" i="42"/>
  <c r="H87" i="42"/>
  <c r="I87" i="42"/>
  <c r="J87" i="42"/>
  <c r="K87" i="42"/>
  <c r="F88" i="42"/>
  <c r="H88" i="42"/>
  <c r="I88" i="42"/>
  <c r="J88" i="42"/>
  <c r="K88" i="42"/>
  <c r="F89" i="42"/>
  <c r="H89" i="42"/>
  <c r="I89" i="42"/>
  <c r="J89" i="42"/>
  <c r="K89" i="42"/>
  <c r="F90" i="42"/>
  <c r="H90" i="42"/>
  <c r="I90" i="42"/>
  <c r="J90" i="42"/>
  <c r="K90" i="42"/>
  <c r="B80" i="42"/>
  <c r="B81" i="42"/>
  <c r="B82" i="42"/>
  <c r="B83" i="42"/>
  <c r="B84" i="42"/>
  <c r="B85" i="42"/>
  <c r="B86" i="42"/>
  <c r="B87" i="42"/>
  <c r="B88" i="42"/>
  <c r="B89" i="42"/>
  <c r="B90" i="42"/>
  <c r="B821" i="37"/>
  <c r="F821" i="37"/>
  <c r="G821" i="37"/>
  <c r="H821" i="37"/>
  <c r="I821" i="37"/>
  <c r="O821" i="37"/>
  <c r="Q821" i="37"/>
  <c r="R821" i="37"/>
  <c r="AC821" i="37"/>
  <c r="AD821" i="37"/>
  <c r="AE821" i="37"/>
  <c r="AF821" i="37"/>
  <c r="AG821" i="37"/>
  <c r="B822" i="37"/>
  <c r="F822" i="37"/>
  <c r="G822" i="37"/>
  <c r="AC822" i="37" s="1"/>
  <c r="H822" i="37"/>
  <c r="AE822" i="37" s="1"/>
  <c r="I822" i="37"/>
  <c r="K822" i="37"/>
  <c r="AD822" i="37"/>
  <c r="B823" i="37"/>
  <c r="F823" i="37"/>
  <c r="G823" i="37"/>
  <c r="H823" i="37"/>
  <c r="AF823" i="37" s="1"/>
  <c r="I823" i="37"/>
  <c r="Q823" i="37"/>
  <c r="R823" i="37"/>
  <c r="AC823" i="37"/>
  <c r="AD823" i="37"/>
  <c r="AE823" i="37"/>
  <c r="B824" i="37"/>
  <c r="F824" i="37"/>
  <c r="G824" i="37"/>
  <c r="AC824" i="37" s="1"/>
  <c r="H824" i="37"/>
  <c r="AE824" i="37" s="1"/>
  <c r="I824" i="37"/>
  <c r="L824" i="37" s="1"/>
  <c r="K824" i="37"/>
  <c r="AD824" i="37"/>
  <c r="B825" i="37"/>
  <c r="F825" i="37"/>
  <c r="G825" i="37"/>
  <c r="H825" i="37"/>
  <c r="I825" i="37"/>
  <c r="O825" i="37"/>
  <c r="Q825" i="37"/>
  <c r="R825" i="37"/>
  <c r="AC825" i="37"/>
  <c r="AD825" i="37"/>
  <c r="AE825" i="37"/>
  <c r="AF825" i="37"/>
  <c r="AG825" i="37"/>
  <c r="B826" i="37"/>
  <c r="F826" i="37"/>
  <c r="G826" i="37"/>
  <c r="AC826" i="37" s="1"/>
  <c r="H826" i="37"/>
  <c r="AE826" i="37" s="1"/>
  <c r="I826" i="37"/>
  <c r="K826" i="37"/>
  <c r="L826" i="37"/>
  <c r="AD826" i="37"/>
  <c r="B827" i="37"/>
  <c r="F827" i="37"/>
  <c r="G827" i="37"/>
  <c r="H827" i="37"/>
  <c r="O827" i="37" s="1"/>
  <c r="I827" i="37"/>
  <c r="K827" i="37"/>
  <c r="Q827" i="37"/>
  <c r="R827" i="37"/>
  <c r="AC827" i="37"/>
  <c r="AD827" i="37"/>
  <c r="AE827" i="37"/>
  <c r="B828" i="37"/>
  <c r="F828" i="37"/>
  <c r="G828" i="37"/>
  <c r="AC828" i="37" s="1"/>
  <c r="H828" i="37"/>
  <c r="AE828" i="37" s="1"/>
  <c r="I828" i="37"/>
  <c r="K828" i="37"/>
  <c r="AD828" i="37"/>
  <c r="B829" i="37"/>
  <c r="F829" i="37"/>
  <c r="G829" i="37"/>
  <c r="H829" i="37"/>
  <c r="I829" i="37"/>
  <c r="K829" i="37"/>
  <c r="O829" i="37"/>
  <c r="Q829" i="37"/>
  <c r="R829" i="37"/>
  <c r="AC829" i="37"/>
  <c r="AD829" i="37"/>
  <c r="AE829" i="37"/>
  <c r="AF829" i="37"/>
  <c r="AG829" i="37"/>
  <c r="B830" i="37"/>
  <c r="F830" i="37"/>
  <c r="G830" i="37"/>
  <c r="AC830" i="37" s="1"/>
  <c r="H830" i="37"/>
  <c r="AE830" i="37" s="1"/>
  <c r="I830" i="37"/>
  <c r="M830" i="37" s="1"/>
  <c r="K830" i="37"/>
  <c r="L830" i="37"/>
  <c r="AD830" i="37"/>
  <c r="B831" i="37"/>
  <c r="F831" i="37"/>
  <c r="G831" i="37"/>
  <c r="H831" i="37"/>
  <c r="AE831" i="37" s="1"/>
  <c r="I831" i="37"/>
  <c r="K831" i="37"/>
  <c r="Q831" i="37"/>
  <c r="R831" i="37"/>
  <c r="AC831" i="37"/>
  <c r="AD831" i="37"/>
  <c r="B832" i="37"/>
  <c r="F832" i="37"/>
  <c r="G832" i="37"/>
  <c r="AC832" i="37" s="1"/>
  <c r="H832" i="37"/>
  <c r="I832" i="37"/>
  <c r="M832" i="37" s="1"/>
  <c r="K832" i="37"/>
  <c r="AD832" i="37"/>
  <c r="B833" i="37"/>
  <c r="F833" i="37"/>
  <c r="G833" i="37"/>
  <c r="H833" i="37"/>
  <c r="I833" i="37"/>
  <c r="K833" i="37"/>
  <c r="O833" i="37"/>
  <c r="Q833" i="37"/>
  <c r="R833" i="37"/>
  <c r="AC833" i="37"/>
  <c r="AD833" i="37"/>
  <c r="AE833" i="37"/>
  <c r="AF833" i="37"/>
  <c r="AG833" i="37"/>
  <c r="B834" i="37"/>
  <c r="F834" i="37"/>
  <c r="G834" i="37"/>
  <c r="AC834" i="37" s="1"/>
  <c r="H834" i="37"/>
  <c r="M834" i="37" s="1"/>
  <c r="I834" i="37"/>
  <c r="K834" i="37"/>
  <c r="L834" i="37"/>
  <c r="AD834" i="37"/>
  <c r="B835" i="37"/>
  <c r="F835" i="37"/>
  <c r="G835" i="37"/>
  <c r="H835" i="37"/>
  <c r="I835" i="37"/>
  <c r="K835" i="37"/>
  <c r="O835" i="37"/>
  <c r="Q835" i="37"/>
  <c r="R835" i="37"/>
  <c r="AC835" i="37"/>
  <c r="AD835" i="37"/>
  <c r="AE835" i="37"/>
  <c r="AF835" i="37"/>
  <c r="AG835" i="37"/>
  <c r="AG827" i="37" l="1"/>
  <c r="O831" i="37"/>
  <c r="AF827" i="37"/>
  <c r="O823" i="37"/>
  <c r="W833" i="37"/>
  <c r="AI833" i="37" s="1"/>
  <c r="AG831" i="37"/>
  <c r="AG823" i="37"/>
  <c r="AF831" i="37"/>
  <c r="AK315" i="50"/>
  <c r="Z313" i="50"/>
  <c r="AD313" i="50"/>
  <c r="AE313" i="50"/>
  <c r="AF313" i="50"/>
  <c r="X313" i="50"/>
  <c r="AJ313" i="50" s="1"/>
  <c r="Y313" i="50"/>
  <c r="Y308" i="50"/>
  <c r="Z308" i="50"/>
  <c r="AD308" i="50"/>
  <c r="AF308" i="50"/>
  <c r="X308" i="50"/>
  <c r="AJ308" i="50" s="1"/>
  <c r="AP308" i="50" s="1"/>
  <c r="AE308" i="50"/>
  <c r="AK320" i="50"/>
  <c r="AK318" i="50"/>
  <c r="AJ309" i="50"/>
  <c r="AP309" i="50" s="1"/>
  <c r="AQ309" i="50" s="1"/>
  <c r="AR309" i="50" s="1"/>
  <c r="AK322" i="50"/>
  <c r="AJ320" i="50"/>
  <c r="AJ318" i="50"/>
  <c r="AE315" i="50"/>
  <c r="BA318" i="50"/>
  <c r="AK312" i="50"/>
  <c r="AJ312" i="50"/>
  <c r="AK323" i="50"/>
  <c r="BC323" i="50" s="1"/>
  <c r="AZ322" i="50"/>
  <c r="Z316" i="50"/>
  <c r="AL316" i="50" s="1"/>
  <c r="AD316" i="50"/>
  <c r="Y316" i="50"/>
  <c r="AK316" i="50" s="1"/>
  <c r="X316" i="50"/>
  <c r="AJ323" i="50"/>
  <c r="BB323" i="50" s="1"/>
  <c r="AZ312" i="50"/>
  <c r="BA323" i="50"/>
  <c r="Z319" i="50"/>
  <c r="AE319" i="50"/>
  <c r="Y319" i="50"/>
  <c r="AK319" i="50" s="1"/>
  <c r="AD319" i="50"/>
  <c r="AJ319" i="50" s="1"/>
  <c r="AP319" i="50" s="1"/>
  <c r="AQ319" i="50" s="1"/>
  <c r="AF319" i="50"/>
  <c r="AZ318" i="50"/>
  <c r="Z321" i="50"/>
  <c r="AL321" i="50" s="1"/>
  <c r="X321" i="50"/>
  <c r="Y321" i="50"/>
  <c r="AD321" i="50"/>
  <c r="AE321" i="50"/>
  <c r="AK314" i="50"/>
  <c r="Z311" i="50"/>
  <c r="AL311" i="50" s="1"/>
  <c r="AD311" i="50"/>
  <c r="X311" i="50"/>
  <c r="AJ311" i="50" s="1"/>
  <c r="Y311" i="50"/>
  <c r="AE311" i="50"/>
  <c r="AJ315" i="50"/>
  <c r="BA314" i="50"/>
  <c r="AK309" i="50"/>
  <c r="Z322" i="50"/>
  <c r="AL322" i="50" s="1"/>
  <c r="AF317" i="50"/>
  <c r="AF315" i="50"/>
  <c r="Z312" i="50"/>
  <c r="AL312" i="50" s="1"/>
  <c r="AP312" i="50"/>
  <c r="AQ312" i="50" s="1"/>
  <c r="AR312" i="50" s="1"/>
  <c r="AD312" i="50"/>
  <c r="AF322" i="50"/>
  <c r="Z320" i="50"/>
  <c r="AP320" i="50"/>
  <c r="AE317" i="50"/>
  <c r="AK317" i="50" s="1"/>
  <c r="AF310" i="50"/>
  <c r="AE322" i="50"/>
  <c r="Z314" i="50"/>
  <c r="AL314" i="50" s="1"/>
  <c r="AD314" i="50"/>
  <c r="AJ314" i="50" s="1"/>
  <c r="AD322" i="50"/>
  <c r="AJ322" i="50" s="1"/>
  <c r="AF320" i="50"/>
  <c r="Z318" i="50"/>
  <c r="AL318" i="50" s="1"/>
  <c r="AP318" i="50"/>
  <c r="AF312" i="50"/>
  <c r="Z309" i="50"/>
  <c r="AL309" i="50" s="1"/>
  <c r="AD309" i="50"/>
  <c r="Z317" i="50"/>
  <c r="AP317" i="50"/>
  <c r="Z310" i="50"/>
  <c r="AL310" i="50" s="1"/>
  <c r="AD310" i="50"/>
  <c r="AJ310" i="50" s="1"/>
  <c r="Z315" i="50"/>
  <c r="AL315" i="50" s="1"/>
  <c r="AD315" i="50"/>
  <c r="AL82" i="42"/>
  <c r="Z88" i="42"/>
  <c r="R90" i="42"/>
  <c r="AV90" i="42" s="1"/>
  <c r="BL90" i="42" s="1"/>
  <c r="BD90" i="42"/>
  <c r="AQ89" i="42"/>
  <c r="AQ88" i="42"/>
  <c r="O83" i="42"/>
  <c r="AE83" i="42"/>
  <c r="P83" i="42"/>
  <c r="S83" i="42"/>
  <c r="Y83" i="42"/>
  <c r="AK83" i="42" s="1"/>
  <c r="AD83" i="42"/>
  <c r="AG90" i="42"/>
  <c r="BW83" i="42"/>
  <c r="BX83" i="42"/>
  <c r="BV83" i="42"/>
  <c r="BY83" i="42"/>
  <c r="Z90" i="42"/>
  <c r="AD89" i="42"/>
  <c r="BY85" i="42"/>
  <c r="AQ83" i="42"/>
  <c r="AR82" i="42"/>
  <c r="Y90" i="42"/>
  <c r="AK90" i="42" s="1"/>
  <c r="AH88" i="42"/>
  <c r="AH85" i="42"/>
  <c r="AP83" i="42"/>
  <c r="V90" i="42"/>
  <c r="AF90" i="42" s="1"/>
  <c r="AG88" i="42"/>
  <c r="AJ87" i="42"/>
  <c r="AG85" i="42"/>
  <c r="AV84" i="42"/>
  <c r="BL84" i="42" s="1"/>
  <c r="X84" i="42"/>
  <c r="Y84" i="42"/>
  <c r="V84" i="42"/>
  <c r="AP84" i="42"/>
  <c r="Z84" i="42"/>
  <c r="AQ84" i="42"/>
  <c r="S84" i="42"/>
  <c r="AW84" i="42" s="1"/>
  <c r="BM84" i="42" s="1"/>
  <c r="AA84" i="42"/>
  <c r="AB84" i="42"/>
  <c r="AD84" i="42"/>
  <c r="AE84" i="42"/>
  <c r="X88" i="42"/>
  <c r="V88" i="42"/>
  <c r="Y88" i="42"/>
  <c r="AA88" i="42"/>
  <c r="AB88" i="42"/>
  <c r="AN88" i="42" s="1"/>
  <c r="AD88" i="42"/>
  <c r="AE88" i="42"/>
  <c r="AF88" i="42"/>
  <c r="Y89" i="42"/>
  <c r="AK89" i="42" s="1"/>
  <c r="BX84" i="42"/>
  <c r="BY84" i="42"/>
  <c r="AB80" i="42"/>
  <c r="AF80" i="42"/>
  <c r="AG80" i="42"/>
  <c r="AH80" i="42"/>
  <c r="AP88" i="42"/>
  <c r="BX86" i="42"/>
  <c r="BY86" i="42"/>
  <c r="P90" i="42"/>
  <c r="S88" i="42"/>
  <c r="X90" i="42"/>
  <c r="AH90" i="42"/>
  <c r="S90" i="42"/>
  <c r="AA90" i="42"/>
  <c r="AM90" i="42" s="1"/>
  <c r="AB90" i="42"/>
  <c r="AD90" i="42"/>
  <c r="AE90" i="42"/>
  <c r="O89" i="42"/>
  <c r="AE89" i="42"/>
  <c r="V89" i="42"/>
  <c r="AH89" i="42" s="1"/>
  <c r="P89" i="42"/>
  <c r="S89" i="42"/>
  <c r="X89" i="42"/>
  <c r="AJ89" i="42" s="1"/>
  <c r="AP89" i="42"/>
  <c r="AA82" i="42"/>
  <c r="AM82" i="42" s="1"/>
  <c r="AP90" i="42"/>
  <c r="BW89" i="42"/>
  <c r="BV89" i="42"/>
  <c r="BX89" i="42"/>
  <c r="BY89" i="42"/>
  <c r="P88" i="42"/>
  <c r="BW86" i="42"/>
  <c r="BW85" i="42"/>
  <c r="BX85" i="42"/>
  <c r="V83" i="42"/>
  <c r="AF83" i="42" s="1"/>
  <c r="AW80" i="42"/>
  <c r="BE80" i="42"/>
  <c r="AQ90" i="42"/>
  <c r="O85" i="42"/>
  <c r="AE85" i="42"/>
  <c r="P85" i="42"/>
  <c r="AF85" i="42"/>
  <c r="AA85" i="42"/>
  <c r="AM85" i="42" s="1"/>
  <c r="AB85" i="42"/>
  <c r="AN85" i="42" s="1"/>
  <c r="S85" i="42"/>
  <c r="V85" i="42"/>
  <c r="AP85" i="42"/>
  <c r="X85" i="42"/>
  <c r="AJ85" i="42" s="1"/>
  <c r="AQ85" i="42"/>
  <c r="Y85" i="42"/>
  <c r="AK85" i="42" s="1"/>
  <c r="Z85" i="42"/>
  <c r="X83" i="42"/>
  <c r="AJ83" i="42" s="1"/>
  <c r="AJ81" i="42"/>
  <c r="O88" i="42"/>
  <c r="BV86" i="42"/>
  <c r="AF82" i="42"/>
  <c r="AG82" i="42"/>
  <c r="AB82" i="42"/>
  <c r="AH82" i="42"/>
  <c r="AF86" i="42"/>
  <c r="AL86" i="42" s="1"/>
  <c r="AG86" i="42"/>
  <c r="AM86" i="42" s="1"/>
  <c r="AW82" i="42"/>
  <c r="BM82" i="42" s="1"/>
  <c r="O87" i="42"/>
  <c r="AE87" i="42"/>
  <c r="AK87" i="42" s="1"/>
  <c r="P87" i="42"/>
  <c r="AF87" i="42"/>
  <c r="AL87" i="42" s="1"/>
  <c r="S87" i="42"/>
  <c r="BE82" i="42"/>
  <c r="O81" i="42"/>
  <c r="AE81" i="42"/>
  <c r="AK81" i="42" s="1"/>
  <c r="P81" i="42"/>
  <c r="AF81" i="42"/>
  <c r="AL81" i="42" s="1"/>
  <c r="AA81" i="42"/>
  <c r="AB81" i="42"/>
  <c r="AD81" i="42"/>
  <c r="AH87" i="42"/>
  <c r="BW87" i="42"/>
  <c r="BX87" i="42"/>
  <c r="BW81" i="42"/>
  <c r="BX81" i="42"/>
  <c r="BY87" i="42"/>
  <c r="AG87" i="42"/>
  <c r="AM87" i="42" s="1"/>
  <c r="AW86" i="42"/>
  <c r="BM86" i="42" s="1"/>
  <c r="BV87" i="42"/>
  <c r="AD87" i="42"/>
  <c r="BE86" i="42"/>
  <c r="AH81" i="42"/>
  <c r="AB87" i="42"/>
  <c r="AN87" i="42" s="1"/>
  <c r="AH86" i="42"/>
  <c r="AN86" i="42" s="1"/>
  <c r="BY81" i="42"/>
  <c r="AG81" i="42"/>
  <c r="AA80" i="42"/>
  <c r="AM80" i="42" s="1"/>
  <c r="BY80" i="42"/>
  <c r="AQ80" i="42"/>
  <c r="Z80" i="42"/>
  <c r="X86" i="42"/>
  <c r="AJ86" i="42" s="1"/>
  <c r="Y86" i="42"/>
  <c r="AK86" i="42" s="1"/>
  <c r="X82" i="42"/>
  <c r="AJ82" i="42" s="1"/>
  <c r="Y82" i="42"/>
  <c r="AK82" i="42" s="1"/>
  <c r="AP80" i="42"/>
  <c r="X80" i="42"/>
  <c r="AJ80" i="42" s="1"/>
  <c r="Y80" i="42"/>
  <c r="AK80" i="42" s="1"/>
  <c r="W834" i="37"/>
  <c r="AI834" i="37" s="1"/>
  <c r="AE832" i="37"/>
  <c r="AF832" i="37"/>
  <c r="N834" i="37"/>
  <c r="Q834" i="37"/>
  <c r="O834" i="37"/>
  <c r="R834" i="37"/>
  <c r="X834" i="37" s="1"/>
  <c r="AJ834" i="37" s="1"/>
  <c r="S834" i="37"/>
  <c r="Y834" i="37" s="1"/>
  <c r="W827" i="37"/>
  <c r="AI827" i="37" s="1"/>
  <c r="AF834" i="37"/>
  <c r="AE834" i="37"/>
  <c r="W831" i="37"/>
  <c r="AI831" i="37" s="1"/>
  <c r="M826" i="37"/>
  <c r="N826" i="37"/>
  <c r="O826" i="37"/>
  <c r="Q826" i="37"/>
  <c r="W826" i="37" s="1"/>
  <c r="AI826" i="37" s="1"/>
  <c r="R826" i="37"/>
  <c r="X826" i="37" s="1"/>
  <c r="AJ826" i="37" s="1"/>
  <c r="S826" i="37"/>
  <c r="T826" i="37" s="1"/>
  <c r="U826" i="37" s="1"/>
  <c r="M828" i="37"/>
  <c r="N828" i="37"/>
  <c r="O828" i="37"/>
  <c r="Q828" i="37"/>
  <c r="W828" i="37" s="1"/>
  <c r="AI828" i="37" s="1"/>
  <c r="R828" i="37"/>
  <c r="S828" i="37"/>
  <c r="T828" i="37" s="1"/>
  <c r="U828" i="37" s="1"/>
  <c r="W824" i="37"/>
  <c r="AI824" i="37" s="1"/>
  <c r="W830" i="37"/>
  <c r="AI830" i="37" s="1"/>
  <c r="N830" i="37"/>
  <c r="R830" i="37"/>
  <c r="X830" i="37" s="1"/>
  <c r="AJ830" i="37" s="1"/>
  <c r="O830" i="37"/>
  <c r="Q830" i="37"/>
  <c r="S830" i="37"/>
  <c r="Y830" i="37" s="1"/>
  <c r="AK830" i="37" s="1"/>
  <c r="N832" i="37"/>
  <c r="Q832" i="37"/>
  <c r="W832" i="37" s="1"/>
  <c r="AI832" i="37" s="1"/>
  <c r="R832" i="37"/>
  <c r="O832" i="37"/>
  <c r="S832" i="37"/>
  <c r="Y832" i="37" s="1"/>
  <c r="T832" i="37"/>
  <c r="M824" i="37"/>
  <c r="N824" i="37"/>
  <c r="O824" i="37"/>
  <c r="Q824" i="37"/>
  <c r="R824" i="37"/>
  <c r="X824" i="37" s="1"/>
  <c r="AJ824" i="37" s="1"/>
  <c r="L822" i="37"/>
  <c r="M822" i="37"/>
  <c r="N822" i="37"/>
  <c r="O822" i="37"/>
  <c r="Q822" i="37"/>
  <c r="W822" i="37" s="1"/>
  <c r="AI822" i="37" s="1"/>
  <c r="R822" i="37"/>
  <c r="S822" i="37"/>
  <c r="T822" i="37" s="1"/>
  <c r="U822" i="37" s="1"/>
  <c r="W835" i="37"/>
  <c r="AI835" i="37" s="1"/>
  <c r="L832" i="37"/>
  <c r="X832" i="37" s="1"/>
  <c r="AJ832" i="37" s="1"/>
  <c r="W829" i="37"/>
  <c r="AI829" i="37" s="1"/>
  <c r="L828" i="37"/>
  <c r="N835" i="37"/>
  <c r="N833" i="37"/>
  <c r="N831" i="37"/>
  <c r="N829" i="37"/>
  <c r="N827" i="37"/>
  <c r="N825" i="37"/>
  <c r="N823" i="37"/>
  <c r="N821" i="37"/>
  <c r="M835" i="37"/>
  <c r="M833" i="37"/>
  <c r="M831" i="37"/>
  <c r="M829" i="37"/>
  <c r="M827" i="37"/>
  <c r="M825" i="37"/>
  <c r="M823" i="37"/>
  <c r="M821" i="37"/>
  <c r="L835" i="37"/>
  <c r="X835" i="37" s="1"/>
  <c r="AJ835" i="37" s="1"/>
  <c r="AG834" i="37"/>
  <c r="L833" i="37"/>
  <c r="X833" i="37" s="1"/>
  <c r="AJ833" i="37" s="1"/>
  <c r="AG832" i="37"/>
  <c r="L831" i="37"/>
  <c r="X831" i="37" s="1"/>
  <c r="AJ831" i="37" s="1"/>
  <c r="AG830" i="37"/>
  <c r="L829" i="37"/>
  <c r="X829" i="37" s="1"/>
  <c r="AJ829" i="37" s="1"/>
  <c r="AG828" i="37"/>
  <c r="L827" i="37"/>
  <c r="X827" i="37" s="1"/>
  <c r="AJ827" i="37" s="1"/>
  <c r="AG826" i="37"/>
  <c r="L825" i="37"/>
  <c r="X825" i="37" s="1"/>
  <c r="AJ825" i="37" s="1"/>
  <c r="AG824" i="37"/>
  <c r="L823" i="37"/>
  <c r="X823" i="37" s="1"/>
  <c r="AJ823" i="37" s="1"/>
  <c r="AG822" i="37"/>
  <c r="L821" i="37"/>
  <c r="X821" i="37" s="1"/>
  <c r="AJ821" i="37" s="1"/>
  <c r="AF828" i="37"/>
  <c r="AF826" i="37"/>
  <c r="K825" i="37"/>
  <c r="W825" i="37" s="1"/>
  <c r="AI825" i="37" s="1"/>
  <c r="AF824" i="37"/>
  <c r="K823" i="37"/>
  <c r="W823" i="37" s="1"/>
  <c r="AI823" i="37" s="1"/>
  <c r="AF822" i="37"/>
  <c r="K821" i="37"/>
  <c r="W821" i="37" s="1"/>
  <c r="AI821" i="37" s="1"/>
  <c r="AF830" i="37"/>
  <c r="U832" i="37" l="1"/>
  <c r="T830" i="37"/>
  <c r="U830" i="37" s="1"/>
  <c r="T834" i="37"/>
  <c r="U834" i="37" s="1"/>
  <c r="AK834" i="37"/>
  <c r="AP322" i="50"/>
  <c r="AQ322" i="50" s="1"/>
  <c r="AR322" i="50" s="1"/>
  <c r="AP314" i="50"/>
  <c r="AQ314" i="50" s="1"/>
  <c r="AR314" i="50" s="1"/>
  <c r="AP310" i="50"/>
  <c r="AQ310" i="50" s="1"/>
  <c r="AR319" i="50"/>
  <c r="AQ308" i="50"/>
  <c r="AR308" i="50" s="1"/>
  <c r="AQ317" i="50"/>
  <c r="BB317" i="50"/>
  <c r="AL317" i="50"/>
  <c r="BD322" i="50"/>
  <c r="BB312" i="50"/>
  <c r="AL319" i="50"/>
  <c r="BC312" i="50"/>
  <c r="BC317" i="50"/>
  <c r="BC309" i="50"/>
  <c r="BD309" i="50"/>
  <c r="AQ320" i="50"/>
  <c r="AK321" i="50"/>
  <c r="AL320" i="50"/>
  <c r="AJ321" i="50"/>
  <c r="AL308" i="50"/>
  <c r="AQ318" i="50"/>
  <c r="AR318" i="50" s="1"/>
  <c r="AJ316" i="50"/>
  <c r="BB318" i="50"/>
  <c r="AK308" i="50"/>
  <c r="AP315" i="50"/>
  <c r="AQ315" i="50" s="1"/>
  <c r="AR315" i="50" s="1"/>
  <c r="BD315" i="50" s="1"/>
  <c r="BD318" i="50"/>
  <c r="AK311" i="50"/>
  <c r="BB320" i="50"/>
  <c r="AK313" i="50"/>
  <c r="BB319" i="50"/>
  <c r="BC318" i="50"/>
  <c r="BD312" i="50"/>
  <c r="BB309" i="50"/>
  <c r="BC319" i="50"/>
  <c r="BC320" i="50"/>
  <c r="AP313" i="50"/>
  <c r="AQ313" i="50" s="1"/>
  <c r="AR313" i="50" s="1"/>
  <c r="AL313" i="50"/>
  <c r="BC322" i="50"/>
  <c r="AP311" i="50"/>
  <c r="AQ311" i="50" s="1"/>
  <c r="AR311" i="50" s="1"/>
  <c r="BD311" i="50" s="1"/>
  <c r="BD314" i="50"/>
  <c r="BB308" i="50"/>
  <c r="BG87" i="42"/>
  <c r="AY87" i="42"/>
  <c r="BO87" i="42" s="1"/>
  <c r="BA86" i="42"/>
  <c r="BI86" i="42"/>
  <c r="BH81" i="42"/>
  <c r="AR81" i="42"/>
  <c r="AZ86" i="42"/>
  <c r="BP86" i="42" s="1"/>
  <c r="BH86" i="42"/>
  <c r="AR86" i="42"/>
  <c r="AS86" i="42" s="1"/>
  <c r="AT86" i="42" s="1"/>
  <c r="BI87" i="42"/>
  <c r="BG81" i="42"/>
  <c r="AY81" i="42"/>
  <c r="BO81" i="42" s="1"/>
  <c r="BH87" i="42"/>
  <c r="AR87" i="42"/>
  <c r="AS87" i="42" s="1"/>
  <c r="AT87" i="42" s="1"/>
  <c r="BB86" i="42"/>
  <c r="BJ86" i="42"/>
  <c r="BJ88" i="42"/>
  <c r="AX87" i="42"/>
  <c r="BF87" i="42"/>
  <c r="AS82" i="42"/>
  <c r="AF89" i="42"/>
  <c r="AW83" i="42"/>
  <c r="BE83" i="42"/>
  <c r="AX82" i="42"/>
  <c r="BF82" i="42"/>
  <c r="BB87" i="42"/>
  <c r="BJ87" i="42"/>
  <c r="AN82" i="42"/>
  <c r="AJ90" i="42"/>
  <c r="BG86" i="42"/>
  <c r="AY86" i="42"/>
  <c r="BO86" i="42" s="1"/>
  <c r="BF85" i="42"/>
  <c r="AX85" i="42"/>
  <c r="BN85" i="42" s="1"/>
  <c r="R85" i="42"/>
  <c r="AV85" i="42" s="1"/>
  <c r="BL85" i="42" s="1"/>
  <c r="BD85" i="42"/>
  <c r="AM88" i="42"/>
  <c r="AA89" i="42"/>
  <c r="AM89" i="42" s="1"/>
  <c r="AG83" i="42"/>
  <c r="AX86" i="42"/>
  <c r="BN86" i="42" s="1"/>
  <c r="BF86" i="42"/>
  <c r="R89" i="42"/>
  <c r="BD89" i="42"/>
  <c r="AV89" i="42"/>
  <c r="BL89" i="42" s="1"/>
  <c r="AH83" i="42"/>
  <c r="AN80" i="42"/>
  <c r="AK88" i="42"/>
  <c r="R83" i="42"/>
  <c r="AV83" i="42" s="1"/>
  <c r="BL83" i="42" s="1"/>
  <c r="BD83" i="42"/>
  <c r="AL80" i="42"/>
  <c r="AN81" i="42"/>
  <c r="AB83" i="42"/>
  <c r="BE87" i="42"/>
  <c r="AW87" i="42"/>
  <c r="BM87" i="42" s="1"/>
  <c r="BM80" i="42"/>
  <c r="AJ88" i="42"/>
  <c r="AH84" i="42"/>
  <c r="AG84" i="42"/>
  <c r="AM84" i="42" s="1"/>
  <c r="AF84" i="42"/>
  <c r="AL84" i="42" s="1"/>
  <c r="AA83" i="42"/>
  <c r="AM81" i="42"/>
  <c r="BD88" i="42"/>
  <c r="R88" i="42"/>
  <c r="AV88" i="42" s="1"/>
  <c r="BL88" i="42" s="1"/>
  <c r="BI82" i="42"/>
  <c r="AK84" i="42"/>
  <c r="AL90" i="42"/>
  <c r="Z83" i="42"/>
  <c r="AL83" i="42" s="1"/>
  <c r="AG89" i="42"/>
  <c r="BG85" i="42"/>
  <c r="AY85" i="42"/>
  <c r="BO85" i="42" s="1"/>
  <c r="BJ85" i="42"/>
  <c r="BI80" i="42"/>
  <c r="AW90" i="42"/>
  <c r="BE90" i="42"/>
  <c r="BG89" i="42"/>
  <c r="AY89" i="42"/>
  <c r="BO89" i="42" s="1"/>
  <c r="AJ84" i="42"/>
  <c r="AY82" i="42"/>
  <c r="BG82" i="42"/>
  <c r="BD81" i="42"/>
  <c r="R81" i="42"/>
  <c r="AV81" i="42" s="1"/>
  <c r="BL81" i="42" s="1"/>
  <c r="BD87" i="42"/>
  <c r="R87" i="42"/>
  <c r="AV87" i="42"/>
  <c r="BL87" i="42" s="1"/>
  <c r="BI85" i="42"/>
  <c r="BF89" i="42"/>
  <c r="AX89" i="42"/>
  <c r="BN89" i="42" s="1"/>
  <c r="AN90" i="42"/>
  <c r="AN84" i="42"/>
  <c r="Z89" i="42"/>
  <c r="AL89" i="42" s="1"/>
  <c r="BG83" i="42"/>
  <c r="AY83" i="42"/>
  <c r="BO83" i="42" s="1"/>
  <c r="BG80" i="42"/>
  <c r="AY80" i="42"/>
  <c r="BO80" i="42" s="1"/>
  <c r="AW81" i="42"/>
  <c r="BE81" i="42"/>
  <c r="BF81" i="42"/>
  <c r="AX81" i="42"/>
  <c r="BN81" i="42" s="1"/>
  <c r="BF80" i="42"/>
  <c r="AX80" i="42"/>
  <c r="BN80" i="42" s="1"/>
  <c r="AW88" i="42"/>
  <c r="BE88" i="42"/>
  <c r="BI90" i="42"/>
  <c r="AB89" i="42"/>
  <c r="AN89" i="42" s="1"/>
  <c r="AL88" i="42"/>
  <c r="AX83" i="42"/>
  <c r="BF83" i="42"/>
  <c r="AL85" i="42"/>
  <c r="AW85" i="42"/>
  <c r="BE85" i="42"/>
  <c r="BE89" i="42"/>
  <c r="AW89" i="42"/>
  <c r="BM89" i="42" s="1"/>
  <c r="AY90" i="42"/>
  <c r="BG90" i="42"/>
  <c r="AZ82" i="42"/>
  <c r="BH82" i="42"/>
  <c r="S825" i="37"/>
  <c r="T825" i="37" s="1"/>
  <c r="U825" i="37" s="1"/>
  <c r="AA825" i="37" s="1"/>
  <c r="AM825" i="37" s="1"/>
  <c r="AA822" i="37"/>
  <c r="AM822" i="37" s="1"/>
  <c r="S827" i="37"/>
  <c r="T827" i="37" s="1"/>
  <c r="U827" i="37" s="1"/>
  <c r="AA827" i="37" s="1"/>
  <c r="AM827" i="37" s="1"/>
  <c r="Z822" i="37"/>
  <c r="AL822" i="37" s="1"/>
  <c r="S829" i="37"/>
  <c r="T829" i="37" s="1"/>
  <c r="U829" i="37" s="1"/>
  <c r="AA829" i="37" s="1"/>
  <c r="AM829" i="37" s="1"/>
  <c r="X828" i="37"/>
  <c r="AJ828" i="37" s="1"/>
  <c r="Y822" i="37"/>
  <c r="AK822" i="37" s="1"/>
  <c r="S831" i="37"/>
  <c r="T831" i="37" s="1"/>
  <c r="U831" i="37" s="1"/>
  <c r="AA831" i="37" s="1"/>
  <c r="AM831" i="37" s="1"/>
  <c r="X822" i="37"/>
  <c r="AJ822" i="37" s="1"/>
  <c r="AA832" i="37"/>
  <c r="AM832" i="37" s="1"/>
  <c r="S833" i="37"/>
  <c r="T833" i="37" s="1"/>
  <c r="U833" i="37" s="1"/>
  <c r="AA833" i="37" s="1"/>
  <c r="AM833" i="37" s="1"/>
  <c r="S835" i="37"/>
  <c r="T835" i="37" s="1"/>
  <c r="U835" i="37" s="1"/>
  <c r="AA835" i="37" s="1"/>
  <c r="AM835" i="37" s="1"/>
  <c r="AA826" i="37"/>
  <c r="AM826" i="37" s="1"/>
  <c r="S824" i="37"/>
  <c r="T824" i="37" s="1"/>
  <c r="U824" i="37" s="1"/>
  <c r="AA824" i="37" s="1"/>
  <c r="AM824" i="37" s="1"/>
  <c r="AA828" i="37"/>
  <c r="AM828" i="37" s="1"/>
  <c r="Z826" i="37"/>
  <c r="AL826" i="37" s="1"/>
  <c r="AK832" i="37"/>
  <c r="Z832" i="37"/>
  <c r="AL832" i="37" s="1"/>
  <c r="AA830" i="37"/>
  <c r="AM830" i="37" s="1"/>
  <c r="Z828" i="37"/>
  <c r="AL828" i="37" s="1"/>
  <c r="Y826" i="37"/>
  <c r="AK826" i="37" s="1"/>
  <c r="AA834" i="37"/>
  <c r="AM834" i="37" s="1"/>
  <c r="Y828" i="37"/>
  <c r="AK828" i="37" s="1"/>
  <c r="S823" i="37"/>
  <c r="T823" i="37" s="1"/>
  <c r="U823" i="37" s="1"/>
  <c r="AA823" i="37" s="1"/>
  <c r="AM823" i="37" s="1"/>
  <c r="Z830" i="37"/>
  <c r="AL830" i="37" s="1"/>
  <c r="Z834" i="37"/>
  <c r="AL834" i="37" s="1"/>
  <c r="S821" i="37"/>
  <c r="T821" i="37" s="1"/>
  <c r="U821" i="37" s="1"/>
  <c r="AA821" i="37" s="1"/>
  <c r="AM821" i="37" s="1"/>
  <c r="Y823" i="37" l="1"/>
  <c r="AK823" i="37" s="1"/>
  <c r="Z821" i="37"/>
  <c r="AL821" i="37" s="1"/>
  <c r="BC308" i="50"/>
  <c r="AR310" i="50"/>
  <c r="BD310" i="50" s="1"/>
  <c r="BC310" i="50"/>
  <c r="BB310" i="50"/>
  <c r="BB315" i="50"/>
  <c r="BD317" i="50"/>
  <c r="BC311" i="50"/>
  <c r="AR320" i="50"/>
  <c r="BD320" i="50" s="1"/>
  <c r="AR317" i="50"/>
  <c r="BC315" i="50"/>
  <c r="AP316" i="50"/>
  <c r="AQ316" i="50" s="1"/>
  <c r="BB311" i="50"/>
  <c r="BD319" i="50"/>
  <c r="BB314" i="50"/>
  <c r="BB313" i="50"/>
  <c r="BD308" i="50"/>
  <c r="BD313" i="50"/>
  <c r="BC313" i="50"/>
  <c r="AP321" i="50"/>
  <c r="AQ321" i="50" s="1"/>
  <c r="AR321" i="50" s="1"/>
  <c r="BD321" i="50" s="1"/>
  <c r="BC314" i="50"/>
  <c r="BB322" i="50"/>
  <c r="AZ84" i="42"/>
  <c r="BP84" i="42" s="1"/>
  <c r="BH84" i="42"/>
  <c r="AR84" i="42"/>
  <c r="AS84" i="42" s="1"/>
  <c r="AT84" i="42" s="1"/>
  <c r="BA84" i="42"/>
  <c r="BI84" i="42"/>
  <c r="BH80" i="42"/>
  <c r="AR80" i="42"/>
  <c r="AS80" i="42" s="1"/>
  <c r="BJ82" i="42"/>
  <c r="BZ86" i="42"/>
  <c r="BO90" i="42"/>
  <c r="BA81" i="42"/>
  <c r="BQ81" i="42" s="1"/>
  <c r="BI81" i="42"/>
  <c r="AS81" i="42"/>
  <c r="AT81" i="42" s="1"/>
  <c r="BH89" i="42"/>
  <c r="AR89" i="42"/>
  <c r="AS89" i="42" s="1"/>
  <c r="AT89" i="42" s="1"/>
  <c r="BA89" i="42"/>
  <c r="BI89" i="42"/>
  <c r="BR86" i="42"/>
  <c r="BM88" i="42"/>
  <c r="BA88" i="42"/>
  <c r="BI88" i="42"/>
  <c r="BJ90" i="42"/>
  <c r="BO82" i="42"/>
  <c r="BN82" i="42"/>
  <c r="BF84" i="42"/>
  <c r="AX84" i="42"/>
  <c r="BN84" i="42" s="1"/>
  <c r="AY88" i="42"/>
  <c r="BG88" i="42"/>
  <c r="BQ86" i="42"/>
  <c r="BH85" i="42"/>
  <c r="AR85" i="42"/>
  <c r="AS85" i="42" s="1"/>
  <c r="AZ90" i="42"/>
  <c r="BP90" i="42" s="1"/>
  <c r="BH90" i="42"/>
  <c r="AR90" i="42"/>
  <c r="AS90" i="42" s="1"/>
  <c r="AX88" i="42"/>
  <c r="BF88" i="42"/>
  <c r="BJ80" i="42"/>
  <c r="BM83" i="42"/>
  <c r="BG84" i="42"/>
  <c r="AY84" i="42"/>
  <c r="BO84" i="42" s="1"/>
  <c r="BN83" i="42"/>
  <c r="AT82" i="42"/>
  <c r="BB82" i="42" s="1"/>
  <c r="BR82" i="42" s="1"/>
  <c r="AZ88" i="42"/>
  <c r="BP88" i="42" s="1"/>
  <c r="BH88" i="42"/>
  <c r="AR88" i="42"/>
  <c r="AS88" i="42" s="1"/>
  <c r="AT88" i="42" s="1"/>
  <c r="BB88" i="42" s="1"/>
  <c r="BR88" i="42" s="1"/>
  <c r="BM81" i="42"/>
  <c r="BM90" i="42"/>
  <c r="BA82" i="42"/>
  <c r="BQ82" i="42" s="1"/>
  <c r="BA87" i="42"/>
  <c r="BQ87" i="42" s="1"/>
  <c r="BB89" i="42"/>
  <c r="BR89" i="42" s="1"/>
  <c r="BJ89" i="42"/>
  <c r="AN83" i="42"/>
  <c r="BN87" i="42"/>
  <c r="BP82" i="42"/>
  <c r="BJ81" i="42"/>
  <c r="BB81" i="42"/>
  <c r="AX90" i="42"/>
  <c r="BF90" i="42"/>
  <c r="BR87" i="42"/>
  <c r="BH83" i="42"/>
  <c r="AR83" i="42"/>
  <c r="AS83" i="42" s="1"/>
  <c r="AT83" i="42" s="1"/>
  <c r="AM83" i="42"/>
  <c r="AZ81" i="42"/>
  <c r="BP81" i="42" s="1"/>
  <c r="BJ84" i="42"/>
  <c r="BB84" i="42"/>
  <c r="BR84" i="42" s="1"/>
  <c r="AZ87" i="42"/>
  <c r="BP87" i="42" s="1"/>
  <c r="BZ87" i="42" s="1"/>
  <c r="BM85" i="42"/>
  <c r="Y831" i="37"/>
  <c r="AK831" i="37" s="1"/>
  <c r="Z825" i="37"/>
  <c r="AL825" i="37" s="1"/>
  <c r="Z824" i="37"/>
  <c r="AL824" i="37" s="1"/>
  <c r="Z829" i="37"/>
  <c r="AL829" i="37" s="1"/>
  <c r="Y835" i="37"/>
  <c r="AK835" i="37" s="1"/>
  <c r="Y829" i="37"/>
  <c r="AK829" i="37" s="1"/>
  <c r="Y821" i="37"/>
  <c r="AK821" i="37" s="1"/>
  <c r="Y824" i="37"/>
  <c r="AK824" i="37" s="1"/>
  <c r="Y825" i="37"/>
  <c r="AK825" i="37" s="1"/>
  <c r="Z835" i="37"/>
  <c r="AL835" i="37" s="1"/>
  <c r="Y833" i="37"/>
  <c r="AK833" i="37" s="1"/>
  <c r="Z823" i="37"/>
  <c r="AL823" i="37" s="1"/>
  <c r="Z831" i="37"/>
  <c r="AL831" i="37" s="1"/>
  <c r="Y827" i="37"/>
  <c r="AK827" i="37" s="1"/>
  <c r="Z827" i="37"/>
  <c r="AL827" i="37" s="1"/>
  <c r="Z833" i="37"/>
  <c r="AL833" i="37" s="1"/>
  <c r="BB321" i="50" l="1"/>
  <c r="BC321" i="50"/>
  <c r="AR316" i="50"/>
  <c r="BD316" i="50" s="1"/>
  <c r="BC316" i="50"/>
  <c r="BB316" i="50"/>
  <c r="BZ88" i="42"/>
  <c r="BZ82" i="42"/>
  <c r="AT85" i="42"/>
  <c r="BB85" i="42" s="1"/>
  <c r="BR85" i="42" s="1"/>
  <c r="BA85" i="42"/>
  <c r="BQ85" i="42" s="1"/>
  <c r="AZ85" i="42"/>
  <c r="BP85" i="42" s="1"/>
  <c r="BZ85" i="42" s="1"/>
  <c r="BQ88" i="42"/>
  <c r="BZ81" i="42"/>
  <c r="BB83" i="42"/>
  <c r="BJ83" i="42"/>
  <c r="BA83" i="42"/>
  <c r="BI83" i="42"/>
  <c r="BQ89" i="42"/>
  <c r="BQ84" i="42"/>
  <c r="BZ84" i="42" s="1"/>
  <c r="BN90" i="42"/>
  <c r="AT90" i="42"/>
  <c r="BB90" i="42" s="1"/>
  <c r="BR90" i="42" s="1"/>
  <c r="BA90" i="42"/>
  <c r="BQ90" i="42" s="1"/>
  <c r="BZ90" i="42" s="1"/>
  <c r="AT80" i="42"/>
  <c r="BB80" i="42" s="1"/>
  <c r="BR80" i="42" s="1"/>
  <c r="BA80" i="42"/>
  <c r="BQ80" i="42" s="1"/>
  <c r="AZ83" i="42"/>
  <c r="BP83" i="42" s="1"/>
  <c r="BO88" i="42"/>
  <c r="AZ80" i="42"/>
  <c r="BP80" i="42" s="1"/>
  <c r="BN88" i="42"/>
  <c r="AZ89" i="42"/>
  <c r="BP89" i="42" s="1"/>
  <c r="BR81" i="42"/>
  <c r="BZ89" i="42" l="1"/>
  <c r="BQ83" i="42"/>
  <c r="BZ80" i="42"/>
  <c r="BR83" i="42"/>
  <c r="BZ83" i="42"/>
  <c r="M81" i="66" l="1"/>
  <c r="L37" i="32" l="1"/>
  <c r="L38" i="32"/>
  <c r="L39" i="32"/>
  <c r="L40" i="32"/>
  <c r="L41" i="32"/>
  <c r="L42" i="32"/>
  <c r="L43" i="32"/>
  <c r="L44" i="32"/>
  <c r="L45" i="32"/>
  <c r="L46" i="32"/>
  <c r="L47" i="32"/>
  <c r="L48" i="32"/>
  <c r="L51" i="32"/>
  <c r="L52" i="32"/>
  <c r="L53" i="32"/>
  <c r="L54" i="32"/>
  <c r="L55" i="32"/>
  <c r="L36" i="32"/>
  <c r="B554" i="40" l="1"/>
  <c r="D554" i="40"/>
  <c r="F1294" i="40" s="1"/>
  <c r="E554" i="40"/>
  <c r="F554" i="40"/>
  <c r="G554" i="40"/>
  <c r="E1294" i="40" s="1"/>
  <c r="B555" i="40"/>
  <c r="D555" i="40"/>
  <c r="F1295" i="40" s="1"/>
  <c r="E555" i="40"/>
  <c r="F555" i="40"/>
  <c r="G555" i="40"/>
  <c r="E1295" i="40" s="1"/>
  <c r="B556" i="40"/>
  <c r="D556" i="40"/>
  <c r="F1296" i="40" s="1"/>
  <c r="E556" i="40"/>
  <c r="F556" i="40"/>
  <c r="G556" i="40"/>
  <c r="E1296" i="40" s="1"/>
  <c r="B557" i="40"/>
  <c r="D557" i="40"/>
  <c r="F1297" i="40" s="1"/>
  <c r="E557" i="40"/>
  <c r="F557" i="40"/>
  <c r="G557" i="40"/>
  <c r="E1297" i="40" s="1"/>
  <c r="B558" i="40"/>
  <c r="D558" i="40"/>
  <c r="F1298" i="40" s="1"/>
  <c r="E558" i="40"/>
  <c r="F558" i="40"/>
  <c r="G558" i="40"/>
  <c r="E1298" i="40" s="1"/>
  <c r="B559" i="40"/>
  <c r="D559" i="40"/>
  <c r="F1299" i="40" s="1"/>
  <c r="E559" i="40"/>
  <c r="F559" i="40"/>
  <c r="G559" i="40"/>
  <c r="E1299" i="40" s="1"/>
  <c r="B560" i="40"/>
  <c r="D560" i="40"/>
  <c r="F1300" i="40" s="1"/>
  <c r="E560" i="40"/>
  <c r="F560" i="40"/>
  <c r="G560" i="40"/>
  <c r="E1300" i="40" s="1"/>
  <c r="B561" i="40"/>
  <c r="D561" i="40"/>
  <c r="F1301" i="40" s="1"/>
  <c r="E561" i="40"/>
  <c r="F561" i="40"/>
  <c r="G561" i="40"/>
  <c r="E1301" i="40" s="1"/>
  <c r="B562" i="40"/>
  <c r="D562" i="40"/>
  <c r="F1302" i="40" s="1"/>
  <c r="E562" i="40"/>
  <c r="F562" i="40"/>
  <c r="G562" i="40"/>
  <c r="E1302" i="40" s="1"/>
  <c r="B563" i="40"/>
  <c r="D563" i="40"/>
  <c r="F1303" i="40" s="1"/>
  <c r="E563" i="40"/>
  <c r="F563" i="40"/>
  <c r="G563" i="40"/>
  <c r="E1303" i="40" s="1"/>
  <c r="B564" i="40"/>
  <c r="D564" i="40"/>
  <c r="F1304" i="40" s="1"/>
  <c r="E564" i="40"/>
  <c r="F564" i="40"/>
  <c r="G564" i="40"/>
  <c r="E1304" i="40" s="1"/>
  <c r="B565" i="40"/>
  <c r="D565" i="40"/>
  <c r="F1305" i="40" s="1"/>
  <c r="E565" i="40"/>
  <c r="F565" i="40"/>
  <c r="G565" i="40"/>
  <c r="E1305" i="40" s="1"/>
  <c r="B566" i="40"/>
  <c r="D566" i="40"/>
  <c r="F1306" i="40" s="1"/>
  <c r="E566" i="40"/>
  <c r="F566" i="40"/>
  <c r="G566" i="40"/>
  <c r="E1306" i="40" s="1"/>
  <c r="B567" i="40"/>
  <c r="D567" i="40"/>
  <c r="F1307" i="40" s="1"/>
  <c r="E567" i="40"/>
  <c r="F567" i="40"/>
  <c r="G567" i="40"/>
  <c r="E1307" i="40" s="1"/>
  <c r="B568" i="40"/>
  <c r="D568" i="40"/>
  <c r="F1308" i="40" s="1"/>
  <c r="E568" i="40"/>
  <c r="F568" i="40"/>
  <c r="G568" i="40"/>
  <c r="E1308" i="40" s="1"/>
  <c r="B569" i="40"/>
  <c r="D569" i="40"/>
  <c r="F1309" i="40" s="1"/>
  <c r="E569" i="40"/>
  <c r="F569" i="40"/>
  <c r="G569" i="40"/>
  <c r="E1309" i="40" s="1"/>
  <c r="B570" i="40"/>
  <c r="D570" i="40"/>
  <c r="F1310" i="40" s="1"/>
  <c r="E570" i="40"/>
  <c r="F570" i="40"/>
  <c r="G570" i="40"/>
  <c r="E1310" i="40" s="1"/>
  <c r="B571" i="40"/>
  <c r="D571" i="40"/>
  <c r="F1311" i="40" s="1"/>
  <c r="E571" i="40"/>
  <c r="F571" i="40"/>
  <c r="G571" i="40"/>
  <c r="E1311" i="40" s="1"/>
  <c r="B572" i="40"/>
  <c r="D572" i="40"/>
  <c r="F1312" i="40" s="1"/>
  <c r="E572" i="40"/>
  <c r="F572" i="40"/>
  <c r="G572" i="40"/>
  <c r="E1312" i="40" s="1"/>
  <c r="B573" i="40"/>
  <c r="D573" i="40"/>
  <c r="F1313" i="40" s="1"/>
  <c r="E573" i="40"/>
  <c r="F573" i="40"/>
  <c r="G573" i="40"/>
  <c r="E1313" i="40" s="1"/>
  <c r="B574" i="40"/>
  <c r="D574" i="40"/>
  <c r="F1314" i="40" s="1"/>
  <c r="E574" i="40"/>
  <c r="F574" i="40"/>
  <c r="G574" i="40"/>
  <c r="E1314" i="40" s="1"/>
  <c r="B575" i="40"/>
  <c r="D575" i="40"/>
  <c r="F1315" i="40" s="1"/>
  <c r="E575" i="40"/>
  <c r="F575" i="40"/>
  <c r="G575" i="40"/>
  <c r="E1315" i="40" s="1"/>
  <c r="B576" i="40"/>
  <c r="D576" i="40"/>
  <c r="F1316" i="40" s="1"/>
  <c r="E576" i="40"/>
  <c r="F576" i="40"/>
  <c r="G576" i="40"/>
  <c r="E1316" i="40" s="1"/>
  <c r="B577" i="40"/>
  <c r="D577" i="40"/>
  <c r="F1317" i="40" s="1"/>
  <c r="E577" i="40"/>
  <c r="F577" i="40"/>
  <c r="G577" i="40"/>
  <c r="E1317" i="40" s="1"/>
  <c r="B578" i="40"/>
  <c r="D578" i="40"/>
  <c r="F1318" i="40" s="1"/>
  <c r="E578" i="40"/>
  <c r="F578" i="40"/>
  <c r="G578" i="40"/>
  <c r="E1318" i="40" s="1"/>
  <c r="B579" i="40"/>
  <c r="D579" i="40"/>
  <c r="F1319" i="40" s="1"/>
  <c r="E579" i="40"/>
  <c r="F579" i="40"/>
  <c r="G579" i="40"/>
  <c r="E1319" i="40" s="1"/>
  <c r="B580" i="40"/>
  <c r="D580" i="40"/>
  <c r="F1320" i="40" s="1"/>
  <c r="E580" i="40"/>
  <c r="F580" i="40"/>
  <c r="G580" i="40"/>
  <c r="E1320" i="40" s="1"/>
  <c r="B581" i="40"/>
  <c r="D581" i="40"/>
  <c r="F1321" i="40" s="1"/>
  <c r="E581" i="40"/>
  <c r="F581" i="40"/>
  <c r="G581" i="40"/>
  <c r="E1321" i="40" s="1"/>
  <c r="B582" i="40"/>
  <c r="D582" i="40"/>
  <c r="F1322" i="40" s="1"/>
  <c r="E582" i="40"/>
  <c r="F582" i="40"/>
  <c r="G582" i="40"/>
  <c r="E1322" i="40" s="1"/>
  <c r="B583" i="40"/>
  <c r="D583" i="40"/>
  <c r="F1323" i="40" s="1"/>
  <c r="E583" i="40"/>
  <c r="F583" i="40"/>
  <c r="G583" i="40"/>
  <c r="E1323" i="40" s="1"/>
  <c r="B584" i="40"/>
  <c r="D584" i="40"/>
  <c r="F1324" i="40" s="1"/>
  <c r="E584" i="40"/>
  <c r="F584" i="40"/>
  <c r="G584" i="40"/>
  <c r="E1324" i="40" s="1"/>
  <c r="B585" i="40"/>
  <c r="D585" i="40"/>
  <c r="F1325" i="40" s="1"/>
  <c r="E585" i="40"/>
  <c r="F585" i="40"/>
  <c r="G585" i="40"/>
  <c r="E1325" i="40" s="1"/>
  <c r="B586" i="40"/>
  <c r="D586" i="40"/>
  <c r="F1326" i="40" s="1"/>
  <c r="E586" i="40"/>
  <c r="F586" i="40"/>
  <c r="G586" i="40"/>
  <c r="E1326" i="40" s="1"/>
  <c r="B587" i="40"/>
  <c r="D587" i="40"/>
  <c r="F1327" i="40" s="1"/>
  <c r="E587" i="40"/>
  <c r="F587" i="40"/>
  <c r="G587" i="40"/>
  <c r="E1327" i="40" s="1"/>
  <c r="B588" i="40"/>
  <c r="D588" i="40"/>
  <c r="F1328" i="40" s="1"/>
  <c r="E588" i="40"/>
  <c r="F588" i="40"/>
  <c r="G588" i="40"/>
  <c r="E1328" i="40" s="1"/>
  <c r="B589" i="40"/>
  <c r="D589" i="40"/>
  <c r="F1329" i="40" s="1"/>
  <c r="E589" i="40"/>
  <c r="F589" i="40"/>
  <c r="G589" i="40"/>
  <c r="E1329" i="40" s="1"/>
  <c r="B590" i="40"/>
  <c r="D590" i="40"/>
  <c r="F1330" i="40" s="1"/>
  <c r="E590" i="40"/>
  <c r="F590" i="40"/>
  <c r="G590" i="40"/>
  <c r="E1330" i="40" s="1"/>
  <c r="B591" i="40"/>
  <c r="D591" i="40"/>
  <c r="F1331" i="40" s="1"/>
  <c r="E591" i="40"/>
  <c r="F591" i="40"/>
  <c r="G591" i="40"/>
  <c r="E1331" i="40" s="1"/>
  <c r="B592" i="40"/>
  <c r="D592" i="40"/>
  <c r="F1332" i="40" s="1"/>
  <c r="E592" i="40"/>
  <c r="F592" i="40"/>
  <c r="G592" i="40"/>
  <c r="E1332" i="40" s="1"/>
  <c r="B593" i="40"/>
  <c r="D593" i="40"/>
  <c r="F1333" i="40" s="1"/>
  <c r="E593" i="40"/>
  <c r="F593" i="40"/>
  <c r="G593" i="40"/>
  <c r="E1333" i="40" s="1"/>
  <c r="B594" i="40"/>
  <c r="D594" i="40"/>
  <c r="F1334" i="40" s="1"/>
  <c r="E594" i="40"/>
  <c r="F594" i="40"/>
  <c r="G594" i="40"/>
  <c r="E1334" i="40" s="1"/>
  <c r="B595" i="40"/>
  <c r="D595" i="40"/>
  <c r="F1335" i="40" s="1"/>
  <c r="E595" i="40"/>
  <c r="F595" i="40"/>
  <c r="G595" i="40"/>
  <c r="E1335" i="40" s="1"/>
  <c r="B596" i="40"/>
  <c r="D596" i="40"/>
  <c r="F1336" i="40" s="1"/>
  <c r="E596" i="40"/>
  <c r="F596" i="40"/>
  <c r="G596" i="40"/>
  <c r="E1336" i="40" s="1"/>
  <c r="B597" i="40"/>
  <c r="D597" i="40"/>
  <c r="F1337" i="40" s="1"/>
  <c r="E597" i="40"/>
  <c r="F597" i="40"/>
  <c r="G597" i="40"/>
  <c r="E1337" i="40" s="1"/>
  <c r="B598" i="40"/>
  <c r="D598" i="40"/>
  <c r="F1338" i="40" s="1"/>
  <c r="E598" i="40"/>
  <c r="F598" i="40"/>
  <c r="G598" i="40"/>
  <c r="E1338" i="40" s="1"/>
  <c r="B599" i="40"/>
  <c r="D599" i="40"/>
  <c r="F1339" i="40" s="1"/>
  <c r="E599" i="40"/>
  <c r="F599" i="40"/>
  <c r="G599" i="40"/>
  <c r="E1339" i="40" s="1"/>
  <c r="B600" i="40"/>
  <c r="D600" i="40"/>
  <c r="F1340" i="40" s="1"/>
  <c r="E600" i="40"/>
  <c r="F600" i="40"/>
  <c r="G600" i="40"/>
  <c r="E1340" i="40" s="1"/>
  <c r="B601" i="40"/>
  <c r="D601" i="40"/>
  <c r="F1341" i="40" s="1"/>
  <c r="E601" i="40"/>
  <c r="F601" i="40"/>
  <c r="G601" i="40"/>
  <c r="E1341" i="40" s="1"/>
  <c r="B602" i="40"/>
  <c r="D602" i="40"/>
  <c r="F1342" i="40" s="1"/>
  <c r="E602" i="40"/>
  <c r="F602" i="40"/>
  <c r="G602" i="40"/>
  <c r="E1342" i="40" s="1"/>
  <c r="B603" i="40"/>
  <c r="D603" i="40"/>
  <c r="F1343" i="40" s="1"/>
  <c r="E603" i="40"/>
  <c r="F603" i="40"/>
  <c r="G603" i="40"/>
  <c r="E1343" i="40" s="1"/>
  <c r="B604" i="40"/>
  <c r="D604" i="40"/>
  <c r="F1344" i="40" s="1"/>
  <c r="E604" i="40"/>
  <c r="F604" i="40"/>
  <c r="G604" i="40"/>
  <c r="E1344" i="40" s="1"/>
  <c r="B605" i="40"/>
  <c r="D605" i="40"/>
  <c r="F1345" i="40" s="1"/>
  <c r="E605" i="40"/>
  <c r="F605" i="40"/>
  <c r="G605" i="40"/>
  <c r="E1345" i="40" s="1"/>
  <c r="B606" i="40"/>
  <c r="D606" i="40"/>
  <c r="F1346" i="40" s="1"/>
  <c r="E606" i="40"/>
  <c r="F606" i="40"/>
  <c r="G606" i="40"/>
  <c r="E1346" i="40" s="1"/>
  <c r="B607" i="40"/>
  <c r="D607" i="40"/>
  <c r="F1347" i="40" s="1"/>
  <c r="E607" i="40"/>
  <c r="F607" i="40"/>
  <c r="G607" i="40"/>
  <c r="E1347" i="40" s="1"/>
  <c r="B608" i="40"/>
  <c r="D608" i="40"/>
  <c r="F1348" i="40" s="1"/>
  <c r="E608" i="40"/>
  <c r="F608" i="40"/>
  <c r="G608" i="40"/>
  <c r="E1348" i="40" s="1"/>
  <c r="B609" i="40"/>
  <c r="D609" i="40"/>
  <c r="F1349" i="40" s="1"/>
  <c r="E609" i="40"/>
  <c r="F609" i="40"/>
  <c r="G609" i="40"/>
  <c r="E1349" i="40" s="1"/>
  <c r="B610" i="40"/>
  <c r="D610" i="40"/>
  <c r="F1350" i="40" s="1"/>
  <c r="E610" i="40"/>
  <c r="F610" i="40"/>
  <c r="G610" i="40"/>
  <c r="E1350" i="40" s="1"/>
  <c r="B611" i="40"/>
  <c r="D611" i="40"/>
  <c r="F1351" i="40" s="1"/>
  <c r="E611" i="40"/>
  <c r="F611" i="40"/>
  <c r="G611" i="40"/>
  <c r="E1351" i="40" s="1"/>
  <c r="B612" i="40"/>
  <c r="D612" i="40"/>
  <c r="F1352" i="40" s="1"/>
  <c r="E612" i="40"/>
  <c r="F612" i="40"/>
  <c r="G612" i="40"/>
  <c r="E1352" i="40" s="1"/>
  <c r="B613" i="40"/>
  <c r="D613" i="40"/>
  <c r="F1353" i="40" s="1"/>
  <c r="E613" i="40"/>
  <c r="F613" i="40"/>
  <c r="G613" i="40"/>
  <c r="E1353" i="40" s="1"/>
  <c r="B614" i="40"/>
  <c r="D614" i="40"/>
  <c r="F1354" i="40" s="1"/>
  <c r="E614" i="40"/>
  <c r="F614" i="40"/>
  <c r="G614" i="40"/>
  <c r="E1354" i="40" s="1"/>
  <c r="B615" i="40"/>
  <c r="D615" i="40"/>
  <c r="F1355" i="40" s="1"/>
  <c r="E615" i="40"/>
  <c r="F615" i="40"/>
  <c r="G615" i="40"/>
  <c r="E1355" i="40" s="1"/>
  <c r="B616" i="40"/>
  <c r="D616" i="40"/>
  <c r="F1356" i="40" s="1"/>
  <c r="E616" i="40"/>
  <c r="F616" i="40"/>
  <c r="G616" i="40"/>
  <c r="E1356" i="40" s="1"/>
  <c r="B617" i="40"/>
  <c r="D617" i="40"/>
  <c r="F1357" i="40" s="1"/>
  <c r="E617" i="40"/>
  <c r="F617" i="40"/>
  <c r="G617" i="40"/>
  <c r="E1357" i="40" s="1"/>
  <c r="B618" i="40"/>
  <c r="D618" i="40"/>
  <c r="F1358" i="40" s="1"/>
  <c r="E618" i="40"/>
  <c r="F618" i="40"/>
  <c r="G618" i="40"/>
  <c r="E1358" i="40" s="1"/>
  <c r="B619" i="40"/>
  <c r="D619" i="40"/>
  <c r="F1359" i="40" s="1"/>
  <c r="E619" i="40"/>
  <c r="F619" i="40"/>
  <c r="G619" i="40"/>
  <c r="E1359" i="40" s="1"/>
  <c r="B620" i="40"/>
  <c r="D620" i="40"/>
  <c r="F1360" i="40" s="1"/>
  <c r="E620" i="40"/>
  <c r="F620" i="40"/>
  <c r="G620" i="40"/>
  <c r="E1360" i="40" s="1"/>
  <c r="B621" i="40"/>
  <c r="D621" i="40"/>
  <c r="F1361" i="40" s="1"/>
  <c r="E621" i="40"/>
  <c r="F621" i="40"/>
  <c r="G621" i="40"/>
  <c r="E1361" i="40" s="1"/>
  <c r="B622" i="40"/>
  <c r="D622" i="40"/>
  <c r="F1362" i="40" s="1"/>
  <c r="E622" i="40"/>
  <c r="F622" i="40"/>
  <c r="G622" i="40"/>
  <c r="E1362" i="40" s="1"/>
  <c r="B623" i="40"/>
  <c r="D623" i="40"/>
  <c r="F1363" i="40" s="1"/>
  <c r="E623" i="40"/>
  <c r="F623" i="40"/>
  <c r="G623" i="40"/>
  <c r="E1363" i="40" s="1"/>
  <c r="B624" i="40"/>
  <c r="D624" i="40"/>
  <c r="F1364" i="40" s="1"/>
  <c r="E624" i="40"/>
  <c r="F624" i="40"/>
  <c r="G624" i="40"/>
  <c r="E1364" i="40" s="1"/>
  <c r="B625" i="40"/>
  <c r="D625" i="40"/>
  <c r="F1365" i="40" s="1"/>
  <c r="E625" i="40"/>
  <c r="F625" i="40"/>
  <c r="G625" i="40"/>
  <c r="E1365" i="40" s="1"/>
  <c r="B626" i="40"/>
  <c r="D626" i="40"/>
  <c r="F1366" i="40" s="1"/>
  <c r="E626" i="40"/>
  <c r="F626" i="40"/>
  <c r="G626" i="40"/>
  <c r="E1366" i="40" s="1"/>
  <c r="B627" i="40"/>
  <c r="D627" i="40"/>
  <c r="F1367" i="40" s="1"/>
  <c r="E627" i="40"/>
  <c r="F627" i="40"/>
  <c r="G627" i="40"/>
  <c r="E1367" i="40" s="1"/>
  <c r="B628" i="40"/>
  <c r="D628" i="40"/>
  <c r="F1368" i="40" s="1"/>
  <c r="E628" i="40"/>
  <c r="F628" i="40"/>
  <c r="G628" i="40"/>
  <c r="E1368" i="40" s="1"/>
  <c r="B629" i="40"/>
  <c r="D629" i="40"/>
  <c r="F1369" i="40" s="1"/>
  <c r="E629" i="40"/>
  <c r="F629" i="40"/>
  <c r="G629" i="40"/>
  <c r="E1369" i="40" s="1"/>
  <c r="B630" i="40"/>
  <c r="D630" i="40"/>
  <c r="F1370" i="40" s="1"/>
  <c r="E630" i="40"/>
  <c r="F630" i="40"/>
  <c r="G630" i="40"/>
  <c r="E1370" i="40" s="1"/>
  <c r="B631" i="40"/>
  <c r="D631" i="40"/>
  <c r="F1371" i="40" s="1"/>
  <c r="E631" i="40"/>
  <c r="F631" i="40"/>
  <c r="G631" i="40"/>
  <c r="E1371" i="40" s="1"/>
  <c r="B632" i="40"/>
  <c r="D632" i="40"/>
  <c r="F1372" i="40" s="1"/>
  <c r="E632" i="40"/>
  <c r="F632" i="40"/>
  <c r="G632" i="40"/>
  <c r="E1372" i="40" s="1"/>
  <c r="B633" i="40"/>
  <c r="D633" i="40"/>
  <c r="F1373" i="40" s="1"/>
  <c r="E633" i="40"/>
  <c r="F633" i="40"/>
  <c r="G633" i="40"/>
  <c r="E1373" i="40" s="1"/>
  <c r="B634" i="40"/>
  <c r="D634" i="40"/>
  <c r="F1374" i="40" s="1"/>
  <c r="E634" i="40"/>
  <c r="F634" i="40"/>
  <c r="G634" i="40"/>
  <c r="E1374" i="40" s="1"/>
  <c r="B635" i="40"/>
  <c r="D635" i="40"/>
  <c r="F1375" i="40" s="1"/>
  <c r="E635" i="40"/>
  <c r="F635" i="40"/>
  <c r="G635" i="40"/>
  <c r="E1375" i="40" s="1"/>
  <c r="B636" i="40"/>
  <c r="D636" i="40"/>
  <c r="F1376" i="40" s="1"/>
  <c r="E636" i="40"/>
  <c r="F636" i="40"/>
  <c r="G636" i="40"/>
  <c r="E1376" i="40" s="1"/>
  <c r="B637" i="40"/>
  <c r="D637" i="40"/>
  <c r="F1377" i="40" s="1"/>
  <c r="E637" i="40"/>
  <c r="F637" i="40"/>
  <c r="G637" i="40"/>
  <c r="E1377" i="40" s="1"/>
  <c r="B638" i="40"/>
  <c r="D638" i="40"/>
  <c r="F1378" i="40" s="1"/>
  <c r="E638" i="40"/>
  <c r="F638" i="40"/>
  <c r="G638" i="40"/>
  <c r="E1378" i="40" s="1"/>
  <c r="B639" i="40"/>
  <c r="D639" i="40"/>
  <c r="F1379" i="40" s="1"/>
  <c r="E639" i="40"/>
  <c r="F639" i="40"/>
  <c r="G639" i="40"/>
  <c r="E1379" i="40" s="1"/>
  <c r="B640" i="40"/>
  <c r="D640" i="40"/>
  <c r="F1380" i="40" s="1"/>
  <c r="E640" i="40"/>
  <c r="F640" i="40"/>
  <c r="G640" i="40"/>
  <c r="E1380" i="40" s="1"/>
  <c r="B641" i="40"/>
  <c r="D641" i="40"/>
  <c r="F1381" i="40" s="1"/>
  <c r="E641" i="40"/>
  <c r="F641" i="40"/>
  <c r="G641" i="40"/>
  <c r="E1381" i="40" s="1"/>
  <c r="B642" i="40"/>
  <c r="D642" i="40"/>
  <c r="F1382" i="40" s="1"/>
  <c r="E642" i="40"/>
  <c r="F642" i="40"/>
  <c r="G642" i="40"/>
  <c r="E1382" i="40" s="1"/>
  <c r="B643" i="40"/>
  <c r="D643" i="40"/>
  <c r="F1383" i="40" s="1"/>
  <c r="E643" i="40"/>
  <c r="F643" i="40"/>
  <c r="G643" i="40"/>
  <c r="E1383" i="40" s="1"/>
  <c r="B644" i="40"/>
  <c r="D644" i="40"/>
  <c r="F1384" i="40" s="1"/>
  <c r="E644" i="40"/>
  <c r="F644" i="40"/>
  <c r="G644" i="40"/>
  <c r="E1384" i="40" s="1"/>
  <c r="B645" i="40"/>
  <c r="D645" i="40"/>
  <c r="F1385" i="40" s="1"/>
  <c r="E645" i="40"/>
  <c r="F645" i="40"/>
  <c r="G645" i="40"/>
  <c r="E1385" i="40" s="1"/>
  <c r="B646" i="40"/>
  <c r="D646" i="40"/>
  <c r="F1386" i="40" s="1"/>
  <c r="E646" i="40"/>
  <c r="F646" i="40"/>
  <c r="G646" i="40"/>
  <c r="E1386" i="40" s="1"/>
  <c r="B647" i="40"/>
  <c r="D647" i="40"/>
  <c r="F1387" i="40" s="1"/>
  <c r="E647" i="40"/>
  <c r="F647" i="40"/>
  <c r="G647" i="40"/>
  <c r="E1387" i="40" s="1"/>
  <c r="B648" i="40"/>
  <c r="D648" i="40"/>
  <c r="F1388" i="40" s="1"/>
  <c r="E648" i="40"/>
  <c r="F648" i="40"/>
  <c r="G648" i="40"/>
  <c r="E1388" i="40" s="1"/>
  <c r="B649" i="40"/>
  <c r="D649" i="40"/>
  <c r="F1389" i="40" s="1"/>
  <c r="E649" i="40"/>
  <c r="F649" i="40"/>
  <c r="G649" i="40"/>
  <c r="E1389" i="40" s="1"/>
  <c r="B650" i="40"/>
  <c r="D650" i="40"/>
  <c r="F1390" i="40" s="1"/>
  <c r="E650" i="40"/>
  <c r="F650" i="40"/>
  <c r="G650" i="40"/>
  <c r="E1390" i="40" s="1"/>
  <c r="B651" i="40"/>
  <c r="D651" i="40"/>
  <c r="F1391" i="40" s="1"/>
  <c r="E651" i="40"/>
  <c r="F651" i="40"/>
  <c r="G651" i="40"/>
  <c r="E1391" i="40" s="1"/>
  <c r="B652" i="40"/>
  <c r="D652" i="40"/>
  <c r="F1392" i="40" s="1"/>
  <c r="E652" i="40"/>
  <c r="F652" i="40"/>
  <c r="G652" i="40"/>
  <c r="E1392" i="40" s="1"/>
  <c r="B653" i="40"/>
  <c r="D653" i="40"/>
  <c r="F1393" i="40" s="1"/>
  <c r="E653" i="40"/>
  <c r="F653" i="40"/>
  <c r="G653" i="40"/>
  <c r="E1393" i="40" s="1"/>
  <c r="B654" i="40"/>
  <c r="D654" i="40"/>
  <c r="F1394" i="40" s="1"/>
  <c r="E654" i="40"/>
  <c r="F654" i="40"/>
  <c r="G654" i="40"/>
  <c r="E1394" i="40" s="1"/>
  <c r="B655" i="40"/>
  <c r="D655" i="40"/>
  <c r="F1395" i="40" s="1"/>
  <c r="E655" i="40"/>
  <c r="F655" i="40"/>
  <c r="G655" i="40"/>
  <c r="E1395" i="40" s="1"/>
  <c r="B656" i="40"/>
  <c r="D656" i="40"/>
  <c r="F1396" i="40" s="1"/>
  <c r="E656" i="40"/>
  <c r="F656" i="40"/>
  <c r="G656" i="40"/>
  <c r="E1396" i="40" s="1"/>
  <c r="B657" i="40"/>
  <c r="D657" i="40"/>
  <c r="F1397" i="40" s="1"/>
  <c r="E657" i="40"/>
  <c r="F657" i="40"/>
  <c r="G657" i="40"/>
  <c r="E1397" i="40" s="1"/>
  <c r="B658" i="40"/>
  <c r="D658" i="40"/>
  <c r="F1398" i="40" s="1"/>
  <c r="E658" i="40"/>
  <c r="F658" i="40"/>
  <c r="G658" i="40"/>
  <c r="E1398" i="40" s="1"/>
  <c r="B659" i="40"/>
  <c r="D659" i="40"/>
  <c r="F1399" i="40" s="1"/>
  <c r="E659" i="40"/>
  <c r="F659" i="40"/>
  <c r="G659" i="40"/>
  <c r="E1399" i="40" s="1"/>
  <c r="B660" i="40"/>
  <c r="D660" i="40"/>
  <c r="F1400" i="40" s="1"/>
  <c r="E660" i="40"/>
  <c r="F660" i="40"/>
  <c r="G660" i="40"/>
  <c r="E1400" i="40" s="1"/>
  <c r="B661" i="40"/>
  <c r="D661" i="40"/>
  <c r="F1401" i="40" s="1"/>
  <c r="E661" i="40"/>
  <c r="F661" i="40"/>
  <c r="G661" i="40"/>
  <c r="E1401" i="40" s="1"/>
  <c r="B662" i="40"/>
  <c r="D662" i="40"/>
  <c r="F1402" i="40" s="1"/>
  <c r="E662" i="40"/>
  <c r="F662" i="40"/>
  <c r="G662" i="40"/>
  <c r="E1402" i="40" s="1"/>
  <c r="B663" i="40"/>
  <c r="D663" i="40"/>
  <c r="F1403" i="40" s="1"/>
  <c r="E663" i="40"/>
  <c r="F663" i="40"/>
  <c r="G663" i="40"/>
  <c r="E1403" i="40" s="1"/>
  <c r="B664" i="40"/>
  <c r="D664" i="40"/>
  <c r="F1404" i="40" s="1"/>
  <c r="E664" i="40"/>
  <c r="F664" i="40"/>
  <c r="G664" i="40"/>
  <c r="E1404" i="40" s="1"/>
  <c r="B665" i="40"/>
  <c r="D665" i="40"/>
  <c r="F1405" i="40" s="1"/>
  <c r="E665" i="40"/>
  <c r="F665" i="40"/>
  <c r="G665" i="40"/>
  <c r="E1405" i="40" s="1"/>
  <c r="B549" i="40"/>
  <c r="D549" i="40"/>
  <c r="E549" i="40"/>
  <c r="F549" i="40"/>
  <c r="G549" i="40"/>
  <c r="E1289" i="40" s="1"/>
  <c r="B550" i="40"/>
  <c r="D550" i="40"/>
  <c r="F1290" i="40" s="1"/>
  <c r="E550" i="40"/>
  <c r="F550" i="40"/>
  <c r="G550" i="40"/>
  <c r="E1290" i="40" s="1"/>
  <c r="B551" i="40"/>
  <c r="D551" i="40"/>
  <c r="F1291" i="40" s="1"/>
  <c r="E551" i="40"/>
  <c r="F551" i="40"/>
  <c r="G551" i="40"/>
  <c r="E1291" i="40" s="1"/>
  <c r="B552" i="40"/>
  <c r="D552" i="40"/>
  <c r="F1292" i="40" s="1"/>
  <c r="E552" i="40"/>
  <c r="F552" i="40"/>
  <c r="G552" i="40"/>
  <c r="E1292" i="40" s="1"/>
  <c r="B553" i="40"/>
  <c r="D553" i="40"/>
  <c r="F1293" i="40" s="1"/>
  <c r="E553" i="40"/>
  <c r="F553" i="40"/>
  <c r="G553" i="40"/>
  <c r="E1293" i="40" s="1"/>
  <c r="F267" i="65"/>
  <c r="G267" i="65"/>
  <c r="H267" i="65"/>
  <c r="I267" i="65"/>
  <c r="J267" i="65"/>
  <c r="F268" i="65"/>
  <c r="G268" i="65"/>
  <c r="H268" i="65"/>
  <c r="I268" i="65"/>
  <c r="M268" i="65" s="1"/>
  <c r="J268" i="65"/>
  <c r="F269" i="65"/>
  <c r="G269" i="65"/>
  <c r="H269" i="65"/>
  <c r="I269" i="65"/>
  <c r="J269" i="65"/>
  <c r="F270" i="65"/>
  <c r="G270" i="65"/>
  <c r="H270" i="65"/>
  <c r="I270" i="65"/>
  <c r="K270" i="65" s="1"/>
  <c r="J270" i="65"/>
  <c r="F271" i="65"/>
  <c r="G271" i="65"/>
  <c r="H271" i="65"/>
  <c r="I271" i="65"/>
  <c r="J271" i="65"/>
  <c r="F272" i="65"/>
  <c r="G272" i="65"/>
  <c r="H272" i="65"/>
  <c r="I272" i="65"/>
  <c r="J272" i="65"/>
  <c r="F273" i="65"/>
  <c r="G273" i="65"/>
  <c r="H273" i="65"/>
  <c r="I273" i="65"/>
  <c r="J273" i="65"/>
  <c r="F274" i="65"/>
  <c r="G274" i="65"/>
  <c r="H274" i="65"/>
  <c r="I274" i="65"/>
  <c r="M274" i="65" s="1"/>
  <c r="J274" i="65"/>
  <c r="F275" i="65"/>
  <c r="G275" i="65"/>
  <c r="H275" i="65"/>
  <c r="I275" i="65"/>
  <c r="K275" i="65" s="1"/>
  <c r="J275" i="65"/>
  <c r="F276" i="65"/>
  <c r="G276" i="65"/>
  <c r="H276" i="65"/>
  <c r="I276" i="65"/>
  <c r="J276" i="65"/>
  <c r="F277" i="65"/>
  <c r="G277" i="65"/>
  <c r="H277" i="65"/>
  <c r="I277" i="65"/>
  <c r="K277" i="65" s="1"/>
  <c r="J277" i="65"/>
  <c r="F278" i="65"/>
  <c r="G278" i="65"/>
  <c r="H278" i="65"/>
  <c r="I278" i="65"/>
  <c r="K278" i="65" s="1"/>
  <c r="J278" i="65"/>
  <c r="F279" i="65"/>
  <c r="G279" i="65"/>
  <c r="H279" i="65"/>
  <c r="I279" i="65"/>
  <c r="J279" i="65"/>
  <c r="F280" i="65"/>
  <c r="G280" i="65"/>
  <c r="H280" i="65"/>
  <c r="I280" i="65"/>
  <c r="J280" i="65"/>
  <c r="F281" i="65"/>
  <c r="G281" i="65"/>
  <c r="H281" i="65"/>
  <c r="I281" i="65"/>
  <c r="K281" i="65" s="1"/>
  <c r="J281" i="65"/>
  <c r="F282" i="65"/>
  <c r="G282" i="65"/>
  <c r="H282" i="65"/>
  <c r="I282" i="65"/>
  <c r="J282" i="65"/>
  <c r="F283" i="65"/>
  <c r="G283" i="65"/>
  <c r="H283" i="65"/>
  <c r="I283" i="65"/>
  <c r="J283" i="65"/>
  <c r="F284" i="65"/>
  <c r="G284" i="65"/>
  <c r="H284" i="65"/>
  <c r="I284" i="65"/>
  <c r="K284" i="65" s="1"/>
  <c r="J284" i="65"/>
  <c r="F285" i="65"/>
  <c r="G285" i="65"/>
  <c r="H285" i="65"/>
  <c r="I285" i="65"/>
  <c r="K285" i="65" s="1"/>
  <c r="J285" i="65"/>
  <c r="F286" i="65"/>
  <c r="G286" i="65"/>
  <c r="H286" i="65"/>
  <c r="I286" i="65"/>
  <c r="J286" i="65"/>
  <c r="F287" i="65"/>
  <c r="G287" i="65"/>
  <c r="H287" i="65"/>
  <c r="I287" i="65"/>
  <c r="K287" i="65" s="1"/>
  <c r="J287" i="65"/>
  <c r="F288" i="65"/>
  <c r="G288" i="65"/>
  <c r="H288" i="65"/>
  <c r="I288" i="65"/>
  <c r="K288" i="65" s="1"/>
  <c r="J288" i="65"/>
  <c r="F289" i="65"/>
  <c r="G289" i="65"/>
  <c r="H289" i="65"/>
  <c r="I289" i="65"/>
  <c r="J289" i="65"/>
  <c r="F290" i="65"/>
  <c r="G290" i="65"/>
  <c r="H290" i="65"/>
  <c r="I290" i="65"/>
  <c r="J290" i="65"/>
  <c r="F291" i="65"/>
  <c r="G291" i="65"/>
  <c r="H291" i="65"/>
  <c r="I291" i="65"/>
  <c r="K291" i="65" s="1"/>
  <c r="J291" i="65"/>
  <c r="F292" i="65"/>
  <c r="G292" i="65"/>
  <c r="H292" i="65"/>
  <c r="I292" i="65"/>
  <c r="K292" i="65" s="1"/>
  <c r="J292" i="65"/>
  <c r="F293" i="65"/>
  <c r="G293" i="65"/>
  <c r="H293" i="65"/>
  <c r="I293" i="65"/>
  <c r="J293" i="65"/>
  <c r="F294" i="65"/>
  <c r="G294" i="65"/>
  <c r="H294" i="65"/>
  <c r="I294" i="65"/>
  <c r="M294" i="65" s="1"/>
  <c r="J294" i="65"/>
  <c r="F295" i="65"/>
  <c r="G295" i="65"/>
  <c r="H295" i="65"/>
  <c r="I295" i="65"/>
  <c r="K295" i="65" s="1"/>
  <c r="J295" i="65"/>
  <c r="F296" i="65"/>
  <c r="G296" i="65"/>
  <c r="H296" i="65"/>
  <c r="I296" i="65"/>
  <c r="J296" i="65"/>
  <c r="F297" i="65"/>
  <c r="G297" i="65"/>
  <c r="H297" i="65"/>
  <c r="I297" i="65"/>
  <c r="K297" i="65" s="1"/>
  <c r="J297" i="65"/>
  <c r="F298" i="65"/>
  <c r="G298" i="65"/>
  <c r="H298" i="65"/>
  <c r="I298" i="65"/>
  <c r="M298" i="65" s="1"/>
  <c r="J298" i="65"/>
  <c r="F299" i="65"/>
  <c r="G299" i="65"/>
  <c r="H299" i="65"/>
  <c r="I299" i="65"/>
  <c r="J299" i="65"/>
  <c r="F300" i="65"/>
  <c r="G300" i="65"/>
  <c r="H300" i="65"/>
  <c r="I300" i="65"/>
  <c r="M300" i="65" s="1"/>
  <c r="J300" i="65"/>
  <c r="F301" i="65"/>
  <c r="G301" i="65"/>
  <c r="H301" i="65"/>
  <c r="I301" i="65"/>
  <c r="J301" i="65"/>
  <c r="F302" i="65"/>
  <c r="G302" i="65"/>
  <c r="H302" i="65"/>
  <c r="I302" i="65"/>
  <c r="J302" i="65"/>
  <c r="F303" i="65"/>
  <c r="G303" i="65"/>
  <c r="H303" i="65"/>
  <c r="I303" i="65"/>
  <c r="K303" i="65" s="1"/>
  <c r="J303" i="65"/>
  <c r="F304" i="65"/>
  <c r="G304" i="65"/>
  <c r="H304" i="65"/>
  <c r="I304" i="65"/>
  <c r="K304" i="65" s="1"/>
  <c r="J304" i="65"/>
  <c r="F305" i="65"/>
  <c r="G305" i="65"/>
  <c r="H305" i="65"/>
  <c r="I305" i="65"/>
  <c r="K305" i="65" s="1"/>
  <c r="J305" i="65"/>
  <c r="F306" i="65"/>
  <c r="G306" i="65"/>
  <c r="H306" i="65"/>
  <c r="I306" i="65"/>
  <c r="M306" i="65" s="1"/>
  <c r="J306" i="65"/>
  <c r="F307" i="65"/>
  <c r="G307" i="65"/>
  <c r="H307" i="65"/>
  <c r="I307" i="65"/>
  <c r="J307" i="65"/>
  <c r="F308" i="65"/>
  <c r="G308" i="65"/>
  <c r="H308" i="65"/>
  <c r="I308" i="65"/>
  <c r="J308" i="65"/>
  <c r="F309" i="65"/>
  <c r="G309" i="65"/>
  <c r="H309" i="65"/>
  <c r="I309" i="65"/>
  <c r="K309" i="65" s="1"/>
  <c r="J309" i="65"/>
  <c r="F310" i="65"/>
  <c r="G310" i="65"/>
  <c r="H310" i="65"/>
  <c r="I310" i="65"/>
  <c r="J310" i="65"/>
  <c r="F311" i="65"/>
  <c r="G311" i="65"/>
  <c r="H311" i="65"/>
  <c r="I311" i="65"/>
  <c r="K311" i="65" s="1"/>
  <c r="J311" i="65"/>
  <c r="F312" i="65"/>
  <c r="G312" i="65"/>
  <c r="H312" i="65"/>
  <c r="I312" i="65"/>
  <c r="J312" i="65"/>
  <c r="F313" i="65"/>
  <c r="G313" i="65"/>
  <c r="H313" i="65"/>
  <c r="I313" i="65"/>
  <c r="K313" i="65" s="1"/>
  <c r="J313" i="65"/>
  <c r="F314" i="65"/>
  <c r="G314" i="65"/>
  <c r="H314" i="65"/>
  <c r="I314" i="65"/>
  <c r="K314" i="65" s="1"/>
  <c r="J314" i="65"/>
  <c r="F315" i="65"/>
  <c r="G315" i="65"/>
  <c r="H315" i="65"/>
  <c r="I315" i="65"/>
  <c r="J315" i="65"/>
  <c r="F316" i="65"/>
  <c r="G316" i="65"/>
  <c r="H316" i="65"/>
  <c r="I316" i="65"/>
  <c r="M316" i="65" s="1"/>
  <c r="J316" i="65"/>
  <c r="F317" i="65"/>
  <c r="G317" i="65"/>
  <c r="H317" i="65"/>
  <c r="I317" i="65"/>
  <c r="K317" i="65" s="1"/>
  <c r="J317" i="65"/>
  <c r="F318" i="65"/>
  <c r="G318" i="65"/>
  <c r="H318" i="65"/>
  <c r="I318" i="65"/>
  <c r="J318" i="65"/>
  <c r="F319" i="65"/>
  <c r="G319" i="65"/>
  <c r="H319" i="65"/>
  <c r="I319" i="65"/>
  <c r="J319" i="65"/>
  <c r="F320" i="65"/>
  <c r="G320" i="65"/>
  <c r="H320" i="65"/>
  <c r="I320" i="65"/>
  <c r="K320" i="65" s="1"/>
  <c r="J320" i="65"/>
  <c r="F321" i="65"/>
  <c r="G321" i="65"/>
  <c r="H321" i="65"/>
  <c r="I321" i="65"/>
  <c r="K321" i="65" s="1"/>
  <c r="J321" i="65"/>
  <c r="F322" i="65"/>
  <c r="G322" i="65"/>
  <c r="H322" i="65"/>
  <c r="I322" i="65"/>
  <c r="J322" i="65"/>
  <c r="F323" i="65"/>
  <c r="G323" i="65"/>
  <c r="H323" i="65"/>
  <c r="I323" i="65"/>
  <c r="K323" i="65" s="1"/>
  <c r="J323" i="65"/>
  <c r="F324" i="65"/>
  <c r="G324" i="65"/>
  <c r="H324" i="65"/>
  <c r="I324" i="65"/>
  <c r="M324" i="65" s="1"/>
  <c r="J324" i="65"/>
  <c r="F325" i="65"/>
  <c r="G325" i="65"/>
  <c r="H325" i="65"/>
  <c r="I325" i="65"/>
  <c r="K325" i="65" s="1"/>
  <c r="J325" i="65"/>
  <c r="F326" i="65"/>
  <c r="G326" i="65"/>
  <c r="H326" i="65"/>
  <c r="I326" i="65"/>
  <c r="M326" i="65" s="1"/>
  <c r="J326" i="65"/>
  <c r="F327" i="65"/>
  <c r="G327" i="65"/>
  <c r="H327" i="65"/>
  <c r="I327" i="65"/>
  <c r="J327" i="65"/>
  <c r="F328" i="65"/>
  <c r="G328" i="65"/>
  <c r="H328" i="65"/>
  <c r="I328" i="65"/>
  <c r="J328" i="65"/>
  <c r="F329" i="65"/>
  <c r="G329" i="65"/>
  <c r="H329" i="65"/>
  <c r="I329" i="65"/>
  <c r="K329" i="65" s="1"/>
  <c r="J329" i="65"/>
  <c r="F330" i="65"/>
  <c r="G330" i="65"/>
  <c r="H330" i="65"/>
  <c r="I330" i="65"/>
  <c r="K330" i="65" s="1"/>
  <c r="J330" i="65"/>
  <c r="F331" i="65"/>
  <c r="G331" i="65"/>
  <c r="H331" i="65"/>
  <c r="I331" i="65"/>
  <c r="J331" i="65"/>
  <c r="F332" i="65"/>
  <c r="G332" i="65"/>
  <c r="H332" i="65"/>
  <c r="I332" i="65"/>
  <c r="M332" i="65" s="1"/>
  <c r="J332" i="65"/>
  <c r="F333" i="65"/>
  <c r="G333" i="65"/>
  <c r="H333" i="65"/>
  <c r="I333" i="65"/>
  <c r="K333" i="65" s="1"/>
  <c r="J333" i="65"/>
  <c r="F334" i="65"/>
  <c r="G334" i="65"/>
  <c r="H334" i="65"/>
  <c r="I334" i="65"/>
  <c r="J334" i="65"/>
  <c r="F335" i="65"/>
  <c r="G335" i="65"/>
  <c r="H335" i="65"/>
  <c r="I335" i="65"/>
  <c r="K335" i="65" s="1"/>
  <c r="J335" i="65"/>
  <c r="F336" i="65"/>
  <c r="G336" i="65"/>
  <c r="H336" i="65"/>
  <c r="I336" i="65"/>
  <c r="J336" i="65"/>
  <c r="F337" i="65"/>
  <c r="G337" i="65"/>
  <c r="H337" i="65"/>
  <c r="I337" i="65"/>
  <c r="J337" i="65"/>
  <c r="F338" i="65"/>
  <c r="G338" i="65"/>
  <c r="H338" i="65"/>
  <c r="I338" i="65"/>
  <c r="M338" i="65" s="1"/>
  <c r="J338" i="65"/>
  <c r="F339" i="65"/>
  <c r="G339" i="65"/>
  <c r="H339" i="65"/>
  <c r="I339" i="65"/>
  <c r="K339" i="65" s="1"/>
  <c r="J339" i="65"/>
  <c r="F340" i="65"/>
  <c r="G340" i="65"/>
  <c r="H340" i="65"/>
  <c r="I340" i="65"/>
  <c r="J340" i="65"/>
  <c r="F341" i="65"/>
  <c r="G341" i="65"/>
  <c r="H341" i="65"/>
  <c r="I341" i="65"/>
  <c r="K341" i="65" s="1"/>
  <c r="J341" i="65"/>
  <c r="F342" i="65"/>
  <c r="G342" i="65"/>
  <c r="H342" i="65"/>
  <c r="I342" i="65"/>
  <c r="K342" i="65" s="1"/>
  <c r="J342" i="65"/>
  <c r="F343" i="65"/>
  <c r="G343" i="65"/>
  <c r="H343" i="65"/>
  <c r="I343" i="65"/>
  <c r="J343" i="65"/>
  <c r="F344" i="65"/>
  <c r="G344" i="65"/>
  <c r="H344" i="65"/>
  <c r="I344" i="65"/>
  <c r="J344" i="65"/>
  <c r="F345" i="65"/>
  <c r="G345" i="65"/>
  <c r="H345" i="65"/>
  <c r="I345" i="65"/>
  <c r="K345" i="65" s="1"/>
  <c r="J345" i="65"/>
  <c r="F346" i="65"/>
  <c r="G346" i="65"/>
  <c r="H346" i="65"/>
  <c r="I346" i="65"/>
  <c r="J346" i="65"/>
  <c r="F347" i="65"/>
  <c r="G347" i="65"/>
  <c r="H347" i="65"/>
  <c r="I347" i="65"/>
  <c r="J347" i="65"/>
  <c r="F348" i="65"/>
  <c r="G348" i="65"/>
  <c r="H348" i="65"/>
  <c r="I348" i="65"/>
  <c r="M348" i="65" s="1"/>
  <c r="J348" i="65"/>
  <c r="F349" i="65"/>
  <c r="G349" i="65"/>
  <c r="H349" i="65"/>
  <c r="I349" i="65"/>
  <c r="K349" i="65" s="1"/>
  <c r="J349" i="65"/>
  <c r="F350" i="65"/>
  <c r="G350" i="65"/>
  <c r="H350" i="65"/>
  <c r="I350" i="65"/>
  <c r="J350" i="65"/>
  <c r="F351" i="65"/>
  <c r="G351" i="65"/>
  <c r="H351" i="65"/>
  <c r="I351" i="65"/>
  <c r="K351" i="65" s="1"/>
  <c r="J351" i="65"/>
  <c r="F352" i="65"/>
  <c r="G352" i="65"/>
  <c r="H352" i="65"/>
  <c r="I352" i="65"/>
  <c r="K352" i="65" s="1"/>
  <c r="J352" i="65"/>
  <c r="F353" i="65"/>
  <c r="G353" i="65"/>
  <c r="H353" i="65"/>
  <c r="I353" i="65"/>
  <c r="J353" i="65"/>
  <c r="F354" i="65"/>
  <c r="G354" i="65"/>
  <c r="H354" i="65"/>
  <c r="I354" i="65"/>
  <c r="J354" i="65"/>
  <c r="F355" i="65"/>
  <c r="G355" i="65"/>
  <c r="H355" i="65"/>
  <c r="I355" i="65"/>
  <c r="K355" i="65" s="1"/>
  <c r="J355" i="65"/>
  <c r="F356" i="65"/>
  <c r="G356" i="65"/>
  <c r="H356" i="65"/>
  <c r="I356" i="65"/>
  <c r="K356" i="65" s="1"/>
  <c r="J356" i="65"/>
  <c r="F357" i="65"/>
  <c r="G357" i="65"/>
  <c r="H357" i="65"/>
  <c r="I357" i="65"/>
  <c r="J357" i="65"/>
  <c r="F358" i="65"/>
  <c r="G358" i="65"/>
  <c r="H358" i="65"/>
  <c r="I358" i="65"/>
  <c r="M358" i="65" s="1"/>
  <c r="J358" i="65"/>
  <c r="F359" i="65"/>
  <c r="G359" i="65"/>
  <c r="H359" i="65"/>
  <c r="I359" i="65"/>
  <c r="K359" i="65" s="1"/>
  <c r="J359" i="65"/>
  <c r="F360" i="65"/>
  <c r="G360" i="65"/>
  <c r="H360" i="65"/>
  <c r="I360" i="65"/>
  <c r="J360" i="65"/>
  <c r="F361" i="65"/>
  <c r="G361" i="65"/>
  <c r="H361" i="65"/>
  <c r="I361" i="65"/>
  <c r="K361" i="65" s="1"/>
  <c r="J361" i="65"/>
  <c r="F362" i="65"/>
  <c r="G362" i="65"/>
  <c r="H362" i="65"/>
  <c r="I362" i="65"/>
  <c r="M362" i="65" s="1"/>
  <c r="J362" i="65"/>
  <c r="F363" i="65"/>
  <c r="G363" i="65"/>
  <c r="H363" i="65"/>
  <c r="I363" i="65"/>
  <c r="J363" i="65"/>
  <c r="F364" i="65"/>
  <c r="G364" i="65"/>
  <c r="H364" i="65"/>
  <c r="I364" i="65"/>
  <c r="M364" i="65" s="1"/>
  <c r="J364" i="65"/>
  <c r="F365" i="65"/>
  <c r="G365" i="65"/>
  <c r="H365" i="65"/>
  <c r="I365" i="65"/>
  <c r="J365" i="65"/>
  <c r="F366" i="65"/>
  <c r="G366" i="65"/>
  <c r="H366" i="65"/>
  <c r="I366" i="65"/>
  <c r="J366" i="65"/>
  <c r="F367" i="65"/>
  <c r="G367" i="65"/>
  <c r="H367" i="65"/>
  <c r="I367" i="65"/>
  <c r="K367" i="65" s="1"/>
  <c r="J367" i="65"/>
  <c r="F368" i="65"/>
  <c r="G368" i="65"/>
  <c r="H368" i="65"/>
  <c r="I368" i="65"/>
  <c r="K368" i="65" s="1"/>
  <c r="J368" i="65"/>
  <c r="F369" i="65"/>
  <c r="G369" i="65"/>
  <c r="H369" i="65"/>
  <c r="I369" i="65"/>
  <c r="J369" i="65"/>
  <c r="F370" i="65"/>
  <c r="G370" i="65"/>
  <c r="H370" i="65"/>
  <c r="I370" i="65"/>
  <c r="M370" i="65" s="1"/>
  <c r="J370" i="65"/>
  <c r="F371" i="65"/>
  <c r="G371" i="65"/>
  <c r="H371" i="65"/>
  <c r="I371" i="65"/>
  <c r="J371" i="65"/>
  <c r="F372" i="65"/>
  <c r="G372" i="65"/>
  <c r="H372" i="65"/>
  <c r="I372" i="65"/>
  <c r="M372" i="65" s="1"/>
  <c r="J372" i="65"/>
  <c r="F373" i="65"/>
  <c r="G373" i="65"/>
  <c r="H373" i="65"/>
  <c r="I373" i="65"/>
  <c r="K373" i="65" s="1"/>
  <c r="J373" i="65"/>
  <c r="F374" i="65"/>
  <c r="G374" i="65"/>
  <c r="H374" i="65"/>
  <c r="I374" i="65"/>
  <c r="J374" i="65"/>
  <c r="F375" i="65"/>
  <c r="G375" i="65"/>
  <c r="H375" i="65"/>
  <c r="I375" i="65"/>
  <c r="K375" i="65" s="1"/>
  <c r="J375" i="65"/>
  <c r="F376" i="65"/>
  <c r="G376" i="65"/>
  <c r="H376" i="65"/>
  <c r="I376" i="65"/>
  <c r="J376" i="65"/>
  <c r="F377" i="65"/>
  <c r="G377" i="65"/>
  <c r="H377" i="65"/>
  <c r="I377" i="65"/>
  <c r="J377" i="65"/>
  <c r="F378" i="65"/>
  <c r="G378" i="65"/>
  <c r="H378" i="65"/>
  <c r="I378" i="65"/>
  <c r="K378" i="65" s="1"/>
  <c r="J378" i="65"/>
  <c r="F379" i="65"/>
  <c r="G379" i="65"/>
  <c r="H379" i="65"/>
  <c r="I379" i="65"/>
  <c r="J379" i="65"/>
  <c r="F380" i="65"/>
  <c r="G380" i="65"/>
  <c r="H380" i="65"/>
  <c r="I380" i="65"/>
  <c r="M380" i="65" s="1"/>
  <c r="J380" i="65"/>
  <c r="F381" i="65"/>
  <c r="G381" i="65"/>
  <c r="H381" i="65"/>
  <c r="I381" i="65"/>
  <c r="K381" i="65" s="1"/>
  <c r="J381" i="65"/>
  <c r="F382" i="65"/>
  <c r="G382" i="65"/>
  <c r="H382" i="65"/>
  <c r="I382" i="65"/>
  <c r="M382" i="65" s="1"/>
  <c r="J382" i="65"/>
  <c r="F383" i="65"/>
  <c r="G383" i="65"/>
  <c r="H383" i="65"/>
  <c r="I383" i="65"/>
  <c r="J383" i="65"/>
  <c r="B267" i="65"/>
  <c r="B268" i="65"/>
  <c r="B269" i="65"/>
  <c r="B270" i="65"/>
  <c r="B271" i="65"/>
  <c r="B272" i="65"/>
  <c r="B273" i="65"/>
  <c r="B274" i="65"/>
  <c r="B275" i="65"/>
  <c r="B276" i="65"/>
  <c r="B277" i="65"/>
  <c r="B278" i="65"/>
  <c r="B279" i="65"/>
  <c r="B280" i="65"/>
  <c r="B281" i="65"/>
  <c r="B282" i="65"/>
  <c r="B283" i="65"/>
  <c r="B284" i="65"/>
  <c r="B285" i="65"/>
  <c r="B286" i="65"/>
  <c r="B287" i="65"/>
  <c r="B288" i="65"/>
  <c r="B289" i="65"/>
  <c r="B290" i="65"/>
  <c r="B291" i="65"/>
  <c r="B292" i="65"/>
  <c r="B293" i="65"/>
  <c r="B294" i="65"/>
  <c r="B295" i="65"/>
  <c r="B296" i="65"/>
  <c r="B297" i="65"/>
  <c r="B298" i="65"/>
  <c r="B299" i="65"/>
  <c r="B300" i="65"/>
  <c r="B301" i="65"/>
  <c r="B302" i="65"/>
  <c r="B303" i="65"/>
  <c r="B304" i="65"/>
  <c r="B305" i="65"/>
  <c r="B306" i="65"/>
  <c r="B307" i="65"/>
  <c r="B308" i="65"/>
  <c r="B309" i="65"/>
  <c r="B310" i="65"/>
  <c r="B311" i="65"/>
  <c r="B312" i="65"/>
  <c r="B313" i="65"/>
  <c r="B314" i="65"/>
  <c r="B315" i="65"/>
  <c r="B316" i="65"/>
  <c r="B317" i="65"/>
  <c r="B318" i="65"/>
  <c r="B319" i="65"/>
  <c r="B320" i="65"/>
  <c r="B321" i="65"/>
  <c r="B322" i="65"/>
  <c r="B323" i="65"/>
  <c r="B324" i="65"/>
  <c r="B325" i="65"/>
  <c r="B326" i="65"/>
  <c r="B327" i="65"/>
  <c r="B328" i="65"/>
  <c r="B329" i="65"/>
  <c r="B330" i="65"/>
  <c r="B331" i="65"/>
  <c r="B332" i="65"/>
  <c r="B333" i="65"/>
  <c r="B334" i="65"/>
  <c r="B335" i="65"/>
  <c r="B336" i="65"/>
  <c r="B337" i="65"/>
  <c r="B338" i="65"/>
  <c r="B339" i="65"/>
  <c r="B340" i="65"/>
  <c r="B341" i="65"/>
  <c r="B342" i="65"/>
  <c r="B343" i="65"/>
  <c r="B344" i="65"/>
  <c r="B345" i="65"/>
  <c r="B346" i="65"/>
  <c r="B347" i="65"/>
  <c r="B348" i="65"/>
  <c r="B349" i="65"/>
  <c r="B350" i="65"/>
  <c r="B351" i="65"/>
  <c r="B352" i="65"/>
  <c r="B353" i="65"/>
  <c r="B354" i="65"/>
  <c r="B355" i="65"/>
  <c r="B356" i="65"/>
  <c r="B357" i="65"/>
  <c r="B358" i="65"/>
  <c r="B359" i="65"/>
  <c r="B360" i="65"/>
  <c r="B361" i="65"/>
  <c r="B362" i="65"/>
  <c r="B363" i="65"/>
  <c r="B364" i="65"/>
  <c r="B365" i="65"/>
  <c r="B366" i="65"/>
  <c r="B367" i="65"/>
  <c r="B368" i="65"/>
  <c r="B369" i="65"/>
  <c r="B370" i="65"/>
  <c r="B371" i="65"/>
  <c r="B372" i="65"/>
  <c r="B373" i="65"/>
  <c r="B374" i="65"/>
  <c r="B375" i="65"/>
  <c r="B376" i="65"/>
  <c r="B377" i="65"/>
  <c r="B378" i="65"/>
  <c r="B379" i="65"/>
  <c r="B380" i="65"/>
  <c r="B381" i="65"/>
  <c r="B382" i="65"/>
  <c r="B383" i="65"/>
  <c r="O15" i="66"/>
  <c r="J34" i="68"/>
  <c r="J31" i="68"/>
  <c r="K370" i="65" l="1"/>
  <c r="K372" i="65"/>
  <c r="K358" i="65"/>
  <c r="K382" i="65"/>
  <c r="K380" i="65"/>
  <c r="M284" i="65"/>
  <c r="K268" i="65"/>
  <c r="F1289" i="40"/>
  <c r="K306" i="65"/>
  <c r="K348" i="65"/>
  <c r="J52" i="68"/>
  <c r="K316" i="65"/>
  <c r="K298" i="65"/>
  <c r="K326" i="65"/>
  <c r="M335" i="65"/>
  <c r="M361" i="65"/>
  <c r="M330" i="65"/>
  <c r="N330" i="65" s="1"/>
  <c r="M275" i="65"/>
  <c r="N275" i="65" s="1"/>
  <c r="K332" i="65"/>
  <c r="K300" i="65"/>
  <c r="K294" i="65"/>
  <c r="M352" i="65"/>
  <c r="M314" i="65"/>
  <c r="K338" i="65"/>
  <c r="M342" i="65"/>
  <c r="M292" i="65"/>
  <c r="K377" i="65"/>
  <c r="M377" i="65"/>
  <c r="N377" i="65" s="1"/>
  <c r="N332" i="65"/>
  <c r="N300" i="65"/>
  <c r="M286" i="65"/>
  <c r="K286" i="65"/>
  <c r="K273" i="65"/>
  <c r="M273" i="65"/>
  <c r="K369" i="65"/>
  <c r="M369" i="65"/>
  <c r="K364" i="65"/>
  <c r="K340" i="65"/>
  <c r="M340" i="65"/>
  <c r="K337" i="65"/>
  <c r="M337" i="65"/>
  <c r="N316" i="65"/>
  <c r="M308" i="65"/>
  <c r="K308" i="65"/>
  <c r="M276" i="65"/>
  <c r="K276" i="65"/>
  <c r="N380" i="65"/>
  <c r="K353" i="65"/>
  <c r="M353" i="65"/>
  <c r="K289" i="65"/>
  <c r="M289" i="65"/>
  <c r="M321" i="65"/>
  <c r="M350" i="65"/>
  <c r="K350" i="65"/>
  <c r="K343" i="65"/>
  <c r="M343" i="65"/>
  <c r="N343" i="65" s="1"/>
  <c r="M318" i="65"/>
  <c r="K318" i="65"/>
  <c r="K279" i="65"/>
  <c r="M279" i="65"/>
  <c r="M373" i="65"/>
  <c r="M305" i="65"/>
  <c r="K274" i="65"/>
  <c r="M356" i="65"/>
  <c r="N356" i="65" s="1"/>
  <c r="M329" i="65"/>
  <c r="AH329" i="65" s="1"/>
  <c r="AI329" i="65" s="1"/>
  <c r="AJ329" i="65" s="1"/>
  <c r="AK329" i="65" s="1"/>
  <c r="AL329" i="65" s="1"/>
  <c r="M317" i="65"/>
  <c r="M313" i="65"/>
  <c r="M304" i="65"/>
  <c r="M291" i="65"/>
  <c r="N291" i="65" s="1"/>
  <c r="M281" i="65"/>
  <c r="N281" i="65" s="1"/>
  <c r="N274" i="65"/>
  <c r="M378" i="65"/>
  <c r="M355" i="65"/>
  <c r="M345" i="65"/>
  <c r="N338" i="65"/>
  <c r="M309" i="65"/>
  <c r="AH370" i="65"/>
  <c r="AI370" i="65" s="1"/>
  <c r="AJ370" i="65" s="1"/>
  <c r="AK370" i="65" s="1"/>
  <c r="AL370" i="65" s="1"/>
  <c r="K362" i="65"/>
  <c r="K324" i="65"/>
  <c r="M381" i="65"/>
  <c r="M297" i="65"/>
  <c r="M288" i="65"/>
  <c r="M360" i="65"/>
  <c r="K360" i="65"/>
  <c r="K357" i="65"/>
  <c r="M357" i="65"/>
  <c r="M322" i="65"/>
  <c r="K322" i="65"/>
  <c r="K299" i="65"/>
  <c r="M299" i="65"/>
  <c r="M290" i="65"/>
  <c r="K290" i="65"/>
  <c r="N372" i="65"/>
  <c r="K327" i="65"/>
  <c r="M327" i="65"/>
  <c r="M325" i="65"/>
  <c r="M295" i="65"/>
  <c r="M374" i="65"/>
  <c r="K374" i="65"/>
  <c r="K371" i="65"/>
  <c r="M371" i="65"/>
  <c r="AH362" i="65"/>
  <c r="AI362" i="65" s="1"/>
  <c r="AJ362" i="65" s="1"/>
  <c r="AK362" i="65" s="1"/>
  <c r="AL362" i="65" s="1"/>
  <c r="N362" i="65"/>
  <c r="M346" i="65"/>
  <c r="K346" i="65"/>
  <c r="K336" i="65"/>
  <c r="M336" i="65"/>
  <c r="M310" i="65"/>
  <c r="K310" i="65"/>
  <c r="K307" i="65"/>
  <c r="M307" i="65"/>
  <c r="AH298" i="65"/>
  <c r="AI298" i="65" s="1"/>
  <c r="AJ298" i="65" s="1"/>
  <c r="AK298" i="65" s="1"/>
  <c r="AL298" i="65" s="1"/>
  <c r="N298" i="65"/>
  <c r="M282" i="65"/>
  <c r="K282" i="65"/>
  <c r="K272" i="65"/>
  <c r="M272" i="65"/>
  <c r="AH381" i="65"/>
  <c r="AI381" i="65" s="1"/>
  <c r="AJ381" i="65" s="1"/>
  <c r="AK381" i="65" s="1"/>
  <c r="AL381" i="65" s="1"/>
  <c r="M368" i="65"/>
  <c r="M359" i="65"/>
  <c r="M339" i="65"/>
  <c r="M333" i="65"/>
  <c r="N292" i="65"/>
  <c r="M287" i="65"/>
  <c r="M366" i="65"/>
  <c r="K366" i="65"/>
  <c r="K363" i="65"/>
  <c r="M363" i="65"/>
  <c r="M354" i="65"/>
  <c r="K354" i="65"/>
  <c r="M334" i="65"/>
  <c r="K334" i="65"/>
  <c r="K331" i="65"/>
  <c r="M331" i="65"/>
  <c r="M328" i="65"/>
  <c r="K328" i="65"/>
  <c r="M302" i="65"/>
  <c r="K302" i="65"/>
  <c r="M296" i="65"/>
  <c r="K296" i="65"/>
  <c r="K293" i="65"/>
  <c r="M293" i="65"/>
  <c r="K267" i="65"/>
  <c r="M267" i="65"/>
  <c r="N348" i="65"/>
  <c r="N326" i="65"/>
  <c r="AH326" i="65"/>
  <c r="AI326" i="65" s="1"/>
  <c r="AJ326" i="65" s="1"/>
  <c r="AK326" i="65" s="1"/>
  <c r="AL326" i="65" s="1"/>
  <c r="K365" i="65"/>
  <c r="M365" i="65"/>
  <c r="K301" i="65"/>
  <c r="M301" i="65"/>
  <c r="K269" i="65"/>
  <c r="M269" i="65"/>
  <c r="M270" i="65"/>
  <c r="K383" i="65"/>
  <c r="M383" i="65"/>
  <c r="N358" i="65"/>
  <c r="K319" i="65"/>
  <c r="M319" i="65"/>
  <c r="N294" i="65"/>
  <c r="N364" i="65"/>
  <c r="M351" i="65"/>
  <c r="AH300" i="65"/>
  <c r="AI300" i="65" s="1"/>
  <c r="AJ300" i="65" s="1"/>
  <c r="AK300" i="65" s="1"/>
  <c r="AL300" i="65" s="1"/>
  <c r="N284" i="65"/>
  <c r="M278" i="65"/>
  <c r="N382" i="65"/>
  <c r="K379" i="65"/>
  <c r="M379" i="65"/>
  <c r="M376" i="65"/>
  <c r="K376" i="65"/>
  <c r="K347" i="65"/>
  <c r="M347" i="65"/>
  <c r="M344" i="65"/>
  <c r="K344" i="65"/>
  <c r="K315" i="65"/>
  <c r="M315" i="65"/>
  <c r="M312" i="65"/>
  <c r="K312" i="65"/>
  <c r="K283" i="65"/>
  <c r="M283" i="65"/>
  <c r="M280" i="65"/>
  <c r="K280" i="65"/>
  <c r="K271" i="65"/>
  <c r="M271" i="65"/>
  <c r="AH380" i="65"/>
  <c r="AI380" i="65" s="1"/>
  <c r="AJ380" i="65" s="1"/>
  <c r="AK380" i="65" s="1"/>
  <c r="AL380" i="65" s="1"/>
  <c r="M375" i="65"/>
  <c r="M367" i="65"/>
  <c r="M349" i="65"/>
  <c r="M341" i="65"/>
  <c r="N324" i="65"/>
  <c r="M320" i="65"/>
  <c r="M311" i="65"/>
  <c r="M303" i="65"/>
  <c r="M285" i="65"/>
  <c r="M277" i="65"/>
  <c r="AH268" i="65"/>
  <c r="AI268" i="65" s="1"/>
  <c r="AJ268" i="65" s="1"/>
  <c r="AK268" i="65" s="1"/>
  <c r="AL268" i="65" s="1"/>
  <c r="N268" i="65"/>
  <c r="AH306" i="65"/>
  <c r="AI306" i="65" s="1"/>
  <c r="AJ306" i="65" s="1"/>
  <c r="AK306" i="65" s="1"/>
  <c r="AL306" i="65" s="1"/>
  <c r="N370" i="65"/>
  <c r="N353" i="65"/>
  <c r="AH332" i="65"/>
  <c r="AI332" i="65" s="1"/>
  <c r="AJ332" i="65" s="1"/>
  <c r="AK332" i="65" s="1"/>
  <c r="AL332" i="65" s="1"/>
  <c r="M323" i="65"/>
  <c r="N306" i="65"/>
  <c r="AP79" i="42"/>
  <c r="AD79" i="42"/>
  <c r="X79" i="42"/>
  <c r="O60" i="25"/>
  <c r="O59" i="25"/>
  <c r="O58" i="25"/>
  <c r="O105" i="25" a="1"/>
  <c r="O105" i="25" s="1"/>
  <c r="O97" i="25"/>
  <c r="O98" i="25" s="1"/>
  <c r="Q99" i="25" s="1"/>
  <c r="M18" i="34"/>
  <c r="M15" i="34"/>
  <c r="M16" i="34"/>
  <c r="M12" i="34"/>
  <c r="M13" i="34"/>
  <c r="M32" i="32"/>
  <c r="Q92" i="25"/>
  <c r="M40" i="32" s="1"/>
  <c r="Q91" i="25"/>
  <c r="O88" i="25"/>
  <c r="Q89" i="25" s="1"/>
  <c r="P86" i="25"/>
  <c r="Q87" i="25" s="1"/>
  <c r="O79" i="25"/>
  <c r="O80" i="25" s="1"/>
  <c r="O81" i="25" s="1"/>
  <c r="Q82" i="25" s="1"/>
  <c r="O71" i="25"/>
  <c r="O72" i="25"/>
  <c r="O55" i="25"/>
  <c r="AH337" i="65" l="1"/>
  <c r="N352" i="65"/>
  <c r="N335" i="65"/>
  <c r="N337" i="65"/>
  <c r="N361" i="65"/>
  <c r="N313" i="65"/>
  <c r="AH305" i="65"/>
  <c r="AI305" i="65" s="1"/>
  <c r="AJ305" i="65" s="1"/>
  <c r="AK305" i="65" s="1"/>
  <c r="AL305" i="65" s="1"/>
  <c r="N329" i="65"/>
  <c r="N350" i="65"/>
  <c r="AH335" i="65"/>
  <c r="AI335" i="65" s="1"/>
  <c r="AJ335" i="65" s="1"/>
  <c r="AK335" i="65" s="1"/>
  <c r="AL335" i="65" s="1"/>
  <c r="AH369" i="65"/>
  <c r="AI369" i="65" s="1"/>
  <c r="AJ369" i="65" s="1"/>
  <c r="AK369" i="65" s="1"/>
  <c r="AL369" i="65" s="1"/>
  <c r="O73" i="25"/>
  <c r="N289" i="65"/>
  <c r="N355" i="65"/>
  <c r="N340" i="65"/>
  <c r="N373" i="65"/>
  <c r="N286" i="65"/>
  <c r="N314" i="65"/>
  <c r="AH361" i="65"/>
  <c r="AI361" i="65" s="1"/>
  <c r="AJ361" i="65" s="1"/>
  <c r="AK361" i="65" s="1"/>
  <c r="AL361" i="65" s="1"/>
  <c r="N345" i="65"/>
  <c r="AH273" i="65"/>
  <c r="AI273" i="65" s="1"/>
  <c r="AJ273" i="65" s="1"/>
  <c r="AK273" i="65" s="1"/>
  <c r="AL273" i="65" s="1"/>
  <c r="N308" i="65"/>
  <c r="AH317" i="65"/>
  <c r="AI317" i="65" s="1"/>
  <c r="AJ317" i="65" s="1"/>
  <c r="AK317" i="65" s="1"/>
  <c r="AL317" i="65" s="1"/>
  <c r="N369" i="65"/>
  <c r="N381" i="65"/>
  <c r="N305" i="65"/>
  <c r="N273" i="65"/>
  <c r="N317" i="65"/>
  <c r="AH330" i="65"/>
  <c r="AI330" i="65" s="1"/>
  <c r="AJ330" i="65" s="1"/>
  <c r="AK330" i="65" s="1"/>
  <c r="AL330" i="65" s="1"/>
  <c r="N342" i="65"/>
  <c r="N279" i="65"/>
  <c r="N288" i="65"/>
  <c r="N378" i="65"/>
  <c r="N297" i="65"/>
  <c r="N321" i="65"/>
  <c r="N318" i="65"/>
  <c r="N309" i="65"/>
  <c r="N304" i="65"/>
  <c r="AH304" i="65"/>
  <c r="AI304" i="65" s="1"/>
  <c r="AJ304" i="65" s="1"/>
  <c r="AK304" i="65" s="1"/>
  <c r="AL304" i="65" s="1"/>
  <c r="N276" i="65"/>
  <c r="AI337" i="65"/>
  <c r="AJ337" i="65" s="1"/>
  <c r="AK337" i="65" s="1"/>
  <c r="AL337" i="65" s="1"/>
  <c r="N283" i="65"/>
  <c r="N319" i="65"/>
  <c r="N269" i="65"/>
  <c r="AH269" i="65"/>
  <c r="AI269" i="65" s="1"/>
  <c r="AJ269" i="65" s="1"/>
  <c r="AK269" i="65" s="1"/>
  <c r="AL269" i="65" s="1"/>
  <c r="N328" i="65"/>
  <c r="AH328" i="65"/>
  <c r="AI328" i="65" s="1"/>
  <c r="AJ328" i="65" s="1"/>
  <c r="AK328" i="65" s="1"/>
  <c r="AL328" i="65" s="1"/>
  <c r="N363" i="65"/>
  <c r="N287" i="65"/>
  <c r="N346" i="65"/>
  <c r="N371" i="65"/>
  <c r="N295" i="65"/>
  <c r="N290" i="65"/>
  <c r="N360" i="65"/>
  <c r="N307" i="65"/>
  <c r="AH307" i="65"/>
  <c r="AI307" i="65" s="1"/>
  <c r="AJ307" i="65" s="1"/>
  <c r="AK307" i="65" s="1"/>
  <c r="AL307" i="65" s="1"/>
  <c r="N285" i="65"/>
  <c r="N320" i="65"/>
  <c r="N375" i="65"/>
  <c r="N344" i="65"/>
  <c r="N379" i="65"/>
  <c r="AH379" i="65"/>
  <c r="AI379" i="65" s="1"/>
  <c r="AJ379" i="65" s="1"/>
  <c r="AK379" i="65" s="1"/>
  <c r="AL379" i="65" s="1"/>
  <c r="N301" i="65"/>
  <c r="AI301" i="65"/>
  <c r="AJ301" i="65" s="1"/>
  <c r="AK301" i="65" s="1"/>
  <c r="AL301" i="65" s="1"/>
  <c r="AH301" i="65"/>
  <c r="N302" i="65"/>
  <c r="AH302" i="65"/>
  <c r="AI302" i="65" s="1"/>
  <c r="AJ302" i="65" s="1"/>
  <c r="AK302" i="65" s="1"/>
  <c r="AL302" i="65" s="1"/>
  <c r="N339" i="65"/>
  <c r="N282" i="65"/>
  <c r="N327" i="65"/>
  <c r="AH327" i="65"/>
  <c r="AI327" i="65" s="1"/>
  <c r="AJ327" i="65" s="1"/>
  <c r="AK327" i="65" s="1"/>
  <c r="AL327" i="65" s="1"/>
  <c r="N311" i="65"/>
  <c r="N349" i="65"/>
  <c r="N271" i="65"/>
  <c r="AH271" i="65"/>
  <c r="AI271" i="65" s="1"/>
  <c r="AJ271" i="65" s="1"/>
  <c r="AK271" i="65" s="1"/>
  <c r="AL271" i="65" s="1"/>
  <c r="N312" i="65"/>
  <c r="N365" i="65"/>
  <c r="N296" i="65"/>
  <c r="N334" i="65"/>
  <c r="AH334" i="65"/>
  <c r="AI334" i="65" s="1"/>
  <c r="AJ334" i="65" s="1"/>
  <c r="AK334" i="65" s="1"/>
  <c r="AL334" i="65" s="1"/>
  <c r="N368" i="65"/>
  <c r="N310" i="65"/>
  <c r="N322" i="65"/>
  <c r="N323" i="65"/>
  <c r="N277" i="65"/>
  <c r="N367" i="65"/>
  <c r="N315" i="65"/>
  <c r="N376" i="65"/>
  <c r="N278" i="65"/>
  <c r="N383" i="65"/>
  <c r="N293" i="65"/>
  <c r="N331" i="65"/>
  <c r="AH331" i="65"/>
  <c r="AI331" i="65" s="1"/>
  <c r="AJ331" i="65" s="1"/>
  <c r="AK331" i="65" s="1"/>
  <c r="AL331" i="65" s="1"/>
  <c r="N333" i="65"/>
  <c r="AH333" i="65"/>
  <c r="AI333" i="65" s="1"/>
  <c r="AJ333" i="65" s="1"/>
  <c r="AK333" i="65" s="1"/>
  <c r="AL333" i="65" s="1"/>
  <c r="N336" i="65"/>
  <c r="AH336" i="65"/>
  <c r="AI336" i="65" s="1"/>
  <c r="AJ336" i="65" s="1"/>
  <c r="AK336" i="65" s="1"/>
  <c r="AL336" i="65" s="1"/>
  <c r="N325" i="65"/>
  <c r="AH325" i="65"/>
  <c r="AI325" i="65" s="1"/>
  <c r="AJ325" i="65" s="1"/>
  <c r="AK325" i="65" s="1"/>
  <c r="AL325" i="65" s="1"/>
  <c r="N299" i="65"/>
  <c r="AH299" i="65"/>
  <c r="AI299" i="65" s="1"/>
  <c r="AJ299" i="65" s="1"/>
  <c r="AK299" i="65" s="1"/>
  <c r="AL299" i="65" s="1"/>
  <c r="N357" i="65"/>
  <c r="N303" i="65"/>
  <c r="AH303" i="65"/>
  <c r="AI303" i="65" s="1"/>
  <c r="AJ303" i="65" s="1"/>
  <c r="AK303" i="65" s="1"/>
  <c r="AL303" i="65" s="1"/>
  <c r="N341" i="65"/>
  <c r="N280" i="65"/>
  <c r="N347" i="65"/>
  <c r="N351" i="65"/>
  <c r="AH270" i="65"/>
  <c r="AI270" i="65" s="1"/>
  <c r="AJ270" i="65" s="1"/>
  <c r="AK270" i="65" s="1"/>
  <c r="AL270" i="65" s="1"/>
  <c r="N270" i="65"/>
  <c r="N267" i="65"/>
  <c r="AH267" i="65"/>
  <c r="AI267" i="65" s="1"/>
  <c r="N354" i="65"/>
  <c r="N366" i="65"/>
  <c r="N359" i="65"/>
  <c r="N272" i="65"/>
  <c r="AH272" i="65"/>
  <c r="AI272" i="65" s="1"/>
  <c r="AJ272" i="65" s="1"/>
  <c r="AK272" i="65" s="1"/>
  <c r="AL272" i="65" s="1"/>
  <c r="N374" i="65"/>
  <c r="O74" i="25"/>
  <c r="Q75" i="25" s="1"/>
  <c r="AJ267" i="65" l="1"/>
  <c r="S79" i="42"/>
  <c r="R79" i="42"/>
  <c r="P79" i="42"/>
  <c r="O79" i="42"/>
  <c r="M79" i="42"/>
  <c r="N132" i="25" l="1"/>
  <c r="AK267" i="65"/>
  <c r="B547" i="40"/>
  <c r="D547" i="40"/>
  <c r="E547" i="40"/>
  <c r="F547" i="40"/>
  <c r="G547" i="40"/>
  <c r="B548" i="40"/>
  <c r="D548" i="40"/>
  <c r="E548" i="40"/>
  <c r="F548" i="40"/>
  <c r="G548" i="40"/>
  <c r="F264" i="65"/>
  <c r="G264" i="65"/>
  <c r="H264" i="65"/>
  <c r="I264" i="65"/>
  <c r="J264" i="65"/>
  <c r="F265" i="65"/>
  <c r="G265" i="65"/>
  <c r="H265" i="65"/>
  <c r="I265" i="65"/>
  <c r="J265" i="65"/>
  <c r="B265" i="65"/>
  <c r="H65" i="42"/>
  <c r="I65" i="42"/>
  <c r="J65" i="42"/>
  <c r="K65" i="42"/>
  <c r="H66" i="42"/>
  <c r="I66" i="42"/>
  <c r="J66" i="42"/>
  <c r="K66" i="42"/>
  <c r="H67" i="42"/>
  <c r="I67" i="42"/>
  <c r="J67" i="42"/>
  <c r="K67" i="42"/>
  <c r="H68" i="42"/>
  <c r="I68" i="42"/>
  <c r="J68" i="42"/>
  <c r="K68" i="42"/>
  <c r="H69" i="42"/>
  <c r="I69" i="42"/>
  <c r="J69" i="42"/>
  <c r="K69" i="42"/>
  <c r="H70" i="42"/>
  <c r="I70" i="42"/>
  <c r="J70" i="42"/>
  <c r="K70" i="42"/>
  <c r="H71" i="42"/>
  <c r="I71" i="42"/>
  <c r="J71" i="42"/>
  <c r="K71" i="42"/>
  <c r="H72" i="42"/>
  <c r="I72" i="42"/>
  <c r="J72" i="42"/>
  <c r="K72" i="42"/>
  <c r="H73" i="42"/>
  <c r="I73" i="42"/>
  <c r="J73" i="42"/>
  <c r="K73" i="42"/>
  <c r="H74" i="42"/>
  <c r="I74" i="42"/>
  <c r="J74" i="42"/>
  <c r="K74" i="42"/>
  <c r="H75" i="42"/>
  <c r="I75" i="42"/>
  <c r="J75" i="42"/>
  <c r="K75" i="42"/>
  <c r="H76" i="42"/>
  <c r="I76" i="42"/>
  <c r="J76" i="42"/>
  <c r="K76" i="42"/>
  <c r="H77" i="42"/>
  <c r="I77" i="42"/>
  <c r="J77" i="42"/>
  <c r="K77" i="42"/>
  <c r="H78" i="42"/>
  <c r="I78" i="42"/>
  <c r="J78" i="42"/>
  <c r="K78" i="42"/>
  <c r="H79" i="42"/>
  <c r="I79" i="42"/>
  <c r="J79" i="42"/>
  <c r="K79" i="42"/>
  <c r="F65" i="42"/>
  <c r="F66" i="42"/>
  <c r="F67" i="42"/>
  <c r="F68" i="42"/>
  <c r="F69" i="42"/>
  <c r="F70" i="42"/>
  <c r="F71" i="42"/>
  <c r="F72" i="42"/>
  <c r="F73" i="42"/>
  <c r="F74" i="42"/>
  <c r="F75" i="42"/>
  <c r="F76" i="42"/>
  <c r="F77" i="42"/>
  <c r="F78" i="42"/>
  <c r="F79" i="42"/>
  <c r="B65" i="42"/>
  <c r="B66" i="42"/>
  <c r="B67" i="42"/>
  <c r="B68" i="42"/>
  <c r="B69" i="42"/>
  <c r="B70" i="42"/>
  <c r="B71" i="42"/>
  <c r="B72" i="42"/>
  <c r="B73" i="42"/>
  <c r="B74" i="42"/>
  <c r="B75" i="42"/>
  <c r="B76" i="42"/>
  <c r="B77" i="42"/>
  <c r="B78" i="42"/>
  <c r="B79" i="42"/>
  <c r="M132" i="25" l="1"/>
  <c r="L95" i="42"/>
  <c r="L96" i="42"/>
  <c r="J96" i="42"/>
  <c r="M96" i="42"/>
  <c r="K96" i="42"/>
  <c r="AL267" i="65"/>
  <c r="Q79" i="24"/>
  <c r="J95" i="42" l="1"/>
  <c r="M95" i="42"/>
  <c r="K95" i="42"/>
  <c r="B290" i="50"/>
  <c r="F290" i="50"/>
  <c r="H290" i="50"/>
  <c r="I290" i="50"/>
  <c r="J290" i="50" s="1"/>
  <c r="B291" i="50"/>
  <c r="F291" i="50"/>
  <c r="H291" i="50"/>
  <c r="I291" i="50"/>
  <c r="J291" i="50" s="1"/>
  <c r="B292" i="50"/>
  <c r="F292" i="50"/>
  <c r="H292" i="50"/>
  <c r="I292" i="50"/>
  <c r="J292" i="50" s="1"/>
  <c r="B293" i="50"/>
  <c r="F293" i="50"/>
  <c r="H293" i="50"/>
  <c r="I293" i="50"/>
  <c r="J293" i="50" s="1"/>
  <c r="B294" i="50"/>
  <c r="F294" i="50"/>
  <c r="H294" i="50"/>
  <c r="I294" i="50"/>
  <c r="J294" i="50" s="1"/>
  <c r="B295" i="50"/>
  <c r="F295" i="50"/>
  <c r="H295" i="50"/>
  <c r="I295" i="50"/>
  <c r="J295" i="50" s="1"/>
  <c r="B296" i="50"/>
  <c r="F296" i="50"/>
  <c r="H296" i="50"/>
  <c r="I296" i="50"/>
  <c r="J296" i="50" s="1"/>
  <c r="B297" i="50"/>
  <c r="F297" i="50"/>
  <c r="H297" i="50"/>
  <c r="I297" i="50"/>
  <c r="J297" i="50" s="1"/>
  <c r="B298" i="50"/>
  <c r="F298" i="50"/>
  <c r="H298" i="50"/>
  <c r="I298" i="50"/>
  <c r="J298" i="50" s="1"/>
  <c r="B299" i="50"/>
  <c r="F299" i="50"/>
  <c r="H299" i="50"/>
  <c r="I299" i="50"/>
  <c r="J299" i="50" s="1"/>
  <c r="B300" i="50"/>
  <c r="F300" i="50"/>
  <c r="H300" i="50"/>
  <c r="I300" i="50"/>
  <c r="J300" i="50" s="1"/>
  <c r="B301" i="50"/>
  <c r="F301" i="50"/>
  <c r="H301" i="50"/>
  <c r="I301" i="50"/>
  <c r="J301" i="50" s="1"/>
  <c r="B302" i="50"/>
  <c r="F302" i="50"/>
  <c r="H302" i="50"/>
  <c r="I302" i="50"/>
  <c r="J302" i="50" s="1"/>
  <c r="B303" i="50"/>
  <c r="F303" i="50"/>
  <c r="H303" i="50"/>
  <c r="I303" i="50"/>
  <c r="J303" i="50" s="1"/>
  <c r="B304" i="50"/>
  <c r="F304" i="50"/>
  <c r="H304" i="50"/>
  <c r="I304" i="50"/>
  <c r="J304" i="50" s="1"/>
  <c r="B305" i="50"/>
  <c r="F305" i="50"/>
  <c r="H305" i="50"/>
  <c r="I305" i="50"/>
  <c r="J305" i="50" s="1"/>
  <c r="B306" i="50"/>
  <c r="F306" i="50"/>
  <c r="H306" i="50"/>
  <c r="I306" i="50"/>
  <c r="J306" i="50" s="1"/>
  <c r="B307" i="50"/>
  <c r="F307" i="50"/>
  <c r="H307" i="50"/>
  <c r="I307" i="50"/>
  <c r="J307" i="50" s="1"/>
  <c r="AL277" i="65" l="1"/>
  <c r="O132" i="25"/>
  <c r="N60" i="25"/>
  <c r="P132" i="25" l="1"/>
  <c r="M60" i="37"/>
  <c r="M61" i="37"/>
  <c r="M62" i="37"/>
  <c r="M63" i="37"/>
  <c r="M64" i="37"/>
  <c r="M65" i="37"/>
  <c r="M66" i="37"/>
  <c r="M67" i="37"/>
  <c r="M68" i="37"/>
  <c r="M69" i="37"/>
  <c r="M70"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M140" i="37"/>
  <c r="M141" i="37"/>
  <c r="M142" i="37"/>
  <c r="M143" i="37"/>
  <c r="M144" i="37"/>
  <c r="M145" i="37"/>
  <c r="M146" i="37"/>
  <c r="M147" i="37"/>
  <c r="M148" i="37"/>
  <c r="M149" i="37"/>
  <c r="M150" i="37"/>
  <c r="M151" i="37"/>
  <c r="M152" i="37"/>
  <c r="M153" i="37"/>
  <c r="M154" i="37"/>
  <c r="M155" i="37"/>
  <c r="M156" i="37"/>
  <c r="M157" i="37"/>
  <c r="M158" i="37"/>
  <c r="M159" i="37"/>
  <c r="M160" i="37"/>
  <c r="M161" i="37"/>
  <c r="M162" i="37"/>
  <c r="M163" i="37"/>
  <c r="M164" i="37"/>
  <c r="M165" i="37"/>
  <c r="M166" i="37"/>
  <c r="M167" i="37"/>
  <c r="M168" i="37"/>
  <c r="M169" i="37"/>
  <c r="M170" i="37"/>
  <c r="M171" i="37"/>
  <c r="M172" i="37"/>
  <c r="M173" i="37"/>
  <c r="M174" i="37"/>
  <c r="M175" i="37"/>
  <c r="M176" i="37"/>
  <c r="M177" i="37"/>
  <c r="M178" i="37"/>
  <c r="M179" i="37"/>
  <c r="M180" i="37"/>
  <c r="M181" i="37"/>
  <c r="M182" i="37"/>
  <c r="M183" i="37"/>
  <c r="M184" i="37"/>
  <c r="M185" i="37"/>
  <c r="M186" i="37"/>
  <c r="M187" i="37"/>
  <c r="M188" i="37"/>
  <c r="M189" i="37"/>
  <c r="M190" i="37"/>
  <c r="M191" i="37"/>
  <c r="M192" i="37"/>
  <c r="M193" i="37"/>
  <c r="M194" i="37"/>
  <c r="M195" i="37"/>
  <c r="M196" i="37"/>
  <c r="M197" i="37"/>
  <c r="M198" i="37"/>
  <c r="M199" i="37"/>
  <c r="M200" i="37"/>
  <c r="M201" i="37"/>
  <c r="M202" i="37"/>
  <c r="M203" i="37"/>
  <c r="M204" i="37"/>
  <c r="M205" i="37"/>
  <c r="M206" i="37"/>
  <c r="M207" i="37"/>
  <c r="M208" i="37"/>
  <c r="M209" i="37"/>
  <c r="M210" i="37"/>
  <c r="M211" i="37"/>
  <c r="M212" i="37"/>
  <c r="M213" i="37"/>
  <c r="M214" i="37"/>
  <c r="M215" i="37"/>
  <c r="M216" i="37"/>
  <c r="M217" i="37"/>
  <c r="M218" i="37"/>
  <c r="M219" i="37"/>
  <c r="M220" i="37"/>
  <c r="M221" i="37"/>
  <c r="M222" i="37"/>
  <c r="M223" i="37"/>
  <c r="M224" i="37"/>
  <c r="M225" i="37"/>
  <c r="M226" i="37"/>
  <c r="M227" i="37"/>
  <c r="M228" i="37"/>
  <c r="M229" i="37"/>
  <c r="M230" i="37"/>
  <c r="M231" i="37"/>
  <c r="M232" i="37"/>
  <c r="M233" i="37"/>
  <c r="M234" i="37"/>
  <c r="M235" i="37"/>
  <c r="M236" i="37"/>
  <c r="M237" i="37"/>
  <c r="M238" i="37"/>
  <c r="M239" i="37"/>
  <c r="M240" i="37"/>
  <c r="M241" i="37"/>
  <c r="M242" i="37"/>
  <c r="M243" i="37"/>
  <c r="M244" i="37"/>
  <c r="M245" i="37"/>
  <c r="M246" i="37"/>
  <c r="M247" i="37"/>
  <c r="M248" i="37"/>
  <c r="M249" i="37"/>
  <c r="M250" i="37"/>
  <c r="M251" i="37"/>
  <c r="M252" i="37"/>
  <c r="M253" i="37"/>
  <c r="M254" i="37"/>
  <c r="M255" i="37"/>
  <c r="M256" i="37"/>
  <c r="M257" i="37"/>
  <c r="M258" i="37"/>
  <c r="M259" i="37"/>
  <c r="M260" i="37"/>
  <c r="M261" i="37"/>
  <c r="M262" i="37"/>
  <c r="M263" i="37"/>
  <c r="M264" i="37"/>
  <c r="M265" i="37"/>
  <c r="M266" i="37"/>
  <c r="M267" i="37"/>
  <c r="M268" i="37"/>
  <c r="M269" i="37"/>
  <c r="M270" i="37"/>
  <c r="M271" i="37"/>
  <c r="M272" i="37"/>
  <c r="M273" i="37"/>
  <c r="M274" i="37"/>
  <c r="M275" i="37"/>
  <c r="M276" i="37"/>
  <c r="M277" i="37"/>
  <c r="M278" i="37"/>
  <c r="M279" i="37"/>
  <c r="M280" i="37"/>
  <c r="M281" i="37"/>
  <c r="M282" i="37"/>
  <c r="M283" i="37"/>
  <c r="M284" i="37"/>
  <c r="M285" i="37"/>
  <c r="M286" i="37"/>
  <c r="M287" i="37"/>
  <c r="M288" i="37"/>
  <c r="M289" i="37"/>
  <c r="M290" i="37"/>
  <c r="M291" i="37"/>
  <c r="M292" i="37"/>
  <c r="M293" i="37"/>
  <c r="M294" i="37"/>
  <c r="M295" i="37"/>
  <c r="M296" i="37"/>
  <c r="M297" i="37"/>
  <c r="M298" i="37"/>
  <c r="M299" i="37"/>
  <c r="M300" i="37"/>
  <c r="M301" i="37"/>
  <c r="M59" i="37"/>
  <c r="L60" i="37"/>
  <c r="L61" i="37"/>
  <c r="L62" i="37"/>
  <c r="L63" i="37"/>
  <c r="L64" i="37"/>
  <c r="L65" i="37"/>
  <c r="L66" i="37"/>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L115" i="37"/>
  <c r="L116" i="37"/>
  <c r="L117" i="37"/>
  <c r="L118" i="37"/>
  <c r="L119" i="37"/>
  <c r="L120" i="37"/>
  <c r="L121" i="37"/>
  <c r="L122" i="37"/>
  <c r="L123" i="37"/>
  <c r="L124" i="37"/>
  <c r="L125" i="37"/>
  <c r="L126" i="37"/>
  <c r="L127" i="37"/>
  <c r="L128" i="37"/>
  <c r="L129" i="37"/>
  <c r="L130" i="37"/>
  <c r="L131" i="37"/>
  <c r="L132" i="37"/>
  <c r="L133" i="37"/>
  <c r="L134" i="37"/>
  <c r="L135" i="37"/>
  <c r="L136" i="37"/>
  <c r="L137" i="37"/>
  <c r="L138" i="37"/>
  <c r="L139" i="37"/>
  <c r="L140" i="37"/>
  <c r="L141" i="37"/>
  <c r="L142" i="37"/>
  <c r="L143" i="37"/>
  <c r="L144" i="37"/>
  <c r="L145" i="37"/>
  <c r="L146" i="37"/>
  <c r="L147" i="37"/>
  <c r="L148" i="37"/>
  <c r="L149" i="37"/>
  <c r="L150" i="37"/>
  <c r="L151" i="37"/>
  <c r="L152" i="37"/>
  <c r="L153" i="37"/>
  <c r="L154" i="37"/>
  <c r="L155" i="37"/>
  <c r="L156" i="37"/>
  <c r="L157" i="37"/>
  <c r="L158" i="37"/>
  <c r="L159" i="37"/>
  <c r="L160" i="37"/>
  <c r="L161" i="37"/>
  <c r="L162" i="37"/>
  <c r="L163" i="37"/>
  <c r="L164" i="37"/>
  <c r="L165" i="37"/>
  <c r="L166" i="37"/>
  <c r="L167" i="37"/>
  <c r="L168" i="37"/>
  <c r="L169" i="37"/>
  <c r="L170" i="37"/>
  <c r="L171" i="37"/>
  <c r="L172" i="37"/>
  <c r="L173" i="37"/>
  <c r="L174" i="37"/>
  <c r="L175" i="37"/>
  <c r="L176" i="37"/>
  <c r="L177" i="37"/>
  <c r="L178" i="37"/>
  <c r="L179" i="37"/>
  <c r="L180" i="37"/>
  <c r="L181" i="37"/>
  <c r="L182" i="37"/>
  <c r="L183" i="37"/>
  <c r="L184" i="37"/>
  <c r="L185" i="37"/>
  <c r="L186" i="37"/>
  <c r="L187" i="37"/>
  <c r="L188" i="37"/>
  <c r="L189" i="37"/>
  <c r="L190" i="37"/>
  <c r="L191" i="37"/>
  <c r="L192" i="37"/>
  <c r="L193" i="37"/>
  <c r="L194" i="37"/>
  <c r="L195" i="37"/>
  <c r="L196" i="37"/>
  <c r="L197" i="37"/>
  <c r="L198" i="37"/>
  <c r="L199" i="37"/>
  <c r="L200" i="37"/>
  <c r="L201" i="37"/>
  <c r="L202" i="37"/>
  <c r="L203" i="37"/>
  <c r="L204" i="37"/>
  <c r="L205" i="37"/>
  <c r="L206" i="37"/>
  <c r="L207" i="37"/>
  <c r="L208" i="37"/>
  <c r="L209" i="37"/>
  <c r="L210" i="37"/>
  <c r="L211" i="37"/>
  <c r="L212" i="37"/>
  <c r="L213" i="37"/>
  <c r="L214" i="37"/>
  <c r="L215" i="37"/>
  <c r="L216" i="37"/>
  <c r="L217" i="37"/>
  <c r="L218" i="37"/>
  <c r="L219" i="37"/>
  <c r="L220" i="37"/>
  <c r="L221" i="37"/>
  <c r="L222" i="37"/>
  <c r="L223" i="37"/>
  <c r="L224" i="37"/>
  <c r="L225" i="37"/>
  <c r="L226" i="37"/>
  <c r="L227" i="37"/>
  <c r="L228" i="37"/>
  <c r="L229" i="37"/>
  <c r="L230" i="37"/>
  <c r="L231" i="37"/>
  <c r="L232" i="37"/>
  <c r="L233" i="37"/>
  <c r="L234" i="37"/>
  <c r="L235" i="37"/>
  <c r="L236" i="37"/>
  <c r="L237" i="37"/>
  <c r="L238" i="37"/>
  <c r="L239" i="37"/>
  <c r="L240" i="37"/>
  <c r="L241" i="37"/>
  <c r="L242" i="37"/>
  <c r="L243" i="37"/>
  <c r="L244" i="37"/>
  <c r="L245" i="37"/>
  <c r="L246" i="37"/>
  <c r="L247" i="37"/>
  <c r="L248" i="37"/>
  <c r="L249" i="37"/>
  <c r="L250" i="37"/>
  <c r="L251" i="37"/>
  <c r="L252" i="37"/>
  <c r="L253" i="37"/>
  <c r="L254" i="37"/>
  <c r="L255" i="37"/>
  <c r="L256" i="37"/>
  <c r="L257" i="37"/>
  <c r="L258" i="37"/>
  <c r="L259" i="37"/>
  <c r="L260" i="37"/>
  <c r="L261" i="37"/>
  <c r="L262" i="37"/>
  <c r="L263" i="37"/>
  <c r="L264" i="37"/>
  <c r="L265" i="37"/>
  <c r="L266" i="37"/>
  <c r="L267" i="37"/>
  <c r="L268" i="37"/>
  <c r="L269" i="37"/>
  <c r="L270" i="37"/>
  <c r="L271" i="37"/>
  <c r="L272" i="37"/>
  <c r="L273" i="37"/>
  <c r="L274" i="37"/>
  <c r="L275" i="37"/>
  <c r="L276" i="37"/>
  <c r="L277" i="37"/>
  <c r="L278" i="37"/>
  <c r="L279" i="37"/>
  <c r="L280" i="37"/>
  <c r="L281" i="37"/>
  <c r="L282" i="37"/>
  <c r="L283" i="37"/>
  <c r="L284" i="37"/>
  <c r="L285" i="37"/>
  <c r="L286" i="37"/>
  <c r="L287" i="37"/>
  <c r="L288" i="37"/>
  <c r="L289" i="37"/>
  <c r="L290" i="37"/>
  <c r="L291" i="37"/>
  <c r="L292" i="37"/>
  <c r="L293" i="37"/>
  <c r="L294" i="37"/>
  <c r="L295" i="37"/>
  <c r="L296" i="37"/>
  <c r="L297" i="37"/>
  <c r="L298" i="37"/>
  <c r="L299" i="37"/>
  <c r="L300" i="37"/>
  <c r="L301" i="37"/>
  <c r="L59" i="37"/>
  <c r="I60" i="37"/>
  <c r="I61" i="37"/>
  <c r="I62" i="37"/>
  <c r="I63" i="37"/>
  <c r="I64" i="37"/>
  <c r="I65" i="37"/>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115" i="37"/>
  <c r="I116" i="37"/>
  <c r="I117" i="37"/>
  <c r="I118" i="37"/>
  <c r="I119" i="37"/>
  <c r="I120" i="37"/>
  <c r="I121" i="37"/>
  <c r="I122" i="37"/>
  <c r="I123" i="37"/>
  <c r="I124" i="37"/>
  <c r="I125" i="37"/>
  <c r="I126" i="37"/>
  <c r="I127" i="37"/>
  <c r="I128" i="37"/>
  <c r="I129" i="37"/>
  <c r="I130" i="37"/>
  <c r="I131" i="37"/>
  <c r="I132" i="37"/>
  <c r="I133" i="37"/>
  <c r="I134" i="37"/>
  <c r="I135" i="37"/>
  <c r="I136" i="37"/>
  <c r="I137" i="37"/>
  <c r="I138" i="37"/>
  <c r="I139" i="37"/>
  <c r="I140" i="37"/>
  <c r="I141" i="37"/>
  <c r="I142" i="37"/>
  <c r="I143" i="37"/>
  <c r="I144" i="37"/>
  <c r="I145" i="37"/>
  <c r="I146" i="37"/>
  <c r="I147" i="37"/>
  <c r="I148" i="37"/>
  <c r="I149" i="37"/>
  <c r="I150" i="37"/>
  <c r="I151" i="37"/>
  <c r="I152" i="37"/>
  <c r="I153" i="37"/>
  <c r="I154" i="37"/>
  <c r="I155" i="37"/>
  <c r="I156" i="37"/>
  <c r="I157" i="37"/>
  <c r="I158" i="37"/>
  <c r="I159" i="37"/>
  <c r="I160" i="37"/>
  <c r="I161" i="37"/>
  <c r="I162" i="37"/>
  <c r="I163" i="37"/>
  <c r="I164" i="37"/>
  <c r="I165" i="37"/>
  <c r="I166" i="37"/>
  <c r="I167" i="37"/>
  <c r="I168" i="37"/>
  <c r="I169" i="37"/>
  <c r="I170" i="37"/>
  <c r="I171" i="37"/>
  <c r="I172" i="37"/>
  <c r="I173" i="37"/>
  <c r="I174" i="37"/>
  <c r="I175" i="37"/>
  <c r="I176" i="37"/>
  <c r="I177" i="37"/>
  <c r="I178" i="37"/>
  <c r="I179" i="37"/>
  <c r="I180" i="37"/>
  <c r="I181" i="37"/>
  <c r="I182" i="37"/>
  <c r="I183" i="37"/>
  <c r="I184" i="37"/>
  <c r="I185" i="37"/>
  <c r="I186" i="37"/>
  <c r="I187" i="37"/>
  <c r="I188" i="37"/>
  <c r="I189" i="37"/>
  <c r="I190" i="37"/>
  <c r="I191" i="37"/>
  <c r="I192" i="37"/>
  <c r="I193" i="37"/>
  <c r="I194" i="37"/>
  <c r="I195" i="37"/>
  <c r="I196" i="37"/>
  <c r="I197" i="37"/>
  <c r="I198" i="37"/>
  <c r="I199" i="37"/>
  <c r="I200" i="37"/>
  <c r="I201" i="37"/>
  <c r="I202" i="37"/>
  <c r="I203" i="37"/>
  <c r="I204" i="37"/>
  <c r="I205" i="37"/>
  <c r="I206" i="37"/>
  <c r="I207" i="37"/>
  <c r="I208" i="37"/>
  <c r="I209" i="37"/>
  <c r="I210" i="37"/>
  <c r="I211" i="37"/>
  <c r="I212" i="37"/>
  <c r="I213" i="37"/>
  <c r="I214" i="37"/>
  <c r="I215" i="37"/>
  <c r="I216" i="37"/>
  <c r="I217" i="37"/>
  <c r="I218" i="37"/>
  <c r="I219" i="37"/>
  <c r="I220" i="37"/>
  <c r="I221" i="37"/>
  <c r="I222" i="37"/>
  <c r="I223" i="37"/>
  <c r="I224" i="37"/>
  <c r="I225" i="37"/>
  <c r="I226" i="37"/>
  <c r="I227" i="37"/>
  <c r="I228" i="37"/>
  <c r="I229" i="37"/>
  <c r="I230" i="37"/>
  <c r="I231" i="37"/>
  <c r="I232" i="37"/>
  <c r="I233" i="37"/>
  <c r="I234" i="37"/>
  <c r="I235" i="37"/>
  <c r="I236" i="37"/>
  <c r="I237" i="37"/>
  <c r="I238" i="37"/>
  <c r="I239" i="37"/>
  <c r="I240" i="37"/>
  <c r="I241" i="37"/>
  <c r="I242" i="37"/>
  <c r="I243" i="37"/>
  <c r="I244" i="37"/>
  <c r="I245" i="37"/>
  <c r="I246" i="37"/>
  <c r="I247" i="37"/>
  <c r="I248" i="37"/>
  <c r="I249" i="37"/>
  <c r="I250" i="37"/>
  <c r="I251" i="37"/>
  <c r="I252" i="37"/>
  <c r="I253" i="37"/>
  <c r="I254" i="37"/>
  <c r="I255" i="37"/>
  <c r="I256" i="37"/>
  <c r="I257" i="37"/>
  <c r="I258" i="37"/>
  <c r="I259" i="37"/>
  <c r="I260" i="37"/>
  <c r="I261" i="37"/>
  <c r="I262" i="37"/>
  <c r="I263" i="37"/>
  <c r="I264" i="37"/>
  <c r="I265" i="37"/>
  <c r="I266" i="37"/>
  <c r="I267" i="37"/>
  <c r="I268" i="37"/>
  <c r="I269" i="37"/>
  <c r="I270" i="37"/>
  <c r="I271" i="37"/>
  <c r="I272" i="37"/>
  <c r="I273" i="37"/>
  <c r="I274" i="37"/>
  <c r="I275" i="37"/>
  <c r="I276" i="37"/>
  <c r="I277" i="37"/>
  <c r="I278" i="37"/>
  <c r="I279" i="37"/>
  <c r="I280" i="37"/>
  <c r="I281" i="37"/>
  <c r="I282" i="37"/>
  <c r="I283" i="37"/>
  <c r="I284" i="37"/>
  <c r="I285" i="37"/>
  <c r="I286" i="37"/>
  <c r="I287" i="37"/>
  <c r="I288" i="37"/>
  <c r="I289" i="37"/>
  <c r="I290" i="37"/>
  <c r="I291" i="37"/>
  <c r="I292" i="37"/>
  <c r="I293" i="37"/>
  <c r="I294" i="37"/>
  <c r="I295" i="37"/>
  <c r="I296" i="37"/>
  <c r="I297" i="37"/>
  <c r="I298" i="37"/>
  <c r="I299" i="37"/>
  <c r="I300" i="37"/>
  <c r="I301" i="37"/>
  <c r="I59" i="37"/>
  <c r="H60" i="37"/>
  <c r="H61" i="37"/>
  <c r="H62" i="37"/>
  <c r="H63" i="37"/>
  <c r="H64" i="37"/>
  <c r="H65" i="37"/>
  <c r="H66" i="37"/>
  <c r="H67" i="37"/>
  <c r="H68" i="37"/>
  <c r="H69" i="37"/>
  <c r="H70" i="37"/>
  <c r="H71" i="37"/>
  <c r="H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H114" i="37"/>
  <c r="H115" i="37"/>
  <c r="H116" i="37"/>
  <c r="H117" i="37"/>
  <c r="H118" i="37"/>
  <c r="H119" i="37"/>
  <c r="H120" i="37"/>
  <c r="H121" i="37"/>
  <c r="H122" i="37"/>
  <c r="H123" i="37"/>
  <c r="H124" i="37"/>
  <c r="H125" i="37"/>
  <c r="H126" i="37"/>
  <c r="H127" i="37"/>
  <c r="H128" i="37"/>
  <c r="H129" i="37"/>
  <c r="H130" i="37"/>
  <c r="H131" i="37"/>
  <c r="H132" i="37"/>
  <c r="H133" i="37"/>
  <c r="H134" i="37"/>
  <c r="H135" i="37"/>
  <c r="H136" i="37"/>
  <c r="H137" i="37"/>
  <c r="H138" i="37"/>
  <c r="H139" i="37"/>
  <c r="H140" i="37"/>
  <c r="H141" i="37"/>
  <c r="H142" i="37"/>
  <c r="H143" i="37"/>
  <c r="H144" i="37"/>
  <c r="H145" i="37"/>
  <c r="H146" i="37"/>
  <c r="H147" i="37"/>
  <c r="H148" i="37"/>
  <c r="H149" i="37"/>
  <c r="H150" i="37"/>
  <c r="H151" i="37"/>
  <c r="H152" i="37"/>
  <c r="H153" i="37"/>
  <c r="H154" i="37"/>
  <c r="H155" i="37"/>
  <c r="H156" i="37"/>
  <c r="H157" i="37"/>
  <c r="H158" i="37"/>
  <c r="H159" i="37"/>
  <c r="H160" i="37"/>
  <c r="H161" i="37"/>
  <c r="H162" i="37"/>
  <c r="H163" i="37"/>
  <c r="H164" i="37"/>
  <c r="H165" i="37"/>
  <c r="H166" i="37"/>
  <c r="H167" i="37"/>
  <c r="H168" i="37"/>
  <c r="H169" i="37"/>
  <c r="H170" i="37"/>
  <c r="H171" i="37"/>
  <c r="H172" i="37"/>
  <c r="H173" i="37"/>
  <c r="H174" i="37"/>
  <c r="H175" i="37"/>
  <c r="H176" i="37"/>
  <c r="H177" i="37"/>
  <c r="H178" i="37"/>
  <c r="H179" i="37"/>
  <c r="H180" i="37"/>
  <c r="H181" i="37"/>
  <c r="H182" i="37"/>
  <c r="H183" i="37"/>
  <c r="H184" i="37"/>
  <c r="H185" i="37"/>
  <c r="H186" i="37"/>
  <c r="H187" i="37"/>
  <c r="H188" i="37"/>
  <c r="H189" i="37"/>
  <c r="H190" i="37"/>
  <c r="H191" i="37"/>
  <c r="H192" i="37"/>
  <c r="H193" i="37"/>
  <c r="H194" i="37"/>
  <c r="H195" i="37"/>
  <c r="H196" i="37"/>
  <c r="H197" i="37"/>
  <c r="H198" i="37"/>
  <c r="H199" i="37"/>
  <c r="H200" i="37"/>
  <c r="H201" i="37"/>
  <c r="H202" i="37"/>
  <c r="H203" i="37"/>
  <c r="H204" i="37"/>
  <c r="H205" i="37"/>
  <c r="H206" i="37"/>
  <c r="H207" i="37"/>
  <c r="H208" i="37"/>
  <c r="H209" i="37"/>
  <c r="H210" i="37"/>
  <c r="H211" i="37"/>
  <c r="H212" i="37"/>
  <c r="H213" i="37"/>
  <c r="H214" i="37"/>
  <c r="H215" i="37"/>
  <c r="H216" i="37"/>
  <c r="H217" i="37"/>
  <c r="H218" i="37"/>
  <c r="H219" i="37"/>
  <c r="H220" i="37"/>
  <c r="H221" i="37"/>
  <c r="H222" i="37"/>
  <c r="H223" i="37"/>
  <c r="H224" i="37"/>
  <c r="H225" i="37"/>
  <c r="H226" i="37"/>
  <c r="H227" i="37"/>
  <c r="H228" i="37"/>
  <c r="H229" i="37"/>
  <c r="H230" i="37"/>
  <c r="H231" i="37"/>
  <c r="H232" i="37"/>
  <c r="H233" i="37"/>
  <c r="H234" i="37"/>
  <c r="H235" i="37"/>
  <c r="H236" i="37"/>
  <c r="H237" i="37"/>
  <c r="H238" i="37"/>
  <c r="H239" i="37"/>
  <c r="H240" i="37"/>
  <c r="H241" i="37"/>
  <c r="H242" i="37"/>
  <c r="H243" i="37"/>
  <c r="H244" i="37"/>
  <c r="H245" i="37"/>
  <c r="H246" i="37"/>
  <c r="H247" i="37"/>
  <c r="H248" i="37"/>
  <c r="H249" i="37"/>
  <c r="H250" i="37"/>
  <c r="H251" i="37"/>
  <c r="H252" i="37"/>
  <c r="H253" i="37"/>
  <c r="H254" i="37"/>
  <c r="H255" i="37"/>
  <c r="H256" i="37"/>
  <c r="H257" i="37"/>
  <c r="H258" i="37"/>
  <c r="H259" i="37"/>
  <c r="H260" i="37"/>
  <c r="H261" i="37"/>
  <c r="H262" i="37"/>
  <c r="H263" i="37"/>
  <c r="H264" i="37"/>
  <c r="H265" i="37"/>
  <c r="H266" i="37"/>
  <c r="H267" i="37"/>
  <c r="H268" i="37"/>
  <c r="H269" i="37"/>
  <c r="H270" i="37"/>
  <c r="H271" i="37"/>
  <c r="H272" i="37"/>
  <c r="H273" i="37"/>
  <c r="H274" i="37"/>
  <c r="H275" i="37"/>
  <c r="H276" i="37"/>
  <c r="H277" i="37"/>
  <c r="H278" i="37"/>
  <c r="H279" i="37"/>
  <c r="H280" i="37"/>
  <c r="H281" i="37"/>
  <c r="H282" i="37"/>
  <c r="H283" i="37"/>
  <c r="H284" i="37"/>
  <c r="H285" i="37"/>
  <c r="H286" i="37"/>
  <c r="H287" i="37"/>
  <c r="H288" i="37"/>
  <c r="H289" i="37"/>
  <c r="H290" i="37"/>
  <c r="H291" i="37"/>
  <c r="H292" i="37"/>
  <c r="H293" i="37"/>
  <c r="H294" i="37"/>
  <c r="H295" i="37"/>
  <c r="H296" i="37"/>
  <c r="H297" i="37"/>
  <c r="H298" i="37"/>
  <c r="H299" i="37"/>
  <c r="H300" i="37"/>
  <c r="H301" i="37"/>
  <c r="H59" i="37"/>
  <c r="G60" i="37"/>
  <c r="G61" i="37"/>
  <c r="G62" i="37"/>
  <c r="G63" i="37"/>
  <c r="G64" i="37"/>
  <c r="G65" i="37"/>
  <c r="G66" i="37"/>
  <c r="G67" i="37"/>
  <c r="G68" i="37"/>
  <c r="G69" i="37"/>
  <c r="G70" i="37"/>
  <c r="G71" i="37"/>
  <c r="G72" i="37"/>
  <c r="G73" i="37"/>
  <c r="G74" i="37"/>
  <c r="G75" i="37"/>
  <c r="G76" i="37"/>
  <c r="G77" i="37"/>
  <c r="G78" i="37"/>
  <c r="G79" i="37"/>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G114" i="37"/>
  <c r="G115" i="37"/>
  <c r="G116" i="37"/>
  <c r="G117" i="37"/>
  <c r="G118" i="37"/>
  <c r="G119" i="37"/>
  <c r="G120" i="37"/>
  <c r="G121" i="37"/>
  <c r="G122" i="37"/>
  <c r="G123" i="37"/>
  <c r="G124" i="37"/>
  <c r="G125" i="37"/>
  <c r="G126" i="37"/>
  <c r="G127" i="37"/>
  <c r="G128" i="37"/>
  <c r="G129" i="37"/>
  <c r="G130" i="37"/>
  <c r="G131" i="37"/>
  <c r="G132" i="37"/>
  <c r="G133" i="37"/>
  <c r="G134" i="37"/>
  <c r="G135" i="37"/>
  <c r="G136" i="37"/>
  <c r="G137" i="37"/>
  <c r="G138" i="37"/>
  <c r="G139" i="37"/>
  <c r="G140" i="37"/>
  <c r="G141" i="37"/>
  <c r="G142" i="37"/>
  <c r="G143" i="37"/>
  <c r="G144" i="37"/>
  <c r="G145" i="37"/>
  <c r="G146" i="37"/>
  <c r="G147" i="37"/>
  <c r="G148" i="37"/>
  <c r="G149" i="37"/>
  <c r="G150" i="37"/>
  <c r="G151" i="37"/>
  <c r="G152" i="37"/>
  <c r="G153" i="37"/>
  <c r="G154" i="37"/>
  <c r="G155" i="37"/>
  <c r="G156" i="37"/>
  <c r="G157" i="37"/>
  <c r="G158" i="37"/>
  <c r="G159" i="37"/>
  <c r="G160" i="37"/>
  <c r="G161" i="37"/>
  <c r="G162" i="37"/>
  <c r="G163" i="37"/>
  <c r="G164" i="37"/>
  <c r="G165" i="37"/>
  <c r="G166" i="37"/>
  <c r="G167" i="37"/>
  <c r="G168" i="37"/>
  <c r="G169" i="37"/>
  <c r="G170" i="37"/>
  <c r="G171" i="37"/>
  <c r="G172" i="37"/>
  <c r="G173" i="37"/>
  <c r="G174" i="37"/>
  <c r="G175" i="37"/>
  <c r="G176" i="37"/>
  <c r="G177" i="37"/>
  <c r="G178" i="37"/>
  <c r="G179" i="37"/>
  <c r="G180" i="37"/>
  <c r="G181" i="37"/>
  <c r="G182" i="37"/>
  <c r="G183" i="37"/>
  <c r="G184" i="37"/>
  <c r="G185" i="37"/>
  <c r="G186" i="37"/>
  <c r="G187" i="37"/>
  <c r="G188" i="37"/>
  <c r="G189" i="37"/>
  <c r="G190" i="37"/>
  <c r="G191" i="37"/>
  <c r="G192" i="37"/>
  <c r="G193" i="37"/>
  <c r="G194" i="37"/>
  <c r="G195" i="37"/>
  <c r="G196" i="37"/>
  <c r="G197" i="37"/>
  <c r="G198" i="37"/>
  <c r="G199" i="37"/>
  <c r="G200" i="37"/>
  <c r="G201" i="37"/>
  <c r="G202" i="37"/>
  <c r="G203" i="37"/>
  <c r="G204" i="37"/>
  <c r="G205" i="37"/>
  <c r="G206" i="37"/>
  <c r="G207" i="37"/>
  <c r="G208" i="37"/>
  <c r="G209" i="37"/>
  <c r="G210" i="37"/>
  <c r="G211" i="37"/>
  <c r="G212" i="37"/>
  <c r="G213" i="37"/>
  <c r="G214" i="37"/>
  <c r="G215" i="37"/>
  <c r="G216" i="37"/>
  <c r="G217" i="37"/>
  <c r="G218" i="37"/>
  <c r="G219" i="37"/>
  <c r="G220" i="37"/>
  <c r="G221" i="37"/>
  <c r="G222" i="37"/>
  <c r="G223" i="37"/>
  <c r="G224" i="37"/>
  <c r="G225" i="37"/>
  <c r="G226" i="37"/>
  <c r="G227" i="37"/>
  <c r="G228" i="37"/>
  <c r="G229" i="37"/>
  <c r="G230" i="37"/>
  <c r="G231" i="37"/>
  <c r="G232" i="37"/>
  <c r="G233" i="37"/>
  <c r="G234" i="37"/>
  <c r="G235" i="37"/>
  <c r="G236" i="37"/>
  <c r="G237" i="37"/>
  <c r="G238" i="37"/>
  <c r="G239" i="37"/>
  <c r="G240" i="37"/>
  <c r="G241" i="37"/>
  <c r="G242" i="37"/>
  <c r="G243" i="37"/>
  <c r="G244" i="37"/>
  <c r="G245" i="37"/>
  <c r="G246" i="37"/>
  <c r="G247" i="37"/>
  <c r="G248" i="37"/>
  <c r="G249" i="37"/>
  <c r="G250" i="37"/>
  <c r="G251" i="37"/>
  <c r="G252" i="37"/>
  <c r="G253" i="37"/>
  <c r="G254" i="37"/>
  <c r="G255" i="37"/>
  <c r="G256" i="37"/>
  <c r="G257" i="37"/>
  <c r="G258" i="37"/>
  <c r="G259" i="37"/>
  <c r="G260" i="37"/>
  <c r="G261" i="37"/>
  <c r="G262" i="37"/>
  <c r="G263" i="37"/>
  <c r="G264" i="37"/>
  <c r="G265" i="37"/>
  <c r="G266" i="37"/>
  <c r="G267" i="37"/>
  <c r="G268" i="37"/>
  <c r="G269" i="37"/>
  <c r="G270" i="37"/>
  <c r="G271" i="37"/>
  <c r="G272" i="37"/>
  <c r="G273" i="37"/>
  <c r="G274" i="37"/>
  <c r="G275" i="37"/>
  <c r="G276" i="37"/>
  <c r="G277" i="37"/>
  <c r="G278" i="37"/>
  <c r="G279" i="37"/>
  <c r="G280" i="37"/>
  <c r="G281" i="37"/>
  <c r="G282" i="37"/>
  <c r="G283" i="37"/>
  <c r="G284" i="37"/>
  <c r="G285" i="37"/>
  <c r="G286" i="37"/>
  <c r="G287" i="37"/>
  <c r="G288" i="37"/>
  <c r="G289" i="37"/>
  <c r="G290" i="37"/>
  <c r="G291" i="37"/>
  <c r="G292" i="37"/>
  <c r="G293" i="37"/>
  <c r="G294" i="37"/>
  <c r="G295" i="37"/>
  <c r="G296" i="37"/>
  <c r="G297" i="37"/>
  <c r="G298" i="37"/>
  <c r="G299" i="37"/>
  <c r="G300" i="37"/>
  <c r="G301" i="37"/>
  <c r="G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7" i="37"/>
  <c r="F158" i="37"/>
  <c r="F159" i="37"/>
  <c r="F160" i="37"/>
  <c r="F161" i="37"/>
  <c r="F162" i="37"/>
  <c r="F163" i="37"/>
  <c r="F164" i="37"/>
  <c r="F165"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89" i="37"/>
  <c r="F190" i="37"/>
  <c r="F191" i="37"/>
  <c r="F192" i="37"/>
  <c r="F193" i="37"/>
  <c r="F194" i="37"/>
  <c r="F195" i="37"/>
  <c r="F196" i="37"/>
  <c r="F197" i="37"/>
  <c r="F198" i="37"/>
  <c r="F199" i="37"/>
  <c r="F200" i="37"/>
  <c r="F201" i="37"/>
  <c r="F202" i="37"/>
  <c r="F203" i="37"/>
  <c r="F204" i="37"/>
  <c r="F205" i="37"/>
  <c r="F206" i="37"/>
  <c r="F207" i="37"/>
  <c r="F208" i="37"/>
  <c r="F209" i="37"/>
  <c r="F210" i="37"/>
  <c r="F211" i="37"/>
  <c r="F212" i="37"/>
  <c r="F213" i="37"/>
  <c r="F214" i="37"/>
  <c r="F215" i="37"/>
  <c r="F216" i="37"/>
  <c r="F217" i="37"/>
  <c r="F218" i="37"/>
  <c r="F219"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59" i="37"/>
  <c r="B60" i="37"/>
  <c r="B61" i="37"/>
  <c r="B62" i="37"/>
  <c r="B63" i="37"/>
  <c r="B64" i="37"/>
  <c r="B65" i="37"/>
  <c r="B66" i="37"/>
  <c r="B67" i="37"/>
  <c r="B68" i="37"/>
  <c r="B69" i="37"/>
  <c r="B70" i="37"/>
  <c r="B71" i="37"/>
  <c r="B72" i="37"/>
  <c r="B73" i="37"/>
  <c r="B74" i="37"/>
  <c r="B75" i="37"/>
  <c r="B76" i="37"/>
  <c r="B77" i="37"/>
  <c r="B78" i="37"/>
  <c r="B79" i="37"/>
  <c r="B80" i="37"/>
  <c r="B81" i="37"/>
  <c r="B82" i="37"/>
  <c r="B83" i="37"/>
  <c r="B84" i="37"/>
  <c r="B85" i="37"/>
  <c r="B86" i="37"/>
  <c r="B87" i="37"/>
  <c r="B88" i="37"/>
  <c r="B89" i="37"/>
  <c r="B90" i="37"/>
  <c r="B91" i="37"/>
  <c r="B92" i="37"/>
  <c r="B93" i="37"/>
  <c r="B94" i="37"/>
  <c r="B95" i="37"/>
  <c r="B96" i="37"/>
  <c r="B97" i="37"/>
  <c r="B98" i="37"/>
  <c r="B99" i="37"/>
  <c r="B100" i="37"/>
  <c r="B101" i="37"/>
  <c r="B102" i="37"/>
  <c r="B103" i="37"/>
  <c r="B104" i="37"/>
  <c r="B105" i="37"/>
  <c r="B106" i="37"/>
  <c r="B107" i="37"/>
  <c r="B108" i="37"/>
  <c r="B109" i="37"/>
  <c r="B110" i="37"/>
  <c r="B111" i="37"/>
  <c r="B112" i="37"/>
  <c r="B113" i="37"/>
  <c r="B114" i="37"/>
  <c r="B115" i="37"/>
  <c r="B116" i="37"/>
  <c r="B117" i="37"/>
  <c r="B118" i="37"/>
  <c r="B119" i="37"/>
  <c r="B120" i="37"/>
  <c r="B121" i="37"/>
  <c r="B122" i="37"/>
  <c r="B123" i="37"/>
  <c r="B124" i="37"/>
  <c r="B125" i="37"/>
  <c r="B126" i="37"/>
  <c r="B127" i="37"/>
  <c r="B128" i="37"/>
  <c r="B129" i="37"/>
  <c r="B130" i="37"/>
  <c r="B131" i="37"/>
  <c r="B132" i="37"/>
  <c r="B133" i="37"/>
  <c r="B134" i="37"/>
  <c r="B135" i="37"/>
  <c r="B136" i="37"/>
  <c r="B137" i="37"/>
  <c r="B138" i="37"/>
  <c r="B139" i="37"/>
  <c r="B140" i="37"/>
  <c r="B141" i="37"/>
  <c r="B142" i="37"/>
  <c r="B143" i="37"/>
  <c r="B144" i="37"/>
  <c r="B145" i="37"/>
  <c r="B146" i="37"/>
  <c r="B147" i="37"/>
  <c r="B148" i="37"/>
  <c r="B149" i="37"/>
  <c r="B150" i="37"/>
  <c r="B151" i="37"/>
  <c r="B152" i="37"/>
  <c r="B153" i="37"/>
  <c r="B154" i="37"/>
  <c r="B155" i="37"/>
  <c r="B156" i="37"/>
  <c r="B157" i="37"/>
  <c r="B158" i="37"/>
  <c r="B159" i="37"/>
  <c r="B160" i="37"/>
  <c r="B161" i="37"/>
  <c r="B162" i="37"/>
  <c r="B163" i="37"/>
  <c r="B164" i="37"/>
  <c r="B165" i="37"/>
  <c r="B166" i="37"/>
  <c r="B167" i="37"/>
  <c r="B168" i="37"/>
  <c r="B169" i="37"/>
  <c r="B170" i="37"/>
  <c r="B171" i="37"/>
  <c r="B172" i="37"/>
  <c r="B173" i="37"/>
  <c r="B174" i="37"/>
  <c r="B175" i="37"/>
  <c r="B176" i="37"/>
  <c r="B177" i="37"/>
  <c r="B178" i="37"/>
  <c r="B179" i="37"/>
  <c r="B180" i="37"/>
  <c r="B181" i="37"/>
  <c r="B182" i="37"/>
  <c r="B183" i="37"/>
  <c r="B184" i="37"/>
  <c r="B185" i="37"/>
  <c r="B186" i="37"/>
  <c r="B187" i="37"/>
  <c r="B188" i="37"/>
  <c r="B189" i="37"/>
  <c r="B190" i="37"/>
  <c r="B191" i="37"/>
  <c r="B192" i="37"/>
  <c r="B193" i="37"/>
  <c r="B194" i="37"/>
  <c r="B195" i="37"/>
  <c r="B196" i="37"/>
  <c r="B197" i="37"/>
  <c r="B198" i="37"/>
  <c r="B199" i="37"/>
  <c r="B200" i="37"/>
  <c r="B201" i="37"/>
  <c r="B202" i="37"/>
  <c r="B203" i="37"/>
  <c r="B204" i="37"/>
  <c r="B205" i="37"/>
  <c r="B206" i="37"/>
  <c r="B207" i="37"/>
  <c r="B208" i="37"/>
  <c r="B209" i="37"/>
  <c r="B210" i="37"/>
  <c r="B211" i="37"/>
  <c r="B212" i="37"/>
  <c r="B213" i="37"/>
  <c r="B214" i="37"/>
  <c r="B215" i="37"/>
  <c r="B216" i="37"/>
  <c r="B217" i="37"/>
  <c r="B218" i="37"/>
  <c r="B219" i="37"/>
  <c r="B220" i="37"/>
  <c r="B221" i="37"/>
  <c r="B222" i="37"/>
  <c r="B223" i="37"/>
  <c r="B224" i="37"/>
  <c r="B225" i="37"/>
  <c r="B226" i="37"/>
  <c r="B227" i="37"/>
  <c r="B228" i="37"/>
  <c r="B229" i="37"/>
  <c r="B230" i="37"/>
  <c r="B231" i="37"/>
  <c r="B232" i="37"/>
  <c r="B233" i="37"/>
  <c r="B234" i="37"/>
  <c r="B235" i="37"/>
  <c r="B236" i="37"/>
  <c r="B237" i="37"/>
  <c r="B238" i="37"/>
  <c r="B239" i="37"/>
  <c r="B240" i="37"/>
  <c r="B241" i="37"/>
  <c r="B242" i="37"/>
  <c r="B243" i="37"/>
  <c r="B244" i="37"/>
  <c r="B245" i="37"/>
  <c r="B246" i="37"/>
  <c r="B247" i="37"/>
  <c r="B248" i="37"/>
  <c r="B249" i="37"/>
  <c r="B250" i="37"/>
  <c r="B251" i="37"/>
  <c r="B252" i="37"/>
  <c r="B253" i="37"/>
  <c r="B254" i="37"/>
  <c r="B255" i="37"/>
  <c r="B256" i="37"/>
  <c r="B257" i="37"/>
  <c r="B258" i="37"/>
  <c r="B259" i="37"/>
  <c r="B260" i="37"/>
  <c r="B261" i="37"/>
  <c r="B262" i="37"/>
  <c r="B263" i="37"/>
  <c r="B264" i="37"/>
  <c r="B265" i="37"/>
  <c r="B266" i="37"/>
  <c r="B267" i="37"/>
  <c r="B268" i="37"/>
  <c r="B269" i="37"/>
  <c r="B270" i="37"/>
  <c r="B271" i="37"/>
  <c r="B272" i="37"/>
  <c r="B273" i="37"/>
  <c r="B274" i="37"/>
  <c r="B275" i="37"/>
  <c r="B276" i="37"/>
  <c r="B277" i="37"/>
  <c r="B278" i="37"/>
  <c r="B279" i="37"/>
  <c r="B280" i="37"/>
  <c r="B281" i="37"/>
  <c r="B282" i="37"/>
  <c r="B283" i="37"/>
  <c r="B284" i="37"/>
  <c r="B285" i="37"/>
  <c r="B286" i="37"/>
  <c r="B287" i="37"/>
  <c r="B288" i="37"/>
  <c r="B289" i="37"/>
  <c r="B290" i="37"/>
  <c r="B291" i="37"/>
  <c r="B292" i="37"/>
  <c r="B293" i="37"/>
  <c r="B294" i="37"/>
  <c r="B295" i="37"/>
  <c r="B296" i="37"/>
  <c r="B297" i="37"/>
  <c r="B298" i="37"/>
  <c r="B299" i="37"/>
  <c r="B300" i="37"/>
  <c r="B301" i="37"/>
  <c r="B59" i="37"/>
  <c r="L15" i="68"/>
  <c r="K15" i="68"/>
  <c r="J15" i="68"/>
  <c r="I15" i="68"/>
  <c r="H15" i="68"/>
  <c r="Q132" i="25" l="1"/>
  <c r="N95" i="42"/>
  <c r="B817" i="37"/>
  <c r="F817" i="37"/>
  <c r="G817" i="37"/>
  <c r="AC817" i="37" s="1"/>
  <c r="H817" i="37"/>
  <c r="I817" i="37"/>
  <c r="B818" i="37"/>
  <c r="F818" i="37"/>
  <c r="G818" i="37"/>
  <c r="AC818" i="37" s="1"/>
  <c r="H818" i="37"/>
  <c r="I818" i="37"/>
  <c r="B819" i="37"/>
  <c r="F819" i="37"/>
  <c r="G819" i="37"/>
  <c r="H819" i="37"/>
  <c r="I819" i="37"/>
  <c r="B820" i="37"/>
  <c r="F820" i="37"/>
  <c r="G820" i="37"/>
  <c r="AC820" i="37" s="1"/>
  <c r="H820" i="37"/>
  <c r="I820" i="37"/>
  <c r="B804" i="37"/>
  <c r="F804" i="37"/>
  <c r="G804" i="37"/>
  <c r="H804" i="37"/>
  <c r="I804" i="37"/>
  <c r="B805" i="37"/>
  <c r="F805" i="37"/>
  <c r="G805" i="37"/>
  <c r="H805" i="37"/>
  <c r="I805" i="37"/>
  <c r="B806" i="37"/>
  <c r="F806" i="37"/>
  <c r="G806" i="37"/>
  <c r="H806" i="37"/>
  <c r="I806" i="37"/>
  <c r="B807" i="37"/>
  <c r="F807" i="37"/>
  <c r="G807" i="37"/>
  <c r="H807" i="37"/>
  <c r="I807" i="37"/>
  <c r="B808" i="37"/>
  <c r="F808" i="37"/>
  <c r="G808" i="37"/>
  <c r="H808" i="37"/>
  <c r="I808" i="37"/>
  <c r="B809" i="37"/>
  <c r="F809" i="37"/>
  <c r="G809" i="37"/>
  <c r="H809" i="37"/>
  <c r="I809" i="37"/>
  <c r="B810" i="37"/>
  <c r="F810" i="37"/>
  <c r="G810" i="37"/>
  <c r="H810" i="37"/>
  <c r="I810" i="37"/>
  <c r="B811" i="37"/>
  <c r="F811" i="37"/>
  <c r="G811" i="37"/>
  <c r="H811" i="37"/>
  <c r="I811" i="37"/>
  <c r="B812" i="37"/>
  <c r="F812" i="37"/>
  <c r="G812" i="37"/>
  <c r="H812" i="37"/>
  <c r="I812" i="37"/>
  <c r="B813" i="37"/>
  <c r="F813" i="37"/>
  <c r="G813" i="37"/>
  <c r="AC813" i="37" s="1"/>
  <c r="H813" i="37"/>
  <c r="I813" i="37"/>
  <c r="B814" i="37"/>
  <c r="F814" i="37"/>
  <c r="G814" i="37"/>
  <c r="H814" i="37"/>
  <c r="I814" i="37"/>
  <c r="B815" i="37"/>
  <c r="F815" i="37"/>
  <c r="G815" i="37"/>
  <c r="AC815" i="37" s="1"/>
  <c r="H815" i="37"/>
  <c r="I815" i="37"/>
  <c r="B816" i="37"/>
  <c r="F816" i="37"/>
  <c r="G816" i="37"/>
  <c r="H816" i="37"/>
  <c r="I816" i="37"/>
  <c r="B425" i="40"/>
  <c r="D425" i="40"/>
  <c r="F1165" i="40" s="1"/>
  <c r="E425" i="40"/>
  <c r="F425" i="40"/>
  <c r="G425" i="40"/>
  <c r="E1165" i="40" s="1"/>
  <c r="D426" i="40"/>
  <c r="F1166" i="40" s="1"/>
  <c r="E426" i="40"/>
  <c r="F426" i="40"/>
  <c r="G426" i="40"/>
  <c r="E1166" i="40" s="1"/>
  <c r="D427" i="40"/>
  <c r="F1167" i="40" s="1"/>
  <c r="E427" i="40"/>
  <c r="F427" i="40"/>
  <c r="G427" i="40"/>
  <c r="E1167" i="40" s="1"/>
  <c r="D428" i="40"/>
  <c r="F1168" i="40" s="1"/>
  <c r="E428" i="40"/>
  <c r="F428" i="40"/>
  <c r="G428" i="40"/>
  <c r="E1168" i="40" s="1"/>
  <c r="D429" i="40"/>
  <c r="F1169" i="40" s="1"/>
  <c r="E429" i="40"/>
  <c r="F429" i="40"/>
  <c r="G429" i="40"/>
  <c r="E1169" i="40" s="1"/>
  <c r="D430" i="40"/>
  <c r="F1170" i="40" s="1"/>
  <c r="E430" i="40"/>
  <c r="F430" i="40"/>
  <c r="G430" i="40"/>
  <c r="E1170" i="40" s="1"/>
  <c r="D431" i="40"/>
  <c r="F1171" i="40" s="1"/>
  <c r="E431" i="40"/>
  <c r="F431" i="40"/>
  <c r="G431" i="40"/>
  <c r="E1171" i="40" s="1"/>
  <c r="D432" i="40"/>
  <c r="F1172" i="40" s="1"/>
  <c r="E432" i="40"/>
  <c r="F432" i="40"/>
  <c r="G432" i="40"/>
  <c r="E1172" i="40" s="1"/>
  <c r="D433" i="40"/>
  <c r="F1173" i="40" s="1"/>
  <c r="E433" i="40"/>
  <c r="F433" i="40"/>
  <c r="G433" i="40"/>
  <c r="E1173" i="40" s="1"/>
  <c r="D434" i="40"/>
  <c r="F1174" i="40" s="1"/>
  <c r="E434" i="40"/>
  <c r="F434" i="40"/>
  <c r="G434" i="40"/>
  <c r="E1174" i="40" s="1"/>
  <c r="D435" i="40"/>
  <c r="F1175" i="40" s="1"/>
  <c r="E435" i="40"/>
  <c r="F435" i="40"/>
  <c r="G435" i="40"/>
  <c r="E1175" i="40" s="1"/>
  <c r="D436" i="40"/>
  <c r="F1176" i="40" s="1"/>
  <c r="E436" i="40"/>
  <c r="F436" i="40"/>
  <c r="G436" i="40"/>
  <c r="E1176" i="40" s="1"/>
  <c r="D437" i="40"/>
  <c r="F1177" i="40" s="1"/>
  <c r="E437" i="40"/>
  <c r="F437" i="40"/>
  <c r="G437" i="40"/>
  <c r="E1177" i="40" s="1"/>
  <c r="D438" i="40"/>
  <c r="F1178" i="40" s="1"/>
  <c r="E438" i="40"/>
  <c r="F438" i="40"/>
  <c r="G438" i="40"/>
  <c r="E1178" i="40" s="1"/>
  <c r="D439" i="40"/>
  <c r="F1179" i="40" s="1"/>
  <c r="E439" i="40"/>
  <c r="F439" i="40"/>
  <c r="G439" i="40"/>
  <c r="E1179" i="40" s="1"/>
  <c r="D440" i="40"/>
  <c r="F1180" i="40" s="1"/>
  <c r="E440" i="40"/>
  <c r="F440" i="40"/>
  <c r="G440" i="40"/>
  <c r="E1180" i="40" s="1"/>
  <c r="D441" i="40"/>
  <c r="F1181" i="40" s="1"/>
  <c r="E441" i="40"/>
  <c r="F441" i="40"/>
  <c r="G441" i="40"/>
  <c r="E1181" i="40" s="1"/>
  <c r="D442" i="40"/>
  <c r="F1182" i="40" s="1"/>
  <c r="E442" i="40"/>
  <c r="F442" i="40"/>
  <c r="G442" i="40"/>
  <c r="E1182" i="40" s="1"/>
  <c r="D443" i="40"/>
  <c r="F1183" i="40" s="1"/>
  <c r="E443" i="40"/>
  <c r="F443" i="40"/>
  <c r="G443" i="40"/>
  <c r="E1183" i="40" s="1"/>
  <c r="D444" i="40"/>
  <c r="F1184" i="40" s="1"/>
  <c r="E444" i="40"/>
  <c r="F444" i="40"/>
  <c r="G444" i="40"/>
  <c r="E1184" i="40" s="1"/>
  <c r="D445" i="40"/>
  <c r="F1185" i="40" s="1"/>
  <c r="E445" i="40"/>
  <c r="F445" i="40"/>
  <c r="G445" i="40"/>
  <c r="E1185" i="40" s="1"/>
  <c r="D446" i="40"/>
  <c r="F1186" i="40" s="1"/>
  <c r="E446" i="40"/>
  <c r="F446" i="40"/>
  <c r="G446" i="40"/>
  <c r="E1186" i="40" s="1"/>
  <c r="D447" i="40"/>
  <c r="F1187" i="40" s="1"/>
  <c r="E447" i="40"/>
  <c r="F447" i="40"/>
  <c r="G447" i="40"/>
  <c r="E1187" i="40" s="1"/>
  <c r="D448" i="40"/>
  <c r="F1188" i="40" s="1"/>
  <c r="E448" i="40"/>
  <c r="F448" i="40"/>
  <c r="G448" i="40"/>
  <c r="E1188" i="40" s="1"/>
  <c r="D449" i="40"/>
  <c r="F1189" i="40" s="1"/>
  <c r="E449" i="40"/>
  <c r="F449" i="40"/>
  <c r="G449" i="40"/>
  <c r="E1189" i="40" s="1"/>
  <c r="D450" i="40"/>
  <c r="F1190" i="40" s="1"/>
  <c r="E450" i="40"/>
  <c r="F450" i="40"/>
  <c r="G450" i="40"/>
  <c r="E1190" i="40" s="1"/>
  <c r="D451" i="40"/>
  <c r="F1191" i="40" s="1"/>
  <c r="E451" i="40"/>
  <c r="F451" i="40"/>
  <c r="G451" i="40"/>
  <c r="E1191" i="40" s="1"/>
  <c r="D452" i="40"/>
  <c r="F1192" i="40" s="1"/>
  <c r="E452" i="40"/>
  <c r="F452" i="40"/>
  <c r="G452" i="40"/>
  <c r="E1192" i="40" s="1"/>
  <c r="D453" i="40"/>
  <c r="F1193" i="40" s="1"/>
  <c r="E453" i="40"/>
  <c r="F453" i="40"/>
  <c r="G453" i="40"/>
  <c r="E1193" i="40" s="1"/>
  <c r="D454" i="40"/>
  <c r="F1194" i="40" s="1"/>
  <c r="E454" i="40"/>
  <c r="F454" i="40"/>
  <c r="G454" i="40"/>
  <c r="E1194" i="40" s="1"/>
  <c r="D455" i="40"/>
  <c r="F1195" i="40" s="1"/>
  <c r="E455" i="40"/>
  <c r="F455" i="40"/>
  <c r="G455" i="40"/>
  <c r="E1195" i="40" s="1"/>
  <c r="D456" i="40"/>
  <c r="F1196" i="40" s="1"/>
  <c r="E456" i="40"/>
  <c r="F456" i="40"/>
  <c r="G456" i="40"/>
  <c r="E1196" i="40" s="1"/>
  <c r="D457" i="40"/>
  <c r="F1197" i="40" s="1"/>
  <c r="E457" i="40"/>
  <c r="F457" i="40"/>
  <c r="G457" i="40"/>
  <c r="E1197" i="40" s="1"/>
  <c r="D458" i="40"/>
  <c r="F1198" i="40" s="1"/>
  <c r="E458" i="40"/>
  <c r="F458" i="40"/>
  <c r="G458" i="40"/>
  <c r="E1198" i="40" s="1"/>
  <c r="D459" i="40"/>
  <c r="F1199" i="40" s="1"/>
  <c r="E459" i="40"/>
  <c r="F459" i="40"/>
  <c r="G459" i="40"/>
  <c r="E1199" i="40" s="1"/>
  <c r="D460" i="40"/>
  <c r="F1200" i="40" s="1"/>
  <c r="E460" i="40"/>
  <c r="F460" i="40"/>
  <c r="G460" i="40"/>
  <c r="E1200" i="40" s="1"/>
  <c r="D461" i="40"/>
  <c r="F1201" i="40" s="1"/>
  <c r="E461" i="40"/>
  <c r="F461" i="40"/>
  <c r="G461" i="40"/>
  <c r="E1201" i="40" s="1"/>
  <c r="D462" i="40"/>
  <c r="F1202" i="40" s="1"/>
  <c r="E462" i="40"/>
  <c r="F462" i="40"/>
  <c r="G462" i="40"/>
  <c r="E1202" i="40" s="1"/>
  <c r="D463" i="40"/>
  <c r="F1203" i="40" s="1"/>
  <c r="E463" i="40"/>
  <c r="F463" i="40"/>
  <c r="G463" i="40"/>
  <c r="E1203" i="40" s="1"/>
  <c r="D464" i="40"/>
  <c r="F1204" i="40" s="1"/>
  <c r="E464" i="40"/>
  <c r="F464" i="40"/>
  <c r="G464" i="40"/>
  <c r="E1204" i="40" s="1"/>
  <c r="D465" i="40"/>
  <c r="F1205" i="40" s="1"/>
  <c r="E465" i="40"/>
  <c r="F465" i="40"/>
  <c r="G465" i="40"/>
  <c r="E1205" i="40" s="1"/>
  <c r="D466" i="40"/>
  <c r="F1206" i="40" s="1"/>
  <c r="E466" i="40"/>
  <c r="F466" i="40"/>
  <c r="G466" i="40"/>
  <c r="E1206" i="40" s="1"/>
  <c r="D467" i="40"/>
  <c r="F1207" i="40" s="1"/>
  <c r="E467" i="40"/>
  <c r="F467" i="40"/>
  <c r="G467" i="40"/>
  <c r="E1207" i="40" s="1"/>
  <c r="D468" i="40"/>
  <c r="F1208" i="40" s="1"/>
  <c r="E468" i="40"/>
  <c r="F468" i="40"/>
  <c r="G468" i="40"/>
  <c r="E1208" i="40" s="1"/>
  <c r="D469" i="40"/>
  <c r="F1209" i="40" s="1"/>
  <c r="E469" i="40"/>
  <c r="F469" i="40"/>
  <c r="G469" i="40"/>
  <c r="E1209" i="40" s="1"/>
  <c r="D470" i="40"/>
  <c r="F1210" i="40" s="1"/>
  <c r="E470" i="40"/>
  <c r="F470" i="40"/>
  <c r="G470" i="40"/>
  <c r="E1210" i="40" s="1"/>
  <c r="D471" i="40"/>
  <c r="F1211" i="40" s="1"/>
  <c r="E471" i="40"/>
  <c r="F471" i="40"/>
  <c r="G471" i="40"/>
  <c r="E1211" i="40" s="1"/>
  <c r="D472" i="40"/>
  <c r="F1212" i="40" s="1"/>
  <c r="E472" i="40"/>
  <c r="F472" i="40"/>
  <c r="G472" i="40"/>
  <c r="E1212" i="40" s="1"/>
  <c r="D473" i="40"/>
  <c r="F1213" i="40" s="1"/>
  <c r="E473" i="40"/>
  <c r="F473" i="40"/>
  <c r="G473" i="40"/>
  <c r="E1213" i="40" s="1"/>
  <c r="D474" i="40"/>
  <c r="F1214" i="40" s="1"/>
  <c r="E474" i="40"/>
  <c r="F474" i="40"/>
  <c r="G474" i="40"/>
  <c r="E1214" i="40" s="1"/>
  <c r="D475" i="40"/>
  <c r="F1215" i="40" s="1"/>
  <c r="E475" i="40"/>
  <c r="F475" i="40"/>
  <c r="G475" i="40"/>
  <c r="E1215" i="40" s="1"/>
  <c r="D476" i="40"/>
  <c r="F1216" i="40" s="1"/>
  <c r="E476" i="40"/>
  <c r="F476" i="40"/>
  <c r="G476" i="40"/>
  <c r="E1216" i="40" s="1"/>
  <c r="D477" i="40"/>
  <c r="F1217" i="40" s="1"/>
  <c r="E477" i="40"/>
  <c r="F477" i="40"/>
  <c r="G477" i="40"/>
  <c r="E1217" i="40" s="1"/>
  <c r="D478" i="40"/>
  <c r="F1218" i="40" s="1"/>
  <c r="E478" i="40"/>
  <c r="F478" i="40"/>
  <c r="G478" i="40"/>
  <c r="E1218" i="40" s="1"/>
  <c r="D479" i="40"/>
  <c r="F1219" i="40" s="1"/>
  <c r="E479" i="40"/>
  <c r="F479" i="40"/>
  <c r="G479" i="40"/>
  <c r="E1219" i="40" s="1"/>
  <c r="D480" i="40"/>
  <c r="F1220" i="40" s="1"/>
  <c r="E480" i="40"/>
  <c r="F480" i="40"/>
  <c r="G480" i="40"/>
  <c r="E1220" i="40" s="1"/>
  <c r="D481" i="40"/>
  <c r="F1221" i="40" s="1"/>
  <c r="E481" i="40"/>
  <c r="F481" i="40"/>
  <c r="G481" i="40"/>
  <c r="E1221" i="40" s="1"/>
  <c r="D482" i="40"/>
  <c r="F1222" i="40" s="1"/>
  <c r="E482" i="40"/>
  <c r="F482" i="40"/>
  <c r="G482" i="40"/>
  <c r="E1222" i="40" s="1"/>
  <c r="D483" i="40"/>
  <c r="F1223" i="40" s="1"/>
  <c r="E483" i="40"/>
  <c r="F483" i="40"/>
  <c r="G483" i="40"/>
  <c r="E1223" i="40" s="1"/>
  <c r="D484" i="40"/>
  <c r="F1224" i="40" s="1"/>
  <c r="E484" i="40"/>
  <c r="F484" i="40"/>
  <c r="G484" i="40"/>
  <c r="E1224" i="40" s="1"/>
  <c r="D485" i="40"/>
  <c r="F1225" i="40" s="1"/>
  <c r="E485" i="40"/>
  <c r="F485" i="40"/>
  <c r="G485" i="40"/>
  <c r="E1225" i="40" s="1"/>
  <c r="D486" i="40"/>
  <c r="F1226" i="40" s="1"/>
  <c r="E486" i="40"/>
  <c r="F486" i="40"/>
  <c r="G486" i="40"/>
  <c r="E1226" i="40" s="1"/>
  <c r="D487" i="40"/>
  <c r="F1227" i="40" s="1"/>
  <c r="E487" i="40"/>
  <c r="F487" i="40"/>
  <c r="G487" i="40"/>
  <c r="E1227" i="40" s="1"/>
  <c r="D488" i="40"/>
  <c r="F1228" i="40" s="1"/>
  <c r="E488" i="40"/>
  <c r="F488" i="40"/>
  <c r="G488" i="40"/>
  <c r="E1228" i="40" s="1"/>
  <c r="D489" i="40"/>
  <c r="F1229" i="40" s="1"/>
  <c r="E489" i="40"/>
  <c r="F489" i="40"/>
  <c r="G489" i="40"/>
  <c r="E1229" i="40" s="1"/>
  <c r="D490" i="40"/>
  <c r="F1230" i="40" s="1"/>
  <c r="E490" i="40"/>
  <c r="F490" i="40"/>
  <c r="G490" i="40"/>
  <c r="E1230" i="40" s="1"/>
  <c r="D491" i="40"/>
  <c r="F1231" i="40" s="1"/>
  <c r="E491" i="40"/>
  <c r="F491" i="40"/>
  <c r="G491" i="40"/>
  <c r="E1231" i="40" s="1"/>
  <c r="D492" i="40"/>
  <c r="F1232" i="40" s="1"/>
  <c r="E492" i="40"/>
  <c r="F492" i="40"/>
  <c r="G492" i="40"/>
  <c r="E1232" i="40" s="1"/>
  <c r="D493" i="40"/>
  <c r="F1233" i="40" s="1"/>
  <c r="E493" i="40"/>
  <c r="F493" i="40"/>
  <c r="G493" i="40"/>
  <c r="E1233" i="40" s="1"/>
  <c r="D494" i="40"/>
  <c r="F1234" i="40" s="1"/>
  <c r="E494" i="40"/>
  <c r="F494" i="40"/>
  <c r="G494" i="40"/>
  <c r="E1234" i="40" s="1"/>
  <c r="D495" i="40"/>
  <c r="F1235" i="40" s="1"/>
  <c r="E495" i="40"/>
  <c r="F495" i="40"/>
  <c r="G495" i="40"/>
  <c r="E1235" i="40" s="1"/>
  <c r="D496" i="40"/>
  <c r="F1236" i="40" s="1"/>
  <c r="E496" i="40"/>
  <c r="F496" i="40"/>
  <c r="G496" i="40"/>
  <c r="E1236" i="40" s="1"/>
  <c r="D497" i="40"/>
  <c r="F1237" i="40" s="1"/>
  <c r="E497" i="40"/>
  <c r="F497" i="40"/>
  <c r="G497" i="40"/>
  <c r="E1237" i="40" s="1"/>
  <c r="D498" i="40"/>
  <c r="F1238" i="40" s="1"/>
  <c r="E498" i="40"/>
  <c r="F498" i="40"/>
  <c r="G498" i="40"/>
  <c r="E1238" i="40" s="1"/>
  <c r="D499" i="40"/>
  <c r="F1239" i="40" s="1"/>
  <c r="E499" i="40"/>
  <c r="F499" i="40"/>
  <c r="G499" i="40"/>
  <c r="E1239" i="40" s="1"/>
  <c r="D500" i="40"/>
  <c r="F1240" i="40" s="1"/>
  <c r="E500" i="40"/>
  <c r="F500" i="40"/>
  <c r="G500" i="40"/>
  <c r="E1240" i="40" s="1"/>
  <c r="D501" i="40"/>
  <c r="F1241" i="40" s="1"/>
  <c r="E501" i="40"/>
  <c r="F501" i="40"/>
  <c r="G501" i="40"/>
  <c r="E1241" i="40" s="1"/>
  <c r="D502" i="40"/>
  <c r="F1242" i="40" s="1"/>
  <c r="E502" i="40"/>
  <c r="F502" i="40"/>
  <c r="G502" i="40"/>
  <c r="E1242" i="40" s="1"/>
  <c r="D503" i="40"/>
  <c r="F1243" i="40" s="1"/>
  <c r="E503" i="40"/>
  <c r="F503" i="40"/>
  <c r="G503" i="40"/>
  <c r="E1243" i="40" s="1"/>
  <c r="D504" i="40"/>
  <c r="F1244" i="40" s="1"/>
  <c r="E504" i="40"/>
  <c r="F504" i="40"/>
  <c r="G504" i="40"/>
  <c r="E1244" i="40" s="1"/>
  <c r="D505" i="40"/>
  <c r="F1245" i="40" s="1"/>
  <c r="E505" i="40"/>
  <c r="F505" i="40"/>
  <c r="G505" i="40"/>
  <c r="E1245" i="40" s="1"/>
  <c r="D506" i="40"/>
  <c r="F1246" i="40" s="1"/>
  <c r="E506" i="40"/>
  <c r="F506" i="40"/>
  <c r="G506" i="40"/>
  <c r="E1246" i="40" s="1"/>
  <c r="D507" i="40"/>
  <c r="F1247" i="40" s="1"/>
  <c r="E507" i="40"/>
  <c r="F507" i="40"/>
  <c r="G507" i="40"/>
  <c r="E1247" i="40" s="1"/>
  <c r="D508" i="40"/>
  <c r="F1248" i="40" s="1"/>
  <c r="E508" i="40"/>
  <c r="F508" i="40"/>
  <c r="G508" i="40"/>
  <c r="E1248" i="40" s="1"/>
  <c r="D509" i="40"/>
  <c r="F1249" i="40" s="1"/>
  <c r="E509" i="40"/>
  <c r="F509" i="40"/>
  <c r="G509" i="40"/>
  <c r="E1249" i="40" s="1"/>
  <c r="D510" i="40"/>
  <c r="F1250" i="40" s="1"/>
  <c r="E510" i="40"/>
  <c r="F510" i="40"/>
  <c r="G510" i="40"/>
  <c r="E1250" i="40" s="1"/>
  <c r="D511" i="40"/>
  <c r="F1251" i="40" s="1"/>
  <c r="E511" i="40"/>
  <c r="F511" i="40"/>
  <c r="G511" i="40"/>
  <c r="E1251" i="40" s="1"/>
  <c r="D512" i="40"/>
  <c r="F1252" i="40" s="1"/>
  <c r="E512" i="40"/>
  <c r="F512" i="40"/>
  <c r="G512" i="40"/>
  <c r="E1252" i="40" s="1"/>
  <c r="D513" i="40"/>
  <c r="F1253" i="40" s="1"/>
  <c r="E513" i="40"/>
  <c r="F513" i="40"/>
  <c r="G513" i="40"/>
  <c r="E1253" i="40" s="1"/>
  <c r="D514" i="40"/>
  <c r="F1254" i="40" s="1"/>
  <c r="E514" i="40"/>
  <c r="F514" i="40"/>
  <c r="G514" i="40"/>
  <c r="E1254" i="40" s="1"/>
  <c r="D515" i="40"/>
  <c r="F1255" i="40" s="1"/>
  <c r="E515" i="40"/>
  <c r="F515" i="40"/>
  <c r="G515" i="40"/>
  <c r="E1255" i="40" s="1"/>
  <c r="D516" i="40"/>
  <c r="F1256" i="40" s="1"/>
  <c r="E516" i="40"/>
  <c r="F516" i="40"/>
  <c r="G516" i="40"/>
  <c r="E1256" i="40" s="1"/>
  <c r="D517" i="40"/>
  <c r="F1257" i="40" s="1"/>
  <c r="E517" i="40"/>
  <c r="F517" i="40"/>
  <c r="G517" i="40"/>
  <c r="E1257" i="40" s="1"/>
  <c r="D518" i="40"/>
  <c r="F1258" i="40" s="1"/>
  <c r="E518" i="40"/>
  <c r="F518" i="40"/>
  <c r="G518" i="40"/>
  <c r="E1258" i="40" s="1"/>
  <c r="D519" i="40"/>
  <c r="F1259" i="40" s="1"/>
  <c r="E519" i="40"/>
  <c r="F519" i="40"/>
  <c r="G519" i="40"/>
  <c r="E1259" i="40" s="1"/>
  <c r="D520" i="40"/>
  <c r="F1260" i="40" s="1"/>
  <c r="E520" i="40"/>
  <c r="F520" i="40"/>
  <c r="G520" i="40"/>
  <c r="E1260" i="40" s="1"/>
  <c r="D521" i="40"/>
  <c r="F1261" i="40" s="1"/>
  <c r="E521" i="40"/>
  <c r="F521" i="40"/>
  <c r="G521" i="40"/>
  <c r="E1261" i="40" s="1"/>
  <c r="D522" i="40"/>
  <c r="F1262" i="40" s="1"/>
  <c r="E522" i="40"/>
  <c r="F522" i="40"/>
  <c r="G522" i="40"/>
  <c r="E1262" i="40" s="1"/>
  <c r="D523" i="40"/>
  <c r="F1263" i="40" s="1"/>
  <c r="E523" i="40"/>
  <c r="F523" i="40"/>
  <c r="G523" i="40"/>
  <c r="E1263" i="40" s="1"/>
  <c r="D524" i="40"/>
  <c r="F1264" i="40" s="1"/>
  <c r="E524" i="40"/>
  <c r="F524" i="40"/>
  <c r="G524" i="40"/>
  <c r="E1264" i="40" s="1"/>
  <c r="D525" i="40"/>
  <c r="F1265" i="40" s="1"/>
  <c r="E525" i="40"/>
  <c r="F525" i="40"/>
  <c r="G525" i="40"/>
  <c r="E1265" i="40" s="1"/>
  <c r="D526" i="40"/>
  <c r="F1266" i="40" s="1"/>
  <c r="E526" i="40"/>
  <c r="F526" i="40"/>
  <c r="G526" i="40"/>
  <c r="E1266" i="40" s="1"/>
  <c r="D527" i="40"/>
  <c r="F1267" i="40" s="1"/>
  <c r="E527" i="40"/>
  <c r="F527" i="40"/>
  <c r="G527" i="40"/>
  <c r="E1267" i="40" s="1"/>
  <c r="D528" i="40"/>
  <c r="F1268" i="40" s="1"/>
  <c r="E528" i="40"/>
  <c r="F528" i="40"/>
  <c r="G528" i="40"/>
  <c r="E1268" i="40" s="1"/>
  <c r="D529" i="40"/>
  <c r="F1269" i="40" s="1"/>
  <c r="E529" i="40"/>
  <c r="F529" i="40"/>
  <c r="G529" i="40"/>
  <c r="E1269" i="40" s="1"/>
  <c r="D530" i="40"/>
  <c r="F1270" i="40" s="1"/>
  <c r="E530" i="40"/>
  <c r="F530" i="40"/>
  <c r="G530" i="40"/>
  <c r="E1270" i="40" s="1"/>
  <c r="D531" i="40"/>
  <c r="F1271" i="40" s="1"/>
  <c r="E531" i="40"/>
  <c r="F531" i="40"/>
  <c r="G531" i="40"/>
  <c r="E1271" i="40" s="1"/>
  <c r="D532" i="40"/>
  <c r="F1272" i="40" s="1"/>
  <c r="E532" i="40"/>
  <c r="F532" i="40"/>
  <c r="G532" i="40"/>
  <c r="E1272" i="40" s="1"/>
  <c r="D533" i="40"/>
  <c r="F1273" i="40" s="1"/>
  <c r="E533" i="40"/>
  <c r="F533" i="40"/>
  <c r="G533" i="40"/>
  <c r="E1273" i="40" s="1"/>
  <c r="D534" i="40"/>
  <c r="F1274" i="40" s="1"/>
  <c r="E534" i="40"/>
  <c r="F534" i="40"/>
  <c r="G534" i="40"/>
  <c r="E1274" i="40" s="1"/>
  <c r="D535" i="40"/>
  <c r="F1275" i="40" s="1"/>
  <c r="E535" i="40"/>
  <c r="F535" i="40"/>
  <c r="G535" i="40"/>
  <c r="E1275" i="40" s="1"/>
  <c r="D536" i="40"/>
  <c r="F1276" i="40" s="1"/>
  <c r="E536" i="40"/>
  <c r="F536" i="40"/>
  <c r="G536" i="40"/>
  <c r="E1276" i="40" s="1"/>
  <c r="D537" i="40"/>
  <c r="F1277" i="40" s="1"/>
  <c r="E537" i="40"/>
  <c r="F537" i="40"/>
  <c r="G537" i="40"/>
  <c r="E1277" i="40" s="1"/>
  <c r="D538" i="40"/>
  <c r="F1278" i="40" s="1"/>
  <c r="E538" i="40"/>
  <c r="F538" i="40"/>
  <c r="G538" i="40"/>
  <c r="E1278" i="40" s="1"/>
  <c r="D539" i="40"/>
  <c r="F1279" i="40" s="1"/>
  <c r="E539" i="40"/>
  <c r="F539" i="40"/>
  <c r="G539" i="40"/>
  <c r="E1279" i="40" s="1"/>
  <c r="D540" i="40"/>
  <c r="F1280" i="40" s="1"/>
  <c r="E540" i="40"/>
  <c r="F540" i="40"/>
  <c r="G540" i="40"/>
  <c r="E1280" i="40" s="1"/>
  <c r="D541" i="40"/>
  <c r="F1281" i="40" s="1"/>
  <c r="E541" i="40"/>
  <c r="F541" i="40"/>
  <c r="G541" i="40"/>
  <c r="E1281" i="40" s="1"/>
  <c r="D542" i="40"/>
  <c r="F1282" i="40" s="1"/>
  <c r="E542" i="40"/>
  <c r="F542" i="40"/>
  <c r="G542" i="40"/>
  <c r="E1282" i="40" s="1"/>
  <c r="D543" i="40"/>
  <c r="F1283" i="40" s="1"/>
  <c r="E543" i="40"/>
  <c r="F543" i="40"/>
  <c r="G543" i="40"/>
  <c r="E1283" i="40" s="1"/>
  <c r="D544" i="40"/>
  <c r="F1284" i="40" s="1"/>
  <c r="E544" i="40"/>
  <c r="F544" i="40"/>
  <c r="G544" i="40"/>
  <c r="E1284" i="40" s="1"/>
  <c r="D545" i="40"/>
  <c r="F1285" i="40" s="1"/>
  <c r="E545" i="40"/>
  <c r="F545" i="40"/>
  <c r="G545" i="40"/>
  <c r="E1285" i="40" s="1"/>
  <c r="D546" i="40"/>
  <c r="F1286" i="40" s="1"/>
  <c r="E546" i="40"/>
  <c r="F546" i="40"/>
  <c r="G546" i="40"/>
  <c r="E1286" i="40" s="1"/>
  <c r="F1287" i="40"/>
  <c r="E1287" i="40"/>
  <c r="F1288" i="40"/>
  <c r="E1288" i="40"/>
  <c r="AN300" i="50"/>
  <c r="AT300" i="50"/>
  <c r="AT302" i="50"/>
  <c r="AN302" i="50"/>
  <c r="AN303" i="50"/>
  <c r="AN304" i="50"/>
  <c r="AT304" i="50"/>
  <c r="AN305" i="50"/>
  <c r="AT306" i="50"/>
  <c r="AN306" i="50"/>
  <c r="Q817" i="37" l="1"/>
  <c r="K811" i="37"/>
  <c r="Q811" i="37" s="1"/>
  <c r="K807" i="37"/>
  <c r="Q807" i="37" s="1"/>
  <c r="M302" i="50"/>
  <c r="M306" i="50"/>
  <c r="N817" i="37"/>
  <c r="N805" i="37"/>
  <c r="L818" i="37"/>
  <c r="R818" i="37" s="1"/>
  <c r="K817" i="37"/>
  <c r="AN301" i="50"/>
  <c r="T301" i="50"/>
  <c r="Q307" i="50"/>
  <c r="N307" i="50"/>
  <c r="T305" i="50"/>
  <c r="P304" i="50"/>
  <c r="S302" i="50"/>
  <c r="M304" i="50"/>
  <c r="N301" i="50"/>
  <c r="Q305" i="50"/>
  <c r="AB305" i="50"/>
  <c r="M814" i="37"/>
  <c r="L816" i="37"/>
  <c r="R816" i="37" s="1"/>
  <c r="K813" i="37"/>
  <c r="L820" i="37"/>
  <c r="Q819" i="37"/>
  <c r="M816" i="37"/>
  <c r="N811" i="37"/>
  <c r="N813" i="37"/>
  <c r="L807" i="37"/>
  <c r="O815" i="37"/>
  <c r="O814" i="37"/>
  <c r="K809" i="37"/>
  <c r="Q809" i="37" s="1"/>
  <c r="K805" i="37"/>
  <c r="Q805" i="37" s="1"/>
  <c r="L819" i="37"/>
  <c r="R819" i="37" s="1"/>
  <c r="O816" i="37"/>
  <c r="O820" i="37"/>
  <c r="L814" i="37"/>
  <c r="R814" i="37" s="1"/>
  <c r="N819" i="37"/>
  <c r="O818" i="37"/>
  <c r="M815" i="37"/>
  <c r="O807" i="37"/>
  <c r="L805" i="37"/>
  <c r="N820" i="37"/>
  <c r="M819" i="37"/>
  <c r="N818" i="37"/>
  <c r="M812" i="37"/>
  <c r="M810" i="37"/>
  <c r="N807" i="37"/>
  <c r="O805" i="37"/>
  <c r="K820" i="37"/>
  <c r="K818" i="37"/>
  <c r="L817" i="37"/>
  <c r="R817" i="37" s="1"/>
  <c r="M817" i="37"/>
  <c r="M820" i="37"/>
  <c r="O819" i="37"/>
  <c r="K819" i="37"/>
  <c r="M818" i="37"/>
  <c r="O817" i="37"/>
  <c r="Q820" i="37"/>
  <c r="AC819" i="37"/>
  <c r="Q818" i="37"/>
  <c r="N812" i="37"/>
  <c r="O812" i="37"/>
  <c r="K812" i="37"/>
  <c r="N810" i="37"/>
  <c r="K810" i="37"/>
  <c r="O810" i="37"/>
  <c r="L809" i="37"/>
  <c r="M809" i="37"/>
  <c r="L808" i="37"/>
  <c r="N806" i="37"/>
  <c r="N804" i="37"/>
  <c r="L806" i="37"/>
  <c r="L804" i="37"/>
  <c r="N816" i="37"/>
  <c r="AC816" i="37"/>
  <c r="N814" i="37"/>
  <c r="AC814" i="37"/>
  <c r="L813" i="37"/>
  <c r="R813" i="37" s="1"/>
  <c r="Q813" i="37"/>
  <c r="M813" i="37"/>
  <c r="L812" i="37"/>
  <c r="L811" i="37"/>
  <c r="M811" i="37"/>
  <c r="L810" i="37"/>
  <c r="O809" i="37"/>
  <c r="N808" i="37"/>
  <c r="M806" i="37"/>
  <c r="M804" i="37"/>
  <c r="L815" i="37"/>
  <c r="R815" i="37" s="1"/>
  <c r="Q815" i="37"/>
  <c r="N815" i="37"/>
  <c r="Q816" i="37"/>
  <c r="K816" i="37"/>
  <c r="K815" i="37"/>
  <c r="Q814" i="37"/>
  <c r="K814" i="37"/>
  <c r="O813" i="37"/>
  <c r="O811" i="37"/>
  <c r="N809" i="37"/>
  <c r="M808" i="37"/>
  <c r="O808" i="37"/>
  <c r="K808" i="37"/>
  <c r="Q808" i="37" s="1"/>
  <c r="M807" i="37"/>
  <c r="O806" i="37"/>
  <c r="K806" i="37"/>
  <c r="M805" i="37"/>
  <c r="O804" i="37"/>
  <c r="K804" i="37"/>
  <c r="Q804" i="37" s="1"/>
  <c r="R804" i="37" s="1"/>
  <c r="AT307" i="50"/>
  <c r="M303" i="50"/>
  <c r="S303" i="50"/>
  <c r="P303" i="50"/>
  <c r="V303" i="50"/>
  <c r="N306" i="50"/>
  <c r="T306" i="50"/>
  <c r="Q306" i="50"/>
  <c r="AB306" i="50"/>
  <c r="AT305" i="50"/>
  <c r="M307" i="50"/>
  <c r="S307" i="50"/>
  <c r="P307" i="50"/>
  <c r="S306" i="50"/>
  <c r="N305" i="50"/>
  <c r="V304" i="50"/>
  <c r="Q304" i="50"/>
  <c r="AB304" i="50"/>
  <c r="N304" i="50"/>
  <c r="T304" i="50"/>
  <c r="AB303" i="50"/>
  <c r="Q303" i="50"/>
  <c r="AT303" i="50"/>
  <c r="N302" i="50"/>
  <c r="T302" i="50"/>
  <c r="P302" i="50"/>
  <c r="Q302" i="50"/>
  <c r="AB302" i="50"/>
  <c r="Q300" i="50"/>
  <c r="AB300" i="50"/>
  <c r="M300" i="50"/>
  <c r="S300" i="50"/>
  <c r="N300" i="50"/>
  <c r="T300" i="50"/>
  <c r="P300" i="50"/>
  <c r="V300" i="50"/>
  <c r="V306" i="50"/>
  <c r="T303" i="50"/>
  <c r="AT301" i="50"/>
  <c r="T307" i="50"/>
  <c r="AE307" i="50" s="1"/>
  <c r="P306" i="50"/>
  <c r="P305" i="50"/>
  <c r="V305" i="50"/>
  <c r="M305" i="50"/>
  <c r="S305" i="50"/>
  <c r="S304" i="50"/>
  <c r="N303" i="50"/>
  <c r="V302" i="50"/>
  <c r="P301" i="50"/>
  <c r="S301" i="50"/>
  <c r="M301" i="50"/>
  <c r="AB301" i="50"/>
  <c r="Q301" i="50"/>
  <c r="V301" i="50"/>
  <c r="AH302" i="50" l="1"/>
  <c r="R807" i="37"/>
  <c r="S804" i="37"/>
  <c r="T804" i="37" s="1"/>
  <c r="U804" i="37" s="1"/>
  <c r="R820" i="37"/>
  <c r="AB307" i="50"/>
  <c r="Z307" i="50"/>
  <c r="AH305" i="50"/>
  <c r="AD307" i="50"/>
  <c r="V307" i="50"/>
  <c r="AH307" i="50" s="1"/>
  <c r="AN307" i="50" s="1"/>
  <c r="Y307" i="50"/>
  <c r="AK307" i="50" s="1"/>
  <c r="X307" i="50"/>
  <c r="W307" i="50"/>
  <c r="AF307" i="50"/>
  <c r="AC307" i="50"/>
  <c r="R809" i="37"/>
  <c r="S809" i="37" s="1"/>
  <c r="T809" i="37" s="1"/>
  <c r="U809" i="37" s="1"/>
  <c r="R808" i="37"/>
  <c r="S808" i="37" s="1"/>
  <c r="T808" i="37" s="1"/>
  <c r="U808" i="37" s="1"/>
  <c r="S815" i="37"/>
  <c r="T815" i="37" s="1"/>
  <c r="U815" i="37" s="1"/>
  <c r="S819" i="37"/>
  <c r="T819" i="37" s="1"/>
  <c r="R811" i="37"/>
  <c r="S811" i="37" s="1"/>
  <c r="T811" i="37" s="1"/>
  <c r="R805" i="37"/>
  <c r="S805" i="37" s="1"/>
  <c r="T805" i="37" s="1"/>
  <c r="U805" i="37" s="1"/>
  <c r="S818" i="37"/>
  <c r="T818" i="37" s="1"/>
  <c r="U818" i="37" s="1"/>
  <c r="AH304" i="50"/>
  <c r="AH306" i="50"/>
  <c r="S820" i="37"/>
  <c r="T820" i="37" s="1"/>
  <c r="S817" i="37"/>
  <c r="T817" i="37" s="1"/>
  <c r="S807" i="37"/>
  <c r="T807" i="37" s="1"/>
  <c r="Q812" i="37"/>
  <c r="R812" i="37" s="1"/>
  <c r="S812" i="37" s="1"/>
  <c r="S814" i="37"/>
  <c r="S816" i="37"/>
  <c r="S813" i="37"/>
  <c r="T813" i="37" s="1"/>
  <c r="Q806" i="37"/>
  <c r="R806" i="37" s="1"/>
  <c r="S806" i="37" s="1"/>
  <c r="T806" i="37" s="1"/>
  <c r="U806" i="37" s="1"/>
  <c r="Q810" i="37"/>
  <c r="R810" i="37" s="1"/>
  <c r="S810" i="37" s="1"/>
  <c r="AH301" i="50"/>
  <c r="AH303" i="50"/>
  <c r="AH300" i="50"/>
  <c r="AJ307" i="50" l="1"/>
  <c r="AL307" i="50"/>
  <c r="AI307" i="50"/>
  <c r="AO307" i="50"/>
  <c r="AP307" i="50" s="1"/>
  <c r="AQ307" i="50" s="1"/>
  <c r="AR307" i="50" s="1"/>
  <c r="U820" i="37"/>
  <c r="U817" i="37"/>
  <c r="U819" i="37"/>
  <c r="T814" i="37"/>
  <c r="U813" i="37"/>
  <c r="T812" i="37"/>
  <c r="U811" i="37"/>
  <c r="T810" i="37"/>
  <c r="T816" i="37"/>
  <c r="U807" i="37"/>
  <c r="U812" i="37" l="1"/>
  <c r="U816" i="37"/>
  <c r="U810" i="37"/>
  <c r="U814" i="37"/>
  <c r="B143" i="65" l="1"/>
  <c r="F143" i="65"/>
  <c r="G143" i="65"/>
  <c r="H143" i="65"/>
  <c r="I143" i="65"/>
  <c r="J143" i="65"/>
  <c r="F144" i="65"/>
  <c r="G144" i="65"/>
  <c r="H144" i="65"/>
  <c r="I144" i="65"/>
  <c r="J144" i="65"/>
  <c r="F145" i="65"/>
  <c r="G145" i="65"/>
  <c r="H145" i="65"/>
  <c r="I145" i="65"/>
  <c r="J145" i="65"/>
  <c r="F146" i="65"/>
  <c r="G146" i="65"/>
  <c r="H146" i="65"/>
  <c r="I146" i="65"/>
  <c r="J146" i="65"/>
  <c r="F147" i="65"/>
  <c r="G147" i="65"/>
  <c r="H147" i="65"/>
  <c r="I147" i="65"/>
  <c r="J147" i="65"/>
  <c r="F148" i="65"/>
  <c r="G148" i="65"/>
  <c r="H148" i="65"/>
  <c r="I148" i="65"/>
  <c r="J148" i="65"/>
  <c r="F149" i="65"/>
  <c r="G149" i="65"/>
  <c r="H149" i="65"/>
  <c r="I149" i="65"/>
  <c r="J149" i="65"/>
  <c r="F150" i="65"/>
  <c r="G150" i="65"/>
  <c r="H150" i="65"/>
  <c r="I150" i="65"/>
  <c r="J150" i="65"/>
  <c r="F151" i="65"/>
  <c r="G151" i="65"/>
  <c r="H151" i="65"/>
  <c r="I151" i="65"/>
  <c r="J151" i="65"/>
  <c r="F152" i="65"/>
  <c r="G152" i="65"/>
  <c r="H152" i="65"/>
  <c r="I152" i="65"/>
  <c r="J152" i="65"/>
  <c r="F153" i="65"/>
  <c r="G153" i="65"/>
  <c r="H153" i="65"/>
  <c r="I153" i="65"/>
  <c r="J153" i="65"/>
  <c r="F154" i="65"/>
  <c r="G154" i="65"/>
  <c r="H154" i="65"/>
  <c r="I154" i="65"/>
  <c r="J154" i="65"/>
  <c r="F155" i="65"/>
  <c r="G155" i="65"/>
  <c r="H155" i="65"/>
  <c r="I155" i="65"/>
  <c r="J155" i="65"/>
  <c r="F156" i="65"/>
  <c r="G156" i="65"/>
  <c r="H156" i="65"/>
  <c r="I156" i="65"/>
  <c r="J156" i="65"/>
  <c r="F157" i="65"/>
  <c r="G157" i="65"/>
  <c r="H157" i="65"/>
  <c r="I157" i="65"/>
  <c r="J157" i="65"/>
  <c r="F158" i="65"/>
  <c r="G158" i="65"/>
  <c r="H158" i="65"/>
  <c r="I158" i="65"/>
  <c r="J158" i="65"/>
  <c r="F159" i="65"/>
  <c r="G159" i="65"/>
  <c r="H159" i="65"/>
  <c r="I159" i="65"/>
  <c r="J159" i="65"/>
  <c r="F160" i="65"/>
  <c r="G160" i="65"/>
  <c r="H160" i="65"/>
  <c r="I160" i="65"/>
  <c r="J160" i="65"/>
  <c r="F161" i="65"/>
  <c r="G161" i="65"/>
  <c r="H161" i="65"/>
  <c r="I161" i="65"/>
  <c r="J161" i="65"/>
  <c r="F162" i="65"/>
  <c r="G162" i="65"/>
  <c r="H162" i="65"/>
  <c r="I162" i="65"/>
  <c r="J162" i="65"/>
  <c r="F163" i="65"/>
  <c r="G163" i="65"/>
  <c r="H163" i="65"/>
  <c r="I163" i="65"/>
  <c r="J163" i="65"/>
  <c r="F164" i="65"/>
  <c r="G164" i="65"/>
  <c r="H164" i="65"/>
  <c r="I164" i="65"/>
  <c r="J164" i="65"/>
  <c r="F165" i="65"/>
  <c r="G165" i="65"/>
  <c r="H165" i="65"/>
  <c r="I165" i="65"/>
  <c r="J165" i="65"/>
  <c r="F166" i="65"/>
  <c r="G166" i="65"/>
  <c r="H166" i="65"/>
  <c r="I166" i="65"/>
  <c r="J166" i="65"/>
  <c r="F167" i="65"/>
  <c r="G167" i="65"/>
  <c r="H167" i="65"/>
  <c r="I167" i="65"/>
  <c r="J167" i="65"/>
  <c r="F168" i="65"/>
  <c r="G168" i="65"/>
  <c r="H168" i="65"/>
  <c r="I168" i="65"/>
  <c r="J168" i="65"/>
  <c r="F169" i="65"/>
  <c r="G169" i="65"/>
  <c r="H169" i="65"/>
  <c r="I169" i="65"/>
  <c r="J169" i="65"/>
  <c r="F170" i="65"/>
  <c r="G170" i="65"/>
  <c r="H170" i="65"/>
  <c r="I170" i="65"/>
  <c r="J170" i="65"/>
  <c r="F171" i="65"/>
  <c r="G171" i="65"/>
  <c r="H171" i="65"/>
  <c r="I171" i="65"/>
  <c r="J171" i="65"/>
  <c r="F172" i="65"/>
  <c r="G172" i="65"/>
  <c r="H172" i="65"/>
  <c r="I172" i="65"/>
  <c r="J172" i="65"/>
  <c r="F173" i="65"/>
  <c r="G173" i="65"/>
  <c r="H173" i="65"/>
  <c r="I173" i="65"/>
  <c r="J173" i="65"/>
  <c r="F174" i="65"/>
  <c r="G174" i="65"/>
  <c r="H174" i="65"/>
  <c r="I174" i="65"/>
  <c r="J174" i="65"/>
  <c r="F175" i="65"/>
  <c r="G175" i="65"/>
  <c r="H175" i="65"/>
  <c r="I175" i="65"/>
  <c r="J175" i="65"/>
  <c r="F176" i="65"/>
  <c r="G176" i="65"/>
  <c r="H176" i="65"/>
  <c r="I176" i="65"/>
  <c r="J176" i="65"/>
  <c r="F177" i="65"/>
  <c r="G177" i="65"/>
  <c r="H177" i="65"/>
  <c r="I177" i="65"/>
  <c r="J177" i="65"/>
  <c r="F178" i="65"/>
  <c r="G178" i="65"/>
  <c r="H178" i="65"/>
  <c r="I178" i="65"/>
  <c r="J178" i="65"/>
  <c r="F179" i="65"/>
  <c r="G179" i="65"/>
  <c r="H179" i="65"/>
  <c r="I179" i="65"/>
  <c r="J179" i="65"/>
  <c r="F180" i="65"/>
  <c r="G180" i="65"/>
  <c r="H180" i="65"/>
  <c r="I180" i="65"/>
  <c r="J180" i="65"/>
  <c r="F181" i="65"/>
  <c r="G181" i="65"/>
  <c r="H181" i="65"/>
  <c r="I181" i="65"/>
  <c r="J181" i="65"/>
  <c r="F182" i="65"/>
  <c r="G182" i="65"/>
  <c r="H182" i="65"/>
  <c r="I182" i="65"/>
  <c r="J182" i="65"/>
  <c r="F183" i="65"/>
  <c r="G183" i="65"/>
  <c r="H183" i="65"/>
  <c r="I183" i="65"/>
  <c r="J183" i="65"/>
  <c r="F184" i="65"/>
  <c r="G184" i="65"/>
  <c r="H184" i="65"/>
  <c r="I184" i="65"/>
  <c r="J184" i="65"/>
  <c r="F185" i="65"/>
  <c r="G185" i="65"/>
  <c r="H185" i="65"/>
  <c r="I185" i="65"/>
  <c r="J185" i="65"/>
  <c r="F186" i="65"/>
  <c r="G186" i="65"/>
  <c r="H186" i="65"/>
  <c r="I186" i="65"/>
  <c r="J186" i="65"/>
  <c r="F187" i="65"/>
  <c r="G187" i="65"/>
  <c r="H187" i="65"/>
  <c r="I187" i="65"/>
  <c r="J187" i="65"/>
  <c r="F188" i="65"/>
  <c r="G188" i="65"/>
  <c r="H188" i="65"/>
  <c r="I188" i="65"/>
  <c r="J188" i="65"/>
  <c r="F189" i="65"/>
  <c r="G189" i="65"/>
  <c r="H189" i="65"/>
  <c r="I189" i="65"/>
  <c r="J189" i="65"/>
  <c r="F190" i="65"/>
  <c r="G190" i="65"/>
  <c r="H190" i="65"/>
  <c r="I190" i="65"/>
  <c r="J190" i="65"/>
  <c r="F191" i="65"/>
  <c r="G191" i="65"/>
  <c r="H191" i="65"/>
  <c r="I191" i="65"/>
  <c r="J191" i="65"/>
  <c r="F192" i="65"/>
  <c r="G192" i="65"/>
  <c r="H192" i="65"/>
  <c r="I192" i="65"/>
  <c r="J192" i="65"/>
  <c r="F193" i="65"/>
  <c r="G193" i="65"/>
  <c r="H193" i="65"/>
  <c r="I193" i="65"/>
  <c r="J193" i="65"/>
  <c r="F194" i="65"/>
  <c r="G194" i="65"/>
  <c r="H194" i="65"/>
  <c r="I194" i="65"/>
  <c r="J194" i="65"/>
  <c r="F195" i="65"/>
  <c r="G195" i="65"/>
  <c r="H195" i="65"/>
  <c r="I195" i="65"/>
  <c r="J195" i="65"/>
  <c r="F196" i="65"/>
  <c r="G196" i="65"/>
  <c r="H196" i="65"/>
  <c r="I196" i="65"/>
  <c r="J196" i="65"/>
  <c r="F197" i="65"/>
  <c r="G197" i="65"/>
  <c r="H197" i="65"/>
  <c r="I197" i="65"/>
  <c r="J197" i="65"/>
  <c r="F198" i="65"/>
  <c r="G198" i="65"/>
  <c r="H198" i="65"/>
  <c r="I198" i="65"/>
  <c r="J198" i="65"/>
  <c r="F199" i="65"/>
  <c r="G199" i="65"/>
  <c r="H199" i="65"/>
  <c r="I199" i="65"/>
  <c r="J199" i="65"/>
  <c r="F200" i="65"/>
  <c r="G200" i="65"/>
  <c r="H200" i="65"/>
  <c r="I200" i="65"/>
  <c r="J200" i="65"/>
  <c r="F201" i="65"/>
  <c r="G201" i="65"/>
  <c r="H201" i="65"/>
  <c r="I201" i="65"/>
  <c r="J201" i="65"/>
  <c r="F202" i="65"/>
  <c r="G202" i="65"/>
  <c r="H202" i="65"/>
  <c r="I202" i="65"/>
  <c r="J202" i="65"/>
  <c r="F203" i="65"/>
  <c r="G203" i="65"/>
  <c r="H203" i="65"/>
  <c r="I203" i="65"/>
  <c r="J203" i="65"/>
  <c r="F204" i="65"/>
  <c r="G204" i="65"/>
  <c r="H204" i="65"/>
  <c r="I204" i="65"/>
  <c r="J204" i="65"/>
  <c r="F205" i="65"/>
  <c r="G205" i="65"/>
  <c r="H205" i="65"/>
  <c r="I205" i="65"/>
  <c r="J205" i="65"/>
  <c r="F206" i="65"/>
  <c r="G206" i="65"/>
  <c r="H206" i="65"/>
  <c r="I206" i="65"/>
  <c r="J206" i="65"/>
  <c r="F207" i="65"/>
  <c r="G207" i="65"/>
  <c r="H207" i="65"/>
  <c r="I207" i="65"/>
  <c r="J207" i="65"/>
  <c r="F208" i="65"/>
  <c r="G208" i="65"/>
  <c r="H208" i="65"/>
  <c r="I208" i="65"/>
  <c r="J208" i="65"/>
  <c r="F209" i="65"/>
  <c r="G209" i="65"/>
  <c r="H209" i="65"/>
  <c r="I209" i="65"/>
  <c r="J209" i="65"/>
  <c r="F210" i="65"/>
  <c r="G210" i="65"/>
  <c r="H210" i="65"/>
  <c r="I210" i="65"/>
  <c r="J210" i="65"/>
  <c r="F211" i="65"/>
  <c r="G211" i="65"/>
  <c r="H211" i="65"/>
  <c r="I211" i="65"/>
  <c r="J211" i="65"/>
  <c r="F212" i="65"/>
  <c r="G212" i="65"/>
  <c r="H212" i="65"/>
  <c r="I212" i="65"/>
  <c r="J212" i="65"/>
  <c r="F213" i="65"/>
  <c r="G213" i="65"/>
  <c r="H213" i="65"/>
  <c r="I213" i="65"/>
  <c r="J213" i="65"/>
  <c r="F214" i="65"/>
  <c r="G214" i="65"/>
  <c r="H214" i="65"/>
  <c r="I214" i="65"/>
  <c r="J214" i="65"/>
  <c r="F215" i="65"/>
  <c r="G215" i="65"/>
  <c r="H215" i="65"/>
  <c r="I215" i="65"/>
  <c r="J215" i="65"/>
  <c r="F216" i="65"/>
  <c r="G216" i="65"/>
  <c r="H216" i="65"/>
  <c r="I216" i="65"/>
  <c r="J216" i="65"/>
  <c r="F217" i="65"/>
  <c r="G217" i="65"/>
  <c r="H217" i="65"/>
  <c r="I217" i="65"/>
  <c r="J217" i="65"/>
  <c r="F218" i="65"/>
  <c r="G218" i="65"/>
  <c r="H218" i="65"/>
  <c r="I218" i="65"/>
  <c r="J218" i="65"/>
  <c r="F219" i="65"/>
  <c r="G219" i="65"/>
  <c r="H219" i="65"/>
  <c r="I219" i="65"/>
  <c r="J219" i="65"/>
  <c r="F220" i="65"/>
  <c r="G220" i="65"/>
  <c r="H220" i="65"/>
  <c r="I220" i="65"/>
  <c r="J220" i="65"/>
  <c r="F221" i="65"/>
  <c r="G221" i="65"/>
  <c r="H221" i="65"/>
  <c r="I221" i="65"/>
  <c r="J221" i="65"/>
  <c r="F222" i="65"/>
  <c r="G222" i="65"/>
  <c r="H222" i="65"/>
  <c r="I222" i="65"/>
  <c r="J222" i="65"/>
  <c r="F223" i="65"/>
  <c r="G223" i="65"/>
  <c r="H223" i="65"/>
  <c r="I223" i="65"/>
  <c r="J223" i="65"/>
  <c r="F224" i="65"/>
  <c r="G224" i="65"/>
  <c r="H224" i="65"/>
  <c r="I224" i="65"/>
  <c r="J224" i="65"/>
  <c r="F225" i="65"/>
  <c r="G225" i="65"/>
  <c r="H225" i="65"/>
  <c r="I225" i="65"/>
  <c r="J225" i="65"/>
  <c r="F226" i="65"/>
  <c r="G226" i="65"/>
  <c r="H226" i="65"/>
  <c r="I226" i="65"/>
  <c r="J226" i="65"/>
  <c r="F227" i="65"/>
  <c r="G227" i="65"/>
  <c r="H227" i="65"/>
  <c r="I227" i="65"/>
  <c r="J227" i="65"/>
  <c r="F228" i="65"/>
  <c r="G228" i="65"/>
  <c r="H228" i="65"/>
  <c r="I228" i="65"/>
  <c r="J228" i="65"/>
  <c r="F229" i="65"/>
  <c r="G229" i="65"/>
  <c r="H229" i="65"/>
  <c r="I229" i="65"/>
  <c r="J229" i="65"/>
  <c r="F230" i="65"/>
  <c r="G230" i="65"/>
  <c r="H230" i="65"/>
  <c r="I230" i="65"/>
  <c r="J230" i="65"/>
  <c r="F231" i="65"/>
  <c r="G231" i="65"/>
  <c r="H231" i="65"/>
  <c r="I231" i="65"/>
  <c r="J231" i="65"/>
  <c r="F232" i="65"/>
  <c r="G232" i="65"/>
  <c r="H232" i="65"/>
  <c r="I232" i="65"/>
  <c r="J232" i="65"/>
  <c r="F233" i="65"/>
  <c r="G233" i="65"/>
  <c r="H233" i="65"/>
  <c r="I233" i="65"/>
  <c r="J233" i="65"/>
  <c r="F234" i="65"/>
  <c r="G234" i="65"/>
  <c r="H234" i="65"/>
  <c r="I234" i="65"/>
  <c r="J234" i="65"/>
  <c r="F235" i="65"/>
  <c r="G235" i="65"/>
  <c r="H235" i="65"/>
  <c r="I235" i="65"/>
  <c r="J235" i="65"/>
  <c r="F236" i="65"/>
  <c r="G236" i="65"/>
  <c r="H236" i="65"/>
  <c r="I236" i="65"/>
  <c r="J236" i="65"/>
  <c r="F237" i="65"/>
  <c r="G237" i="65"/>
  <c r="H237" i="65"/>
  <c r="I237" i="65"/>
  <c r="J237" i="65"/>
  <c r="F238" i="65"/>
  <c r="G238" i="65"/>
  <c r="H238" i="65"/>
  <c r="I238" i="65"/>
  <c r="J238" i="65"/>
  <c r="F239" i="65"/>
  <c r="G239" i="65"/>
  <c r="H239" i="65"/>
  <c r="I239" i="65"/>
  <c r="J239" i="65"/>
  <c r="F240" i="65"/>
  <c r="G240" i="65"/>
  <c r="H240" i="65"/>
  <c r="I240" i="65"/>
  <c r="J240" i="65"/>
  <c r="F241" i="65"/>
  <c r="G241" i="65"/>
  <c r="H241" i="65"/>
  <c r="I241" i="65"/>
  <c r="J241" i="65"/>
  <c r="F242" i="65"/>
  <c r="G242" i="65"/>
  <c r="H242" i="65"/>
  <c r="I242" i="65"/>
  <c r="J242" i="65"/>
  <c r="F243" i="65"/>
  <c r="G243" i="65"/>
  <c r="H243" i="65"/>
  <c r="I243" i="65"/>
  <c r="J243" i="65"/>
  <c r="F244" i="65"/>
  <c r="G244" i="65"/>
  <c r="H244" i="65"/>
  <c r="I244" i="65"/>
  <c r="J244" i="65"/>
  <c r="F245" i="65"/>
  <c r="G245" i="65"/>
  <c r="H245" i="65"/>
  <c r="I245" i="65"/>
  <c r="J245" i="65"/>
  <c r="F246" i="65"/>
  <c r="G246" i="65"/>
  <c r="H246" i="65"/>
  <c r="I246" i="65"/>
  <c r="J246" i="65"/>
  <c r="F247" i="65"/>
  <c r="G247" i="65"/>
  <c r="H247" i="65"/>
  <c r="I247" i="65"/>
  <c r="J247" i="65"/>
  <c r="F248" i="65"/>
  <c r="G248" i="65"/>
  <c r="H248" i="65"/>
  <c r="I248" i="65"/>
  <c r="J248" i="65"/>
  <c r="F249" i="65"/>
  <c r="G249" i="65"/>
  <c r="H249" i="65"/>
  <c r="I249" i="65"/>
  <c r="J249" i="65"/>
  <c r="F250" i="65"/>
  <c r="G250" i="65"/>
  <c r="H250" i="65"/>
  <c r="I250" i="65"/>
  <c r="J250" i="65"/>
  <c r="F251" i="65"/>
  <c r="G251" i="65"/>
  <c r="H251" i="65"/>
  <c r="I251" i="65"/>
  <c r="J251" i="65"/>
  <c r="F252" i="65"/>
  <c r="G252" i="65"/>
  <c r="H252" i="65"/>
  <c r="I252" i="65"/>
  <c r="J252" i="65"/>
  <c r="F253" i="65"/>
  <c r="G253" i="65"/>
  <c r="H253" i="65"/>
  <c r="I253" i="65"/>
  <c r="J253" i="65"/>
  <c r="F254" i="65"/>
  <c r="G254" i="65"/>
  <c r="H254" i="65"/>
  <c r="I254" i="65"/>
  <c r="J254" i="65"/>
  <c r="F255" i="65"/>
  <c r="G255" i="65"/>
  <c r="H255" i="65"/>
  <c r="I255" i="65"/>
  <c r="J255" i="65"/>
  <c r="F256" i="65"/>
  <c r="G256" i="65"/>
  <c r="H256" i="65"/>
  <c r="I256" i="65"/>
  <c r="J256" i="65"/>
  <c r="F257" i="65"/>
  <c r="G257" i="65"/>
  <c r="H257" i="65"/>
  <c r="I257" i="65"/>
  <c r="J257" i="65"/>
  <c r="F258" i="65"/>
  <c r="G258" i="65"/>
  <c r="H258" i="65"/>
  <c r="I258" i="65"/>
  <c r="J258" i="65"/>
  <c r="F259" i="65"/>
  <c r="G259" i="65"/>
  <c r="H259" i="65"/>
  <c r="I259" i="65"/>
  <c r="J259" i="65"/>
  <c r="F260" i="65"/>
  <c r="G260" i="65"/>
  <c r="H260" i="65"/>
  <c r="I260" i="65"/>
  <c r="J260" i="65"/>
  <c r="F261" i="65"/>
  <c r="G261" i="65"/>
  <c r="H261" i="65"/>
  <c r="I261" i="65"/>
  <c r="J261" i="65"/>
  <c r="F262" i="65"/>
  <c r="G262" i="65"/>
  <c r="H262" i="65"/>
  <c r="I262" i="65"/>
  <c r="J262" i="65"/>
  <c r="F263" i="65"/>
  <c r="G263" i="65"/>
  <c r="H263" i="65"/>
  <c r="I263" i="65"/>
  <c r="J263" i="65"/>
  <c r="F266" i="65"/>
  <c r="G266" i="65"/>
  <c r="H266" i="65"/>
  <c r="I266" i="65"/>
  <c r="J266" i="65"/>
  <c r="U66" i="42"/>
  <c r="L66" i="42"/>
  <c r="M66" i="42"/>
  <c r="L67" i="42"/>
  <c r="BW67" i="42" s="1"/>
  <c r="M67" i="42"/>
  <c r="U68" i="42"/>
  <c r="L68" i="42"/>
  <c r="M68" i="42"/>
  <c r="U69" i="42"/>
  <c r="L69" i="42"/>
  <c r="BV69" i="42" s="1"/>
  <c r="M69" i="42"/>
  <c r="L70" i="42"/>
  <c r="BX70" i="42" s="1"/>
  <c r="M70" i="42"/>
  <c r="L71" i="42"/>
  <c r="BV71" i="42" s="1"/>
  <c r="M71" i="42"/>
  <c r="L72" i="42"/>
  <c r="BW72" i="42" s="1"/>
  <c r="M72" i="42"/>
  <c r="L73" i="42"/>
  <c r="BW73" i="42" s="1"/>
  <c r="M73" i="42"/>
  <c r="L74" i="42"/>
  <c r="BV74" i="42" s="1"/>
  <c r="M74" i="42"/>
  <c r="M75" i="42"/>
  <c r="L75" i="42"/>
  <c r="BX75" i="42" s="1"/>
  <c r="M76" i="42"/>
  <c r="L76" i="42"/>
  <c r="BW76" i="42" s="1"/>
  <c r="M77" i="42"/>
  <c r="L77" i="42"/>
  <c r="BV77" i="42" s="1"/>
  <c r="L78" i="42"/>
  <c r="BW78" i="42" s="1"/>
  <c r="M78" i="42"/>
  <c r="L79" i="42"/>
  <c r="BW79" i="42" s="1"/>
  <c r="B144" i="65"/>
  <c r="U79" i="42" l="1"/>
  <c r="BX73" i="42"/>
  <c r="V76" i="42"/>
  <c r="AP76" i="42"/>
  <c r="S76" i="42"/>
  <c r="AP73" i="42"/>
  <c r="S73" i="42"/>
  <c r="BV72" i="42"/>
  <c r="BW66" i="42"/>
  <c r="BX66" i="42"/>
  <c r="AP74" i="42"/>
  <c r="S74" i="42"/>
  <c r="AP72" i="42"/>
  <c r="S72" i="42"/>
  <c r="O78" i="42"/>
  <c r="R78" i="42" s="1"/>
  <c r="AP78" i="42"/>
  <c r="S78" i="42"/>
  <c r="BX77" i="42"/>
  <c r="AP77" i="42"/>
  <c r="S77" i="42"/>
  <c r="S71" i="42"/>
  <c r="AP71" i="42"/>
  <c r="S70" i="42"/>
  <c r="AP70" i="42"/>
  <c r="AP69" i="42"/>
  <c r="S69" i="42"/>
  <c r="AP68" i="42"/>
  <c r="S68" i="42"/>
  <c r="BV67" i="42"/>
  <c r="S75" i="42"/>
  <c r="AP75" i="42"/>
  <c r="S67" i="42"/>
  <c r="AP67" i="42"/>
  <c r="X66" i="42"/>
  <c r="Z66" i="42"/>
  <c r="AA66" i="42"/>
  <c r="AQ66" i="42"/>
  <c r="AR66" i="42" s="1"/>
  <c r="AS66" i="42" s="1"/>
  <c r="AT66" i="42" s="1"/>
  <c r="Y66" i="42"/>
  <c r="AP66" i="42"/>
  <c r="O66" i="42"/>
  <c r="V66" i="42"/>
  <c r="AB66" i="42"/>
  <c r="B426" i="40"/>
  <c r="O77" i="42"/>
  <c r="R77" i="42" s="1"/>
  <c r="V77" i="42"/>
  <c r="BV78" i="42"/>
  <c r="U74" i="42"/>
  <c r="P73" i="42"/>
  <c r="BE73" i="42" s="1"/>
  <c r="BX72" i="42"/>
  <c r="U78" i="42"/>
  <c r="O76" i="42"/>
  <c r="U70" i="42"/>
  <c r="K266" i="65"/>
  <c r="M266" i="65"/>
  <c r="M264" i="65"/>
  <c r="K264" i="65"/>
  <c r="K262" i="65"/>
  <c r="M262" i="65"/>
  <c r="M260" i="65"/>
  <c r="K260" i="65"/>
  <c r="K258" i="65"/>
  <c r="M258" i="65"/>
  <c r="M256" i="65"/>
  <c r="K256" i="65"/>
  <c r="K254" i="65"/>
  <c r="M254" i="65"/>
  <c r="M252" i="65"/>
  <c r="K252" i="65"/>
  <c r="K250" i="65"/>
  <c r="M250" i="65"/>
  <c r="K248" i="65"/>
  <c r="M248" i="65"/>
  <c r="K246" i="65"/>
  <c r="M246" i="65"/>
  <c r="K244" i="65"/>
  <c r="M244" i="65"/>
  <c r="K242" i="65"/>
  <c r="M242" i="65"/>
  <c r="K240" i="65"/>
  <c r="M240" i="65"/>
  <c r="K238" i="65"/>
  <c r="M238" i="65"/>
  <c r="K236" i="65"/>
  <c r="M236" i="65"/>
  <c r="K234" i="65"/>
  <c r="M234" i="65"/>
  <c r="K232" i="65"/>
  <c r="M232" i="65"/>
  <c r="K230" i="65"/>
  <c r="M230" i="65"/>
  <c r="K228" i="65"/>
  <c r="M228" i="65"/>
  <c r="K226" i="65"/>
  <c r="M226" i="65"/>
  <c r="K224" i="65"/>
  <c r="M224" i="65"/>
  <c r="M222" i="65"/>
  <c r="K222" i="65"/>
  <c r="K220" i="65"/>
  <c r="M220" i="65"/>
  <c r="K218" i="65"/>
  <c r="M218" i="65"/>
  <c r="K216" i="65"/>
  <c r="M216" i="65"/>
  <c r="M214" i="65"/>
  <c r="K214" i="65"/>
  <c r="K212" i="65"/>
  <c r="M212" i="65"/>
  <c r="K210" i="65"/>
  <c r="M210" i="65"/>
  <c r="K208" i="65"/>
  <c r="M208" i="65"/>
  <c r="M206" i="65"/>
  <c r="K206" i="65"/>
  <c r="K204" i="65"/>
  <c r="M204" i="65"/>
  <c r="K202" i="65"/>
  <c r="M202" i="65"/>
  <c r="M200" i="65"/>
  <c r="K200" i="65"/>
  <c r="M198" i="65"/>
  <c r="K198" i="65"/>
  <c r="M196" i="65"/>
  <c r="K196" i="65"/>
  <c r="M194" i="65"/>
  <c r="K194" i="65"/>
  <c r="K192" i="65"/>
  <c r="M192" i="65"/>
  <c r="M190" i="65"/>
  <c r="K190" i="65"/>
  <c r="M188" i="65"/>
  <c r="K188" i="65"/>
  <c r="K186" i="65"/>
  <c r="M186" i="65"/>
  <c r="M184" i="65"/>
  <c r="K184" i="65"/>
  <c r="K182" i="65"/>
  <c r="M182" i="65"/>
  <c r="M180" i="65"/>
  <c r="K180" i="65"/>
  <c r="K178" i="65"/>
  <c r="M178" i="65"/>
  <c r="K176" i="65"/>
  <c r="M176" i="65"/>
  <c r="M174" i="65"/>
  <c r="K174" i="65"/>
  <c r="K172" i="65"/>
  <c r="M172" i="65"/>
  <c r="K170" i="65"/>
  <c r="M170" i="65"/>
  <c r="M168" i="65"/>
  <c r="K168" i="65"/>
  <c r="K166" i="65"/>
  <c r="M166" i="65"/>
  <c r="K164" i="65"/>
  <c r="M164" i="65"/>
  <c r="K162" i="65"/>
  <c r="M162" i="65"/>
  <c r="K160" i="65"/>
  <c r="M160" i="65"/>
  <c r="M158" i="65"/>
  <c r="K158" i="65"/>
  <c r="K156" i="65"/>
  <c r="M156" i="65"/>
  <c r="K154" i="65"/>
  <c r="M154" i="65"/>
  <c r="K152" i="65"/>
  <c r="M152" i="65"/>
  <c r="K150" i="65"/>
  <c r="M150" i="65"/>
  <c r="M148" i="65"/>
  <c r="K148" i="65"/>
  <c r="K146" i="65"/>
  <c r="M146" i="65"/>
  <c r="K144" i="65"/>
  <c r="M144" i="65"/>
  <c r="K265" i="65"/>
  <c r="M265" i="65"/>
  <c r="K263" i="65"/>
  <c r="M263" i="65"/>
  <c r="K261" i="65"/>
  <c r="M261" i="65"/>
  <c r="K259" i="65"/>
  <c r="M259" i="65"/>
  <c r="K257" i="65"/>
  <c r="M257" i="65"/>
  <c r="K255" i="65"/>
  <c r="M255" i="65"/>
  <c r="K253" i="65"/>
  <c r="M253" i="65"/>
  <c r="K251" i="65"/>
  <c r="M251" i="65"/>
  <c r="K249" i="65"/>
  <c r="M249" i="65"/>
  <c r="K247" i="65"/>
  <c r="M247" i="65"/>
  <c r="M245" i="65"/>
  <c r="K245" i="65"/>
  <c r="K243" i="65"/>
  <c r="M243" i="65"/>
  <c r="K241" i="65"/>
  <c r="M241" i="65"/>
  <c r="K239" i="65"/>
  <c r="M239" i="65"/>
  <c r="M237" i="65"/>
  <c r="K237" i="65"/>
  <c r="K235" i="65"/>
  <c r="M235" i="65"/>
  <c r="K233" i="65"/>
  <c r="M233" i="65"/>
  <c r="K231" i="65"/>
  <c r="M231" i="65"/>
  <c r="M229" i="65"/>
  <c r="K229" i="65"/>
  <c r="K227" i="65"/>
  <c r="M227" i="65"/>
  <c r="K225" i="65"/>
  <c r="M225" i="65"/>
  <c r="M223" i="65"/>
  <c r="K223" i="65"/>
  <c r="K221" i="65"/>
  <c r="M221" i="65"/>
  <c r="K219" i="65"/>
  <c r="M219" i="65"/>
  <c r="K217" i="65"/>
  <c r="M217" i="65"/>
  <c r="K215" i="65"/>
  <c r="M215" i="65"/>
  <c r="K213" i="65"/>
  <c r="M213" i="65"/>
  <c r="K211" i="65"/>
  <c r="M211" i="65"/>
  <c r="K209" i="65"/>
  <c r="M209" i="65"/>
  <c r="K207" i="65"/>
  <c r="M207" i="65"/>
  <c r="K205" i="65"/>
  <c r="M205" i="65"/>
  <c r="K203" i="65"/>
  <c r="M203" i="65"/>
  <c r="M201" i="65"/>
  <c r="K201" i="65"/>
  <c r="M199" i="65"/>
  <c r="K199" i="65"/>
  <c r="K197" i="65"/>
  <c r="M197" i="65"/>
  <c r="K195" i="65"/>
  <c r="M195" i="65"/>
  <c r="M193" i="65"/>
  <c r="K193" i="65"/>
  <c r="K191" i="65"/>
  <c r="M191" i="65"/>
  <c r="K189" i="65"/>
  <c r="M189" i="65"/>
  <c r="K187" i="65"/>
  <c r="M187" i="65"/>
  <c r="K185" i="65"/>
  <c r="M185" i="65"/>
  <c r="M183" i="65"/>
  <c r="K183" i="65"/>
  <c r="M181" i="65"/>
  <c r="K181" i="65"/>
  <c r="K179" i="65"/>
  <c r="M179" i="65"/>
  <c r="K177" i="65"/>
  <c r="M177" i="65"/>
  <c r="M175" i="65"/>
  <c r="K175" i="65"/>
  <c r="M173" i="65"/>
  <c r="K173" i="65"/>
  <c r="M171" i="65"/>
  <c r="K171" i="65"/>
  <c r="K169" i="65"/>
  <c r="M169" i="65"/>
  <c r="K167" i="65"/>
  <c r="M167" i="65"/>
  <c r="M165" i="65"/>
  <c r="K165" i="65"/>
  <c r="K163" i="65"/>
  <c r="M163" i="65"/>
  <c r="M161" i="65"/>
  <c r="K161" i="65"/>
  <c r="M159" i="65"/>
  <c r="K159" i="65"/>
  <c r="K157" i="65"/>
  <c r="M157" i="65"/>
  <c r="K155" i="65"/>
  <c r="M155" i="65"/>
  <c r="K153" i="65"/>
  <c r="M153" i="65"/>
  <c r="K151" i="65"/>
  <c r="M151" i="65"/>
  <c r="K149" i="65"/>
  <c r="M149" i="65"/>
  <c r="K147" i="65"/>
  <c r="M147" i="65"/>
  <c r="M145" i="65"/>
  <c r="K145" i="65"/>
  <c r="K143" i="65"/>
  <c r="M143" i="65"/>
  <c r="BV66" i="42"/>
  <c r="V73" i="42"/>
  <c r="BW77" i="42"/>
  <c r="P77" i="42"/>
  <c r="U77" i="42"/>
  <c r="V74" i="42"/>
  <c r="BV79" i="42"/>
  <c r="BX78" i="42"/>
  <c r="U76" i="42"/>
  <c r="U75" i="42"/>
  <c r="U72" i="42"/>
  <c r="U67" i="42"/>
  <c r="V79" i="42"/>
  <c r="O75" i="42"/>
  <c r="R75" i="42" s="1"/>
  <c r="P75" i="42"/>
  <c r="V75" i="42"/>
  <c r="AE66" i="42"/>
  <c r="P66" i="42"/>
  <c r="AF66" i="42"/>
  <c r="AG66" i="42"/>
  <c r="AD66" i="42"/>
  <c r="AH66" i="42"/>
  <c r="BV75" i="42"/>
  <c r="P74" i="42"/>
  <c r="P78" i="42"/>
  <c r="BW74" i="42"/>
  <c r="BX74" i="42"/>
  <c r="O72" i="42"/>
  <c r="R72" i="42" s="1"/>
  <c r="P72" i="42"/>
  <c r="V72" i="42"/>
  <c r="V78" i="42"/>
  <c r="BV76" i="42"/>
  <c r="BE77" i="42"/>
  <c r="BX76" i="42"/>
  <c r="P76" i="42"/>
  <c r="BW75" i="42"/>
  <c r="O71" i="42"/>
  <c r="R71" i="42" s="1"/>
  <c r="P71" i="42"/>
  <c r="BW68" i="42"/>
  <c r="BX68" i="42"/>
  <c r="BV68" i="42"/>
  <c r="BV73" i="42"/>
  <c r="O73" i="42"/>
  <c r="R73" i="42" s="1"/>
  <c r="V71" i="42"/>
  <c r="BW71" i="42"/>
  <c r="BX71" i="42"/>
  <c r="U71" i="42"/>
  <c r="O70" i="42"/>
  <c r="R70" i="42" s="1"/>
  <c r="P70" i="42"/>
  <c r="V70" i="42"/>
  <c r="O74" i="42"/>
  <c r="R74" i="42" s="1"/>
  <c r="U73" i="42"/>
  <c r="BW70" i="42"/>
  <c r="BV70" i="42"/>
  <c r="O69" i="42"/>
  <c r="R69" i="42" s="1"/>
  <c r="P69" i="42"/>
  <c r="V69" i="42"/>
  <c r="BW69" i="42"/>
  <c r="BX69" i="42"/>
  <c r="O68" i="42"/>
  <c r="R68" i="42" s="1"/>
  <c r="P68" i="42"/>
  <c r="V68" i="42"/>
  <c r="O67" i="42"/>
  <c r="R67" i="42" s="1"/>
  <c r="P67" i="42"/>
  <c r="V67" i="42"/>
  <c r="BX67" i="42"/>
  <c r="BD78" i="42" l="1"/>
  <c r="BD77" i="42"/>
  <c r="BD76" i="42"/>
  <c r="R76" i="42"/>
  <c r="R66" i="42"/>
  <c r="B427" i="40"/>
  <c r="B145" i="65"/>
  <c r="AM66" i="42"/>
  <c r="BI66" i="42" s="1"/>
  <c r="AJ147" i="65"/>
  <c r="AK147" i="65"/>
  <c r="AI147" i="65"/>
  <c r="N147" i="65"/>
  <c r="AL147" i="65"/>
  <c r="AH147" i="65"/>
  <c r="AJ151" i="65"/>
  <c r="AK151" i="65"/>
  <c r="AL151" i="65"/>
  <c r="N151" i="65"/>
  <c r="N163" i="65"/>
  <c r="N191" i="65"/>
  <c r="AK203" i="65"/>
  <c r="AI203" i="65"/>
  <c r="AJ203" i="65"/>
  <c r="N203" i="65"/>
  <c r="AH203" i="65"/>
  <c r="AL203" i="65"/>
  <c r="N211" i="65"/>
  <c r="N231" i="65"/>
  <c r="N243" i="65"/>
  <c r="AJ243" i="65"/>
  <c r="AK243" i="65"/>
  <c r="AI243" i="65"/>
  <c r="AL243" i="65"/>
  <c r="AH243" i="65"/>
  <c r="N251" i="65"/>
  <c r="N255" i="65"/>
  <c r="AI144" i="65"/>
  <c r="AJ144" i="65"/>
  <c r="AK144" i="65"/>
  <c r="AL144" i="65"/>
  <c r="N144" i="65"/>
  <c r="AH144" i="65"/>
  <c r="N156" i="65"/>
  <c r="N164" i="65"/>
  <c r="AI176" i="65"/>
  <c r="N176" i="65"/>
  <c r="AK176" i="65"/>
  <c r="AL176" i="65"/>
  <c r="AH176" i="65"/>
  <c r="AJ176" i="65"/>
  <c r="AI204" i="65"/>
  <c r="AK204" i="65"/>
  <c r="AJ204" i="65"/>
  <c r="AL204" i="65"/>
  <c r="N204" i="65"/>
  <c r="AH204" i="65"/>
  <c r="N216" i="65"/>
  <c r="N220" i="65"/>
  <c r="N232" i="65"/>
  <c r="N184" i="65"/>
  <c r="AL184" i="65"/>
  <c r="AH184" i="65"/>
  <c r="AI184" i="65"/>
  <c r="AK184" i="65"/>
  <c r="AJ184" i="65"/>
  <c r="N196" i="65"/>
  <c r="AL196" i="65"/>
  <c r="AH196" i="65"/>
  <c r="AK196" i="65"/>
  <c r="AI196" i="65"/>
  <c r="AJ196" i="65"/>
  <c r="N252" i="65"/>
  <c r="N256" i="65"/>
  <c r="N260" i="65"/>
  <c r="AJ260" i="65"/>
  <c r="AI260" i="65"/>
  <c r="AL260" i="65"/>
  <c r="AK260" i="65"/>
  <c r="AH260" i="65"/>
  <c r="N264" i="65"/>
  <c r="AK264" i="65"/>
  <c r="AI264" i="65"/>
  <c r="AL264" i="65"/>
  <c r="AJ264" i="65"/>
  <c r="AH264" i="65"/>
  <c r="AJ143" i="65"/>
  <c r="AK143" i="65"/>
  <c r="AH143" i="65"/>
  <c r="N143" i="65"/>
  <c r="AI143" i="65"/>
  <c r="AL143" i="65"/>
  <c r="N155" i="65"/>
  <c r="N167" i="65"/>
  <c r="AI179" i="65"/>
  <c r="N179" i="65"/>
  <c r="AK179" i="65"/>
  <c r="AL179" i="65"/>
  <c r="AJ179" i="65"/>
  <c r="AH179" i="65"/>
  <c r="N187" i="65"/>
  <c r="AI187" i="65"/>
  <c r="AK187" i="65"/>
  <c r="AL187" i="65"/>
  <c r="AJ187" i="65"/>
  <c r="N195" i="65"/>
  <c r="AL195" i="65"/>
  <c r="AH195" i="65"/>
  <c r="AI195" i="65"/>
  <c r="AK195" i="65"/>
  <c r="AJ195" i="65"/>
  <c r="AJ207" i="65"/>
  <c r="AI207" i="65"/>
  <c r="AK207" i="65"/>
  <c r="AH207" i="65"/>
  <c r="N207" i="65"/>
  <c r="AL207" i="65"/>
  <c r="N215" i="65"/>
  <c r="N227" i="65"/>
  <c r="AL227" i="65"/>
  <c r="N235" i="65"/>
  <c r="N247" i="65"/>
  <c r="N259" i="65"/>
  <c r="AJ259" i="65"/>
  <c r="AI259" i="65"/>
  <c r="AL259" i="65"/>
  <c r="AK259" i="65"/>
  <c r="AH259" i="65"/>
  <c r="AK152" i="65"/>
  <c r="N152" i="65"/>
  <c r="AL152" i="65"/>
  <c r="N208" i="65"/>
  <c r="AI224" i="65"/>
  <c r="N224" i="65"/>
  <c r="AL224" i="65"/>
  <c r="AH224" i="65"/>
  <c r="AK224" i="65"/>
  <c r="AJ224" i="65"/>
  <c r="N236" i="65"/>
  <c r="N240" i="65"/>
  <c r="N244" i="65"/>
  <c r="AK244" i="65"/>
  <c r="AJ244" i="65"/>
  <c r="AH244" i="65"/>
  <c r="AI244" i="65"/>
  <c r="AL244" i="65"/>
  <c r="N159" i="65"/>
  <c r="AH171" i="65"/>
  <c r="AL171" i="65"/>
  <c r="N171" i="65"/>
  <c r="AI171" i="65"/>
  <c r="AK171" i="65"/>
  <c r="AJ171" i="65"/>
  <c r="AJ175" i="65"/>
  <c r="AH175" i="65"/>
  <c r="AL175" i="65"/>
  <c r="AI175" i="65"/>
  <c r="AK175" i="65"/>
  <c r="N175" i="65"/>
  <c r="N183" i="65"/>
  <c r="AK183" i="65"/>
  <c r="AH183" i="65"/>
  <c r="AL183" i="65"/>
  <c r="AI183" i="65"/>
  <c r="AJ183" i="65"/>
  <c r="N199" i="65"/>
  <c r="AI199" i="65"/>
  <c r="AK199" i="65"/>
  <c r="AJ199" i="65"/>
  <c r="AH199" i="65"/>
  <c r="AL199" i="65"/>
  <c r="AI223" i="65"/>
  <c r="AJ223" i="65"/>
  <c r="AK223" i="65"/>
  <c r="AH223" i="65"/>
  <c r="AL223" i="65"/>
  <c r="N223" i="65"/>
  <c r="AJ148" i="65"/>
  <c r="AK148" i="65"/>
  <c r="AI148" i="65"/>
  <c r="N148" i="65"/>
  <c r="AH148" i="65"/>
  <c r="AL148" i="65"/>
  <c r="N168" i="65"/>
  <c r="N180" i="65"/>
  <c r="AK180" i="65"/>
  <c r="AJ180" i="65"/>
  <c r="AL180" i="65"/>
  <c r="AH180" i="65"/>
  <c r="AI180" i="65"/>
  <c r="AL188" i="65"/>
  <c r="N188" i="65"/>
  <c r="AK188" i="65"/>
  <c r="AI200" i="65"/>
  <c r="AH200" i="65"/>
  <c r="AJ200" i="65"/>
  <c r="AL200" i="65"/>
  <c r="N200" i="65"/>
  <c r="AK200" i="65"/>
  <c r="AI149" i="65"/>
  <c r="AK149" i="65"/>
  <c r="AJ149" i="65"/>
  <c r="AH149" i="65"/>
  <c r="AL149" i="65"/>
  <c r="N149" i="65"/>
  <c r="AL153" i="65"/>
  <c r="N153" i="65"/>
  <c r="N157" i="65"/>
  <c r="N169" i="65"/>
  <c r="AI177" i="65"/>
  <c r="N177" i="65"/>
  <c r="AK177" i="65"/>
  <c r="AH177" i="65"/>
  <c r="AJ177" i="65"/>
  <c r="AL177" i="65"/>
  <c r="AH185" i="65"/>
  <c r="AI185" i="65"/>
  <c r="N185" i="65"/>
  <c r="AK185" i="65"/>
  <c r="AL185" i="65"/>
  <c r="AJ185" i="65"/>
  <c r="N189" i="65"/>
  <c r="AI197" i="65"/>
  <c r="AK197" i="65"/>
  <c r="AJ197" i="65"/>
  <c r="AH197" i="65"/>
  <c r="N197" i="65"/>
  <c r="AL197" i="65"/>
  <c r="AJ205" i="65"/>
  <c r="AH205" i="65"/>
  <c r="AI205" i="65"/>
  <c r="N205" i="65"/>
  <c r="AL205" i="65"/>
  <c r="AK205" i="65"/>
  <c r="N209" i="65"/>
  <c r="N213" i="65"/>
  <c r="N217" i="65"/>
  <c r="N221" i="65"/>
  <c r="AL221" i="65"/>
  <c r="AK221" i="65"/>
  <c r="AJ221" i="65"/>
  <c r="AH221" i="65"/>
  <c r="AI221" i="65"/>
  <c r="AH225" i="65"/>
  <c r="AK225" i="65"/>
  <c r="N225" i="65"/>
  <c r="AL225" i="65"/>
  <c r="AJ225" i="65"/>
  <c r="AI225" i="65"/>
  <c r="N233" i="65"/>
  <c r="N241" i="65"/>
  <c r="N249" i="65"/>
  <c r="N253" i="65"/>
  <c r="N257" i="65"/>
  <c r="N261" i="65"/>
  <c r="AI261" i="65"/>
  <c r="AJ261" i="65"/>
  <c r="AL261" i="65"/>
  <c r="AK261" i="65"/>
  <c r="AH261" i="65"/>
  <c r="N265" i="65"/>
  <c r="AI265" i="65"/>
  <c r="AK265" i="65"/>
  <c r="AJ265" i="65"/>
  <c r="AL265" i="65"/>
  <c r="AH265" i="65"/>
  <c r="AK146" i="65"/>
  <c r="AL146" i="65"/>
  <c r="AJ146" i="65"/>
  <c r="N146" i="65"/>
  <c r="AI146" i="65"/>
  <c r="AH146" i="65"/>
  <c r="N150" i="65"/>
  <c r="AI150" i="65"/>
  <c r="AK150" i="65"/>
  <c r="AL150" i="65"/>
  <c r="AJ150" i="65"/>
  <c r="N154" i="65"/>
  <c r="N162" i="65"/>
  <c r="N166" i="65"/>
  <c r="AJ170" i="65"/>
  <c r="N170" i="65"/>
  <c r="AL170" i="65"/>
  <c r="AH170" i="65"/>
  <c r="AK170" i="65"/>
  <c r="AI170" i="65"/>
  <c r="AI178" i="65"/>
  <c r="AJ178" i="65"/>
  <c r="N178" i="65"/>
  <c r="AK178" i="65"/>
  <c r="AH178" i="65"/>
  <c r="AL178" i="65"/>
  <c r="N182" i="65"/>
  <c r="AK182" i="65"/>
  <c r="AH182" i="65"/>
  <c r="AL182" i="65"/>
  <c r="AI182" i="65"/>
  <c r="AJ182" i="65"/>
  <c r="AK186" i="65"/>
  <c r="AL186" i="65"/>
  <c r="AI186" i="65"/>
  <c r="N186" i="65"/>
  <c r="AH186" i="65"/>
  <c r="AJ186" i="65"/>
  <c r="AK202" i="65"/>
  <c r="AJ202" i="65"/>
  <c r="AI202" i="65"/>
  <c r="AH202" i="65"/>
  <c r="AL202" i="65"/>
  <c r="N202" i="65"/>
  <c r="N210" i="65"/>
  <c r="N218" i="65"/>
  <c r="AK226" i="65"/>
  <c r="AL226" i="65"/>
  <c r="N226" i="65"/>
  <c r="N230" i="65"/>
  <c r="N234" i="65"/>
  <c r="N238" i="65"/>
  <c r="N242" i="65"/>
  <c r="N246" i="65"/>
  <c r="AL246" i="65"/>
  <c r="N250" i="65"/>
  <c r="N254" i="65"/>
  <c r="N258" i="65"/>
  <c r="N262" i="65"/>
  <c r="AI262" i="65"/>
  <c r="AL262" i="65"/>
  <c r="AK262" i="65"/>
  <c r="AJ262" i="65"/>
  <c r="AH262" i="65"/>
  <c r="N266" i="65"/>
  <c r="N219" i="65"/>
  <c r="N239" i="65"/>
  <c r="N263" i="65"/>
  <c r="AK263" i="65"/>
  <c r="AI263" i="65"/>
  <c r="AJ263" i="65"/>
  <c r="AL263" i="65"/>
  <c r="AH263" i="65"/>
  <c r="N160" i="65"/>
  <c r="AI172" i="65"/>
  <c r="AK172" i="65"/>
  <c r="AL172" i="65"/>
  <c r="AJ172" i="65"/>
  <c r="N172" i="65"/>
  <c r="AH172" i="65"/>
  <c r="N192" i="65"/>
  <c r="N212" i="65"/>
  <c r="N228" i="65"/>
  <c r="N248" i="65"/>
  <c r="N145" i="65"/>
  <c r="AL145" i="65"/>
  <c r="AK145" i="65"/>
  <c r="AI145" i="65"/>
  <c r="AJ145" i="65"/>
  <c r="AH145" i="65"/>
  <c r="N161" i="65"/>
  <c r="N165" i="65"/>
  <c r="AJ173" i="65"/>
  <c r="AH173" i="65"/>
  <c r="AL173" i="65"/>
  <c r="AI173" i="65"/>
  <c r="N173" i="65"/>
  <c r="AK173" i="65"/>
  <c r="N181" i="65"/>
  <c r="AI181" i="65"/>
  <c r="AJ181" i="65"/>
  <c r="AL181" i="65"/>
  <c r="AH181" i="65"/>
  <c r="AK181" i="65"/>
  <c r="N193" i="65"/>
  <c r="AH201" i="65"/>
  <c r="AI201" i="65"/>
  <c r="N201" i="65"/>
  <c r="AL201" i="65"/>
  <c r="AJ201" i="65"/>
  <c r="AK201" i="65"/>
  <c r="N229" i="65"/>
  <c r="N237" i="65"/>
  <c r="N245" i="65"/>
  <c r="AL245" i="65"/>
  <c r="AK245" i="65"/>
  <c r="N158" i="65"/>
  <c r="AJ174" i="65"/>
  <c r="AH174" i="65"/>
  <c r="AL174" i="65"/>
  <c r="N174" i="65"/>
  <c r="AK174" i="65"/>
  <c r="AI174" i="65"/>
  <c r="N190" i="65"/>
  <c r="N194" i="65"/>
  <c r="AI198" i="65"/>
  <c r="N198" i="65"/>
  <c r="AL198" i="65"/>
  <c r="AJ198" i="65"/>
  <c r="AK198" i="65"/>
  <c r="AH198" i="65"/>
  <c r="AJ206" i="65"/>
  <c r="AK206" i="65"/>
  <c r="AI206" i="65"/>
  <c r="N206" i="65"/>
  <c r="AH206" i="65"/>
  <c r="AL206" i="65"/>
  <c r="N214" i="65"/>
  <c r="AK222" i="65"/>
  <c r="AJ222" i="65"/>
  <c r="AH222" i="65"/>
  <c r="AI222" i="65"/>
  <c r="AL222" i="65"/>
  <c r="N222" i="65"/>
  <c r="BE68" i="42"/>
  <c r="BD74" i="42"/>
  <c r="AJ66" i="42"/>
  <c r="BE75" i="42"/>
  <c r="BD75" i="42"/>
  <c r="BE69" i="42"/>
  <c r="BD69" i="42"/>
  <c r="BE70" i="42"/>
  <c r="BD70" i="42"/>
  <c r="BD73" i="42"/>
  <c r="BE74" i="42"/>
  <c r="AL66" i="42"/>
  <c r="BD68" i="42"/>
  <c r="BE67" i="42"/>
  <c r="BD67" i="42"/>
  <c r="BE71" i="42"/>
  <c r="BD71" i="42"/>
  <c r="BE76" i="42"/>
  <c r="BE72" i="42"/>
  <c r="BD72" i="42"/>
  <c r="BE78" i="42"/>
  <c r="AK66" i="42"/>
  <c r="AN66" i="42"/>
  <c r="BE66" i="42"/>
  <c r="BD66" i="42"/>
  <c r="BE79" i="42"/>
  <c r="BD79" i="42"/>
  <c r="F80" i="36"/>
  <c r="F81" i="36" s="1"/>
  <c r="B428" i="40" l="1"/>
  <c r="B146" i="65"/>
  <c r="F82" i="36"/>
  <c r="BJ66" i="42"/>
  <c r="BG66" i="42"/>
  <c r="BH66" i="42"/>
  <c r="BF66" i="42"/>
  <c r="H75" i="66"/>
  <c r="H51" i="65"/>
  <c r="H52" i="65"/>
  <c r="H53" i="65"/>
  <c r="H54" i="65"/>
  <c r="H55" i="65"/>
  <c r="H56" i="65"/>
  <c r="H57" i="65"/>
  <c r="H58" i="65"/>
  <c r="H59" i="65"/>
  <c r="H60" i="65"/>
  <c r="H61" i="65"/>
  <c r="H62" i="65"/>
  <c r="H63" i="65"/>
  <c r="H64" i="65"/>
  <c r="H65" i="65"/>
  <c r="H66" i="65"/>
  <c r="H67" i="65"/>
  <c r="H68" i="65"/>
  <c r="H69" i="65"/>
  <c r="H70" i="65"/>
  <c r="H71" i="65"/>
  <c r="H72" i="65"/>
  <c r="H73" i="65"/>
  <c r="H74" i="65"/>
  <c r="H75" i="65"/>
  <c r="H76" i="65"/>
  <c r="H77" i="65"/>
  <c r="H78" i="65"/>
  <c r="H79" i="65"/>
  <c r="H80" i="65"/>
  <c r="H81" i="65"/>
  <c r="H82" i="65"/>
  <c r="H83" i="65"/>
  <c r="H84" i="65"/>
  <c r="H85" i="65"/>
  <c r="H86" i="65"/>
  <c r="H87" i="65"/>
  <c r="H88" i="65"/>
  <c r="H89" i="65"/>
  <c r="H90" i="65"/>
  <c r="H91" i="65"/>
  <c r="H92" i="65"/>
  <c r="H93" i="65"/>
  <c r="H94" i="65"/>
  <c r="H95" i="65"/>
  <c r="H96" i="65"/>
  <c r="H97" i="65"/>
  <c r="H98" i="65"/>
  <c r="H99" i="65"/>
  <c r="H100" i="65"/>
  <c r="H101" i="65"/>
  <c r="H102" i="65"/>
  <c r="H103" i="65"/>
  <c r="H104" i="65"/>
  <c r="H105" i="65"/>
  <c r="H106" i="65"/>
  <c r="H107" i="65"/>
  <c r="H108" i="65"/>
  <c r="H109" i="65"/>
  <c r="H110" i="65"/>
  <c r="H111" i="65"/>
  <c r="H112" i="65"/>
  <c r="H113" i="65"/>
  <c r="H114" i="65"/>
  <c r="H115" i="65"/>
  <c r="H116" i="65"/>
  <c r="H117" i="65"/>
  <c r="H118" i="65"/>
  <c r="H119" i="65"/>
  <c r="H120" i="65"/>
  <c r="H121" i="65"/>
  <c r="H122" i="65"/>
  <c r="H123" i="65"/>
  <c r="H124" i="65"/>
  <c r="H125" i="65"/>
  <c r="H126" i="65"/>
  <c r="H127" i="65"/>
  <c r="H128" i="65"/>
  <c r="H129" i="65"/>
  <c r="H130" i="65"/>
  <c r="H131" i="65"/>
  <c r="H132" i="65"/>
  <c r="H133" i="65"/>
  <c r="H134" i="65"/>
  <c r="H135" i="65"/>
  <c r="H136" i="65"/>
  <c r="H137" i="65"/>
  <c r="H138" i="65"/>
  <c r="H139" i="65"/>
  <c r="H140" i="65"/>
  <c r="H141" i="65"/>
  <c r="H142" i="65"/>
  <c r="O77" i="24"/>
  <c r="N76" i="24"/>
  <c r="O76" i="24" s="1"/>
  <c r="M75" i="24"/>
  <c r="N75" i="24" s="1"/>
  <c r="O75" i="24" s="1"/>
  <c r="L74" i="24"/>
  <c r="M74" i="24" s="1"/>
  <c r="N74" i="24" s="1"/>
  <c r="O74" i="24" s="1"/>
  <c r="P78" i="24"/>
  <c r="Q78" i="24" s="1"/>
  <c r="N122" i="66" l="1"/>
  <c r="O122" i="66"/>
  <c r="Q124" i="66" s="1"/>
  <c r="B429" i="40"/>
  <c r="B147" i="65"/>
  <c r="P74" i="24"/>
  <c r="Q74" i="24" s="1"/>
  <c r="P75" i="24"/>
  <c r="Q75" i="24" s="1"/>
  <c r="P77" i="24"/>
  <c r="Q77" i="24" s="1"/>
  <c r="P76" i="24"/>
  <c r="Q76" i="24" s="1"/>
  <c r="L16" i="65"/>
  <c r="K16" i="65"/>
  <c r="J16" i="65"/>
  <c r="I16" i="65"/>
  <c r="H16" i="65"/>
  <c r="N55" i="25"/>
  <c r="B430" i="40" l="1"/>
  <c r="B148" i="65"/>
  <c r="AT291" i="50"/>
  <c r="B431" i="40" l="1"/>
  <c r="B149" i="65"/>
  <c r="B432" i="40" l="1"/>
  <c r="B150" i="65"/>
  <c r="H50" i="37"/>
  <c r="I51" i="37"/>
  <c r="J52" i="37"/>
  <c r="K53" i="37"/>
  <c r="L54" i="37"/>
  <c r="M55" i="37"/>
  <c r="G49" i="37"/>
  <c r="H41" i="37"/>
  <c r="I42" i="37"/>
  <c r="J43" i="37"/>
  <c r="K44" i="37"/>
  <c r="L45" i="37"/>
  <c r="M46" i="37"/>
  <c r="G40" i="37"/>
  <c r="I803" i="37"/>
  <c r="H803" i="37"/>
  <c r="G803" i="37"/>
  <c r="F803" i="37"/>
  <c r="B803" i="37"/>
  <c r="B433" i="40" l="1"/>
  <c r="B151" i="65"/>
  <c r="K803" i="37"/>
  <c r="L803" i="37"/>
  <c r="M803" i="37"/>
  <c r="N803" i="37"/>
  <c r="O803" i="37"/>
  <c r="B434" i="40" l="1"/>
  <c r="B152" i="65"/>
  <c r="Q803" i="37"/>
  <c r="B435" i="40" l="1"/>
  <c r="B153" i="65"/>
  <c r="R803" i="37"/>
  <c r="B436" i="40" l="1"/>
  <c r="B154" i="65"/>
  <c r="S803" i="37"/>
  <c r="B437" i="40" l="1"/>
  <c r="B155" i="65"/>
  <c r="T803" i="37"/>
  <c r="B438" i="40" l="1"/>
  <c r="B156" i="65"/>
  <c r="U803" i="37"/>
  <c r="B439" i="40" l="1"/>
  <c r="B157" i="65"/>
  <c r="N15" i="66"/>
  <c r="F64" i="66"/>
  <c r="B440" i="40" l="1"/>
  <c r="B158" i="65"/>
  <c r="H17" i="32"/>
  <c r="F13" i="32"/>
  <c r="B441" i="40" l="1"/>
  <c r="B159" i="65"/>
  <c r="B442" i="40" l="1"/>
  <c r="B160" i="65"/>
  <c r="J29" i="25"/>
  <c r="I28" i="25"/>
  <c r="H27" i="25"/>
  <c r="J17" i="25"/>
  <c r="I16" i="25"/>
  <c r="H15" i="25"/>
  <c r="F67" i="25"/>
  <c r="N59" i="25"/>
  <c r="N58" i="25"/>
  <c r="M59" i="25"/>
  <c r="I60" i="25"/>
  <c r="J60" i="25"/>
  <c r="H60" i="25"/>
  <c r="H59" i="25"/>
  <c r="I59" i="25"/>
  <c r="J59" i="25"/>
  <c r="I58" i="25"/>
  <c r="J58" i="25"/>
  <c r="H58" i="25"/>
  <c r="N141" i="25" l="1"/>
  <c r="O142" i="25"/>
  <c r="B443" i="40"/>
  <c r="B161" i="65"/>
  <c r="F159" i="50"/>
  <c r="H159" i="50"/>
  <c r="I159" i="50"/>
  <c r="J159" i="50"/>
  <c r="K159" i="50"/>
  <c r="F160" i="50"/>
  <c r="H160" i="50"/>
  <c r="T160" i="50" s="1"/>
  <c r="I160" i="50"/>
  <c r="J160" i="50"/>
  <c r="K160" i="50"/>
  <c r="F161" i="50"/>
  <c r="H161" i="50"/>
  <c r="I161" i="50"/>
  <c r="J161" i="50"/>
  <c r="K161" i="50"/>
  <c r="F162" i="50"/>
  <c r="H162" i="50"/>
  <c r="P162" i="50" s="1"/>
  <c r="I162" i="50"/>
  <c r="J162" i="50"/>
  <c r="K162" i="50"/>
  <c r="F163" i="50"/>
  <c r="H163" i="50"/>
  <c r="I163" i="50"/>
  <c r="J163" i="50"/>
  <c r="K163" i="50"/>
  <c r="F164" i="50"/>
  <c r="H164" i="50"/>
  <c r="M164" i="50" s="1"/>
  <c r="I164" i="50"/>
  <c r="J164" i="50"/>
  <c r="K164" i="50"/>
  <c r="F165" i="50"/>
  <c r="H165" i="50"/>
  <c r="I165" i="50"/>
  <c r="J165" i="50"/>
  <c r="M165" i="50" s="1"/>
  <c r="K165" i="50"/>
  <c r="F166" i="50"/>
  <c r="H166" i="50"/>
  <c r="I166" i="50"/>
  <c r="J166" i="50"/>
  <c r="K166" i="50"/>
  <c r="F167" i="50"/>
  <c r="H167" i="50"/>
  <c r="I167" i="50"/>
  <c r="J167" i="50"/>
  <c r="K167" i="50"/>
  <c r="F168" i="50"/>
  <c r="H168" i="50"/>
  <c r="I168" i="50"/>
  <c r="J168" i="50"/>
  <c r="K168" i="50"/>
  <c r="F169" i="50"/>
  <c r="H169" i="50"/>
  <c r="I169" i="50"/>
  <c r="J169" i="50"/>
  <c r="K169" i="50"/>
  <c r="F170" i="50"/>
  <c r="H170" i="50"/>
  <c r="I170" i="50"/>
  <c r="J170" i="50"/>
  <c r="K170" i="50"/>
  <c r="F171" i="50"/>
  <c r="H171" i="50"/>
  <c r="W171" i="50" s="1"/>
  <c r="I171" i="50"/>
  <c r="J171" i="50"/>
  <c r="K171" i="50"/>
  <c r="F172" i="50"/>
  <c r="H172" i="50"/>
  <c r="I172" i="50"/>
  <c r="J172" i="50"/>
  <c r="K172" i="50"/>
  <c r="F173" i="50"/>
  <c r="H173" i="50"/>
  <c r="I173" i="50"/>
  <c r="J173" i="50"/>
  <c r="P173" i="50" s="1"/>
  <c r="K173" i="50"/>
  <c r="F174" i="50"/>
  <c r="H174" i="50"/>
  <c r="I174" i="50"/>
  <c r="J174" i="50"/>
  <c r="Q174" i="50" s="1"/>
  <c r="K174" i="50"/>
  <c r="F175" i="50"/>
  <c r="H175" i="50"/>
  <c r="I175" i="50"/>
  <c r="J175" i="50"/>
  <c r="K175" i="50"/>
  <c r="F176" i="50"/>
  <c r="H176" i="50"/>
  <c r="I176" i="50"/>
  <c r="J176" i="50"/>
  <c r="K176" i="50"/>
  <c r="F177" i="50"/>
  <c r="H177" i="50"/>
  <c r="I177" i="50"/>
  <c r="J177" i="50"/>
  <c r="K177" i="50"/>
  <c r="F178" i="50"/>
  <c r="H178" i="50"/>
  <c r="I178" i="50"/>
  <c r="J178" i="50"/>
  <c r="AE178" i="50" s="1"/>
  <c r="K178" i="50"/>
  <c r="F179" i="50"/>
  <c r="H179" i="50"/>
  <c r="I179" i="50"/>
  <c r="J179" i="50"/>
  <c r="K179" i="50"/>
  <c r="F180" i="50"/>
  <c r="H180" i="50"/>
  <c r="I180" i="50"/>
  <c r="J180" i="50"/>
  <c r="M180" i="50" s="1"/>
  <c r="K180" i="50"/>
  <c r="F181" i="50"/>
  <c r="H181" i="50"/>
  <c r="I181" i="50"/>
  <c r="J181" i="50"/>
  <c r="M181" i="50" s="1"/>
  <c r="K181" i="50"/>
  <c r="F182" i="50"/>
  <c r="H182" i="50"/>
  <c r="AB182" i="50" s="1"/>
  <c r="I182" i="50"/>
  <c r="J182" i="50"/>
  <c r="K182" i="50"/>
  <c r="F183" i="50"/>
  <c r="H183" i="50"/>
  <c r="I183" i="50"/>
  <c r="J183" i="50"/>
  <c r="K183" i="50"/>
  <c r="F184" i="50"/>
  <c r="H184" i="50"/>
  <c r="I184" i="50"/>
  <c r="J184" i="50"/>
  <c r="K184" i="50"/>
  <c r="F185" i="50"/>
  <c r="H185" i="50"/>
  <c r="I185" i="50"/>
  <c r="J185" i="50"/>
  <c r="K185" i="50"/>
  <c r="Q185" i="50"/>
  <c r="F186" i="50"/>
  <c r="H186" i="50"/>
  <c r="I186" i="50"/>
  <c r="J186" i="50"/>
  <c r="K186" i="50"/>
  <c r="F187" i="50"/>
  <c r="H187" i="50"/>
  <c r="I187" i="50"/>
  <c r="J187" i="50"/>
  <c r="K187" i="50"/>
  <c r="F188" i="50"/>
  <c r="H188" i="50"/>
  <c r="I188" i="50"/>
  <c r="J188" i="50"/>
  <c r="K188" i="50"/>
  <c r="F189" i="50"/>
  <c r="H189" i="50"/>
  <c r="I189" i="50"/>
  <c r="J189" i="50"/>
  <c r="K189" i="50"/>
  <c r="F190" i="50"/>
  <c r="H190" i="50"/>
  <c r="AT190" i="50" s="1"/>
  <c r="I190" i="50"/>
  <c r="J190" i="50"/>
  <c r="AN190" i="50" s="1"/>
  <c r="K190" i="50"/>
  <c r="F191" i="50"/>
  <c r="H191" i="50"/>
  <c r="I191" i="50"/>
  <c r="J191" i="50"/>
  <c r="M191" i="50" s="1"/>
  <c r="K191" i="50"/>
  <c r="F192" i="50"/>
  <c r="H192" i="50"/>
  <c r="I192" i="50"/>
  <c r="J192" i="50"/>
  <c r="K192" i="50"/>
  <c r="F193" i="50"/>
  <c r="H193" i="50"/>
  <c r="I193" i="50"/>
  <c r="J193" i="50"/>
  <c r="V193" i="50" s="1"/>
  <c r="K193" i="50"/>
  <c r="F194" i="50"/>
  <c r="H194" i="50"/>
  <c r="I194" i="50"/>
  <c r="J194" i="50"/>
  <c r="K194" i="50"/>
  <c r="F195" i="50"/>
  <c r="H195" i="50"/>
  <c r="I195" i="50"/>
  <c r="J195" i="50"/>
  <c r="K195" i="50"/>
  <c r="F196" i="50"/>
  <c r="H196" i="50"/>
  <c r="I196" i="50"/>
  <c r="J196" i="50"/>
  <c r="K196" i="50"/>
  <c r="F197" i="50"/>
  <c r="H197" i="50"/>
  <c r="AT197" i="50" s="1"/>
  <c r="I197" i="50"/>
  <c r="J197" i="50"/>
  <c r="K197" i="50"/>
  <c r="F198" i="50"/>
  <c r="H198" i="50"/>
  <c r="I198" i="50"/>
  <c r="J198" i="50"/>
  <c r="K198" i="50"/>
  <c r="F199" i="50"/>
  <c r="H199" i="50"/>
  <c r="I199" i="50"/>
  <c r="J199" i="50"/>
  <c r="M199" i="50" s="1"/>
  <c r="K199" i="50"/>
  <c r="F200" i="50"/>
  <c r="H200" i="50"/>
  <c r="I200" i="50"/>
  <c r="J200" i="50"/>
  <c r="K200" i="50"/>
  <c r="B200" i="50"/>
  <c r="B196" i="50"/>
  <c r="B197" i="50"/>
  <c r="B198" i="50"/>
  <c r="B199" i="50"/>
  <c r="B195" i="50"/>
  <c r="B192" i="50"/>
  <c r="B193" i="50"/>
  <c r="B194" i="50"/>
  <c r="B188" i="50"/>
  <c r="B189" i="50"/>
  <c r="B190" i="50"/>
  <c r="B191" i="50"/>
  <c r="B187" i="50"/>
  <c r="B180" i="50"/>
  <c r="B181" i="50"/>
  <c r="B182" i="50"/>
  <c r="B183" i="50"/>
  <c r="B184" i="50"/>
  <c r="B185" i="50"/>
  <c r="B186" i="50"/>
  <c r="B159" i="50"/>
  <c r="B160" i="50"/>
  <c r="B161" i="50"/>
  <c r="B162" i="50"/>
  <c r="B163" i="50"/>
  <c r="B164" i="50"/>
  <c r="B165" i="50"/>
  <c r="B166" i="50"/>
  <c r="B167" i="50"/>
  <c r="B168" i="50"/>
  <c r="B169" i="50"/>
  <c r="B170" i="50"/>
  <c r="B171" i="50"/>
  <c r="B172" i="50"/>
  <c r="B173" i="50"/>
  <c r="B174" i="50"/>
  <c r="B175" i="50"/>
  <c r="B176" i="50"/>
  <c r="B177" i="50"/>
  <c r="B178" i="50"/>
  <c r="B179" i="50"/>
  <c r="F64" i="25"/>
  <c r="F63" i="25"/>
  <c r="M60" i="25"/>
  <c r="M58" i="25"/>
  <c r="AD173" i="50" l="1"/>
  <c r="W173" i="50"/>
  <c r="Q162" i="50"/>
  <c r="X160" i="50"/>
  <c r="V173" i="50"/>
  <c r="N196" i="50"/>
  <c r="M171" i="50"/>
  <c r="O144" i="25"/>
  <c r="O143" i="25"/>
  <c r="P167" i="50"/>
  <c r="AC181" i="50"/>
  <c r="T170" i="50"/>
  <c r="P197" i="50"/>
  <c r="S197" i="50" s="1"/>
  <c r="T194" i="50"/>
  <c r="AE193" i="50"/>
  <c r="T180" i="50"/>
  <c r="AD167" i="50"/>
  <c r="AC172" i="50"/>
  <c r="M196" i="50"/>
  <c r="W181" i="50"/>
  <c r="P178" i="50"/>
  <c r="S178" i="50" s="1"/>
  <c r="B444" i="40"/>
  <c r="B162" i="65"/>
  <c r="AO200" i="50"/>
  <c r="AP200" i="50"/>
  <c r="AQ200" i="50"/>
  <c r="AN200" i="50"/>
  <c r="X199" i="50"/>
  <c r="AT199" i="50"/>
  <c r="AV199" i="50"/>
  <c r="AU199" i="50"/>
  <c r="AN198" i="50"/>
  <c r="AO198" i="50"/>
  <c r="AT186" i="50"/>
  <c r="AU186" i="50"/>
  <c r="AW186" i="50"/>
  <c r="AV186" i="50"/>
  <c r="AT170" i="50"/>
  <c r="AU170" i="50"/>
  <c r="AW170" i="50"/>
  <c r="AV170" i="50"/>
  <c r="M168" i="50"/>
  <c r="AN168" i="50"/>
  <c r="AO168" i="50"/>
  <c r="AP168" i="50"/>
  <c r="M161" i="50"/>
  <c r="AO161" i="50"/>
  <c r="AP161" i="50"/>
  <c r="AN161" i="50"/>
  <c r="AN159" i="50"/>
  <c r="AO159" i="50"/>
  <c r="AP159" i="50"/>
  <c r="AB200" i="50"/>
  <c r="AV193" i="50"/>
  <c r="AW193" i="50"/>
  <c r="AT193" i="50"/>
  <c r="AU193" i="50"/>
  <c r="AP192" i="50"/>
  <c r="AN192" i="50"/>
  <c r="AO192" i="50"/>
  <c r="AT191" i="50"/>
  <c r="AU191" i="50"/>
  <c r="AO185" i="50"/>
  <c r="AP185" i="50"/>
  <c r="AQ185" i="50"/>
  <c r="AN185" i="50"/>
  <c r="AT183" i="50"/>
  <c r="AU183" i="50"/>
  <c r="AW183" i="50"/>
  <c r="AV183" i="50"/>
  <c r="AB181" i="50"/>
  <c r="V181" i="50"/>
  <c r="AT180" i="50"/>
  <c r="AU180" i="50"/>
  <c r="AV180" i="50"/>
  <c r="AW180" i="50"/>
  <c r="Q178" i="50"/>
  <c r="AP177" i="50"/>
  <c r="AQ177" i="50"/>
  <c r="AN177" i="50"/>
  <c r="AO177" i="50"/>
  <c r="AQ173" i="50"/>
  <c r="AN173" i="50"/>
  <c r="AO173" i="50"/>
  <c r="AP173" i="50"/>
  <c r="AT171" i="50"/>
  <c r="AU171" i="50"/>
  <c r="AW171" i="50"/>
  <c r="AV171" i="50"/>
  <c r="AT169" i="50"/>
  <c r="AU169" i="50"/>
  <c r="AW169" i="50"/>
  <c r="AV169" i="50"/>
  <c r="S167" i="50"/>
  <c r="AV167" i="50"/>
  <c r="AU167" i="50"/>
  <c r="AT167" i="50"/>
  <c r="AO166" i="50"/>
  <c r="AP166" i="50"/>
  <c r="AN166" i="50"/>
  <c r="AT165" i="50"/>
  <c r="AU165" i="50"/>
  <c r="AV165" i="50"/>
  <c r="AV163" i="50"/>
  <c r="AU163" i="50"/>
  <c r="AT163" i="50"/>
  <c r="S162" i="50"/>
  <c r="V162" i="50"/>
  <c r="AU162" i="50"/>
  <c r="AV162" i="50"/>
  <c r="AT162" i="50"/>
  <c r="AT160" i="50"/>
  <c r="AV160" i="50"/>
  <c r="AU160" i="50"/>
  <c r="AP179" i="50"/>
  <c r="AQ179" i="50"/>
  <c r="AN179" i="50"/>
  <c r="AO179" i="50"/>
  <c r="AQ175" i="50"/>
  <c r="AN175" i="50"/>
  <c r="AR175" i="50"/>
  <c r="AO175" i="50"/>
  <c r="AP175" i="50"/>
  <c r="AT174" i="50"/>
  <c r="AU174" i="50"/>
  <c r="AV174" i="50"/>
  <c r="AW174" i="50"/>
  <c r="P172" i="50"/>
  <c r="S172" i="50" s="1"/>
  <c r="AQ172" i="50"/>
  <c r="AN172" i="50"/>
  <c r="AO172" i="50"/>
  <c r="AP172" i="50"/>
  <c r="X200" i="50"/>
  <c r="AT200" i="50"/>
  <c r="AU200" i="50"/>
  <c r="AV200" i="50"/>
  <c r="AW200" i="50"/>
  <c r="P198" i="50"/>
  <c r="S198" i="50" s="1"/>
  <c r="AN197" i="50"/>
  <c r="M195" i="50"/>
  <c r="M184" i="50"/>
  <c r="AO184" i="50"/>
  <c r="AP184" i="50"/>
  <c r="AQ184" i="50"/>
  <c r="AN184" i="50"/>
  <c r="AO182" i="50"/>
  <c r="AP182" i="50"/>
  <c r="AQ182" i="50"/>
  <c r="AN182" i="50"/>
  <c r="AF181" i="50"/>
  <c r="Z181" i="50"/>
  <c r="AT181" i="50"/>
  <c r="AU181" i="50"/>
  <c r="AW181" i="50"/>
  <c r="AV181" i="50"/>
  <c r="AT179" i="50"/>
  <c r="AU179" i="50"/>
  <c r="AW179" i="50"/>
  <c r="AV179" i="50"/>
  <c r="AT178" i="50"/>
  <c r="AU178" i="50"/>
  <c r="AW178" i="50"/>
  <c r="AV178" i="50"/>
  <c r="AP176" i="50"/>
  <c r="AQ176" i="50"/>
  <c r="AN176" i="50"/>
  <c r="AO176" i="50"/>
  <c r="AD175" i="50"/>
  <c r="AT175" i="50"/>
  <c r="AU175" i="50"/>
  <c r="AW175" i="50"/>
  <c r="AV175" i="50"/>
  <c r="AQ174" i="50"/>
  <c r="AN174" i="50"/>
  <c r="AO174" i="50"/>
  <c r="AP174" i="50"/>
  <c r="S173" i="50"/>
  <c r="M172" i="50"/>
  <c r="AB172" i="50"/>
  <c r="AT172" i="50"/>
  <c r="AU172" i="50"/>
  <c r="AV172" i="50"/>
  <c r="AW172" i="50"/>
  <c r="AQ170" i="50"/>
  <c r="AN170" i="50"/>
  <c r="AO170" i="50"/>
  <c r="AP170" i="50"/>
  <c r="AT168" i="50"/>
  <c r="AU168" i="50"/>
  <c r="AV168" i="50"/>
  <c r="AN164" i="50"/>
  <c r="AO164" i="50"/>
  <c r="AP164" i="50"/>
  <c r="AT161" i="50"/>
  <c r="AU161" i="50"/>
  <c r="AV161" i="50"/>
  <c r="AV159" i="50"/>
  <c r="AT159" i="50"/>
  <c r="AU159" i="50"/>
  <c r="AB186" i="50"/>
  <c r="AT184" i="50"/>
  <c r="AU184" i="50"/>
  <c r="AW184" i="50"/>
  <c r="AV184" i="50"/>
  <c r="AT182" i="50"/>
  <c r="AU182" i="50"/>
  <c r="AW182" i="50"/>
  <c r="AV182" i="50"/>
  <c r="N181" i="50"/>
  <c r="AP181" i="50"/>
  <c r="AQ181" i="50"/>
  <c r="AN181" i="50"/>
  <c r="AR181" i="50"/>
  <c r="AO181" i="50"/>
  <c r="AP178" i="50"/>
  <c r="AQ178" i="50"/>
  <c r="AN178" i="50"/>
  <c r="AO178" i="50"/>
  <c r="AT176" i="50"/>
  <c r="AU176" i="50"/>
  <c r="AV176" i="50"/>
  <c r="AW176" i="50"/>
  <c r="AT164" i="50"/>
  <c r="AU164" i="50"/>
  <c r="AV164" i="50"/>
  <c r="M200" i="50"/>
  <c r="N199" i="50"/>
  <c r="AN199" i="50"/>
  <c r="AO199" i="50"/>
  <c r="AP199" i="50"/>
  <c r="AU198" i="50"/>
  <c r="AT198" i="50"/>
  <c r="AE186" i="50"/>
  <c r="AO186" i="50"/>
  <c r="AP186" i="50"/>
  <c r="AQ186" i="50"/>
  <c r="AN186" i="50"/>
  <c r="T196" i="50"/>
  <c r="AQ193" i="50"/>
  <c r="AN193" i="50"/>
  <c r="AO193" i="50"/>
  <c r="AP193" i="50"/>
  <c r="Q192" i="50"/>
  <c r="AU192" i="50"/>
  <c r="AV192" i="50"/>
  <c r="AT192" i="50"/>
  <c r="AN191" i="50"/>
  <c r="AO191" i="50"/>
  <c r="T190" i="50"/>
  <c r="M188" i="50"/>
  <c r="M185" i="50"/>
  <c r="AT185" i="50"/>
  <c r="AU185" i="50"/>
  <c r="AW185" i="50"/>
  <c r="AV185" i="50"/>
  <c r="AO183" i="50"/>
  <c r="AP183" i="50"/>
  <c r="AQ183" i="50"/>
  <c r="AN183" i="50"/>
  <c r="AE182" i="50"/>
  <c r="AE181" i="50"/>
  <c r="X181" i="50"/>
  <c r="AP180" i="50"/>
  <c r="AQ180" i="50"/>
  <c r="AN180" i="50"/>
  <c r="AO180" i="50"/>
  <c r="AT177" i="50"/>
  <c r="AU177" i="50"/>
  <c r="AW177" i="50"/>
  <c r="AV177" i="50"/>
  <c r="AC173" i="50"/>
  <c r="AI173" i="50" s="1"/>
  <c r="N173" i="50"/>
  <c r="AT173" i="50"/>
  <c r="AU173" i="50"/>
  <c r="AW173" i="50"/>
  <c r="AV173" i="50"/>
  <c r="AQ171" i="50"/>
  <c r="AN171" i="50"/>
  <c r="AO171" i="50"/>
  <c r="AP171" i="50"/>
  <c r="V170" i="50"/>
  <c r="AN169" i="50"/>
  <c r="AR169" i="50"/>
  <c r="AO169" i="50"/>
  <c r="AP169" i="50"/>
  <c r="AQ169" i="50"/>
  <c r="AP167" i="50"/>
  <c r="AN167" i="50"/>
  <c r="AO167" i="50"/>
  <c r="P166" i="50"/>
  <c r="S166" i="50" s="1"/>
  <c r="AU166" i="50"/>
  <c r="AV166" i="50"/>
  <c r="AT166" i="50"/>
  <c r="W165" i="50"/>
  <c r="AN165" i="50"/>
  <c r="AO165" i="50"/>
  <c r="AP165" i="50"/>
  <c r="AC164" i="50"/>
  <c r="AQ163" i="50"/>
  <c r="AR163" i="50" s="1"/>
  <c r="AN163" i="50"/>
  <c r="AO163" i="50"/>
  <c r="AP163" i="50"/>
  <c r="AB162" i="50"/>
  <c r="AP162" i="50"/>
  <c r="AN162" i="50"/>
  <c r="AO162" i="50"/>
  <c r="M160" i="50"/>
  <c r="AN160" i="50"/>
  <c r="AO160" i="50"/>
  <c r="AP160" i="50"/>
  <c r="V197" i="50"/>
  <c r="AB197" i="50"/>
  <c r="AE183" i="50"/>
  <c r="T183" i="50"/>
  <c r="M177" i="50"/>
  <c r="W177" i="50"/>
  <c r="M176" i="50"/>
  <c r="AD176" i="50"/>
  <c r="T176" i="50"/>
  <c r="P169" i="50"/>
  <c r="AE169" i="50"/>
  <c r="V169" i="50"/>
  <c r="AF169" i="50"/>
  <c r="V166" i="50"/>
  <c r="W166" i="50"/>
  <c r="X185" i="50"/>
  <c r="AD183" i="50"/>
  <c r="N180" i="50"/>
  <c r="X180" i="50"/>
  <c r="AC180" i="50"/>
  <c r="AC176" i="50"/>
  <c r="Z169" i="50"/>
  <c r="T164" i="50"/>
  <c r="X164" i="50"/>
  <c r="AB192" i="50"/>
  <c r="M192" i="50"/>
  <c r="V190" i="50"/>
  <c r="V183" i="50"/>
  <c r="X177" i="50"/>
  <c r="X176" i="50"/>
  <c r="P175" i="50"/>
  <c r="Z175" i="50"/>
  <c r="W174" i="50"/>
  <c r="AB174" i="50"/>
  <c r="P174" i="50"/>
  <c r="S174" i="50" s="1"/>
  <c r="AE174" i="50"/>
  <c r="AB171" i="50"/>
  <c r="W169" i="50"/>
  <c r="AB166" i="50"/>
  <c r="AC200" i="50"/>
  <c r="Q197" i="50"/>
  <c r="X192" i="50"/>
  <c r="AD180" i="50"/>
  <c r="V178" i="50"/>
  <c r="AB178" i="50"/>
  <c r="V174" i="50"/>
  <c r="Q173" i="50"/>
  <c r="Y173" i="50"/>
  <c r="AE173" i="50"/>
  <c r="T173" i="50"/>
  <c r="AB173" i="50"/>
  <c r="AH173" i="50" s="1"/>
  <c r="M170" i="50"/>
  <c r="Q166" i="50"/>
  <c r="N200" i="50"/>
  <c r="N170" i="50"/>
  <c r="Q164" i="50"/>
  <c r="W162" i="50"/>
  <c r="AD160" i="50"/>
  <c r="AJ160" i="50" s="1"/>
  <c r="N160" i="50"/>
  <c r="Q200" i="50"/>
  <c r="M197" i="50"/>
  <c r="W178" i="50"/>
  <c r="N176" i="50"/>
  <c r="AD164" i="50"/>
  <c r="N164" i="50"/>
  <c r="AC160" i="50"/>
  <c r="T187" i="50"/>
  <c r="Q159" i="50"/>
  <c r="W159" i="50"/>
  <c r="AB159" i="50"/>
  <c r="M159" i="50"/>
  <c r="X159" i="50"/>
  <c r="AC159" i="50"/>
  <c r="V159" i="50"/>
  <c r="N159" i="50"/>
  <c r="AD159" i="50"/>
  <c r="P159" i="50"/>
  <c r="T159" i="50"/>
  <c r="P199" i="50"/>
  <c r="S199" i="50" s="1"/>
  <c r="V199" i="50"/>
  <c r="Q199" i="50"/>
  <c r="W199" i="50"/>
  <c r="AB199" i="50"/>
  <c r="M189" i="50"/>
  <c r="N189" i="50"/>
  <c r="T189" i="50"/>
  <c r="P189" i="50"/>
  <c r="Q189" i="50"/>
  <c r="P184" i="50"/>
  <c r="S184" i="50" s="1"/>
  <c r="V184" i="50"/>
  <c r="AE184" i="50"/>
  <c r="Q184" i="50"/>
  <c r="W184" i="50"/>
  <c r="AB184" i="50"/>
  <c r="N184" i="50"/>
  <c r="Y184" i="50"/>
  <c r="AC184" i="50"/>
  <c r="T184" i="50"/>
  <c r="X184" i="50"/>
  <c r="AD184" i="50"/>
  <c r="P181" i="50"/>
  <c r="P200" i="50"/>
  <c r="S200" i="50" s="1"/>
  <c r="V200" i="50"/>
  <c r="AH200" i="50" s="1"/>
  <c r="AE200" i="50"/>
  <c r="AD199" i="50"/>
  <c r="T199" i="50"/>
  <c r="Q198" i="50"/>
  <c r="W198" i="50"/>
  <c r="AB198" i="50"/>
  <c r="M198" i="50"/>
  <c r="AC198" i="50"/>
  <c r="N198" i="50"/>
  <c r="T198" i="50"/>
  <c r="P195" i="50"/>
  <c r="T195" i="50"/>
  <c r="Q179" i="50"/>
  <c r="W179" i="50"/>
  <c r="AB179" i="50"/>
  <c r="M179" i="50"/>
  <c r="X179" i="50"/>
  <c r="AC179" i="50"/>
  <c r="V179" i="50"/>
  <c r="AE179" i="50"/>
  <c r="N179" i="50"/>
  <c r="Y179" i="50"/>
  <c r="AD179" i="50"/>
  <c r="P179" i="50"/>
  <c r="T179" i="50"/>
  <c r="W200" i="50"/>
  <c r="AC199" i="50"/>
  <c r="V198" i="50"/>
  <c r="M193" i="50"/>
  <c r="X193" i="50"/>
  <c r="AC193" i="50"/>
  <c r="N193" i="50"/>
  <c r="T193" i="50"/>
  <c r="Y193" i="50"/>
  <c r="AK193" i="50" s="1"/>
  <c r="AD193" i="50"/>
  <c r="W193" i="50"/>
  <c r="P193" i="50"/>
  <c r="Q193" i="50"/>
  <c r="AB193" i="50"/>
  <c r="AH193" i="50" s="1"/>
  <c r="P191" i="50"/>
  <c r="S191" i="50" s="1"/>
  <c r="V191" i="50"/>
  <c r="N191" i="50"/>
  <c r="AC191" i="50"/>
  <c r="T191" i="50"/>
  <c r="P196" i="50"/>
  <c r="N192" i="50"/>
  <c r="T192" i="50"/>
  <c r="AD192" i="50"/>
  <c r="P192" i="50"/>
  <c r="S192" i="50" s="1"/>
  <c r="V192" i="50"/>
  <c r="Q190" i="50"/>
  <c r="AB190" i="50"/>
  <c r="M190" i="50"/>
  <c r="T188" i="50"/>
  <c r="P188" i="50"/>
  <c r="M186" i="50"/>
  <c r="X186" i="50"/>
  <c r="AC186" i="50"/>
  <c r="N186" i="50"/>
  <c r="T186" i="50"/>
  <c r="Y186" i="50"/>
  <c r="AD186" i="50"/>
  <c r="W186" i="50"/>
  <c r="P186" i="50"/>
  <c r="M182" i="50"/>
  <c r="X182" i="50"/>
  <c r="AC182" i="50"/>
  <c r="N182" i="50"/>
  <c r="T182" i="50"/>
  <c r="Y182" i="50"/>
  <c r="AD182" i="50"/>
  <c r="W182" i="50"/>
  <c r="P182" i="50"/>
  <c r="S182" i="50" s="1"/>
  <c r="T197" i="50"/>
  <c r="N197" i="50"/>
  <c r="W192" i="50"/>
  <c r="Q191" i="50"/>
  <c r="P190" i="50"/>
  <c r="V186" i="50"/>
  <c r="AH186" i="50" s="1"/>
  <c r="N185" i="50"/>
  <c r="T185" i="50"/>
  <c r="Y185" i="50"/>
  <c r="AD185" i="50"/>
  <c r="P185" i="50"/>
  <c r="V185" i="50"/>
  <c r="AE185" i="50"/>
  <c r="AC185" i="50"/>
  <c r="W185" i="50"/>
  <c r="V182" i="50"/>
  <c r="AH182" i="50" s="1"/>
  <c r="AI181" i="50"/>
  <c r="N177" i="50"/>
  <c r="T177" i="50"/>
  <c r="Y177" i="50"/>
  <c r="AD177" i="50"/>
  <c r="P177" i="50"/>
  <c r="S177" i="50" s="1"/>
  <c r="V177" i="50"/>
  <c r="AE177" i="50"/>
  <c r="Q177" i="50"/>
  <c r="AB177" i="50"/>
  <c r="AC177" i="50"/>
  <c r="W175" i="50"/>
  <c r="AB175" i="50"/>
  <c r="AF175" i="50"/>
  <c r="M175" i="50"/>
  <c r="X175" i="50"/>
  <c r="AC175" i="50"/>
  <c r="V175" i="50"/>
  <c r="AE175" i="50"/>
  <c r="N175" i="50"/>
  <c r="Y175" i="50"/>
  <c r="N165" i="50"/>
  <c r="T165" i="50"/>
  <c r="AD165" i="50"/>
  <c r="P165" i="50"/>
  <c r="S165" i="50" s="1"/>
  <c r="V165" i="50"/>
  <c r="Q165" i="50"/>
  <c r="AB165" i="50"/>
  <c r="AC165" i="50"/>
  <c r="AI165" i="50" s="1"/>
  <c r="X165" i="50"/>
  <c r="AD200" i="50"/>
  <c r="AJ200" i="50" s="1"/>
  <c r="Y200" i="50"/>
  <c r="T200" i="50"/>
  <c r="Q196" i="50"/>
  <c r="AC192" i="50"/>
  <c r="N190" i="50"/>
  <c r="Q186" i="50"/>
  <c r="AB185" i="50"/>
  <c r="Q183" i="50"/>
  <c r="W183" i="50"/>
  <c r="AB183" i="50"/>
  <c r="M183" i="50"/>
  <c r="X183" i="50"/>
  <c r="AC183" i="50"/>
  <c r="N183" i="50"/>
  <c r="Y183" i="50"/>
  <c r="P183" i="50"/>
  <c r="Q182" i="50"/>
  <c r="T175" i="50"/>
  <c r="Q172" i="50"/>
  <c r="X172" i="50"/>
  <c r="AE172" i="50"/>
  <c r="V172" i="50"/>
  <c r="W172" i="50"/>
  <c r="P171" i="50"/>
  <c r="S171" i="50" s="1"/>
  <c r="V171" i="50"/>
  <c r="AE171" i="50"/>
  <c r="Q171" i="50"/>
  <c r="X171" i="50"/>
  <c r="AD171" i="50"/>
  <c r="Y171" i="50"/>
  <c r="N171" i="50"/>
  <c r="AC171" i="50"/>
  <c r="AI171" i="50" s="1"/>
  <c r="T171" i="50"/>
  <c r="P168" i="50"/>
  <c r="S168" i="50" s="1"/>
  <c r="X168" i="50"/>
  <c r="AD168" i="50"/>
  <c r="T168" i="50"/>
  <c r="W163" i="50"/>
  <c r="AB163" i="50"/>
  <c r="AF163" i="50"/>
  <c r="M163" i="50"/>
  <c r="X163" i="50"/>
  <c r="AC163" i="50"/>
  <c r="V163" i="50"/>
  <c r="AE163" i="50"/>
  <c r="N163" i="50"/>
  <c r="Y163" i="50"/>
  <c r="P163" i="50"/>
  <c r="S163" i="50" s="1"/>
  <c r="T163" i="50"/>
  <c r="Z163" i="50"/>
  <c r="AD163" i="50"/>
  <c r="N161" i="50"/>
  <c r="T161" i="50"/>
  <c r="AD161" i="50"/>
  <c r="P161" i="50"/>
  <c r="S161" i="50" s="1"/>
  <c r="V161" i="50"/>
  <c r="Q161" i="50"/>
  <c r="AB161" i="50"/>
  <c r="AC161" i="50"/>
  <c r="W161" i="50"/>
  <c r="X161" i="50"/>
  <c r="AB191" i="50"/>
  <c r="W191" i="50"/>
  <c r="Y180" i="50"/>
  <c r="Y176" i="50"/>
  <c r="AC170" i="50"/>
  <c r="P180" i="50"/>
  <c r="V180" i="50"/>
  <c r="AE180" i="50"/>
  <c r="Q180" i="50"/>
  <c r="W180" i="50"/>
  <c r="AB180" i="50"/>
  <c r="M178" i="50"/>
  <c r="X178" i="50"/>
  <c r="AC178" i="50"/>
  <c r="N178" i="50"/>
  <c r="T178" i="50"/>
  <c r="Y178" i="50"/>
  <c r="AK178" i="50" s="1"/>
  <c r="AD178" i="50"/>
  <c r="P176" i="50"/>
  <c r="V176" i="50"/>
  <c r="AE176" i="50"/>
  <c r="Q176" i="50"/>
  <c r="W176" i="50"/>
  <c r="AB176" i="50"/>
  <c r="M174" i="50"/>
  <c r="X174" i="50"/>
  <c r="AC174" i="50"/>
  <c r="N174" i="50"/>
  <c r="T174" i="50"/>
  <c r="Y174" i="50"/>
  <c r="AD174" i="50"/>
  <c r="P170" i="50"/>
  <c r="X170" i="50"/>
  <c r="AD170" i="50"/>
  <c r="Y170" i="50"/>
  <c r="AE170" i="50"/>
  <c r="M169" i="50"/>
  <c r="X169" i="50"/>
  <c r="AC169" i="50"/>
  <c r="N169" i="50"/>
  <c r="T169" i="50"/>
  <c r="Y169" i="50"/>
  <c r="AD169" i="50"/>
  <c r="Q167" i="50"/>
  <c r="W167" i="50"/>
  <c r="AB167" i="50"/>
  <c r="M167" i="50"/>
  <c r="X167" i="50"/>
  <c r="AC167" i="50"/>
  <c r="V167" i="50"/>
  <c r="N167" i="50"/>
  <c r="AD181" i="50"/>
  <c r="AJ181" i="50" s="1"/>
  <c r="Y181" i="50"/>
  <c r="T181" i="50"/>
  <c r="M173" i="50"/>
  <c r="X173" i="50"/>
  <c r="AJ173" i="50" s="1"/>
  <c r="N172" i="50"/>
  <c r="T172" i="50"/>
  <c r="Y172" i="50"/>
  <c r="AD172" i="50"/>
  <c r="Q170" i="50"/>
  <c r="W170" i="50"/>
  <c r="AB170" i="50"/>
  <c r="AH170" i="50" s="1"/>
  <c r="AB169" i="50"/>
  <c r="T167" i="50"/>
  <c r="Q168" i="50"/>
  <c r="W168" i="50"/>
  <c r="AB168" i="50"/>
  <c r="AC168" i="50"/>
  <c r="V168" i="50"/>
  <c r="N168" i="50"/>
  <c r="M166" i="50"/>
  <c r="X166" i="50"/>
  <c r="AC166" i="50"/>
  <c r="N166" i="50"/>
  <c r="T166" i="50"/>
  <c r="AD166" i="50"/>
  <c r="P164" i="50"/>
  <c r="V164" i="50"/>
  <c r="M162" i="50"/>
  <c r="X162" i="50"/>
  <c r="AC162" i="50"/>
  <c r="N162" i="50"/>
  <c r="T162" i="50"/>
  <c r="AD162" i="50"/>
  <c r="P160" i="50"/>
  <c r="V160" i="50"/>
  <c r="Q160" i="50"/>
  <c r="W160" i="50"/>
  <c r="AB160" i="50"/>
  <c r="AB164" i="50"/>
  <c r="W164" i="50"/>
  <c r="F263" i="50"/>
  <c r="F264" i="50"/>
  <c r="F265" i="50"/>
  <c r="F266" i="50"/>
  <c r="F267" i="50"/>
  <c r="F268" i="50"/>
  <c r="F269" i="50"/>
  <c r="F270" i="50"/>
  <c r="F271" i="50"/>
  <c r="F272" i="50"/>
  <c r="F273" i="50"/>
  <c r="F274" i="50"/>
  <c r="F275" i="50"/>
  <c r="F276" i="50"/>
  <c r="F277" i="50"/>
  <c r="F278" i="50"/>
  <c r="F279" i="50"/>
  <c r="F280" i="50"/>
  <c r="F281" i="50"/>
  <c r="F282" i="50"/>
  <c r="F283" i="50"/>
  <c r="F284" i="50"/>
  <c r="F285" i="50"/>
  <c r="F286" i="50"/>
  <c r="F287" i="50"/>
  <c r="F288" i="50"/>
  <c r="F289" i="50"/>
  <c r="H268" i="50"/>
  <c r="I268" i="50"/>
  <c r="J268" i="50" s="1"/>
  <c r="H269" i="50"/>
  <c r="I269" i="50"/>
  <c r="J269" i="50" s="1"/>
  <c r="H270" i="50"/>
  <c r="I270" i="50"/>
  <c r="J270" i="50" s="1"/>
  <c r="H271" i="50"/>
  <c r="I271" i="50"/>
  <c r="J271" i="50" s="1"/>
  <c r="H272" i="50"/>
  <c r="I272" i="50"/>
  <c r="J272" i="50" s="1"/>
  <c r="H273" i="50"/>
  <c r="I273" i="50"/>
  <c r="J273" i="50" s="1"/>
  <c r="H274" i="50"/>
  <c r="I274" i="50"/>
  <c r="J274" i="50" s="1"/>
  <c r="H275" i="50"/>
  <c r="I275" i="50"/>
  <c r="J275" i="50" s="1"/>
  <c r="H276" i="50"/>
  <c r="I276" i="50"/>
  <c r="J276" i="50" s="1"/>
  <c r="H277" i="50"/>
  <c r="I277" i="50"/>
  <c r="J277" i="50" s="1"/>
  <c r="H278" i="50"/>
  <c r="I278" i="50"/>
  <c r="J278" i="50" s="1"/>
  <c r="H279" i="50"/>
  <c r="I279" i="50"/>
  <c r="J279" i="50" s="1"/>
  <c r="H280" i="50"/>
  <c r="I280" i="50"/>
  <c r="J280" i="50" s="1"/>
  <c r="H281" i="50"/>
  <c r="I281" i="50"/>
  <c r="J281" i="50" s="1"/>
  <c r="H282" i="50"/>
  <c r="I282" i="50"/>
  <c r="J282" i="50" s="1"/>
  <c r="H283" i="50"/>
  <c r="I283" i="50"/>
  <c r="J283" i="50" s="1"/>
  <c r="H284" i="50"/>
  <c r="I284" i="50"/>
  <c r="J284" i="50" s="1"/>
  <c r="H285" i="50"/>
  <c r="I285" i="50"/>
  <c r="J285" i="50" s="1"/>
  <c r="H286" i="50"/>
  <c r="I286" i="50"/>
  <c r="J286" i="50" s="1"/>
  <c r="H287" i="50"/>
  <c r="I287" i="50"/>
  <c r="J287" i="50" s="1"/>
  <c r="H288" i="50"/>
  <c r="I288" i="50"/>
  <c r="J288" i="50" s="1"/>
  <c r="H289" i="50"/>
  <c r="I289" i="50"/>
  <c r="J289" i="50" s="1"/>
  <c r="AN291" i="50"/>
  <c r="AN292" i="50"/>
  <c r="AN293" i="50"/>
  <c r="AN294" i="50"/>
  <c r="AN295" i="50"/>
  <c r="AN296" i="50"/>
  <c r="AN297" i="50"/>
  <c r="AN298" i="50"/>
  <c r="AN299" i="50"/>
  <c r="B272" i="50"/>
  <c r="B273" i="50"/>
  <c r="B274" i="50"/>
  <c r="B275" i="50"/>
  <c r="B276" i="50"/>
  <c r="B277" i="50"/>
  <c r="B278" i="50"/>
  <c r="B279" i="50"/>
  <c r="B280" i="50"/>
  <c r="B281" i="50"/>
  <c r="B282" i="50"/>
  <c r="B283" i="50"/>
  <c r="B284" i="50"/>
  <c r="B285" i="50"/>
  <c r="B286" i="50"/>
  <c r="B287" i="50"/>
  <c r="B288" i="50"/>
  <c r="B289" i="50"/>
  <c r="K52" i="32"/>
  <c r="K51" i="32"/>
  <c r="K50" i="32"/>
  <c r="K48" i="32"/>
  <c r="K47" i="32"/>
  <c r="K46" i="32"/>
  <c r="K45" i="32"/>
  <c r="K44" i="32"/>
  <c r="J36" i="32"/>
  <c r="K36" i="32"/>
  <c r="J37" i="32"/>
  <c r="K37" i="32"/>
  <c r="I37" i="32"/>
  <c r="I36" i="32"/>
  <c r="K43" i="32"/>
  <c r="K42" i="32"/>
  <c r="K40" i="32"/>
  <c r="K39" i="32"/>
  <c r="K38" i="32"/>
  <c r="K103" i="25"/>
  <c r="Q104" i="25" s="1"/>
  <c r="AI164" i="50" l="1"/>
  <c r="O145" i="25"/>
  <c r="Q146" i="25" s="1"/>
  <c r="M41" i="32" s="1"/>
  <c r="AJ167" i="50"/>
  <c r="AI172" i="50"/>
  <c r="AK181" i="50"/>
  <c r="AK186" i="50"/>
  <c r="AK182" i="50"/>
  <c r="AJ199" i="50"/>
  <c r="AH162" i="50"/>
  <c r="AH181" i="50"/>
  <c r="AJ175" i="50"/>
  <c r="AL181" i="50"/>
  <c r="B445" i="40"/>
  <c r="B163" i="65"/>
  <c r="M299" i="50"/>
  <c r="S299" i="50"/>
  <c r="N299" i="50"/>
  <c r="T299" i="50"/>
  <c r="P299" i="50"/>
  <c r="V299" i="50"/>
  <c r="Q299" i="50"/>
  <c r="AB299" i="50"/>
  <c r="Q297" i="50"/>
  <c r="M297" i="50"/>
  <c r="S297" i="50"/>
  <c r="AB297" i="50"/>
  <c r="N297" i="50"/>
  <c r="T297" i="50"/>
  <c r="P297" i="50"/>
  <c r="V297" i="50"/>
  <c r="AH297" i="50" s="1"/>
  <c r="P295" i="50"/>
  <c r="V295" i="50"/>
  <c r="Q295" i="50"/>
  <c r="M295" i="50"/>
  <c r="S295" i="50"/>
  <c r="N295" i="50"/>
  <c r="T295" i="50"/>
  <c r="AB295" i="50"/>
  <c r="N293" i="50"/>
  <c r="T293" i="50"/>
  <c r="AB293" i="50"/>
  <c r="P293" i="50"/>
  <c r="V293" i="50"/>
  <c r="Q293" i="50"/>
  <c r="M293" i="50"/>
  <c r="S293" i="50"/>
  <c r="M291" i="50"/>
  <c r="S291" i="50"/>
  <c r="V291" i="50"/>
  <c r="Q291" i="50"/>
  <c r="N291" i="50"/>
  <c r="T291" i="50"/>
  <c r="AB291" i="50"/>
  <c r="P291" i="50"/>
  <c r="AH172" i="50"/>
  <c r="AT298" i="50"/>
  <c r="AT296" i="50"/>
  <c r="AT294" i="50"/>
  <c r="AT292" i="50"/>
  <c r="AT299" i="50"/>
  <c r="AT297" i="50"/>
  <c r="AT295" i="50"/>
  <c r="AT293" i="50"/>
  <c r="Q298" i="50"/>
  <c r="M298" i="50"/>
  <c r="S298" i="50"/>
  <c r="AB298" i="50"/>
  <c r="N298" i="50"/>
  <c r="T298" i="50"/>
  <c r="P298" i="50"/>
  <c r="V298" i="50"/>
  <c r="M296" i="50"/>
  <c r="S296" i="50"/>
  <c r="N296" i="50"/>
  <c r="T296" i="50"/>
  <c r="AB296" i="50"/>
  <c r="P296" i="50"/>
  <c r="V296" i="50"/>
  <c r="Q296" i="50"/>
  <c r="Q294" i="50"/>
  <c r="M294" i="50"/>
  <c r="S294" i="50"/>
  <c r="N294" i="50"/>
  <c r="T294" i="50"/>
  <c r="AB294" i="50"/>
  <c r="P294" i="50"/>
  <c r="V294" i="50"/>
  <c r="P292" i="50"/>
  <c r="V292" i="50"/>
  <c r="Q292" i="50"/>
  <c r="M292" i="50"/>
  <c r="S292" i="50"/>
  <c r="N292" i="50"/>
  <c r="T292" i="50"/>
  <c r="AB292" i="50"/>
  <c r="AH178" i="50"/>
  <c r="AJ165" i="50"/>
  <c r="M289" i="50"/>
  <c r="S289" i="50"/>
  <c r="X289" i="50"/>
  <c r="AC289" i="50"/>
  <c r="W289" i="50"/>
  <c r="AF289" i="50"/>
  <c r="N289" i="50"/>
  <c r="T289" i="50"/>
  <c r="Y289" i="50"/>
  <c r="AD289" i="50"/>
  <c r="Q289" i="50"/>
  <c r="P289" i="50"/>
  <c r="V289" i="50"/>
  <c r="Z289" i="50"/>
  <c r="AE289" i="50"/>
  <c r="AB289" i="50"/>
  <c r="Q285" i="50"/>
  <c r="M285" i="50"/>
  <c r="S285" i="50"/>
  <c r="N285" i="50"/>
  <c r="T285" i="50"/>
  <c r="P285" i="50"/>
  <c r="Q281" i="50"/>
  <c r="M281" i="50"/>
  <c r="S281" i="50"/>
  <c r="P281" i="50"/>
  <c r="N281" i="50"/>
  <c r="T281" i="50"/>
  <c r="Q277" i="50"/>
  <c r="M277" i="50"/>
  <c r="S277" i="50"/>
  <c r="N277" i="50"/>
  <c r="T277" i="50"/>
  <c r="P277" i="50"/>
  <c r="M275" i="50"/>
  <c r="S275" i="50"/>
  <c r="Q275" i="50"/>
  <c r="N275" i="50"/>
  <c r="T275" i="50"/>
  <c r="P275" i="50"/>
  <c r="Q271" i="50"/>
  <c r="S271" i="50" s="1"/>
  <c r="W271" i="50"/>
  <c r="AB271" i="50"/>
  <c r="AF271" i="50"/>
  <c r="M271" i="50"/>
  <c r="X271" i="50"/>
  <c r="AC271" i="50"/>
  <c r="N271" i="50"/>
  <c r="T271" i="50"/>
  <c r="Y271" i="50"/>
  <c r="AD271" i="50"/>
  <c r="P271" i="50"/>
  <c r="V271" i="50"/>
  <c r="Z271" i="50"/>
  <c r="AE271" i="50"/>
  <c r="P288" i="50"/>
  <c r="T288" i="50"/>
  <c r="Q288" i="50"/>
  <c r="M288" i="50"/>
  <c r="S288" i="50"/>
  <c r="N288" i="50"/>
  <c r="P284" i="50"/>
  <c r="T284" i="50"/>
  <c r="Q284" i="50"/>
  <c r="M284" i="50"/>
  <c r="S284" i="50"/>
  <c r="N284" i="50"/>
  <c r="P280" i="50"/>
  <c r="Q280" i="50"/>
  <c r="M280" i="50"/>
  <c r="S280" i="50"/>
  <c r="N280" i="50"/>
  <c r="T280" i="50"/>
  <c r="P276" i="50"/>
  <c r="Q276" i="50"/>
  <c r="T276" i="50"/>
  <c r="M276" i="50"/>
  <c r="S276" i="50"/>
  <c r="N276" i="50"/>
  <c r="P272" i="50"/>
  <c r="T272" i="50"/>
  <c r="M272" i="50"/>
  <c r="T268" i="50"/>
  <c r="M268" i="50"/>
  <c r="AR268" i="50"/>
  <c r="P268" i="50"/>
  <c r="Q290" i="50"/>
  <c r="M290" i="50"/>
  <c r="S290" i="50"/>
  <c r="N290" i="50"/>
  <c r="T290" i="50"/>
  <c r="P290" i="50"/>
  <c r="Q286" i="50"/>
  <c r="P286" i="50"/>
  <c r="M286" i="50"/>
  <c r="S286" i="50"/>
  <c r="N286" i="50"/>
  <c r="T286" i="50"/>
  <c r="Q282" i="50"/>
  <c r="P282" i="50"/>
  <c r="M282" i="50"/>
  <c r="S282" i="50"/>
  <c r="N282" i="50"/>
  <c r="T282" i="50"/>
  <c r="Q278" i="50"/>
  <c r="P278" i="50"/>
  <c r="M278" i="50"/>
  <c r="S278" i="50"/>
  <c r="N278" i="50"/>
  <c r="T278" i="50"/>
  <c r="Q274" i="50"/>
  <c r="M274" i="50"/>
  <c r="S274" i="50"/>
  <c r="N274" i="50"/>
  <c r="T274" i="50"/>
  <c r="P274" i="50"/>
  <c r="P270" i="50"/>
  <c r="M270" i="50"/>
  <c r="T270" i="50"/>
  <c r="M287" i="50"/>
  <c r="S287" i="50"/>
  <c r="N287" i="50"/>
  <c r="T287" i="50"/>
  <c r="Q287" i="50"/>
  <c r="P287" i="50"/>
  <c r="M283" i="50"/>
  <c r="S283" i="50"/>
  <c r="N283" i="50"/>
  <c r="T283" i="50"/>
  <c r="Q283" i="50"/>
  <c r="P283" i="50"/>
  <c r="M279" i="50"/>
  <c r="S279" i="50"/>
  <c r="N279" i="50"/>
  <c r="T279" i="50"/>
  <c r="Q279" i="50"/>
  <c r="P279" i="50"/>
  <c r="M273" i="50"/>
  <c r="P273" i="50"/>
  <c r="T273" i="50"/>
  <c r="P269" i="50"/>
  <c r="M269" i="50"/>
  <c r="T269" i="50"/>
  <c r="AJ180" i="50"/>
  <c r="AH197" i="50"/>
  <c r="AH167" i="50"/>
  <c r="AI177" i="50"/>
  <c r="S170" i="50"/>
  <c r="S180" i="50"/>
  <c r="S183" i="50"/>
  <c r="S185" i="50"/>
  <c r="S164" i="50"/>
  <c r="AI178" i="50"/>
  <c r="AH171" i="50"/>
  <c r="S190" i="50"/>
  <c r="S186" i="50"/>
  <c r="S193" i="50"/>
  <c r="AH169" i="50"/>
  <c r="S176" i="50"/>
  <c r="AJ185" i="50"/>
  <c r="AJ192" i="50"/>
  <c r="S196" i="50"/>
  <c r="S189" i="50"/>
  <c r="AJ176" i="50"/>
  <c r="S160" i="50"/>
  <c r="AI166" i="50"/>
  <c r="AI174" i="50"/>
  <c r="AH180" i="50"/>
  <c r="AJ177" i="50"/>
  <c r="AH190" i="50"/>
  <c r="AI200" i="50"/>
  <c r="S179" i="50"/>
  <c r="S181" i="50"/>
  <c r="S159" i="50"/>
  <c r="AH159" i="50"/>
  <c r="S175" i="50"/>
  <c r="AJ164" i="50"/>
  <c r="AL169" i="50"/>
  <c r="AH166" i="50"/>
  <c r="S169" i="50"/>
  <c r="AI169" i="50"/>
  <c r="AI193" i="50"/>
  <c r="AK184" i="50"/>
  <c r="AI160" i="50"/>
  <c r="AK163" i="50"/>
  <c r="AH163" i="50"/>
  <c r="AI163" i="50"/>
  <c r="AJ171" i="50"/>
  <c r="AH174" i="50"/>
  <c r="AK174" i="50"/>
  <c r="AI180" i="50"/>
  <c r="AK183" i="50"/>
  <c r="AJ183" i="50"/>
  <c r="AH198" i="50"/>
  <c r="AH199" i="50"/>
  <c r="AI176" i="50"/>
  <c r="AH183" i="50"/>
  <c r="AK200" i="50"/>
  <c r="AK175" i="50"/>
  <c r="AH175" i="50"/>
  <c r="AI175" i="50"/>
  <c r="AI198" i="50"/>
  <c r="AI184" i="50"/>
  <c r="AI162" i="50"/>
  <c r="AK169" i="50"/>
  <c r="AJ161" i="50"/>
  <c r="AH161" i="50"/>
  <c r="AL175" i="50"/>
  <c r="AI182" i="50"/>
  <c r="AK173" i="50"/>
  <c r="AJ162" i="50"/>
  <c r="AI170" i="50"/>
  <c r="AK172" i="50"/>
  <c r="AJ169" i="50"/>
  <c r="AJ178" i="50"/>
  <c r="AI191" i="50"/>
  <c r="AH185" i="50"/>
  <c r="AK185" i="50"/>
  <c r="AI186" i="50"/>
  <c r="AH192" i="50"/>
  <c r="AK179" i="50"/>
  <c r="AH179" i="50"/>
  <c r="AJ184" i="50"/>
  <c r="AH164" i="50"/>
  <c r="AH191" i="50"/>
  <c r="AI159" i="50"/>
  <c r="AJ170" i="50"/>
  <c r="AK176" i="50"/>
  <c r="AK180" i="50"/>
  <c r="AJ168" i="50"/>
  <c r="AI183" i="50"/>
  <c r="AH177" i="50"/>
  <c r="AI192" i="50"/>
  <c r="AJ186" i="50"/>
  <c r="AJ193" i="50"/>
  <c r="AJ179" i="50"/>
  <c r="AH160" i="50"/>
  <c r="AI167" i="50"/>
  <c r="AK170" i="50"/>
  <c r="AH176" i="50"/>
  <c r="AK177" i="50"/>
  <c r="AJ182" i="50"/>
  <c r="AI179" i="50"/>
  <c r="AI199" i="50"/>
  <c r="AJ166" i="50"/>
  <c r="AH168" i="50"/>
  <c r="AI168" i="50"/>
  <c r="AJ174" i="50"/>
  <c r="AI161" i="50"/>
  <c r="AL163" i="50"/>
  <c r="AJ163" i="50"/>
  <c r="AK171" i="50"/>
  <c r="AJ172" i="50"/>
  <c r="AH165" i="50"/>
  <c r="AI185" i="50"/>
  <c r="AH184" i="50"/>
  <c r="AJ159" i="50"/>
  <c r="F23" i="34"/>
  <c r="AH292" i="50" l="1"/>
  <c r="B446" i="40"/>
  <c r="B164" i="65"/>
  <c r="AN271" i="50"/>
  <c r="AO271" i="50" s="1"/>
  <c r="AP271" i="50" s="1"/>
  <c r="AQ271" i="50" s="1"/>
  <c r="AR271" i="50" s="1"/>
  <c r="AH299" i="50"/>
  <c r="AN289" i="50"/>
  <c r="AO289" i="50" s="1"/>
  <c r="AP289" i="50" s="1"/>
  <c r="AQ289" i="50" s="1"/>
  <c r="AR289" i="50" s="1"/>
  <c r="AH293" i="50"/>
  <c r="AH294" i="50"/>
  <c r="AH291" i="50"/>
  <c r="AH296" i="50"/>
  <c r="AH298" i="50"/>
  <c r="AH295" i="50"/>
  <c r="AL289" i="50"/>
  <c r="AI271" i="50"/>
  <c r="AI289" i="50"/>
  <c r="AL271" i="50"/>
  <c r="AK271" i="50"/>
  <c r="AJ271" i="50"/>
  <c r="AJ289" i="50"/>
  <c r="AH271" i="50"/>
  <c r="AH289" i="50"/>
  <c r="AK289" i="50"/>
  <c r="B447" i="40" l="1"/>
  <c r="B165" i="65"/>
  <c r="B448" i="40" l="1"/>
  <c r="B166" i="65"/>
  <c r="F60" i="42"/>
  <c r="F175" i="24"/>
  <c r="F181" i="24"/>
  <c r="F182" i="24" s="1"/>
  <c r="B449" i="40" l="1"/>
  <c r="B167" i="65"/>
  <c r="I75" i="66"/>
  <c r="J75" i="66"/>
  <c r="Q34" i="66"/>
  <c r="P33" i="66"/>
  <c r="O32" i="66"/>
  <c r="N31" i="66"/>
  <c r="M30" i="66"/>
  <c r="L29" i="66"/>
  <c r="K28" i="66"/>
  <c r="B450" i="40" l="1"/>
  <c r="B168" i="65"/>
  <c r="O31" i="66"/>
  <c r="B451" i="40" l="1"/>
  <c r="B169" i="65"/>
  <c r="Q33" i="66"/>
  <c r="P32" i="66"/>
  <c r="N30" i="66"/>
  <c r="P31" i="66"/>
  <c r="B452" i="40" l="1"/>
  <c r="B170" i="65"/>
  <c r="Q31" i="66"/>
  <c r="Q32" i="66"/>
  <c r="O30" i="66"/>
  <c r="B453" i="40" l="1"/>
  <c r="B171" i="65"/>
  <c r="P30" i="66"/>
  <c r="B454" i="40" l="1"/>
  <c r="B172" i="65"/>
  <c r="L28" i="66"/>
  <c r="Q30" i="66"/>
  <c r="M29" i="66"/>
  <c r="B455" i="40" l="1"/>
  <c r="B173" i="65"/>
  <c r="N29" i="66"/>
  <c r="M28" i="66"/>
  <c r="B456" i="40" l="1"/>
  <c r="B174" i="65"/>
  <c r="N28" i="66"/>
  <c r="O29" i="66"/>
  <c r="M65" i="42"/>
  <c r="S65" i="42" s="1"/>
  <c r="B11" i="69" a="1"/>
  <c r="B11" i="69" s="1"/>
  <c r="B457" i="40" l="1"/>
  <c r="B175" i="65"/>
  <c r="P29" i="66"/>
  <c r="O28" i="66"/>
  <c r="O65" i="42"/>
  <c r="R65" i="42" s="1"/>
  <c r="U65" i="42"/>
  <c r="L65" i="42"/>
  <c r="B17" i="84"/>
  <c r="H218" i="50"/>
  <c r="I218" i="50"/>
  <c r="H219" i="50"/>
  <c r="I219" i="50"/>
  <c r="H220" i="50"/>
  <c r="I220" i="50"/>
  <c r="H221" i="50"/>
  <c r="I221" i="50"/>
  <c r="H222" i="50"/>
  <c r="I222" i="50"/>
  <c r="H223" i="50"/>
  <c r="I223" i="50"/>
  <c r="H224" i="50"/>
  <c r="I224" i="50"/>
  <c r="H225" i="50"/>
  <c r="I225" i="50"/>
  <c r="H226" i="50"/>
  <c r="I226" i="50"/>
  <c r="H227" i="50"/>
  <c r="I227" i="50"/>
  <c r="H228" i="50"/>
  <c r="I228" i="50"/>
  <c r="H229" i="50"/>
  <c r="I229" i="50"/>
  <c r="H230" i="50"/>
  <c r="I230" i="50"/>
  <c r="H231" i="50"/>
  <c r="I231" i="50"/>
  <c r="H232" i="50"/>
  <c r="I232" i="50"/>
  <c r="H233" i="50"/>
  <c r="I233" i="50"/>
  <c r="H234" i="50"/>
  <c r="I234" i="50"/>
  <c r="H235" i="50"/>
  <c r="I235" i="50"/>
  <c r="H236" i="50"/>
  <c r="I236" i="50"/>
  <c r="H237" i="50"/>
  <c r="I237" i="50"/>
  <c r="H238" i="50"/>
  <c r="I238" i="50"/>
  <c r="H239" i="50"/>
  <c r="I239" i="50"/>
  <c r="H240" i="50"/>
  <c r="I240" i="50"/>
  <c r="H241" i="50"/>
  <c r="I241" i="50"/>
  <c r="H242" i="50"/>
  <c r="I242" i="50"/>
  <c r="H243" i="50"/>
  <c r="I243" i="50"/>
  <c r="H244" i="50"/>
  <c r="I244" i="50"/>
  <c r="H245" i="50"/>
  <c r="I245" i="50"/>
  <c r="H246" i="50"/>
  <c r="I246" i="50"/>
  <c r="H247" i="50"/>
  <c r="I247" i="50"/>
  <c r="H248" i="50"/>
  <c r="I248" i="50"/>
  <c r="H249" i="50"/>
  <c r="I249" i="50"/>
  <c r="H250" i="50"/>
  <c r="I250" i="50"/>
  <c r="H251" i="50"/>
  <c r="I251" i="50"/>
  <c r="H252" i="50"/>
  <c r="I252" i="50"/>
  <c r="H253" i="50"/>
  <c r="I253" i="50"/>
  <c r="H254" i="50"/>
  <c r="I254" i="50"/>
  <c r="H255" i="50"/>
  <c r="I255" i="50"/>
  <c r="H256" i="50"/>
  <c r="I256" i="50"/>
  <c r="H257" i="50"/>
  <c r="I257" i="50"/>
  <c r="H258" i="50"/>
  <c r="I258" i="50"/>
  <c r="H259" i="50"/>
  <c r="I259" i="50"/>
  <c r="H260" i="50"/>
  <c r="I260" i="50"/>
  <c r="H261" i="50"/>
  <c r="I261" i="50"/>
  <c r="H262" i="50"/>
  <c r="I262" i="50"/>
  <c r="H263" i="50"/>
  <c r="I263" i="50"/>
  <c r="H264" i="50"/>
  <c r="I264" i="50"/>
  <c r="H265" i="50"/>
  <c r="I265" i="50"/>
  <c r="H266" i="50"/>
  <c r="I266" i="50"/>
  <c r="H267" i="50"/>
  <c r="I267" i="50"/>
  <c r="I217" i="50"/>
  <c r="H217" i="50"/>
  <c r="K64" i="42"/>
  <c r="J64" i="42"/>
  <c r="I64" i="42"/>
  <c r="H64" i="42"/>
  <c r="F64" i="42"/>
  <c r="B64" i="42"/>
  <c r="K63" i="42"/>
  <c r="J63" i="42"/>
  <c r="I63" i="42"/>
  <c r="H63" i="42"/>
  <c r="F63" i="42"/>
  <c r="B63" i="42"/>
  <c r="K62" i="42"/>
  <c r="J62" i="42"/>
  <c r="I62" i="42"/>
  <c r="H62" i="42"/>
  <c r="F62" i="42"/>
  <c r="B62" i="42"/>
  <c r="K61" i="42"/>
  <c r="J61" i="42"/>
  <c r="I61" i="42"/>
  <c r="H61" i="42"/>
  <c r="F61" i="42"/>
  <c r="B61" i="42"/>
  <c r="K60" i="42"/>
  <c r="J60" i="42"/>
  <c r="I60" i="42"/>
  <c r="H60" i="42"/>
  <c r="B60" i="42"/>
  <c r="B17" i="83"/>
  <c r="B17" i="81"/>
  <c r="G424" i="40"/>
  <c r="F424" i="40"/>
  <c r="E424" i="40"/>
  <c r="D424" i="40"/>
  <c r="B424" i="40"/>
  <c r="G423" i="40"/>
  <c r="F423" i="40"/>
  <c r="E423" i="40"/>
  <c r="D423" i="40"/>
  <c r="B423" i="40"/>
  <c r="G422" i="40"/>
  <c r="F422" i="40"/>
  <c r="E422" i="40"/>
  <c r="D422" i="40"/>
  <c r="B422" i="40"/>
  <c r="G421" i="40"/>
  <c r="F421" i="40"/>
  <c r="E421" i="40"/>
  <c r="D421" i="40"/>
  <c r="B421" i="40"/>
  <c r="G420" i="40"/>
  <c r="F420" i="40"/>
  <c r="E420" i="40"/>
  <c r="D420" i="40"/>
  <c r="B420" i="40"/>
  <c r="G419" i="40"/>
  <c r="F419" i="40"/>
  <c r="E419" i="40"/>
  <c r="D419" i="40"/>
  <c r="B419" i="40"/>
  <c r="G418" i="40"/>
  <c r="F418" i="40"/>
  <c r="E418" i="40"/>
  <c r="D418" i="40"/>
  <c r="B418" i="40"/>
  <c r="G417" i="40"/>
  <c r="F417" i="40"/>
  <c r="E417" i="40"/>
  <c r="D417" i="40"/>
  <c r="B417" i="40"/>
  <c r="G416" i="40"/>
  <c r="F416" i="40"/>
  <c r="E416" i="40"/>
  <c r="D416" i="40"/>
  <c r="B416" i="40"/>
  <c r="G415" i="40"/>
  <c r="F415" i="40"/>
  <c r="E415" i="40"/>
  <c r="D415" i="40"/>
  <c r="B415" i="40"/>
  <c r="G414" i="40"/>
  <c r="F414" i="40"/>
  <c r="E414" i="40"/>
  <c r="D414" i="40"/>
  <c r="B414" i="40"/>
  <c r="G413" i="40"/>
  <c r="F413" i="40"/>
  <c r="E413" i="40"/>
  <c r="D413" i="40"/>
  <c r="B413" i="40"/>
  <c r="G412" i="40"/>
  <c r="F412" i="40"/>
  <c r="E412" i="40"/>
  <c r="D412" i="40"/>
  <c r="B412" i="40"/>
  <c r="G411" i="40"/>
  <c r="F411" i="40"/>
  <c r="E411" i="40"/>
  <c r="D411" i="40"/>
  <c r="B411" i="40"/>
  <c r="G410" i="40"/>
  <c r="F410" i="40"/>
  <c r="E410" i="40"/>
  <c r="D410" i="40"/>
  <c r="B410" i="40"/>
  <c r="G409" i="40"/>
  <c r="F409" i="40"/>
  <c r="E409" i="40"/>
  <c r="D409" i="40"/>
  <c r="B409" i="40"/>
  <c r="G408" i="40"/>
  <c r="F408" i="40"/>
  <c r="E408" i="40"/>
  <c r="D408" i="40"/>
  <c r="B408" i="40"/>
  <c r="G407" i="40"/>
  <c r="F407" i="40"/>
  <c r="E407" i="40"/>
  <c r="D407" i="40"/>
  <c r="B407" i="40"/>
  <c r="G406" i="40"/>
  <c r="F406" i="40"/>
  <c r="E406" i="40"/>
  <c r="D406" i="40"/>
  <c r="B406" i="40"/>
  <c r="G405" i="40"/>
  <c r="F405" i="40"/>
  <c r="E405" i="40"/>
  <c r="D405" i="40"/>
  <c r="B405" i="40"/>
  <c r="G404" i="40"/>
  <c r="F404" i="40"/>
  <c r="E404" i="40"/>
  <c r="D404" i="40"/>
  <c r="B404" i="40"/>
  <c r="G403" i="40"/>
  <c r="F403" i="40"/>
  <c r="E403" i="40"/>
  <c r="D403" i="40"/>
  <c r="B403" i="40"/>
  <c r="G402" i="40"/>
  <c r="F402" i="40"/>
  <c r="E402" i="40"/>
  <c r="D402" i="40"/>
  <c r="B402" i="40"/>
  <c r="G401" i="40"/>
  <c r="F401" i="40"/>
  <c r="E401" i="40"/>
  <c r="D401" i="40"/>
  <c r="B401" i="40"/>
  <c r="G400" i="40"/>
  <c r="F400" i="40"/>
  <c r="E400" i="40"/>
  <c r="D400" i="40"/>
  <c r="B400" i="40"/>
  <c r="G399" i="40"/>
  <c r="F399" i="40"/>
  <c r="E399" i="40"/>
  <c r="D399" i="40"/>
  <c r="B399" i="40"/>
  <c r="G398" i="40"/>
  <c r="F398" i="40"/>
  <c r="E398" i="40"/>
  <c r="D398" i="40"/>
  <c r="B398" i="40"/>
  <c r="G397" i="40"/>
  <c r="F397" i="40"/>
  <c r="E397" i="40"/>
  <c r="D397" i="40"/>
  <c r="B397" i="40"/>
  <c r="G396" i="40"/>
  <c r="F396" i="40"/>
  <c r="E396" i="40"/>
  <c r="D396" i="40"/>
  <c r="B396" i="40"/>
  <c r="G395" i="40"/>
  <c r="F395" i="40"/>
  <c r="E395" i="40"/>
  <c r="D395" i="40"/>
  <c r="B395" i="40"/>
  <c r="G394" i="40"/>
  <c r="F394" i="40"/>
  <c r="E394" i="40"/>
  <c r="D394" i="40"/>
  <c r="B394" i="40"/>
  <c r="G393" i="40"/>
  <c r="F393" i="40"/>
  <c r="E393" i="40"/>
  <c r="D393" i="40"/>
  <c r="B393" i="40"/>
  <c r="G392" i="40"/>
  <c r="F392" i="40"/>
  <c r="E392" i="40"/>
  <c r="D392" i="40"/>
  <c r="B392" i="40"/>
  <c r="G391" i="40"/>
  <c r="F391" i="40"/>
  <c r="E391" i="40"/>
  <c r="D391" i="40"/>
  <c r="B391" i="40"/>
  <c r="G390" i="40"/>
  <c r="F390" i="40"/>
  <c r="E390" i="40"/>
  <c r="D390" i="40"/>
  <c r="B390" i="40"/>
  <c r="G389" i="40"/>
  <c r="F389" i="40"/>
  <c r="E389" i="40"/>
  <c r="D389" i="40"/>
  <c r="B389" i="40"/>
  <c r="G388" i="40"/>
  <c r="F388" i="40"/>
  <c r="E388" i="40"/>
  <c r="D388" i="40"/>
  <c r="B388" i="40"/>
  <c r="G387" i="40"/>
  <c r="F387" i="40"/>
  <c r="E387" i="40"/>
  <c r="D387" i="40"/>
  <c r="B387" i="40"/>
  <c r="G386" i="40"/>
  <c r="F386" i="40"/>
  <c r="E386" i="40"/>
  <c r="D386" i="40"/>
  <c r="B386" i="40"/>
  <c r="G385" i="40"/>
  <c r="F385" i="40"/>
  <c r="E385" i="40"/>
  <c r="D385" i="40"/>
  <c r="B385" i="40"/>
  <c r="G384" i="40"/>
  <c r="F384" i="40"/>
  <c r="E384" i="40"/>
  <c r="D384" i="40"/>
  <c r="B384" i="40"/>
  <c r="G383" i="40"/>
  <c r="F383" i="40"/>
  <c r="E383" i="40"/>
  <c r="D383" i="40"/>
  <c r="B383" i="40"/>
  <c r="G382" i="40"/>
  <c r="F382" i="40"/>
  <c r="E382" i="40"/>
  <c r="D382" i="40"/>
  <c r="B382" i="40"/>
  <c r="G381" i="40"/>
  <c r="F381" i="40"/>
  <c r="E381" i="40"/>
  <c r="D381" i="40"/>
  <c r="B381" i="40"/>
  <c r="G380" i="40"/>
  <c r="F380" i="40"/>
  <c r="E380" i="40"/>
  <c r="D380" i="40"/>
  <c r="B380" i="40"/>
  <c r="G379" i="40"/>
  <c r="F379" i="40"/>
  <c r="E379" i="40"/>
  <c r="D379" i="40"/>
  <c r="B379" i="40"/>
  <c r="G378" i="40"/>
  <c r="F378" i="40"/>
  <c r="E378" i="40"/>
  <c r="D378" i="40"/>
  <c r="B378" i="40"/>
  <c r="G377" i="40"/>
  <c r="F377" i="40"/>
  <c r="E377" i="40"/>
  <c r="D377" i="40"/>
  <c r="B377" i="40"/>
  <c r="G376" i="40"/>
  <c r="F376" i="40"/>
  <c r="E376" i="40"/>
  <c r="D376" i="40"/>
  <c r="B376" i="40"/>
  <c r="G375" i="40"/>
  <c r="F375" i="40"/>
  <c r="E375" i="40"/>
  <c r="D375" i="40"/>
  <c r="B375" i="40"/>
  <c r="G374" i="40"/>
  <c r="F374" i="40"/>
  <c r="E374" i="40"/>
  <c r="D374" i="40"/>
  <c r="B374" i="40"/>
  <c r="G373" i="40"/>
  <c r="F373" i="40"/>
  <c r="E373" i="40"/>
  <c r="D373" i="40"/>
  <c r="B373" i="40"/>
  <c r="G372" i="40"/>
  <c r="F372" i="40"/>
  <c r="E372" i="40"/>
  <c r="D372" i="40"/>
  <c r="B372" i="40"/>
  <c r="G371" i="40"/>
  <c r="F371" i="40"/>
  <c r="E371" i="40"/>
  <c r="D371" i="40"/>
  <c r="B371" i="40"/>
  <c r="G370" i="40"/>
  <c r="F370" i="40"/>
  <c r="E370" i="40"/>
  <c r="D370" i="40"/>
  <c r="B370" i="40"/>
  <c r="G369" i="40"/>
  <c r="F369" i="40"/>
  <c r="E369" i="40"/>
  <c r="D369" i="40"/>
  <c r="B369" i="40"/>
  <c r="G368" i="40"/>
  <c r="F368" i="40"/>
  <c r="E368" i="40"/>
  <c r="D368" i="40"/>
  <c r="B368" i="40"/>
  <c r="G367" i="40"/>
  <c r="F367" i="40"/>
  <c r="E367" i="40"/>
  <c r="D367" i="40"/>
  <c r="B367" i="40"/>
  <c r="G366" i="40"/>
  <c r="F366" i="40"/>
  <c r="E366" i="40"/>
  <c r="D366" i="40"/>
  <c r="B366" i="40"/>
  <c r="G365" i="40"/>
  <c r="F365" i="40"/>
  <c r="E365" i="40"/>
  <c r="D365" i="40"/>
  <c r="B365" i="40"/>
  <c r="G364" i="40"/>
  <c r="F364" i="40"/>
  <c r="E364" i="40"/>
  <c r="D364" i="40"/>
  <c r="B364" i="40"/>
  <c r="G363" i="40"/>
  <c r="F363" i="40"/>
  <c r="E363" i="40"/>
  <c r="D363" i="40"/>
  <c r="B363" i="40"/>
  <c r="G362" i="40"/>
  <c r="F362" i="40"/>
  <c r="E362" i="40"/>
  <c r="D362" i="40"/>
  <c r="B362" i="40"/>
  <c r="G361" i="40"/>
  <c r="F361" i="40"/>
  <c r="E361" i="40"/>
  <c r="D361" i="40"/>
  <c r="B361" i="40"/>
  <c r="G360" i="40"/>
  <c r="F360" i="40"/>
  <c r="E360" i="40"/>
  <c r="D360" i="40"/>
  <c r="B360" i="40"/>
  <c r="G359" i="40"/>
  <c r="F359" i="40"/>
  <c r="E359" i="40"/>
  <c r="D359" i="40"/>
  <c r="B359" i="40"/>
  <c r="G358" i="40"/>
  <c r="F358" i="40"/>
  <c r="E358" i="40"/>
  <c r="D358" i="40"/>
  <c r="B358" i="40"/>
  <c r="G357" i="40"/>
  <c r="F357" i="40"/>
  <c r="E357" i="40"/>
  <c r="D357" i="40"/>
  <c r="B357" i="40"/>
  <c r="G356" i="40"/>
  <c r="F356" i="40"/>
  <c r="E356" i="40"/>
  <c r="D356" i="40"/>
  <c r="B356" i="40"/>
  <c r="G355" i="40"/>
  <c r="F355" i="40"/>
  <c r="E355" i="40"/>
  <c r="D355" i="40"/>
  <c r="B355" i="40"/>
  <c r="G354" i="40"/>
  <c r="F354" i="40"/>
  <c r="E354" i="40"/>
  <c r="D354" i="40"/>
  <c r="B354" i="40"/>
  <c r="G353" i="40"/>
  <c r="F353" i="40"/>
  <c r="E353" i="40"/>
  <c r="D353" i="40"/>
  <c r="B353" i="40"/>
  <c r="G352" i="40"/>
  <c r="F352" i="40"/>
  <c r="E352" i="40"/>
  <c r="D352" i="40"/>
  <c r="B352" i="40"/>
  <c r="G351" i="40"/>
  <c r="F351" i="40"/>
  <c r="E351" i="40"/>
  <c r="D351" i="40"/>
  <c r="B351" i="40"/>
  <c r="G350" i="40"/>
  <c r="F350" i="40"/>
  <c r="E350" i="40"/>
  <c r="D350" i="40"/>
  <c r="B350" i="40"/>
  <c r="G349" i="40"/>
  <c r="F349" i="40"/>
  <c r="E349" i="40"/>
  <c r="D349" i="40"/>
  <c r="B349" i="40"/>
  <c r="G348" i="40"/>
  <c r="F348" i="40"/>
  <c r="E348" i="40"/>
  <c r="D348" i="40"/>
  <c r="B348" i="40"/>
  <c r="G347" i="40"/>
  <c r="F347" i="40"/>
  <c r="E347" i="40"/>
  <c r="D347" i="40"/>
  <c r="B347" i="40"/>
  <c r="G346" i="40"/>
  <c r="F346" i="40"/>
  <c r="E346" i="40"/>
  <c r="D346" i="40"/>
  <c r="B346" i="40"/>
  <c r="G345" i="40"/>
  <c r="F345" i="40"/>
  <c r="E345" i="40"/>
  <c r="D345" i="40"/>
  <c r="B345" i="40"/>
  <c r="G344" i="40"/>
  <c r="F344" i="40"/>
  <c r="E344" i="40"/>
  <c r="D344" i="40"/>
  <c r="B344" i="40"/>
  <c r="G343" i="40"/>
  <c r="F343" i="40"/>
  <c r="E343" i="40"/>
  <c r="D343" i="40"/>
  <c r="B343" i="40"/>
  <c r="G342" i="40"/>
  <c r="F342" i="40"/>
  <c r="E342" i="40"/>
  <c r="D342" i="40"/>
  <c r="B342" i="40"/>
  <c r="G341" i="40"/>
  <c r="F341" i="40"/>
  <c r="E341" i="40"/>
  <c r="D341" i="40"/>
  <c r="B341" i="40"/>
  <c r="G340" i="40"/>
  <c r="F340" i="40"/>
  <c r="E340" i="40"/>
  <c r="D340" i="40"/>
  <c r="B340" i="40"/>
  <c r="G339" i="40"/>
  <c r="F339" i="40"/>
  <c r="E339" i="40"/>
  <c r="D339" i="40"/>
  <c r="B339" i="40"/>
  <c r="G338" i="40"/>
  <c r="F338" i="40"/>
  <c r="E338" i="40"/>
  <c r="D338" i="40"/>
  <c r="B338" i="40"/>
  <c r="G337" i="40"/>
  <c r="F337" i="40"/>
  <c r="E337" i="40"/>
  <c r="D337" i="40"/>
  <c r="B337" i="40"/>
  <c r="G336" i="40"/>
  <c r="F336" i="40"/>
  <c r="E336" i="40"/>
  <c r="D336" i="40"/>
  <c r="B336" i="40"/>
  <c r="G335" i="40"/>
  <c r="F335" i="40"/>
  <c r="E335" i="40"/>
  <c r="D335" i="40"/>
  <c r="B335" i="40"/>
  <c r="G334" i="40"/>
  <c r="F334" i="40"/>
  <c r="E334" i="40"/>
  <c r="D334" i="40"/>
  <c r="B334" i="40"/>
  <c r="G333" i="40"/>
  <c r="F333" i="40"/>
  <c r="E333" i="40"/>
  <c r="D333" i="40"/>
  <c r="B333" i="40"/>
  <c r="G332" i="40"/>
  <c r="F332" i="40"/>
  <c r="E332" i="40"/>
  <c r="D332" i="40"/>
  <c r="B332" i="40"/>
  <c r="G331" i="40"/>
  <c r="F331" i="40"/>
  <c r="E331" i="40"/>
  <c r="D331" i="40"/>
  <c r="B331" i="40"/>
  <c r="G330" i="40"/>
  <c r="F330" i="40"/>
  <c r="E330" i="40"/>
  <c r="D330" i="40"/>
  <c r="B330" i="40"/>
  <c r="G329" i="40"/>
  <c r="F329" i="40"/>
  <c r="E329" i="40"/>
  <c r="D329" i="40"/>
  <c r="B329" i="40"/>
  <c r="G328" i="40"/>
  <c r="F328" i="40"/>
  <c r="E328" i="40"/>
  <c r="D328" i="40"/>
  <c r="B328" i="40"/>
  <c r="G327" i="40"/>
  <c r="F327" i="40"/>
  <c r="E327" i="40"/>
  <c r="D327" i="40"/>
  <c r="B327" i="40"/>
  <c r="G326" i="40"/>
  <c r="F326" i="40"/>
  <c r="E326" i="40"/>
  <c r="D326" i="40"/>
  <c r="B326" i="40"/>
  <c r="G325" i="40"/>
  <c r="F325" i="40"/>
  <c r="E325" i="40"/>
  <c r="D325" i="40"/>
  <c r="B325" i="40"/>
  <c r="G324" i="40"/>
  <c r="F324" i="40"/>
  <c r="E324" i="40"/>
  <c r="D324" i="40"/>
  <c r="B324" i="40"/>
  <c r="G323" i="40"/>
  <c r="F323" i="40"/>
  <c r="E323" i="40"/>
  <c r="D323" i="40"/>
  <c r="B323" i="40"/>
  <c r="G322" i="40"/>
  <c r="F322" i="40"/>
  <c r="E322" i="40"/>
  <c r="D322" i="40"/>
  <c r="B322" i="40"/>
  <c r="G321" i="40"/>
  <c r="F321" i="40"/>
  <c r="E321" i="40"/>
  <c r="D321" i="40"/>
  <c r="B321" i="40"/>
  <c r="G320" i="40"/>
  <c r="F320" i="40"/>
  <c r="E320" i="40"/>
  <c r="D320" i="40"/>
  <c r="B320" i="40"/>
  <c r="G319" i="40"/>
  <c r="F319" i="40"/>
  <c r="E319" i="40"/>
  <c r="D319" i="40"/>
  <c r="B319" i="40"/>
  <c r="G318" i="40"/>
  <c r="F318" i="40"/>
  <c r="E318" i="40"/>
  <c r="D318" i="40"/>
  <c r="B318" i="40"/>
  <c r="G317" i="40"/>
  <c r="F317" i="40"/>
  <c r="E317" i="40"/>
  <c r="D317" i="40"/>
  <c r="B317" i="40"/>
  <c r="G316" i="40"/>
  <c r="F316" i="40"/>
  <c r="E316" i="40"/>
  <c r="D316" i="40"/>
  <c r="B316" i="40"/>
  <c r="G315" i="40"/>
  <c r="F315" i="40"/>
  <c r="E315" i="40"/>
  <c r="D315" i="40"/>
  <c r="B315" i="40"/>
  <c r="G314" i="40"/>
  <c r="F314" i="40"/>
  <c r="E314" i="40"/>
  <c r="D314" i="40"/>
  <c r="B314" i="40"/>
  <c r="G313" i="40"/>
  <c r="F313" i="40"/>
  <c r="E313" i="40"/>
  <c r="D313" i="40"/>
  <c r="B313" i="40"/>
  <c r="G312" i="40"/>
  <c r="F312" i="40"/>
  <c r="E312" i="40"/>
  <c r="D312" i="40"/>
  <c r="B312" i="40"/>
  <c r="G311" i="40"/>
  <c r="F311" i="40"/>
  <c r="E311" i="40"/>
  <c r="D311" i="40"/>
  <c r="B311" i="40"/>
  <c r="G310" i="40"/>
  <c r="F310" i="40"/>
  <c r="E310" i="40"/>
  <c r="D310" i="40"/>
  <c r="B310" i="40"/>
  <c r="G309" i="40"/>
  <c r="F309" i="40"/>
  <c r="E309" i="40"/>
  <c r="D309" i="40"/>
  <c r="B309" i="40"/>
  <c r="G308" i="40"/>
  <c r="F308" i="40"/>
  <c r="E308" i="40"/>
  <c r="D308" i="40"/>
  <c r="B308" i="40"/>
  <c r="G307" i="40"/>
  <c r="F307" i="40"/>
  <c r="E307" i="40"/>
  <c r="D307" i="40"/>
  <c r="B307" i="40"/>
  <c r="G306" i="40"/>
  <c r="F306" i="40"/>
  <c r="E306" i="40"/>
  <c r="D306" i="40"/>
  <c r="B306" i="40"/>
  <c r="G305" i="40"/>
  <c r="F305" i="40"/>
  <c r="E305" i="40"/>
  <c r="D305" i="40"/>
  <c r="B305" i="40"/>
  <c r="G304" i="40"/>
  <c r="F304" i="40"/>
  <c r="E304" i="40"/>
  <c r="D304" i="40"/>
  <c r="B304" i="40"/>
  <c r="G303" i="40"/>
  <c r="F303" i="40"/>
  <c r="E303" i="40"/>
  <c r="D303" i="40"/>
  <c r="B303" i="40"/>
  <c r="G302" i="40"/>
  <c r="F302" i="40"/>
  <c r="E302" i="40"/>
  <c r="D302" i="40"/>
  <c r="B302" i="40"/>
  <c r="G301" i="40"/>
  <c r="F301" i="40"/>
  <c r="E301" i="40"/>
  <c r="D301" i="40"/>
  <c r="B301" i="40"/>
  <c r="G300" i="40"/>
  <c r="F300" i="40"/>
  <c r="E300" i="40"/>
  <c r="D300" i="40"/>
  <c r="B300" i="40"/>
  <c r="G299" i="40"/>
  <c r="F299" i="40"/>
  <c r="E299" i="40"/>
  <c r="D299" i="40"/>
  <c r="B299" i="40"/>
  <c r="G298" i="40"/>
  <c r="F298" i="40"/>
  <c r="E298" i="40"/>
  <c r="D298" i="40"/>
  <c r="B298" i="40"/>
  <c r="G297" i="40"/>
  <c r="F297" i="40"/>
  <c r="E297" i="40"/>
  <c r="D297" i="40"/>
  <c r="B297" i="40"/>
  <c r="G296" i="40"/>
  <c r="F296" i="40"/>
  <c r="E296" i="40"/>
  <c r="D296" i="40"/>
  <c r="B296" i="40"/>
  <c r="G295" i="40"/>
  <c r="F295" i="40"/>
  <c r="E295" i="40"/>
  <c r="D295" i="40"/>
  <c r="B295" i="40"/>
  <c r="G294" i="40"/>
  <c r="F294" i="40"/>
  <c r="E294" i="40"/>
  <c r="D294" i="40"/>
  <c r="B294" i="40"/>
  <c r="G293" i="40"/>
  <c r="F293" i="40"/>
  <c r="E293" i="40"/>
  <c r="D293" i="40"/>
  <c r="B293" i="40"/>
  <c r="G292" i="40"/>
  <c r="F292" i="40"/>
  <c r="E292" i="40"/>
  <c r="D292" i="40"/>
  <c r="B292" i="40"/>
  <c r="G291" i="40"/>
  <c r="F291" i="40"/>
  <c r="E291" i="40"/>
  <c r="D291" i="40"/>
  <c r="B291" i="40"/>
  <c r="G290" i="40"/>
  <c r="F290" i="40"/>
  <c r="E290" i="40"/>
  <c r="D290" i="40"/>
  <c r="B290" i="40"/>
  <c r="G289" i="40"/>
  <c r="F289" i="40"/>
  <c r="E289" i="40"/>
  <c r="D289" i="40"/>
  <c r="B289" i="40"/>
  <c r="G288" i="40"/>
  <c r="F288" i="40"/>
  <c r="E288" i="40"/>
  <c r="D288" i="40"/>
  <c r="B288" i="40"/>
  <c r="G287" i="40"/>
  <c r="F287" i="40"/>
  <c r="E287" i="40"/>
  <c r="D287" i="40"/>
  <c r="B287" i="40"/>
  <c r="G286" i="40"/>
  <c r="F286" i="40"/>
  <c r="E286" i="40"/>
  <c r="D286" i="40"/>
  <c r="B286" i="40"/>
  <c r="G285" i="40"/>
  <c r="F285" i="40"/>
  <c r="E285" i="40"/>
  <c r="D285" i="40"/>
  <c r="B285" i="40"/>
  <c r="G284" i="40"/>
  <c r="F284" i="40"/>
  <c r="E284" i="40"/>
  <c r="D284" i="40"/>
  <c r="B284" i="40"/>
  <c r="G283" i="40"/>
  <c r="F283" i="40"/>
  <c r="E283" i="40"/>
  <c r="D283" i="40"/>
  <c r="B283" i="40"/>
  <c r="G282" i="40"/>
  <c r="F282" i="40"/>
  <c r="E282" i="40"/>
  <c r="D282" i="40"/>
  <c r="B282" i="40"/>
  <c r="G281" i="40"/>
  <c r="F281" i="40"/>
  <c r="E281" i="40"/>
  <c r="D281" i="40"/>
  <c r="B281" i="40"/>
  <c r="G280" i="40"/>
  <c r="F280" i="40"/>
  <c r="E280" i="40"/>
  <c r="D280" i="40"/>
  <c r="B280" i="40"/>
  <c r="G279" i="40"/>
  <c r="F279" i="40"/>
  <c r="E279" i="40"/>
  <c r="D279" i="40"/>
  <c r="B279" i="40"/>
  <c r="G278" i="40"/>
  <c r="F278" i="40"/>
  <c r="E278" i="40"/>
  <c r="D278" i="40"/>
  <c r="B278" i="40"/>
  <c r="G277" i="40"/>
  <c r="F277" i="40"/>
  <c r="E277" i="40"/>
  <c r="D277" i="40"/>
  <c r="B277" i="40"/>
  <c r="G276" i="40"/>
  <c r="F276" i="40"/>
  <c r="E276" i="40"/>
  <c r="D276" i="40"/>
  <c r="B276" i="40"/>
  <c r="G275" i="40"/>
  <c r="F275" i="40"/>
  <c r="E275" i="40"/>
  <c r="D275" i="40"/>
  <c r="B275" i="40"/>
  <c r="G274" i="40"/>
  <c r="F274" i="40"/>
  <c r="E274" i="40"/>
  <c r="D274" i="40"/>
  <c r="B274" i="40"/>
  <c r="G273" i="40"/>
  <c r="F273" i="40"/>
  <c r="E273" i="40"/>
  <c r="D273" i="40"/>
  <c r="B273" i="40"/>
  <c r="G272" i="40"/>
  <c r="F272" i="40"/>
  <c r="E272" i="40"/>
  <c r="D272" i="40"/>
  <c r="B272" i="40"/>
  <c r="G271" i="40"/>
  <c r="F271" i="40"/>
  <c r="E271" i="40"/>
  <c r="D271" i="40"/>
  <c r="B271" i="40"/>
  <c r="G270" i="40"/>
  <c r="F270" i="40"/>
  <c r="E270" i="40"/>
  <c r="D270" i="40"/>
  <c r="B270" i="40"/>
  <c r="G269" i="40"/>
  <c r="F269" i="40"/>
  <c r="E269" i="40"/>
  <c r="D269" i="40"/>
  <c r="B269" i="40"/>
  <c r="G268" i="40"/>
  <c r="F268" i="40"/>
  <c r="E268" i="40"/>
  <c r="D268" i="40"/>
  <c r="B268" i="40"/>
  <c r="G267" i="40"/>
  <c r="F267" i="40"/>
  <c r="E267" i="40"/>
  <c r="D267" i="40"/>
  <c r="B267" i="40"/>
  <c r="G266" i="40"/>
  <c r="F266" i="40"/>
  <c r="E266" i="40"/>
  <c r="D266" i="40"/>
  <c r="B266" i="40"/>
  <c r="G265" i="40"/>
  <c r="F265" i="40"/>
  <c r="E265" i="40"/>
  <c r="D265" i="40"/>
  <c r="B265" i="40"/>
  <c r="G264" i="40"/>
  <c r="F264" i="40"/>
  <c r="E264" i="40"/>
  <c r="D264" i="40"/>
  <c r="B264" i="40"/>
  <c r="G263" i="40"/>
  <c r="F263" i="40"/>
  <c r="E263" i="40"/>
  <c r="D263" i="40"/>
  <c r="B263" i="40"/>
  <c r="G262" i="40"/>
  <c r="F262" i="40"/>
  <c r="E262" i="40"/>
  <c r="D262" i="40"/>
  <c r="B262" i="40"/>
  <c r="G261" i="40"/>
  <c r="F261" i="40"/>
  <c r="E261" i="40"/>
  <c r="D261" i="40"/>
  <c r="B261" i="40"/>
  <c r="G260" i="40"/>
  <c r="F260" i="40"/>
  <c r="E260" i="40"/>
  <c r="D260" i="40"/>
  <c r="B260" i="40"/>
  <c r="G259" i="40"/>
  <c r="F259" i="40"/>
  <c r="E259" i="40"/>
  <c r="D259" i="40"/>
  <c r="B259" i="40"/>
  <c r="G258" i="40"/>
  <c r="F258" i="40"/>
  <c r="E258" i="40"/>
  <c r="D258" i="40"/>
  <c r="B258" i="40"/>
  <c r="G257" i="40"/>
  <c r="F257" i="40"/>
  <c r="E257" i="40"/>
  <c r="D257" i="40"/>
  <c r="B257" i="40"/>
  <c r="G256" i="40"/>
  <c r="F256" i="40"/>
  <c r="E256" i="40"/>
  <c r="D256" i="40"/>
  <c r="B256" i="40"/>
  <c r="G255" i="40"/>
  <c r="F255" i="40"/>
  <c r="E255" i="40"/>
  <c r="D255" i="40"/>
  <c r="B255" i="40"/>
  <c r="G254" i="40"/>
  <c r="F254" i="40"/>
  <c r="E254" i="40"/>
  <c r="D254" i="40"/>
  <c r="B254" i="40"/>
  <c r="G253" i="40"/>
  <c r="F253" i="40"/>
  <c r="E253" i="40"/>
  <c r="D253" i="40"/>
  <c r="B253" i="40"/>
  <c r="G252" i="40"/>
  <c r="F252" i="40"/>
  <c r="E252" i="40"/>
  <c r="D252" i="40"/>
  <c r="B252" i="40"/>
  <c r="G251" i="40"/>
  <c r="F251" i="40"/>
  <c r="E251" i="40"/>
  <c r="D251" i="40"/>
  <c r="B251" i="40"/>
  <c r="G250" i="40"/>
  <c r="F250" i="40"/>
  <c r="E250" i="40"/>
  <c r="D250" i="40"/>
  <c r="B250" i="40"/>
  <c r="G249" i="40"/>
  <c r="F249" i="40"/>
  <c r="E249" i="40"/>
  <c r="D249" i="40"/>
  <c r="B249" i="40"/>
  <c r="G248" i="40"/>
  <c r="F248" i="40"/>
  <c r="E248" i="40"/>
  <c r="D248" i="40"/>
  <c r="B248" i="40"/>
  <c r="G247" i="40"/>
  <c r="F247" i="40"/>
  <c r="E247" i="40"/>
  <c r="D247" i="40"/>
  <c r="B247" i="40"/>
  <c r="G246" i="40"/>
  <c r="F246" i="40"/>
  <c r="E246" i="40"/>
  <c r="D246" i="40"/>
  <c r="B246" i="40"/>
  <c r="G245" i="40"/>
  <c r="F245" i="40"/>
  <c r="E245" i="40"/>
  <c r="D245" i="40"/>
  <c r="B245" i="40"/>
  <c r="G244" i="40"/>
  <c r="F244" i="40"/>
  <c r="E244" i="40"/>
  <c r="D244" i="40"/>
  <c r="B244" i="40"/>
  <c r="G243" i="40"/>
  <c r="F243" i="40"/>
  <c r="E243" i="40"/>
  <c r="D243" i="40"/>
  <c r="B243" i="40"/>
  <c r="G242" i="40"/>
  <c r="F242" i="40"/>
  <c r="E242" i="40"/>
  <c r="D242" i="40"/>
  <c r="B242" i="40"/>
  <c r="G241" i="40"/>
  <c r="F241" i="40"/>
  <c r="E241" i="40"/>
  <c r="D241" i="40"/>
  <c r="B241" i="40"/>
  <c r="G240" i="40"/>
  <c r="F240" i="40"/>
  <c r="E240" i="40"/>
  <c r="D240" i="40"/>
  <c r="B240" i="40"/>
  <c r="G239" i="40"/>
  <c r="F239" i="40"/>
  <c r="E239" i="40"/>
  <c r="D239" i="40"/>
  <c r="B239" i="40"/>
  <c r="G238" i="40"/>
  <c r="F238" i="40"/>
  <c r="E238" i="40"/>
  <c r="D238" i="40"/>
  <c r="B238" i="40"/>
  <c r="G237" i="40"/>
  <c r="F237" i="40"/>
  <c r="E237" i="40"/>
  <c r="D237" i="40"/>
  <c r="B237" i="40"/>
  <c r="G236" i="40"/>
  <c r="F236" i="40"/>
  <c r="E236" i="40"/>
  <c r="D236" i="40"/>
  <c r="B236" i="40"/>
  <c r="G235" i="40"/>
  <c r="F235" i="40"/>
  <c r="E235" i="40"/>
  <c r="D235" i="40"/>
  <c r="B235" i="40"/>
  <c r="G234" i="40"/>
  <c r="F234" i="40"/>
  <c r="E234" i="40"/>
  <c r="D234" i="40"/>
  <c r="B234" i="40"/>
  <c r="G233" i="40"/>
  <c r="F233" i="40"/>
  <c r="E233" i="40"/>
  <c r="D233" i="40"/>
  <c r="B233" i="40"/>
  <c r="G232" i="40"/>
  <c r="F232" i="40"/>
  <c r="E232" i="40"/>
  <c r="D232" i="40"/>
  <c r="B232" i="40"/>
  <c r="G231" i="40"/>
  <c r="F231" i="40"/>
  <c r="E231" i="40"/>
  <c r="D231" i="40"/>
  <c r="B231" i="40"/>
  <c r="G230" i="40"/>
  <c r="F230" i="40"/>
  <c r="E230" i="40"/>
  <c r="D230" i="40"/>
  <c r="B230" i="40"/>
  <c r="G229" i="40"/>
  <c r="F229" i="40"/>
  <c r="E229" i="40"/>
  <c r="D229" i="40"/>
  <c r="B229" i="40"/>
  <c r="G228" i="40"/>
  <c r="F228" i="40"/>
  <c r="E228" i="40"/>
  <c r="D228" i="40"/>
  <c r="B228" i="40"/>
  <c r="G227" i="40"/>
  <c r="F227" i="40"/>
  <c r="E227" i="40"/>
  <c r="D227" i="40"/>
  <c r="B227" i="40"/>
  <c r="G226" i="40"/>
  <c r="F226" i="40"/>
  <c r="E226" i="40"/>
  <c r="D226" i="40"/>
  <c r="B226" i="40"/>
  <c r="G225" i="40"/>
  <c r="F225" i="40"/>
  <c r="E225" i="40"/>
  <c r="D225" i="40"/>
  <c r="B225" i="40"/>
  <c r="G224" i="40"/>
  <c r="F224" i="40"/>
  <c r="E224" i="40"/>
  <c r="D224" i="40"/>
  <c r="B224" i="40"/>
  <c r="G223" i="40"/>
  <c r="F223" i="40"/>
  <c r="E223" i="40"/>
  <c r="D223" i="40"/>
  <c r="B223" i="40"/>
  <c r="G222" i="40"/>
  <c r="F222" i="40"/>
  <c r="E222" i="40"/>
  <c r="D222" i="40"/>
  <c r="B222" i="40"/>
  <c r="G221" i="40"/>
  <c r="F221" i="40"/>
  <c r="E221" i="40"/>
  <c r="D221" i="40"/>
  <c r="B221" i="40"/>
  <c r="G220" i="40"/>
  <c r="F220" i="40"/>
  <c r="E220" i="40"/>
  <c r="D220" i="40"/>
  <c r="B220" i="40"/>
  <c r="G219" i="40"/>
  <c r="F219" i="40"/>
  <c r="E219" i="40"/>
  <c r="D219" i="40"/>
  <c r="B219" i="40"/>
  <c r="G218" i="40"/>
  <c r="F218" i="40"/>
  <c r="E218" i="40"/>
  <c r="D218" i="40"/>
  <c r="B218" i="40"/>
  <c r="G217" i="40"/>
  <c r="F217" i="40"/>
  <c r="E217" i="40"/>
  <c r="D217" i="40"/>
  <c r="B217" i="40"/>
  <c r="G216" i="40"/>
  <c r="F216" i="40"/>
  <c r="E216" i="40"/>
  <c r="D216" i="40"/>
  <c r="B216" i="40"/>
  <c r="G215" i="40"/>
  <c r="F215" i="40"/>
  <c r="E215" i="40"/>
  <c r="D215" i="40"/>
  <c r="B215" i="40"/>
  <c r="G214" i="40"/>
  <c r="F214" i="40"/>
  <c r="E214" i="40"/>
  <c r="D214" i="40"/>
  <c r="B214" i="40"/>
  <c r="G213" i="40"/>
  <c r="F213" i="40"/>
  <c r="E213" i="40"/>
  <c r="D213" i="40"/>
  <c r="B213" i="40"/>
  <c r="G212" i="40"/>
  <c r="F212" i="40"/>
  <c r="E212" i="40"/>
  <c r="D212" i="40"/>
  <c r="B212" i="40"/>
  <c r="G211" i="40"/>
  <c r="F211" i="40"/>
  <c r="E211" i="40"/>
  <c r="D211" i="40"/>
  <c r="B211" i="40"/>
  <c r="G210" i="40"/>
  <c r="F210" i="40"/>
  <c r="E210" i="40"/>
  <c r="D210" i="40"/>
  <c r="B210" i="40"/>
  <c r="G209" i="40"/>
  <c r="F209" i="40"/>
  <c r="E209" i="40"/>
  <c r="D209" i="40"/>
  <c r="B209" i="40"/>
  <c r="G208" i="40"/>
  <c r="F208" i="40"/>
  <c r="E208" i="40"/>
  <c r="D208" i="40"/>
  <c r="B208" i="40"/>
  <c r="G207" i="40"/>
  <c r="F207" i="40"/>
  <c r="E207" i="40"/>
  <c r="D207" i="40"/>
  <c r="B207" i="40"/>
  <c r="G206" i="40"/>
  <c r="F206" i="40"/>
  <c r="E206" i="40"/>
  <c r="D206" i="40"/>
  <c r="B206" i="40"/>
  <c r="G205" i="40"/>
  <c r="F205" i="40"/>
  <c r="E205" i="40"/>
  <c r="D205" i="40"/>
  <c r="B205" i="40"/>
  <c r="G204" i="40"/>
  <c r="F204" i="40"/>
  <c r="E204" i="40"/>
  <c r="D204" i="40"/>
  <c r="B204" i="40"/>
  <c r="G203" i="40"/>
  <c r="F203" i="40"/>
  <c r="E203" i="40"/>
  <c r="D203" i="40"/>
  <c r="B203" i="40"/>
  <c r="G202" i="40"/>
  <c r="F202" i="40"/>
  <c r="E202" i="40"/>
  <c r="D202" i="40"/>
  <c r="B202" i="40"/>
  <c r="G201" i="40"/>
  <c r="F201" i="40"/>
  <c r="E201" i="40"/>
  <c r="D201" i="40"/>
  <c r="B201" i="40"/>
  <c r="G200" i="40"/>
  <c r="F200" i="40"/>
  <c r="E200" i="40"/>
  <c r="D200" i="40"/>
  <c r="B200" i="40"/>
  <c r="G199" i="40"/>
  <c r="F199" i="40"/>
  <c r="E199" i="40"/>
  <c r="D199" i="40"/>
  <c r="B199" i="40"/>
  <c r="G198" i="40"/>
  <c r="F198" i="40"/>
  <c r="E198" i="40"/>
  <c r="D198" i="40"/>
  <c r="B198" i="40"/>
  <c r="G197" i="40"/>
  <c r="F197" i="40"/>
  <c r="E197" i="40"/>
  <c r="D197" i="40"/>
  <c r="B197" i="40"/>
  <c r="G196" i="40"/>
  <c r="F196" i="40"/>
  <c r="E196" i="40"/>
  <c r="D196" i="40"/>
  <c r="B196" i="40"/>
  <c r="G195" i="40"/>
  <c r="F195" i="40"/>
  <c r="E195" i="40"/>
  <c r="D195" i="40"/>
  <c r="B195" i="40"/>
  <c r="G194" i="40"/>
  <c r="F194" i="40"/>
  <c r="E194" i="40"/>
  <c r="D194" i="40"/>
  <c r="B194" i="40"/>
  <c r="G193" i="40"/>
  <c r="F193" i="40"/>
  <c r="E193" i="40"/>
  <c r="D193" i="40"/>
  <c r="B193" i="40"/>
  <c r="G192" i="40"/>
  <c r="F192" i="40"/>
  <c r="E192" i="40"/>
  <c r="D192" i="40"/>
  <c r="B192" i="40"/>
  <c r="G191" i="40"/>
  <c r="F191" i="40"/>
  <c r="E191" i="40"/>
  <c r="D191" i="40"/>
  <c r="B191" i="40"/>
  <c r="G190" i="40"/>
  <c r="F190" i="40"/>
  <c r="E190" i="40"/>
  <c r="D190" i="40"/>
  <c r="B190" i="40"/>
  <c r="G189" i="40"/>
  <c r="F189" i="40"/>
  <c r="E189" i="40"/>
  <c r="D189" i="40"/>
  <c r="B189" i="40"/>
  <c r="G188" i="40"/>
  <c r="F188" i="40"/>
  <c r="E188" i="40"/>
  <c r="D188" i="40"/>
  <c r="B188" i="40"/>
  <c r="G187" i="40"/>
  <c r="F187" i="40"/>
  <c r="E187" i="40"/>
  <c r="D187" i="40"/>
  <c r="B187" i="40"/>
  <c r="G186" i="40"/>
  <c r="F186" i="40"/>
  <c r="E186" i="40"/>
  <c r="D186" i="40"/>
  <c r="B186" i="40"/>
  <c r="G185" i="40"/>
  <c r="F185" i="40"/>
  <c r="E185" i="40"/>
  <c r="D185" i="40"/>
  <c r="B185" i="40"/>
  <c r="G184" i="40"/>
  <c r="F184" i="40"/>
  <c r="E184" i="40"/>
  <c r="D184" i="40"/>
  <c r="B184" i="40"/>
  <c r="G183" i="40"/>
  <c r="F183" i="40"/>
  <c r="E183" i="40"/>
  <c r="D183" i="40"/>
  <c r="B183" i="40"/>
  <c r="G182" i="40"/>
  <c r="F182" i="40"/>
  <c r="E182" i="40"/>
  <c r="D182" i="40"/>
  <c r="B182" i="40"/>
  <c r="G181" i="40"/>
  <c r="F181" i="40"/>
  <c r="E181" i="40"/>
  <c r="D181" i="40"/>
  <c r="B181" i="40"/>
  <c r="G180" i="40"/>
  <c r="F180" i="40"/>
  <c r="E180" i="40"/>
  <c r="D180" i="40"/>
  <c r="B180" i="40"/>
  <c r="G179" i="40"/>
  <c r="F179" i="40"/>
  <c r="E179" i="40"/>
  <c r="D179" i="40"/>
  <c r="B179" i="40"/>
  <c r="G178" i="40"/>
  <c r="F178" i="40"/>
  <c r="E178" i="40"/>
  <c r="D178" i="40"/>
  <c r="B178" i="40"/>
  <c r="G177" i="40"/>
  <c r="F177" i="40"/>
  <c r="E177" i="40"/>
  <c r="D177" i="40"/>
  <c r="B177" i="40"/>
  <c r="G176" i="40"/>
  <c r="F176" i="40"/>
  <c r="E176" i="40"/>
  <c r="D176" i="40"/>
  <c r="B176" i="40"/>
  <c r="G175" i="40"/>
  <c r="F175" i="40"/>
  <c r="E175" i="40"/>
  <c r="D175" i="40"/>
  <c r="B175" i="40"/>
  <c r="G174" i="40"/>
  <c r="F174" i="40"/>
  <c r="E174" i="40"/>
  <c r="D174" i="40"/>
  <c r="B174" i="40"/>
  <c r="G173" i="40"/>
  <c r="F173" i="40"/>
  <c r="E173" i="40"/>
  <c r="D173" i="40"/>
  <c r="B173" i="40"/>
  <c r="G172" i="40"/>
  <c r="F172" i="40"/>
  <c r="E172" i="40"/>
  <c r="D172" i="40"/>
  <c r="B172" i="40"/>
  <c r="G171" i="40"/>
  <c r="F171" i="40"/>
  <c r="E171" i="40"/>
  <c r="D171" i="40"/>
  <c r="B171" i="40"/>
  <c r="G170" i="40"/>
  <c r="F170" i="40"/>
  <c r="E170" i="40"/>
  <c r="D170" i="40"/>
  <c r="B170" i="40"/>
  <c r="G169" i="40"/>
  <c r="F169" i="40"/>
  <c r="E169" i="40"/>
  <c r="D169" i="40"/>
  <c r="B169" i="40"/>
  <c r="G168" i="40"/>
  <c r="F168" i="40"/>
  <c r="E168" i="40"/>
  <c r="D168" i="40"/>
  <c r="B168" i="40"/>
  <c r="G167" i="40"/>
  <c r="F167" i="40"/>
  <c r="E167" i="40"/>
  <c r="D167" i="40"/>
  <c r="B167" i="40"/>
  <c r="G166" i="40"/>
  <c r="F166" i="40"/>
  <c r="E166" i="40"/>
  <c r="D166" i="40"/>
  <c r="B166" i="40"/>
  <c r="G165" i="40"/>
  <c r="F165" i="40"/>
  <c r="E165" i="40"/>
  <c r="D165" i="40"/>
  <c r="B165" i="40"/>
  <c r="G164" i="40"/>
  <c r="F164" i="40"/>
  <c r="E164" i="40"/>
  <c r="D164" i="40"/>
  <c r="B164" i="40"/>
  <c r="G163" i="40"/>
  <c r="F163" i="40"/>
  <c r="E163" i="40"/>
  <c r="D163" i="40"/>
  <c r="B163" i="40"/>
  <c r="G162" i="40"/>
  <c r="F162" i="40"/>
  <c r="E162" i="40"/>
  <c r="D162" i="40"/>
  <c r="B162" i="40"/>
  <c r="G161" i="40"/>
  <c r="F161" i="40"/>
  <c r="E161" i="40"/>
  <c r="D161" i="40"/>
  <c r="B161" i="40"/>
  <c r="G160" i="40"/>
  <c r="F160" i="40"/>
  <c r="E160" i="40"/>
  <c r="D160" i="40"/>
  <c r="B160" i="40"/>
  <c r="G159" i="40"/>
  <c r="F159" i="40"/>
  <c r="E159" i="40"/>
  <c r="D159" i="40"/>
  <c r="B159" i="40"/>
  <c r="G158" i="40"/>
  <c r="F158" i="40"/>
  <c r="E158" i="40"/>
  <c r="D158" i="40"/>
  <c r="B158" i="40"/>
  <c r="G157" i="40"/>
  <c r="F157" i="40"/>
  <c r="E157" i="40"/>
  <c r="D157" i="40"/>
  <c r="B157" i="40"/>
  <c r="G156" i="40"/>
  <c r="F156" i="40"/>
  <c r="E156" i="40"/>
  <c r="D156" i="40"/>
  <c r="B156" i="40"/>
  <c r="G155" i="40"/>
  <c r="F155" i="40"/>
  <c r="E155" i="40"/>
  <c r="D155" i="40"/>
  <c r="B155" i="40"/>
  <c r="G154" i="40"/>
  <c r="F154" i="40"/>
  <c r="E154" i="40"/>
  <c r="D154" i="40"/>
  <c r="B154" i="40"/>
  <c r="G153" i="40"/>
  <c r="F153" i="40"/>
  <c r="E153" i="40"/>
  <c r="D153" i="40"/>
  <c r="B153" i="40"/>
  <c r="G152" i="40"/>
  <c r="F152" i="40"/>
  <c r="E152" i="40"/>
  <c r="D152" i="40"/>
  <c r="B152" i="40"/>
  <c r="G151" i="40"/>
  <c r="F151" i="40"/>
  <c r="E151" i="40"/>
  <c r="D151" i="40"/>
  <c r="B151" i="40"/>
  <c r="G150" i="40"/>
  <c r="F150" i="40"/>
  <c r="E150" i="40"/>
  <c r="D150" i="40"/>
  <c r="B150" i="40"/>
  <c r="G149" i="40"/>
  <c r="F149" i="40"/>
  <c r="E149" i="40"/>
  <c r="D149" i="40"/>
  <c r="B149" i="40"/>
  <c r="G148" i="40"/>
  <c r="F148" i="40"/>
  <c r="E148" i="40"/>
  <c r="D148" i="40"/>
  <c r="B148" i="40"/>
  <c r="G147" i="40"/>
  <c r="F147" i="40"/>
  <c r="E147" i="40"/>
  <c r="D147" i="40"/>
  <c r="B147" i="40"/>
  <c r="G146" i="40"/>
  <c r="F146" i="40"/>
  <c r="E146" i="40"/>
  <c r="D146" i="40"/>
  <c r="B146" i="40"/>
  <c r="G145" i="40"/>
  <c r="F145" i="40"/>
  <c r="E145" i="40"/>
  <c r="D145" i="40"/>
  <c r="B145" i="40"/>
  <c r="G144" i="40"/>
  <c r="F144" i="40"/>
  <c r="E144" i="40"/>
  <c r="D144" i="40"/>
  <c r="B144" i="40"/>
  <c r="G143" i="40"/>
  <c r="F143" i="40"/>
  <c r="E143" i="40"/>
  <c r="D143" i="40"/>
  <c r="B143" i="40"/>
  <c r="G142" i="40"/>
  <c r="F142" i="40"/>
  <c r="E142" i="40"/>
  <c r="D142" i="40"/>
  <c r="B142" i="40"/>
  <c r="G141" i="40"/>
  <c r="F141" i="40"/>
  <c r="E141" i="40"/>
  <c r="D141" i="40"/>
  <c r="B141" i="40"/>
  <c r="G140" i="40"/>
  <c r="F140" i="40"/>
  <c r="E140" i="40"/>
  <c r="D140" i="40"/>
  <c r="B140" i="40"/>
  <c r="G139" i="40"/>
  <c r="F139" i="40"/>
  <c r="E139" i="40"/>
  <c r="D139" i="40"/>
  <c r="B139" i="40"/>
  <c r="G138" i="40"/>
  <c r="F138" i="40"/>
  <c r="E138" i="40"/>
  <c r="D138" i="40"/>
  <c r="B138" i="40"/>
  <c r="G137" i="40"/>
  <c r="F137" i="40"/>
  <c r="E137" i="40"/>
  <c r="D137" i="40"/>
  <c r="B137" i="40"/>
  <c r="G136" i="40"/>
  <c r="F136" i="40"/>
  <c r="E136" i="40"/>
  <c r="D136" i="40"/>
  <c r="B136" i="40"/>
  <c r="G135" i="40"/>
  <c r="F135" i="40"/>
  <c r="E135" i="40"/>
  <c r="D135" i="40"/>
  <c r="B135" i="40"/>
  <c r="G134" i="40"/>
  <c r="F134" i="40"/>
  <c r="E134" i="40"/>
  <c r="D134" i="40"/>
  <c r="B134" i="40"/>
  <c r="G133" i="40"/>
  <c r="F133" i="40"/>
  <c r="E133" i="40"/>
  <c r="D133" i="40"/>
  <c r="B133" i="40"/>
  <c r="G132" i="40"/>
  <c r="F132" i="40"/>
  <c r="E132" i="40"/>
  <c r="D132" i="40"/>
  <c r="B132" i="40"/>
  <c r="G131" i="40"/>
  <c r="F131" i="40"/>
  <c r="E131" i="40"/>
  <c r="D131" i="40"/>
  <c r="B131" i="40"/>
  <c r="G130" i="40"/>
  <c r="F130" i="40"/>
  <c r="E130" i="40"/>
  <c r="D130" i="40"/>
  <c r="B130" i="40"/>
  <c r="G129" i="40"/>
  <c r="F129" i="40"/>
  <c r="E129" i="40"/>
  <c r="D129" i="40"/>
  <c r="B129" i="40"/>
  <c r="G128" i="40"/>
  <c r="F128" i="40"/>
  <c r="E128" i="40"/>
  <c r="D128" i="40"/>
  <c r="B128" i="40"/>
  <c r="G127" i="40"/>
  <c r="F127" i="40"/>
  <c r="E127" i="40"/>
  <c r="D127" i="40"/>
  <c r="B127" i="40"/>
  <c r="G126" i="40"/>
  <c r="F126" i="40"/>
  <c r="E126" i="40"/>
  <c r="D126" i="40"/>
  <c r="B126" i="40"/>
  <c r="G125" i="40"/>
  <c r="F125" i="40"/>
  <c r="E125" i="40"/>
  <c r="D125" i="40"/>
  <c r="B125" i="40"/>
  <c r="G124" i="40"/>
  <c r="F124" i="40"/>
  <c r="E124" i="40"/>
  <c r="D124" i="40"/>
  <c r="B124" i="40"/>
  <c r="G123" i="40"/>
  <c r="F123" i="40"/>
  <c r="E123" i="40"/>
  <c r="D123" i="40"/>
  <c r="B123" i="40"/>
  <c r="G122" i="40"/>
  <c r="F122" i="40"/>
  <c r="E122" i="40"/>
  <c r="D122" i="40"/>
  <c r="B122" i="40"/>
  <c r="G121" i="40"/>
  <c r="F121" i="40"/>
  <c r="E121" i="40"/>
  <c r="D121" i="40"/>
  <c r="B121" i="40"/>
  <c r="G120" i="40"/>
  <c r="F120" i="40"/>
  <c r="E120" i="40"/>
  <c r="D120" i="40"/>
  <c r="B120" i="40"/>
  <c r="G119" i="40"/>
  <c r="F119" i="40"/>
  <c r="E119" i="40"/>
  <c r="D119" i="40"/>
  <c r="B119" i="40"/>
  <c r="G118" i="40"/>
  <c r="F118" i="40"/>
  <c r="E118" i="40"/>
  <c r="D118" i="40"/>
  <c r="B118" i="40"/>
  <c r="G117" i="40"/>
  <c r="F117" i="40"/>
  <c r="E117" i="40"/>
  <c r="D117" i="40"/>
  <c r="B117" i="40"/>
  <c r="G116" i="40"/>
  <c r="F116" i="40"/>
  <c r="E116" i="40"/>
  <c r="D116" i="40"/>
  <c r="B116" i="40"/>
  <c r="G115" i="40"/>
  <c r="F115" i="40"/>
  <c r="E115" i="40"/>
  <c r="D115" i="40"/>
  <c r="B115" i="40"/>
  <c r="G114" i="40"/>
  <c r="F114" i="40"/>
  <c r="E114" i="40"/>
  <c r="D114" i="40"/>
  <c r="B114" i="40"/>
  <c r="G113" i="40"/>
  <c r="F113" i="40"/>
  <c r="E113" i="40"/>
  <c r="D113" i="40"/>
  <c r="B113" i="40"/>
  <c r="G112" i="40"/>
  <c r="F112" i="40"/>
  <c r="E112" i="40"/>
  <c r="D112" i="40"/>
  <c r="B112" i="40"/>
  <c r="G111" i="40"/>
  <c r="F111" i="40"/>
  <c r="E111" i="40"/>
  <c r="D111" i="40"/>
  <c r="B111" i="40"/>
  <c r="G110" i="40"/>
  <c r="F110" i="40"/>
  <c r="E110" i="40"/>
  <c r="D110" i="40"/>
  <c r="B110" i="40"/>
  <c r="G109" i="40"/>
  <c r="F109" i="40"/>
  <c r="E109" i="40"/>
  <c r="D109" i="40"/>
  <c r="B109" i="40"/>
  <c r="G108" i="40"/>
  <c r="F108" i="40"/>
  <c r="E108" i="40"/>
  <c r="D108" i="40"/>
  <c r="B108" i="40"/>
  <c r="G107" i="40"/>
  <c r="F107" i="40"/>
  <c r="E107" i="40"/>
  <c r="D107" i="40"/>
  <c r="B107" i="40"/>
  <c r="G106" i="40"/>
  <c r="F106" i="40"/>
  <c r="E106" i="40"/>
  <c r="D106" i="40"/>
  <c r="B106" i="40"/>
  <c r="G105" i="40"/>
  <c r="F105" i="40"/>
  <c r="E105" i="40"/>
  <c r="D105" i="40"/>
  <c r="B105" i="40"/>
  <c r="G104" i="40"/>
  <c r="F104" i="40"/>
  <c r="E104" i="40"/>
  <c r="D104" i="40"/>
  <c r="B104" i="40"/>
  <c r="G103" i="40"/>
  <c r="F103" i="40"/>
  <c r="E103" i="40"/>
  <c r="D103" i="40"/>
  <c r="B103" i="40"/>
  <c r="G102" i="40"/>
  <c r="F102" i="40"/>
  <c r="E102" i="40"/>
  <c r="D102" i="40"/>
  <c r="B102" i="40"/>
  <c r="G101" i="40"/>
  <c r="F101" i="40"/>
  <c r="E101" i="40"/>
  <c r="D101" i="40"/>
  <c r="B101" i="40"/>
  <c r="G100" i="40"/>
  <c r="F100" i="40"/>
  <c r="E100" i="40"/>
  <c r="D100" i="40"/>
  <c r="B100" i="40"/>
  <c r="G99" i="40"/>
  <c r="F99" i="40"/>
  <c r="E99" i="40"/>
  <c r="D99" i="40"/>
  <c r="B99" i="40"/>
  <c r="G98" i="40"/>
  <c r="F98" i="40"/>
  <c r="E98" i="40"/>
  <c r="D98" i="40"/>
  <c r="B98" i="40"/>
  <c r="G97" i="40"/>
  <c r="F97" i="40"/>
  <c r="E97" i="40"/>
  <c r="D97" i="40"/>
  <c r="B97" i="40"/>
  <c r="G96" i="40"/>
  <c r="F96" i="40"/>
  <c r="E96" i="40"/>
  <c r="D96" i="40"/>
  <c r="B96" i="40"/>
  <c r="G95" i="40"/>
  <c r="F95" i="40"/>
  <c r="E95" i="40"/>
  <c r="D95" i="40"/>
  <c r="B95" i="40"/>
  <c r="G94" i="40"/>
  <c r="F94" i="40"/>
  <c r="E94" i="40"/>
  <c r="D94" i="40"/>
  <c r="B94" i="40"/>
  <c r="G93" i="40"/>
  <c r="F93" i="40"/>
  <c r="E93" i="40"/>
  <c r="D93" i="40"/>
  <c r="B93" i="40"/>
  <c r="G92" i="40"/>
  <c r="F92" i="40"/>
  <c r="E92" i="40"/>
  <c r="D92" i="40"/>
  <c r="B92" i="40"/>
  <c r="G91" i="40"/>
  <c r="F91" i="40"/>
  <c r="E91" i="40"/>
  <c r="D91" i="40"/>
  <c r="B91" i="40"/>
  <c r="G90" i="40"/>
  <c r="F90" i="40"/>
  <c r="E90" i="40"/>
  <c r="D90" i="40"/>
  <c r="B90" i="40"/>
  <c r="G89" i="40"/>
  <c r="F89" i="40"/>
  <c r="E89" i="40"/>
  <c r="D89" i="40"/>
  <c r="B89" i="40"/>
  <c r="G88" i="40"/>
  <c r="F88" i="40"/>
  <c r="E88" i="40"/>
  <c r="D88" i="40"/>
  <c r="B88" i="40"/>
  <c r="G87" i="40"/>
  <c r="F87" i="40"/>
  <c r="E87" i="40"/>
  <c r="D87" i="40"/>
  <c r="B87" i="40"/>
  <c r="G86" i="40"/>
  <c r="F86" i="40"/>
  <c r="E86" i="40"/>
  <c r="D86" i="40"/>
  <c r="B86" i="40"/>
  <c r="G85" i="40"/>
  <c r="F85" i="40"/>
  <c r="E85" i="40"/>
  <c r="D85" i="40"/>
  <c r="B85" i="40"/>
  <c r="G84" i="40"/>
  <c r="F84" i="40"/>
  <c r="E84" i="40"/>
  <c r="D84" i="40"/>
  <c r="B84" i="40"/>
  <c r="G83" i="40"/>
  <c r="F83" i="40"/>
  <c r="E83" i="40"/>
  <c r="D83" i="40"/>
  <c r="B83" i="40"/>
  <c r="G82" i="40"/>
  <c r="F82" i="40"/>
  <c r="E82" i="40"/>
  <c r="D82" i="40"/>
  <c r="B82" i="40"/>
  <c r="G81" i="40"/>
  <c r="F81" i="40"/>
  <c r="E81" i="40"/>
  <c r="D81" i="40"/>
  <c r="B81" i="40"/>
  <c r="G80" i="40"/>
  <c r="F80" i="40"/>
  <c r="E80" i="40"/>
  <c r="D80" i="40"/>
  <c r="B80" i="40"/>
  <c r="G79" i="40"/>
  <c r="F79" i="40"/>
  <c r="E79" i="40"/>
  <c r="D79" i="40"/>
  <c r="B79" i="40"/>
  <c r="G78" i="40"/>
  <c r="F78" i="40"/>
  <c r="E78" i="40"/>
  <c r="D78" i="40"/>
  <c r="B78" i="40"/>
  <c r="G77" i="40"/>
  <c r="F77" i="40"/>
  <c r="E77" i="40"/>
  <c r="D77" i="40"/>
  <c r="B77" i="40"/>
  <c r="G76" i="40"/>
  <c r="F76" i="40"/>
  <c r="E76" i="40"/>
  <c r="D76" i="40"/>
  <c r="B76" i="40"/>
  <c r="G75" i="40"/>
  <c r="F75" i="40"/>
  <c r="E75" i="40"/>
  <c r="D75" i="40"/>
  <c r="B75" i="40"/>
  <c r="G74" i="40"/>
  <c r="F74" i="40"/>
  <c r="E74" i="40"/>
  <c r="D74" i="40"/>
  <c r="B74" i="40"/>
  <c r="G73" i="40"/>
  <c r="F73" i="40"/>
  <c r="E73" i="40"/>
  <c r="D73" i="40"/>
  <c r="B73" i="40"/>
  <c r="G72" i="40"/>
  <c r="F72" i="40"/>
  <c r="E72" i="40"/>
  <c r="D72" i="40"/>
  <c r="B72" i="40"/>
  <c r="G71" i="40"/>
  <c r="F71" i="40"/>
  <c r="E71" i="40"/>
  <c r="D71" i="40"/>
  <c r="B71" i="40"/>
  <c r="G70" i="40"/>
  <c r="F70" i="40"/>
  <c r="E70" i="40"/>
  <c r="D70" i="40"/>
  <c r="B70" i="40"/>
  <c r="G69" i="40"/>
  <c r="F69" i="40"/>
  <c r="E69" i="40"/>
  <c r="D69" i="40"/>
  <c r="B69" i="40"/>
  <c r="G68" i="40"/>
  <c r="F68" i="40"/>
  <c r="E68" i="40"/>
  <c r="D68" i="40"/>
  <c r="B68" i="40"/>
  <c r="G67" i="40"/>
  <c r="F67" i="40"/>
  <c r="E67" i="40"/>
  <c r="D67" i="40"/>
  <c r="B67" i="40"/>
  <c r="G66" i="40"/>
  <c r="F66" i="40"/>
  <c r="E66" i="40"/>
  <c r="D66" i="40"/>
  <c r="B66" i="40"/>
  <c r="G65" i="40"/>
  <c r="F65" i="40"/>
  <c r="E65" i="40"/>
  <c r="D65" i="40"/>
  <c r="B65" i="40"/>
  <c r="G64" i="40"/>
  <c r="F64" i="40"/>
  <c r="E64" i="40"/>
  <c r="D64" i="40"/>
  <c r="B64" i="40"/>
  <c r="G63" i="40"/>
  <c r="F63" i="40"/>
  <c r="E63" i="40"/>
  <c r="D63" i="40"/>
  <c r="B63" i="40"/>
  <c r="G62" i="40"/>
  <c r="F62" i="40"/>
  <c r="E62" i="40"/>
  <c r="D62" i="40"/>
  <c r="B62" i="40"/>
  <c r="G61" i="40"/>
  <c r="F61" i="40"/>
  <c r="E61" i="40"/>
  <c r="D61" i="40"/>
  <c r="B61" i="40"/>
  <c r="G60" i="40"/>
  <c r="F60" i="40"/>
  <c r="E60" i="40"/>
  <c r="D60" i="40"/>
  <c r="B60" i="40"/>
  <c r="G59" i="40"/>
  <c r="F59" i="40"/>
  <c r="E59" i="40"/>
  <c r="D59" i="40"/>
  <c r="B59" i="40"/>
  <c r="G58" i="40"/>
  <c r="F58" i="40"/>
  <c r="E58" i="40"/>
  <c r="D58" i="40"/>
  <c r="B58" i="40"/>
  <c r="G57" i="40"/>
  <c r="F57" i="40"/>
  <c r="E57" i="40"/>
  <c r="D57" i="40"/>
  <c r="B57" i="40"/>
  <c r="G56" i="40"/>
  <c r="F56" i="40"/>
  <c r="E56" i="40"/>
  <c r="D56" i="40"/>
  <c r="B56" i="40"/>
  <c r="G55" i="40"/>
  <c r="F55" i="40"/>
  <c r="E55" i="40"/>
  <c r="D55" i="40"/>
  <c r="B55" i="40"/>
  <c r="G54" i="40"/>
  <c r="F54" i="40"/>
  <c r="E54" i="40"/>
  <c r="D54" i="40"/>
  <c r="B54" i="40"/>
  <c r="G53" i="40"/>
  <c r="F53" i="40"/>
  <c r="E53" i="40"/>
  <c r="D53" i="40"/>
  <c r="B53" i="40"/>
  <c r="G52" i="40"/>
  <c r="F52" i="40"/>
  <c r="E52" i="40"/>
  <c r="D52" i="40"/>
  <c r="B52" i="40"/>
  <c r="G51" i="40"/>
  <c r="F51" i="40"/>
  <c r="E51" i="40"/>
  <c r="D51" i="40"/>
  <c r="B51" i="40"/>
  <c r="G50" i="40"/>
  <c r="F50" i="40"/>
  <c r="E50" i="40"/>
  <c r="D50" i="40"/>
  <c r="B50" i="40"/>
  <c r="G49" i="40"/>
  <c r="F49" i="40"/>
  <c r="E49" i="40"/>
  <c r="D49" i="40"/>
  <c r="B49" i="40"/>
  <c r="G48" i="40"/>
  <c r="F48" i="40"/>
  <c r="E48" i="40"/>
  <c r="D48" i="40"/>
  <c r="B48" i="40"/>
  <c r="G47" i="40"/>
  <c r="F47" i="40"/>
  <c r="E47" i="40"/>
  <c r="D47" i="40"/>
  <c r="B47" i="40"/>
  <c r="G46" i="40"/>
  <c r="F46" i="40"/>
  <c r="E46" i="40"/>
  <c r="D46" i="40"/>
  <c r="B46" i="40"/>
  <c r="G45" i="40"/>
  <c r="F45" i="40"/>
  <c r="E45" i="40"/>
  <c r="D45" i="40"/>
  <c r="B45" i="40"/>
  <c r="G44" i="40"/>
  <c r="F44" i="40"/>
  <c r="E44" i="40"/>
  <c r="D44" i="40"/>
  <c r="B44" i="40"/>
  <c r="G43" i="40"/>
  <c r="F43" i="40"/>
  <c r="E43" i="40"/>
  <c r="D43" i="40"/>
  <c r="B43" i="40"/>
  <c r="G42" i="40"/>
  <c r="F42" i="40"/>
  <c r="E42" i="40"/>
  <c r="D42" i="40"/>
  <c r="B42" i="40"/>
  <c r="G41" i="40"/>
  <c r="F41" i="40"/>
  <c r="E41" i="40"/>
  <c r="D41" i="40"/>
  <c r="B41" i="40"/>
  <c r="G40" i="40"/>
  <c r="F40" i="40"/>
  <c r="E40" i="40"/>
  <c r="D40" i="40"/>
  <c r="B40" i="40"/>
  <c r="G39" i="40"/>
  <c r="F39" i="40"/>
  <c r="E39" i="40"/>
  <c r="D39" i="40"/>
  <c r="B39" i="40"/>
  <c r="G38" i="40"/>
  <c r="F38" i="40"/>
  <c r="E38" i="40"/>
  <c r="D38" i="40"/>
  <c r="B38" i="40"/>
  <c r="G37" i="40"/>
  <c r="F37" i="40"/>
  <c r="E37" i="40"/>
  <c r="D37" i="40"/>
  <c r="B37" i="40"/>
  <c r="G36" i="40"/>
  <c r="F36" i="40"/>
  <c r="E36" i="40"/>
  <c r="D36" i="40"/>
  <c r="B36" i="40"/>
  <c r="G35" i="40"/>
  <c r="F35" i="40"/>
  <c r="E35" i="40"/>
  <c r="D35" i="40"/>
  <c r="B35" i="40"/>
  <c r="G34" i="40"/>
  <c r="F34" i="40"/>
  <c r="E34" i="40"/>
  <c r="D34" i="40"/>
  <c r="B34" i="40"/>
  <c r="G33" i="40"/>
  <c r="F33" i="40"/>
  <c r="E33" i="40"/>
  <c r="D33" i="40"/>
  <c r="B33" i="40"/>
  <c r="G32" i="40"/>
  <c r="F32" i="40"/>
  <c r="E32" i="40"/>
  <c r="D32" i="40"/>
  <c r="B32" i="40"/>
  <c r="G31" i="40"/>
  <c r="F31" i="40"/>
  <c r="E31" i="40"/>
  <c r="D31" i="40"/>
  <c r="B31" i="40"/>
  <c r="G30" i="40"/>
  <c r="F30" i="40"/>
  <c r="E30" i="40"/>
  <c r="D30" i="40"/>
  <c r="B30" i="40"/>
  <c r="G29" i="40"/>
  <c r="F29" i="40"/>
  <c r="E29" i="40"/>
  <c r="D29" i="40"/>
  <c r="B29" i="40"/>
  <c r="G28" i="40"/>
  <c r="F28" i="40"/>
  <c r="E28" i="40"/>
  <c r="D28" i="40"/>
  <c r="B28" i="40"/>
  <c r="G27" i="40"/>
  <c r="F27" i="40"/>
  <c r="E27" i="40"/>
  <c r="D27" i="40"/>
  <c r="B27" i="40"/>
  <c r="G26" i="40"/>
  <c r="F26" i="40"/>
  <c r="E26" i="40"/>
  <c r="D26" i="40"/>
  <c r="B26" i="40"/>
  <c r="G25" i="40"/>
  <c r="F25" i="40"/>
  <c r="E25" i="40"/>
  <c r="D25" i="40"/>
  <c r="B25" i="40"/>
  <c r="G24" i="40"/>
  <c r="F24" i="40"/>
  <c r="E24" i="40"/>
  <c r="D24" i="40"/>
  <c r="B24" i="40"/>
  <c r="G23" i="40"/>
  <c r="F23" i="40"/>
  <c r="E23" i="40"/>
  <c r="D23" i="40"/>
  <c r="B23" i="40"/>
  <c r="G22" i="40"/>
  <c r="F22" i="40"/>
  <c r="E22" i="40"/>
  <c r="D22" i="40"/>
  <c r="B22" i="40"/>
  <c r="G21" i="40"/>
  <c r="F21" i="40"/>
  <c r="E21" i="40"/>
  <c r="D21" i="40"/>
  <c r="B21" i="40"/>
  <c r="G20" i="40"/>
  <c r="F20" i="40"/>
  <c r="E20" i="40"/>
  <c r="D20" i="40"/>
  <c r="B20" i="40"/>
  <c r="G19" i="40"/>
  <c r="F19" i="40"/>
  <c r="E19" i="40"/>
  <c r="D19" i="40"/>
  <c r="B19" i="40"/>
  <c r="G18" i="40"/>
  <c r="F18" i="40"/>
  <c r="E18" i="40"/>
  <c r="D18" i="40"/>
  <c r="B18" i="40"/>
  <c r="J142" i="65"/>
  <c r="I142" i="65"/>
  <c r="G142" i="65"/>
  <c r="B142" i="65"/>
  <c r="J141" i="65"/>
  <c r="I141" i="65"/>
  <c r="G141" i="65"/>
  <c r="B141" i="65"/>
  <c r="J140" i="65"/>
  <c r="I140" i="65"/>
  <c r="G140" i="65"/>
  <c r="B140" i="65"/>
  <c r="J139" i="65"/>
  <c r="I139" i="65"/>
  <c r="G139" i="65"/>
  <c r="B139" i="65"/>
  <c r="J138" i="65"/>
  <c r="I138" i="65"/>
  <c r="G138" i="65"/>
  <c r="B138" i="65"/>
  <c r="J137" i="65"/>
  <c r="I137" i="65"/>
  <c r="G137" i="65"/>
  <c r="B137" i="65"/>
  <c r="J136" i="65"/>
  <c r="I136" i="65"/>
  <c r="G136" i="65"/>
  <c r="B136" i="65"/>
  <c r="J135" i="65"/>
  <c r="I135" i="65"/>
  <c r="G135" i="65"/>
  <c r="B135" i="65"/>
  <c r="J134" i="65"/>
  <c r="I134" i="65"/>
  <c r="G134" i="65"/>
  <c r="B134" i="65"/>
  <c r="J133" i="65"/>
  <c r="I133" i="65"/>
  <c r="G133" i="65"/>
  <c r="B133" i="65"/>
  <c r="J132" i="65"/>
  <c r="I132" i="65"/>
  <c r="G132" i="65"/>
  <c r="B132" i="65"/>
  <c r="J131" i="65"/>
  <c r="I131" i="65"/>
  <c r="G131" i="65"/>
  <c r="B131" i="65"/>
  <c r="J130" i="65"/>
  <c r="I130" i="65"/>
  <c r="G130" i="65"/>
  <c r="B130" i="65"/>
  <c r="J129" i="65"/>
  <c r="I129" i="65"/>
  <c r="G129" i="65"/>
  <c r="B129" i="65"/>
  <c r="J128" i="65"/>
  <c r="I128" i="65"/>
  <c r="G128" i="65"/>
  <c r="B128" i="65"/>
  <c r="J127" i="65"/>
  <c r="I127" i="65"/>
  <c r="G127" i="65"/>
  <c r="B127" i="65"/>
  <c r="J126" i="65"/>
  <c r="I126" i="65"/>
  <c r="G126" i="65"/>
  <c r="B126" i="65"/>
  <c r="J125" i="65"/>
  <c r="I125" i="65"/>
  <c r="G125" i="65"/>
  <c r="B125" i="65"/>
  <c r="J124" i="65"/>
  <c r="I124" i="65"/>
  <c r="G124" i="65"/>
  <c r="B124" i="65"/>
  <c r="J123" i="65"/>
  <c r="I123" i="65"/>
  <c r="G123" i="65"/>
  <c r="B123" i="65"/>
  <c r="J122" i="65"/>
  <c r="I122" i="65"/>
  <c r="G122" i="65"/>
  <c r="B122" i="65"/>
  <c r="J121" i="65"/>
  <c r="I121" i="65"/>
  <c r="G121" i="65"/>
  <c r="B121" i="65"/>
  <c r="J120" i="65"/>
  <c r="I120" i="65"/>
  <c r="G120" i="65"/>
  <c r="B120" i="65"/>
  <c r="J119" i="65"/>
  <c r="I119" i="65"/>
  <c r="G119" i="65"/>
  <c r="B119" i="65"/>
  <c r="J118" i="65"/>
  <c r="I118" i="65"/>
  <c r="G118" i="65"/>
  <c r="B118" i="65"/>
  <c r="J117" i="65"/>
  <c r="I117" i="65"/>
  <c r="G117" i="65"/>
  <c r="B117" i="65"/>
  <c r="J116" i="65"/>
  <c r="I116" i="65"/>
  <c r="G116" i="65"/>
  <c r="B116" i="65"/>
  <c r="J115" i="65"/>
  <c r="I115" i="65"/>
  <c r="G115" i="65"/>
  <c r="B115" i="65"/>
  <c r="J114" i="65"/>
  <c r="I114" i="65"/>
  <c r="G114" i="65"/>
  <c r="B114" i="65"/>
  <c r="J113" i="65"/>
  <c r="I113" i="65"/>
  <c r="G113" i="65"/>
  <c r="B113" i="65"/>
  <c r="J112" i="65"/>
  <c r="I112" i="65"/>
  <c r="G112" i="65"/>
  <c r="B112" i="65"/>
  <c r="J111" i="65"/>
  <c r="I111" i="65"/>
  <c r="G111" i="65"/>
  <c r="B111" i="65"/>
  <c r="J110" i="65"/>
  <c r="I110" i="65"/>
  <c r="G110" i="65"/>
  <c r="B110" i="65"/>
  <c r="J109" i="65"/>
  <c r="I109" i="65"/>
  <c r="G109" i="65"/>
  <c r="B109" i="65"/>
  <c r="J108" i="65"/>
  <c r="I108" i="65"/>
  <c r="G108" i="65"/>
  <c r="B108" i="65"/>
  <c r="J107" i="65"/>
  <c r="I107" i="65"/>
  <c r="G107" i="65"/>
  <c r="B107" i="65"/>
  <c r="J106" i="65"/>
  <c r="I106" i="65"/>
  <c r="G106" i="65"/>
  <c r="B106" i="65"/>
  <c r="J105" i="65"/>
  <c r="I105" i="65"/>
  <c r="G105" i="65"/>
  <c r="B105" i="65"/>
  <c r="J104" i="65"/>
  <c r="I104" i="65"/>
  <c r="G104" i="65"/>
  <c r="B104" i="65"/>
  <c r="J103" i="65"/>
  <c r="I103" i="65"/>
  <c r="G103" i="65"/>
  <c r="B103" i="65"/>
  <c r="J102" i="65"/>
  <c r="I102" i="65"/>
  <c r="G102" i="65"/>
  <c r="B102" i="65"/>
  <c r="J101" i="65"/>
  <c r="I101" i="65"/>
  <c r="G101" i="65"/>
  <c r="B101" i="65"/>
  <c r="J100" i="65"/>
  <c r="I100" i="65"/>
  <c r="G100" i="65"/>
  <c r="B100" i="65"/>
  <c r="J99" i="65"/>
  <c r="I99" i="65"/>
  <c r="G99" i="65"/>
  <c r="B99" i="65"/>
  <c r="J98" i="65"/>
  <c r="I98" i="65"/>
  <c r="G98" i="65"/>
  <c r="B98" i="65"/>
  <c r="J97" i="65"/>
  <c r="I97" i="65"/>
  <c r="G97" i="65"/>
  <c r="B97" i="65"/>
  <c r="J96" i="65"/>
  <c r="I96" i="65"/>
  <c r="G96" i="65"/>
  <c r="B96" i="65"/>
  <c r="J95" i="65"/>
  <c r="I95" i="65"/>
  <c r="G95" i="65"/>
  <c r="B95" i="65"/>
  <c r="J94" i="65"/>
  <c r="I94" i="65"/>
  <c r="G94" i="65"/>
  <c r="B94" i="65"/>
  <c r="J93" i="65"/>
  <c r="I93" i="65"/>
  <c r="G93" i="65"/>
  <c r="B93" i="65"/>
  <c r="J92" i="65"/>
  <c r="I92" i="65"/>
  <c r="G92" i="65"/>
  <c r="B92" i="65"/>
  <c r="J91" i="65"/>
  <c r="I91" i="65"/>
  <c r="G91" i="65"/>
  <c r="B91" i="65"/>
  <c r="J90" i="65"/>
  <c r="I90" i="65"/>
  <c r="G90" i="65"/>
  <c r="B90" i="65"/>
  <c r="J89" i="65"/>
  <c r="I89" i="65"/>
  <c r="G89" i="65"/>
  <c r="B89" i="65"/>
  <c r="J88" i="65"/>
  <c r="I88" i="65"/>
  <c r="G88" i="65"/>
  <c r="B88" i="65"/>
  <c r="J87" i="65"/>
  <c r="I87" i="65"/>
  <c r="G87" i="65"/>
  <c r="B87" i="65"/>
  <c r="J86" i="65"/>
  <c r="I86" i="65"/>
  <c r="G86" i="65"/>
  <c r="B86" i="65"/>
  <c r="J85" i="65"/>
  <c r="I85" i="65"/>
  <c r="G85" i="65"/>
  <c r="B85" i="65"/>
  <c r="J84" i="65"/>
  <c r="I84" i="65"/>
  <c r="G84" i="65"/>
  <c r="B84" i="65"/>
  <c r="J83" i="65"/>
  <c r="I83" i="65"/>
  <c r="G83" i="65"/>
  <c r="B83" i="65"/>
  <c r="J82" i="65"/>
  <c r="I82" i="65"/>
  <c r="G82" i="65"/>
  <c r="B82" i="65"/>
  <c r="J81" i="65"/>
  <c r="I81" i="65"/>
  <c r="G81" i="65"/>
  <c r="B81" i="65"/>
  <c r="J80" i="65"/>
  <c r="I80" i="65"/>
  <c r="G80" i="65"/>
  <c r="B80" i="65"/>
  <c r="J79" i="65"/>
  <c r="I79" i="65"/>
  <c r="G79" i="65"/>
  <c r="B79" i="65"/>
  <c r="J78" i="65"/>
  <c r="I78" i="65"/>
  <c r="G78" i="65"/>
  <c r="B78" i="65"/>
  <c r="J77" i="65"/>
  <c r="I77" i="65"/>
  <c r="G77" i="65"/>
  <c r="B77" i="65"/>
  <c r="J76" i="65"/>
  <c r="I76" i="65"/>
  <c r="G76" i="65"/>
  <c r="B76" i="65"/>
  <c r="J75" i="65"/>
  <c r="I75" i="65"/>
  <c r="G75" i="65"/>
  <c r="B75" i="65"/>
  <c r="J74" i="65"/>
  <c r="I74" i="65"/>
  <c r="G74" i="65"/>
  <c r="B74" i="65"/>
  <c r="J73" i="65"/>
  <c r="I73" i="65"/>
  <c r="G73" i="65"/>
  <c r="B73" i="65"/>
  <c r="J72" i="65"/>
  <c r="I72" i="65"/>
  <c r="G72" i="65"/>
  <c r="B72" i="65"/>
  <c r="J71" i="65"/>
  <c r="I71" i="65"/>
  <c r="G71" i="65"/>
  <c r="B71" i="65"/>
  <c r="J70" i="65"/>
  <c r="I70" i="65"/>
  <c r="G70" i="65"/>
  <c r="B70" i="65"/>
  <c r="J69" i="65"/>
  <c r="I69" i="65"/>
  <c r="G69" i="65"/>
  <c r="B69" i="65"/>
  <c r="J68" i="65"/>
  <c r="I68" i="65"/>
  <c r="G68" i="65"/>
  <c r="B68" i="65"/>
  <c r="J67" i="65"/>
  <c r="I67" i="65"/>
  <c r="G67" i="65"/>
  <c r="B67" i="65"/>
  <c r="J66" i="65"/>
  <c r="I66" i="65"/>
  <c r="G66" i="65"/>
  <c r="B66" i="65"/>
  <c r="J65" i="65"/>
  <c r="I65" i="65"/>
  <c r="G65" i="65"/>
  <c r="B65" i="65"/>
  <c r="J64" i="65"/>
  <c r="I64" i="65"/>
  <c r="G64" i="65"/>
  <c r="B64" i="65"/>
  <c r="J63" i="65"/>
  <c r="I63" i="65"/>
  <c r="G63" i="65"/>
  <c r="B63" i="65"/>
  <c r="J62" i="65"/>
  <c r="I62" i="65"/>
  <c r="G62" i="65"/>
  <c r="B62" i="65"/>
  <c r="J61" i="65"/>
  <c r="I61" i="65"/>
  <c r="G61" i="65"/>
  <c r="B61" i="65"/>
  <c r="J60" i="65"/>
  <c r="I60" i="65"/>
  <c r="G60" i="65"/>
  <c r="B60" i="65"/>
  <c r="J59" i="65"/>
  <c r="I59" i="65"/>
  <c r="G59" i="65"/>
  <c r="B59" i="65"/>
  <c r="J58" i="65"/>
  <c r="I58" i="65"/>
  <c r="G58" i="65"/>
  <c r="B58" i="65"/>
  <c r="J57" i="65"/>
  <c r="I57" i="65"/>
  <c r="G57" i="65"/>
  <c r="B57" i="65"/>
  <c r="J56" i="65"/>
  <c r="I56" i="65"/>
  <c r="G56" i="65"/>
  <c r="B56" i="65"/>
  <c r="J55" i="65"/>
  <c r="I55" i="65"/>
  <c r="G55" i="65"/>
  <c r="B55" i="65"/>
  <c r="J54" i="65"/>
  <c r="I54" i="65"/>
  <c r="G54" i="65"/>
  <c r="B54" i="65"/>
  <c r="J53" i="65"/>
  <c r="I53" i="65"/>
  <c r="G53" i="65"/>
  <c r="B53" i="65"/>
  <c r="J52" i="65"/>
  <c r="I52" i="65"/>
  <c r="G52" i="65"/>
  <c r="B52" i="65"/>
  <c r="J51" i="65"/>
  <c r="I51" i="65"/>
  <c r="G51" i="65"/>
  <c r="B51" i="65"/>
  <c r="B218" i="50"/>
  <c r="F218" i="50"/>
  <c r="B219" i="50"/>
  <c r="F219" i="50"/>
  <c r="B220" i="50"/>
  <c r="F220" i="50"/>
  <c r="B221" i="50"/>
  <c r="F221" i="50"/>
  <c r="B222" i="50"/>
  <c r="F222" i="50"/>
  <c r="B223" i="50"/>
  <c r="F223" i="50"/>
  <c r="B224" i="50"/>
  <c r="F224" i="50"/>
  <c r="B225" i="50"/>
  <c r="F225" i="50"/>
  <c r="B226" i="50"/>
  <c r="F226" i="50"/>
  <c r="B227" i="50"/>
  <c r="F227" i="50"/>
  <c r="B228" i="50"/>
  <c r="F228" i="50"/>
  <c r="B229" i="50"/>
  <c r="F229" i="50"/>
  <c r="B230" i="50"/>
  <c r="F230" i="50"/>
  <c r="B231" i="50"/>
  <c r="F231" i="50"/>
  <c r="B232" i="50"/>
  <c r="F232" i="50"/>
  <c r="B233" i="50"/>
  <c r="F233" i="50"/>
  <c r="B234" i="50"/>
  <c r="F234" i="50"/>
  <c r="B235" i="50"/>
  <c r="F235" i="50"/>
  <c r="B236" i="50"/>
  <c r="F236" i="50"/>
  <c r="B237" i="50"/>
  <c r="F237" i="50"/>
  <c r="B238" i="50"/>
  <c r="F238" i="50"/>
  <c r="B239" i="50"/>
  <c r="F239" i="50"/>
  <c r="B240" i="50"/>
  <c r="F240" i="50"/>
  <c r="B241" i="50"/>
  <c r="F241" i="50"/>
  <c r="B242" i="50"/>
  <c r="F242" i="50"/>
  <c r="B243" i="50"/>
  <c r="F243" i="50"/>
  <c r="B244" i="50"/>
  <c r="F244" i="50"/>
  <c r="B245" i="50"/>
  <c r="F245" i="50"/>
  <c r="B246" i="50"/>
  <c r="F246" i="50"/>
  <c r="B247" i="50"/>
  <c r="F247" i="50"/>
  <c r="B248" i="50"/>
  <c r="F248" i="50"/>
  <c r="B249" i="50"/>
  <c r="F249" i="50"/>
  <c r="B250" i="50"/>
  <c r="F250" i="50"/>
  <c r="B251" i="50"/>
  <c r="F251" i="50"/>
  <c r="B252" i="50"/>
  <c r="F252" i="50"/>
  <c r="B253" i="50"/>
  <c r="F253" i="50"/>
  <c r="B254" i="50"/>
  <c r="F254" i="50"/>
  <c r="B255" i="50"/>
  <c r="F255" i="50"/>
  <c r="B256" i="50"/>
  <c r="F256" i="50"/>
  <c r="B257" i="50"/>
  <c r="F257" i="50"/>
  <c r="B258" i="50"/>
  <c r="F258" i="50"/>
  <c r="B259" i="50"/>
  <c r="F259" i="50"/>
  <c r="B260" i="50"/>
  <c r="F260" i="50"/>
  <c r="B261" i="50"/>
  <c r="F261" i="50"/>
  <c r="B262" i="50"/>
  <c r="F262" i="50"/>
  <c r="B263" i="50"/>
  <c r="B264" i="50"/>
  <c r="B265" i="50"/>
  <c r="B266" i="50"/>
  <c r="B267" i="50"/>
  <c r="B268" i="50"/>
  <c r="B269" i="50"/>
  <c r="B270" i="50"/>
  <c r="B271" i="50"/>
  <c r="F217" i="50"/>
  <c r="B217" i="50"/>
  <c r="B17" i="79"/>
  <c r="O109" i="66" l="1"/>
  <c r="O115" i="66" s="1"/>
  <c r="B458" i="40"/>
  <c r="B176" i="65"/>
  <c r="Q29" i="66"/>
  <c r="P28" i="66"/>
  <c r="M15" i="66"/>
  <c r="B459" i="40" l="1"/>
  <c r="B177" i="65"/>
  <c r="Q28" i="66"/>
  <c r="J71" i="66"/>
  <c r="B460" i="40" l="1"/>
  <c r="B178" i="65"/>
  <c r="F51" i="65"/>
  <c r="F52" i="65"/>
  <c r="F53" i="65"/>
  <c r="F54" i="65"/>
  <c r="F55" i="65"/>
  <c r="F56" i="65"/>
  <c r="F57" i="65"/>
  <c r="F58" i="65"/>
  <c r="F59" i="65"/>
  <c r="F60" i="65"/>
  <c r="F61" i="65"/>
  <c r="F62" i="65"/>
  <c r="F63" i="65"/>
  <c r="F64" i="65"/>
  <c r="F65" i="65"/>
  <c r="F66" i="65"/>
  <c r="F67" i="65"/>
  <c r="F68" i="65"/>
  <c r="F69" i="65"/>
  <c r="F70" i="65"/>
  <c r="F71" i="65"/>
  <c r="F72" i="65"/>
  <c r="F73" i="65"/>
  <c r="F74" i="65"/>
  <c r="F75" i="65"/>
  <c r="F76" i="65"/>
  <c r="F77" i="65"/>
  <c r="F78" i="65"/>
  <c r="F79" i="65"/>
  <c r="F80" i="65"/>
  <c r="F81" i="65"/>
  <c r="F82" i="65"/>
  <c r="F83" i="65"/>
  <c r="F84" i="65"/>
  <c r="F85" i="65"/>
  <c r="F86" i="65"/>
  <c r="F87" i="65"/>
  <c r="F88" i="65"/>
  <c r="F89" i="65"/>
  <c r="F90" i="65"/>
  <c r="F91" i="65"/>
  <c r="F92" i="65"/>
  <c r="F93" i="65"/>
  <c r="F94" i="65"/>
  <c r="F95" i="65"/>
  <c r="F96" i="65"/>
  <c r="F97" i="65"/>
  <c r="F98" i="65"/>
  <c r="F99" i="65"/>
  <c r="F100" i="65"/>
  <c r="F101" i="65"/>
  <c r="F102" i="65"/>
  <c r="F103" i="65"/>
  <c r="F104" i="65"/>
  <c r="F105" i="65"/>
  <c r="F106" i="65"/>
  <c r="F107" i="65"/>
  <c r="F108" i="65"/>
  <c r="F109" i="65"/>
  <c r="F110" i="65"/>
  <c r="F111" i="65"/>
  <c r="F112" i="65"/>
  <c r="F113" i="65"/>
  <c r="F114" i="65"/>
  <c r="F115" i="65"/>
  <c r="F116" i="65"/>
  <c r="F117" i="65"/>
  <c r="F118" i="65"/>
  <c r="F119" i="65"/>
  <c r="F120" i="65"/>
  <c r="F121" i="65"/>
  <c r="F122" i="65"/>
  <c r="F123" i="65"/>
  <c r="F124" i="65"/>
  <c r="F125" i="65"/>
  <c r="F127" i="65"/>
  <c r="F128" i="65"/>
  <c r="F129" i="65"/>
  <c r="F130" i="65"/>
  <c r="F131" i="65"/>
  <c r="F132" i="65"/>
  <c r="F133" i="65"/>
  <c r="F134" i="65"/>
  <c r="F135" i="65"/>
  <c r="F136" i="65"/>
  <c r="F137" i="65"/>
  <c r="F138" i="65"/>
  <c r="F139" i="65"/>
  <c r="F140" i="65"/>
  <c r="F141" i="65"/>
  <c r="F142" i="65"/>
  <c r="Q68" i="66"/>
  <c r="P68" i="66"/>
  <c r="O68" i="66"/>
  <c r="O80" i="66" s="1"/>
  <c r="N68" i="66"/>
  <c r="N80" i="66" s="1"/>
  <c r="Q67" i="66"/>
  <c r="P67" i="66"/>
  <c r="O67" i="66"/>
  <c r="N67" i="66"/>
  <c r="N81" i="66" s="1"/>
  <c r="P82" i="66" s="1"/>
  <c r="P45" i="66"/>
  <c r="Q46" i="66"/>
  <c r="P57" i="66"/>
  <c r="Q58" i="66"/>
  <c r="F25" i="66"/>
  <c r="P124" i="66" s="1"/>
  <c r="O81" i="66" l="1"/>
  <c r="Q82" i="66" s="1"/>
  <c r="B461" i="40"/>
  <c r="B179" i="65"/>
  <c r="F126" i="65"/>
  <c r="F22" i="66"/>
  <c r="F21" i="66"/>
  <c r="J72" i="66"/>
  <c r="M68" i="66"/>
  <c r="M80" i="66" s="1"/>
  <c r="O82" i="66" s="1"/>
  <c r="M67" i="66"/>
  <c r="F18" i="66"/>
  <c r="O56" i="66"/>
  <c r="N55" i="66"/>
  <c r="M54" i="66"/>
  <c r="L53" i="66"/>
  <c r="K52" i="66"/>
  <c r="J51" i="66"/>
  <c r="I50" i="66"/>
  <c r="H49" i="66"/>
  <c r="O44" i="66"/>
  <c r="N43" i="66"/>
  <c r="M42" i="66"/>
  <c r="L41" i="66"/>
  <c r="K40" i="66"/>
  <c r="J39" i="66"/>
  <c r="I38" i="66"/>
  <c r="H37" i="66"/>
  <c r="B462" i="40" l="1"/>
  <c r="B180" i="65"/>
  <c r="J267" i="50"/>
  <c r="J266" i="50"/>
  <c r="J265" i="50"/>
  <c r="J264" i="50"/>
  <c r="J263" i="50"/>
  <c r="J262" i="50"/>
  <c r="J261" i="50"/>
  <c r="J260" i="50"/>
  <c r="J259" i="50"/>
  <c r="J258" i="50"/>
  <c r="J257" i="50"/>
  <c r="J256" i="50"/>
  <c r="J255" i="50"/>
  <c r="J254" i="50"/>
  <c r="J253" i="50"/>
  <c r="J252" i="50"/>
  <c r="J251" i="50"/>
  <c r="B463" i="40" l="1"/>
  <c r="B181" i="65"/>
  <c r="M254" i="50"/>
  <c r="T254" i="50"/>
  <c r="P254" i="50"/>
  <c r="M252" i="50"/>
  <c r="T252" i="50"/>
  <c r="P252" i="50"/>
  <c r="M256" i="50"/>
  <c r="T256" i="50"/>
  <c r="P256" i="50"/>
  <c r="P260" i="50"/>
  <c r="T260" i="50"/>
  <c r="M260" i="50"/>
  <c r="T264" i="50"/>
  <c r="M264" i="50"/>
  <c r="P264" i="50"/>
  <c r="M253" i="50"/>
  <c r="T253" i="50"/>
  <c r="P253" i="50"/>
  <c r="P257" i="50"/>
  <c r="M257" i="50"/>
  <c r="T257" i="50"/>
  <c r="P261" i="50"/>
  <c r="T261" i="50"/>
  <c r="M261" i="50"/>
  <c r="P265" i="50"/>
  <c r="T265" i="50"/>
  <c r="M265" i="50"/>
  <c r="M258" i="50"/>
  <c r="T258" i="50"/>
  <c r="P258" i="50"/>
  <c r="P262" i="50"/>
  <c r="T262" i="50"/>
  <c r="M262" i="50"/>
  <c r="P266" i="50"/>
  <c r="T266" i="50"/>
  <c r="M266" i="50"/>
  <c r="P251" i="50"/>
  <c r="M251" i="50"/>
  <c r="T251" i="50"/>
  <c r="P255" i="50"/>
  <c r="M255" i="50"/>
  <c r="T255" i="50"/>
  <c r="P259" i="50"/>
  <c r="T259" i="50"/>
  <c r="M259" i="50"/>
  <c r="M263" i="50"/>
  <c r="P263" i="50"/>
  <c r="T263" i="50"/>
  <c r="M267" i="50"/>
  <c r="P267" i="50"/>
  <c r="T267" i="50"/>
  <c r="L61" i="42"/>
  <c r="M61" i="42"/>
  <c r="S61" i="42" s="1"/>
  <c r="L62" i="42"/>
  <c r="M62" i="42"/>
  <c r="L63" i="42"/>
  <c r="M63" i="42"/>
  <c r="S63" i="42" s="1"/>
  <c r="L64" i="42"/>
  <c r="BV64" i="42" s="1"/>
  <c r="M64" i="42"/>
  <c r="S64" i="42" s="1"/>
  <c r="O62" i="42" l="1"/>
  <c r="R62" i="42" s="1"/>
  <c r="S62" i="42"/>
  <c r="B464" i="40"/>
  <c r="B182" i="65"/>
  <c r="P61" i="42"/>
  <c r="V61" i="42"/>
  <c r="O61" i="42"/>
  <c r="P64" i="42"/>
  <c r="V64" i="42"/>
  <c r="O64" i="42"/>
  <c r="R64" i="42" s="1"/>
  <c r="P63" i="42"/>
  <c r="V63" i="42"/>
  <c r="O63" i="42"/>
  <c r="R63" i="42" s="1"/>
  <c r="P65" i="42"/>
  <c r="V65" i="42"/>
  <c r="P62" i="42"/>
  <c r="V62" i="42"/>
  <c r="K52" i="65"/>
  <c r="K53" i="65"/>
  <c r="K54" i="65"/>
  <c r="K55" i="65"/>
  <c r="M56" i="65"/>
  <c r="K57" i="65"/>
  <c r="K58" i="65"/>
  <c r="M60" i="65"/>
  <c r="M62" i="65"/>
  <c r="K64" i="65"/>
  <c r="M65" i="65"/>
  <c r="M66" i="65"/>
  <c r="K67" i="65"/>
  <c r="K69" i="65"/>
  <c r="M70" i="65"/>
  <c r="K71" i="65"/>
  <c r="M73" i="65"/>
  <c r="M75" i="65"/>
  <c r="K76" i="65"/>
  <c r="M77" i="65"/>
  <c r="M78" i="65"/>
  <c r="K79" i="65"/>
  <c r="M80" i="65"/>
  <c r="K81" i="65"/>
  <c r="M82" i="65"/>
  <c r="K83" i="65"/>
  <c r="M84" i="65"/>
  <c r="M86" i="65"/>
  <c r="M88" i="65"/>
  <c r="M90" i="65"/>
  <c r="M92" i="65"/>
  <c r="M94" i="65"/>
  <c r="M95" i="65"/>
  <c r="K96" i="65"/>
  <c r="M97" i="65"/>
  <c r="K98" i="65"/>
  <c r="M99" i="65"/>
  <c r="K101" i="65"/>
  <c r="K102" i="65"/>
  <c r="K103" i="65"/>
  <c r="K105" i="65"/>
  <c r="K106" i="65"/>
  <c r="K107" i="65"/>
  <c r="K108" i="65"/>
  <c r="M109" i="65"/>
  <c r="M111" i="65"/>
  <c r="M112" i="65"/>
  <c r="M113" i="65"/>
  <c r="M114" i="65"/>
  <c r="M115" i="65"/>
  <c r="M116" i="65"/>
  <c r="M117" i="65"/>
  <c r="M118" i="65"/>
  <c r="M119" i="65"/>
  <c r="M120" i="65"/>
  <c r="M121" i="65"/>
  <c r="M122" i="65"/>
  <c r="K123" i="65"/>
  <c r="M124" i="65"/>
  <c r="K125" i="65"/>
  <c r="K127" i="65"/>
  <c r="M128" i="65"/>
  <c r="K129" i="65"/>
  <c r="M130" i="65"/>
  <c r="K131" i="65"/>
  <c r="K133" i="65"/>
  <c r="M134" i="65"/>
  <c r="K135" i="65"/>
  <c r="K137" i="65"/>
  <c r="K139" i="65"/>
  <c r="M140" i="65"/>
  <c r="K141" i="65"/>
  <c r="K142" i="65"/>
  <c r="F1149" i="40"/>
  <c r="E1149" i="40"/>
  <c r="F1150" i="40"/>
  <c r="E1150" i="40"/>
  <c r="F1151" i="40"/>
  <c r="E1151" i="40"/>
  <c r="F1152" i="40"/>
  <c r="E1152" i="40"/>
  <c r="F1153" i="40"/>
  <c r="E1153" i="40"/>
  <c r="F1154" i="40"/>
  <c r="E1154" i="40"/>
  <c r="F1155" i="40"/>
  <c r="E1155" i="40"/>
  <c r="F1156" i="40"/>
  <c r="E1156" i="40"/>
  <c r="F1157" i="40"/>
  <c r="E1157" i="40"/>
  <c r="F1158" i="40"/>
  <c r="E1158" i="40"/>
  <c r="F1159" i="40"/>
  <c r="E1159" i="40"/>
  <c r="F1160" i="40"/>
  <c r="E1160" i="40"/>
  <c r="F1161" i="40"/>
  <c r="E1161" i="40"/>
  <c r="F1162" i="40"/>
  <c r="E1162" i="40"/>
  <c r="F1163" i="40"/>
  <c r="E1163" i="40"/>
  <c r="F1164" i="40"/>
  <c r="E1164" i="40"/>
  <c r="E1148" i="40"/>
  <c r="F1148" i="40"/>
  <c r="E1147" i="40"/>
  <c r="F1147" i="40"/>
  <c r="E1146" i="40"/>
  <c r="F1146" i="40"/>
  <c r="E1145" i="40"/>
  <c r="F1145" i="40"/>
  <c r="E1144" i="40"/>
  <c r="F1144" i="40"/>
  <c r="E1143" i="40"/>
  <c r="F1143" i="40"/>
  <c r="E1142" i="40"/>
  <c r="F1142" i="40"/>
  <c r="E1141" i="40"/>
  <c r="F1141" i="40"/>
  <c r="E1140" i="40"/>
  <c r="F1140" i="40"/>
  <c r="E1139" i="40"/>
  <c r="F1139" i="40"/>
  <c r="E1138" i="40"/>
  <c r="F1138" i="40"/>
  <c r="E1137" i="40"/>
  <c r="F1137" i="40"/>
  <c r="E1136" i="40"/>
  <c r="F1136" i="40"/>
  <c r="E1135" i="40"/>
  <c r="F1135" i="40"/>
  <c r="E1134" i="40"/>
  <c r="F1134" i="40"/>
  <c r="E1133" i="40"/>
  <c r="F1133" i="40"/>
  <c r="E1132" i="40"/>
  <c r="F1132" i="40"/>
  <c r="E1131" i="40"/>
  <c r="F1131" i="40"/>
  <c r="E1130" i="40"/>
  <c r="F1130" i="40"/>
  <c r="E1129" i="40"/>
  <c r="F1129" i="40"/>
  <c r="E1128" i="40"/>
  <c r="F1128" i="40"/>
  <c r="E1127" i="40"/>
  <c r="F1127" i="40"/>
  <c r="E1126" i="40"/>
  <c r="F1126" i="40"/>
  <c r="E1125" i="40"/>
  <c r="F1125" i="40"/>
  <c r="E1124" i="40"/>
  <c r="F1124" i="40"/>
  <c r="E1123" i="40"/>
  <c r="F1123" i="40"/>
  <c r="E1122" i="40"/>
  <c r="F1122" i="40"/>
  <c r="E1121" i="40"/>
  <c r="F1121" i="40"/>
  <c r="E1120" i="40"/>
  <c r="F1120" i="40"/>
  <c r="E1119" i="40"/>
  <c r="F1119" i="40"/>
  <c r="E1118" i="40"/>
  <c r="F1118" i="40"/>
  <c r="E1117" i="40"/>
  <c r="F1117" i="40"/>
  <c r="E1116" i="40"/>
  <c r="F1116" i="40"/>
  <c r="E1115" i="40"/>
  <c r="F1115" i="40"/>
  <c r="E1114" i="40"/>
  <c r="F1114" i="40"/>
  <c r="E1113" i="40"/>
  <c r="F1113" i="40"/>
  <c r="E1112" i="40"/>
  <c r="F1112" i="40"/>
  <c r="E1111" i="40"/>
  <c r="F1111" i="40"/>
  <c r="E1110" i="40"/>
  <c r="F1110" i="40"/>
  <c r="E1109" i="40"/>
  <c r="F1109" i="40"/>
  <c r="E1108" i="40"/>
  <c r="F1108" i="40"/>
  <c r="E1107" i="40"/>
  <c r="F1107" i="40"/>
  <c r="E1106" i="40"/>
  <c r="F1106" i="40"/>
  <c r="E1105" i="40"/>
  <c r="F1105" i="40"/>
  <c r="E1104" i="40"/>
  <c r="F1104" i="40"/>
  <c r="E1103" i="40"/>
  <c r="F1103" i="40"/>
  <c r="E1102" i="40"/>
  <c r="F1102" i="40"/>
  <c r="E1101" i="40"/>
  <c r="F1101" i="40"/>
  <c r="E1100" i="40"/>
  <c r="F1100" i="40"/>
  <c r="E1099" i="40"/>
  <c r="F1099" i="40"/>
  <c r="E1098" i="40"/>
  <c r="F1098" i="40"/>
  <c r="E1097" i="40"/>
  <c r="F1097" i="40"/>
  <c r="E1096" i="40"/>
  <c r="F1096" i="40"/>
  <c r="E1095" i="40"/>
  <c r="F1095" i="40"/>
  <c r="E1094" i="40"/>
  <c r="F1094" i="40"/>
  <c r="E1093" i="40"/>
  <c r="F1093" i="40"/>
  <c r="E1092" i="40"/>
  <c r="F1092" i="40"/>
  <c r="E1091" i="40"/>
  <c r="F1091" i="40"/>
  <c r="E1090" i="40"/>
  <c r="F1090" i="40"/>
  <c r="F1087" i="40"/>
  <c r="E1087" i="40"/>
  <c r="F1088" i="40"/>
  <c r="E1088" i="40"/>
  <c r="F1089" i="40"/>
  <c r="E1089" i="40"/>
  <c r="BD62" i="42" l="1"/>
  <c r="U61" i="42"/>
  <c r="R61" i="42"/>
  <c r="B465" i="40"/>
  <c r="B183" i="65"/>
  <c r="U63" i="42"/>
  <c r="U64" i="42"/>
  <c r="U62" i="42"/>
  <c r="M142" i="65"/>
  <c r="M67" i="65"/>
  <c r="N67" i="65" s="1"/>
  <c r="M105" i="65"/>
  <c r="K140" i="65"/>
  <c r="K130" i="65"/>
  <c r="M106" i="65"/>
  <c r="AL106" i="65" s="1"/>
  <c r="M101" i="65"/>
  <c r="M103" i="65"/>
  <c r="AK103" i="65" s="1"/>
  <c r="K97" i="65"/>
  <c r="AJ86" i="65"/>
  <c r="K134" i="65"/>
  <c r="K128" i="65"/>
  <c r="K124" i="65"/>
  <c r="K82" i="65"/>
  <c r="M79" i="65"/>
  <c r="N79" i="65" s="1"/>
  <c r="M107" i="65"/>
  <c r="K86" i="65"/>
  <c r="M83" i="65"/>
  <c r="N83" i="65" s="1"/>
  <c r="K78" i="65"/>
  <c r="K75" i="65"/>
  <c r="N73" i="65"/>
  <c r="M69" i="65"/>
  <c r="K60" i="65"/>
  <c r="M54" i="65"/>
  <c r="N94" i="65"/>
  <c r="M71" i="65"/>
  <c r="N71" i="65" s="1"/>
  <c r="K62" i="65"/>
  <c r="K56" i="65"/>
  <c r="N122" i="65"/>
  <c r="AL120" i="65"/>
  <c r="K110" i="65"/>
  <c r="M110" i="65"/>
  <c r="K126" i="65"/>
  <c r="M126" i="65"/>
  <c r="N126" i="65" s="1"/>
  <c r="K132" i="65"/>
  <c r="M132" i="65"/>
  <c r="N132" i="65" s="1"/>
  <c r="AK128" i="65"/>
  <c r="AL121" i="65"/>
  <c r="AL119" i="65"/>
  <c r="K138" i="65"/>
  <c r="M138" i="65"/>
  <c r="K136" i="65"/>
  <c r="M136" i="65"/>
  <c r="K109" i="65"/>
  <c r="M102" i="65"/>
  <c r="K99" i="65"/>
  <c r="M98" i="65"/>
  <c r="K90" i="65"/>
  <c r="K88" i="65"/>
  <c r="M81" i="65"/>
  <c r="N81" i="65" s="1"/>
  <c r="K70" i="65"/>
  <c r="K66" i="65"/>
  <c r="M52" i="65"/>
  <c r="M76" i="65"/>
  <c r="N76" i="65" s="1"/>
  <c r="M64" i="65"/>
  <c r="N64" i="65" s="1"/>
  <c r="M58" i="65"/>
  <c r="N58" i="65" s="1"/>
  <c r="M96" i="65"/>
  <c r="K95" i="65"/>
  <c r="K92" i="65"/>
  <c r="K84" i="65"/>
  <c r="K80" i="65"/>
  <c r="N77" i="65"/>
  <c r="K65" i="65"/>
  <c r="BE64" i="42"/>
  <c r="BE62" i="42"/>
  <c r="BE65" i="42"/>
  <c r="BE63" i="42"/>
  <c r="BD61" i="42"/>
  <c r="BE61" i="42"/>
  <c r="BD65" i="42"/>
  <c r="BD63" i="42"/>
  <c r="BD64" i="42"/>
  <c r="N128" i="65"/>
  <c r="AH128" i="65"/>
  <c r="AL128" i="65"/>
  <c r="AI128" i="65"/>
  <c r="AJ128" i="65"/>
  <c r="N130" i="65"/>
  <c r="N134" i="65"/>
  <c r="AL134" i="65"/>
  <c r="N140" i="65"/>
  <c r="AK134" i="65"/>
  <c r="N124" i="65"/>
  <c r="AK121" i="65"/>
  <c r="AJ120" i="65"/>
  <c r="AI119" i="65"/>
  <c r="AK119" i="65"/>
  <c r="N109" i="65"/>
  <c r="AL109" i="65"/>
  <c r="AK109" i="65"/>
  <c r="K100" i="65"/>
  <c r="M100" i="65"/>
  <c r="K87" i="65"/>
  <c r="M87" i="65"/>
  <c r="AK120" i="65"/>
  <c r="AI120" i="65"/>
  <c r="AJ119" i="65"/>
  <c r="M141" i="65"/>
  <c r="M139" i="65"/>
  <c r="M137" i="65"/>
  <c r="M135" i="65"/>
  <c r="M133" i="65"/>
  <c r="M131" i="65"/>
  <c r="M129" i="65"/>
  <c r="M127" i="65"/>
  <c r="M125" i="65"/>
  <c r="M123" i="65"/>
  <c r="N121" i="65"/>
  <c r="AH120" i="65"/>
  <c r="N120" i="65"/>
  <c r="AH119" i="65"/>
  <c r="N119" i="65"/>
  <c r="N118" i="65"/>
  <c r="N117" i="65"/>
  <c r="N116" i="65"/>
  <c r="N115" i="65"/>
  <c r="N114" i="65"/>
  <c r="N113" i="65"/>
  <c r="N112" i="65"/>
  <c r="N111" i="65"/>
  <c r="K104" i="65"/>
  <c r="M104" i="65"/>
  <c r="N99" i="65"/>
  <c r="N90" i="65"/>
  <c r="K122" i="65"/>
  <c r="K121" i="65"/>
  <c r="K120" i="65"/>
  <c r="K119" i="65"/>
  <c r="K118" i="65"/>
  <c r="K117" i="65"/>
  <c r="K116" i="65"/>
  <c r="K115" i="65"/>
  <c r="K114" i="65"/>
  <c r="K113" i="65"/>
  <c r="K112" i="65"/>
  <c r="K111" i="65"/>
  <c r="M108" i="65"/>
  <c r="N97" i="65"/>
  <c r="N92" i="65"/>
  <c r="K89" i="65"/>
  <c r="M89" i="65"/>
  <c r="N84" i="65"/>
  <c r="K91" i="65"/>
  <c r="M91" i="65"/>
  <c r="AK86" i="65"/>
  <c r="N86" i="65"/>
  <c r="AL86" i="65"/>
  <c r="N95" i="65"/>
  <c r="K93" i="65"/>
  <c r="M93" i="65"/>
  <c r="N88" i="65"/>
  <c r="K85" i="65"/>
  <c r="M85" i="65"/>
  <c r="N78" i="65"/>
  <c r="K74" i="65"/>
  <c r="M74" i="65"/>
  <c r="N80" i="65"/>
  <c r="N65" i="65"/>
  <c r="K94" i="65"/>
  <c r="N82" i="65"/>
  <c r="M72" i="65"/>
  <c r="K72" i="65"/>
  <c r="K77" i="65"/>
  <c r="K73" i="65"/>
  <c r="N70" i="65"/>
  <c r="M68" i="65"/>
  <c r="K68" i="65"/>
  <c r="N75" i="65"/>
  <c r="N56" i="65"/>
  <c r="N66" i="65"/>
  <c r="K63" i="65"/>
  <c r="M63" i="65"/>
  <c r="K61" i="65"/>
  <c r="M61" i="65"/>
  <c r="K59" i="65"/>
  <c r="M59" i="65"/>
  <c r="N62" i="65"/>
  <c r="N60" i="65"/>
  <c r="M57" i="65"/>
  <c r="M55" i="65"/>
  <c r="M53" i="65"/>
  <c r="B466" i="40" l="1"/>
  <c r="B184" i="65"/>
  <c r="N102" i="65"/>
  <c r="N105" i="65"/>
  <c r="N110" i="65"/>
  <c r="N54" i="65"/>
  <c r="N142" i="65"/>
  <c r="N136" i="65"/>
  <c r="N107" i="65"/>
  <c r="N106" i="65"/>
  <c r="AK106" i="65"/>
  <c r="AH106" i="65"/>
  <c r="N98" i="65"/>
  <c r="N69" i="65"/>
  <c r="N52" i="65"/>
  <c r="N96" i="65"/>
  <c r="N101" i="65"/>
  <c r="AJ106" i="65"/>
  <c r="AI106" i="65"/>
  <c r="AL103" i="65"/>
  <c r="N103" i="65"/>
  <c r="AI103" i="65"/>
  <c r="AH103" i="65"/>
  <c r="AJ103" i="65"/>
  <c r="N138" i="65"/>
  <c r="N57" i="65"/>
  <c r="N139" i="65"/>
  <c r="N61" i="65"/>
  <c r="N68" i="65"/>
  <c r="AI85" i="65"/>
  <c r="AJ85" i="65"/>
  <c r="AL85" i="65"/>
  <c r="N85" i="65"/>
  <c r="AK85" i="65"/>
  <c r="N93" i="65"/>
  <c r="N125" i="65"/>
  <c r="AJ133" i="65"/>
  <c r="AK133" i="65"/>
  <c r="N133" i="65"/>
  <c r="AL133" i="65"/>
  <c r="N141" i="65"/>
  <c r="AL87" i="65"/>
  <c r="N87" i="65"/>
  <c r="AK87" i="65"/>
  <c r="N123" i="65"/>
  <c r="N100" i="65"/>
  <c r="N53" i="65"/>
  <c r="N74" i="65"/>
  <c r="N91" i="65"/>
  <c r="N89" i="65"/>
  <c r="N104" i="65"/>
  <c r="N127" i="65"/>
  <c r="N135" i="65"/>
  <c r="AL135" i="65"/>
  <c r="N108" i="65"/>
  <c r="N131" i="65"/>
  <c r="N55" i="65"/>
  <c r="N59" i="65"/>
  <c r="N63" i="65"/>
  <c r="N72" i="65"/>
  <c r="N129" i="65"/>
  <c r="N137" i="65"/>
  <c r="B467" i="40" l="1"/>
  <c r="B185" i="65"/>
  <c r="F138" i="50"/>
  <c r="H138" i="50"/>
  <c r="I138" i="50"/>
  <c r="J138" i="50"/>
  <c r="K138" i="50"/>
  <c r="F139" i="50"/>
  <c r="H139" i="50"/>
  <c r="I139" i="50"/>
  <c r="J139" i="50"/>
  <c r="K139" i="50"/>
  <c r="F140" i="50"/>
  <c r="H140" i="50"/>
  <c r="I140" i="50"/>
  <c r="J140" i="50"/>
  <c r="K140" i="50"/>
  <c r="F141" i="50"/>
  <c r="H141" i="50"/>
  <c r="I141" i="50"/>
  <c r="J141" i="50"/>
  <c r="K141" i="50"/>
  <c r="F142" i="50"/>
  <c r="H142" i="50"/>
  <c r="I142" i="50"/>
  <c r="J142" i="50"/>
  <c r="K142" i="50"/>
  <c r="F143" i="50"/>
  <c r="H143" i="50"/>
  <c r="I143" i="50"/>
  <c r="J143" i="50"/>
  <c r="K143" i="50"/>
  <c r="F144" i="50"/>
  <c r="H144" i="50"/>
  <c r="I144" i="50"/>
  <c r="J144" i="50"/>
  <c r="K144" i="50"/>
  <c r="F145" i="50"/>
  <c r="H145" i="50"/>
  <c r="I145" i="50"/>
  <c r="J145" i="50"/>
  <c r="K145" i="50"/>
  <c r="F146" i="50"/>
  <c r="H146" i="50"/>
  <c r="I146" i="50"/>
  <c r="J146" i="50"/>
  <c r="K146" i="50"/>
  <c r="F147" i="50"/>
  <c r="H147" i="50"/>
  <c r="I147" i="50"/>
  <c r="J147" i="50"/>
  <c r="K147" i="50"/>
  <c r="F148" i="50"/>
  <c r="H148" i="50"/>
  <c r="I148" i="50"/>
  <c r="J148" i="50"/>
  <c r="K148" i="50"/>
  <c r="F149" i="50"/>
  <c r="H149" i="50"/>
  <c r="I149" i="50"/>
  <c r="J149" i="50"/>
  <c r="K149" i="50"/>
  <c r="F150" i="50"/>
  <c r="H150" i="50"/>
  <c r="I150" i="50"/>
  <c r="J150" i="50"/>
  <c r="K150" i="50"/>
  <c r="F151" i="50"/>
  <c r="H151" i="50"/>
  <c r="I151" i="50"/>
  <c r="J151" i="50"/>
  <c r="K151" i="50"/>
  <c r="F152" i="50"/>
  <c r="H152" i="50"/>
  <c r="I152" i="50"/>
  <c r="J152" i="50"/>
  <c r="K152" i="50"/>
  <c r="F153" i="50"/>
  <c r="H153" i="50"/>
  <c r="I153" i="50"/>
  <c r="J153" i="50"/>
  <c r="K153" i="50"/>
  <c r="F154" i="50"/>
  <c r="H154" i="50"/>
  <c r="I154" i="50"/>
  <c r="J154" i="50"/>
  <c r="K154" i="50"/>
  <c r="F155" i="50"/>
  <c r="H155" i="50"/>
  <c r="I155" i="50"/>
  <c r="J155" i="50"/>
  <c r="K155" i="50"/>
  <c r="F156" i="50"/>
  <c r="H156" i="50"/>
  <c r="I156" i="50"/>
  <c r="J156" i="50"/>
  <c r="K156" i="50"/>
  <c r="F157" i="50"/>
  <c r="H157" i="50"/>
  <c r="I157" i="50"/>
  <c r="J157" i="50"/>
  <c r="K157" i="50"/>
  <c r="F158" i="50"/>
  <c r="H158" i="50"/>
  <c r="I158" i="50"/>
  <c r="J158" i="50"/>
  <c r="K158" i="50"/>
  <c r="B157" i="50"/>
  <c r="B158" i="50"/>
  <c r="B138" i="50"/>
  <c r="B139" i="50"/>
  <c r="B140" i="50"/>
  <c r="B141" i="50"/>
  <c r="B142" i="50"/>
  <c r="B143" i="50"/>
  <c r="B144" i="50"/>
  <c r="B145" i="50"/>
  <c r="B146" i="50"/>
  <c r="B147" i="50"/>
  <c r="B148" i="50"/>
  <c r="B149" i="50"/>
  <c r="B150" i="50"/>
  <c r="B151" i="50"/>
  <c r="B152" i="50"/>
  <c r="B153" i="50"/>
  <c r="B154" i="50"/>
  <c r="B155" i="50"/>
  <c r="B156" i="50"/>
  <c r="B468" i="40" l="1"/>
  <c r="B186" i="65"/>
  <c r="AV155" i="50"/>
  <c r="AT155" i="50"/>
  <c r="AU155" i="50"/>
  <c r="AP153" i="50"/>
  <c r="AN153" i="50"/>
  <c r="AO153" i="50"/>
  <c r="AU147" i="50"/>
  <c r="AT147" i="50"/>
  <c r="AT139" i="50"/>
  <c r="AU139" i="50"/>
  <c r="AU158" i="50"/>
  <c r="AV158" i="50"/>
  <c r="AT158" i="50"/>
  <c r="AO156" i="50"/>
  <c r="AP156" i="50"/>
  <c r="AN156" i="50"/>
  <c r="AU154" i="50"/>
  <c r="AV154" i="50"/>
  <c r="AT154" i="50"/>
  <c r="AO152" i="50"/>
  <c r="AP152" i="50"/>
  <c r="AN152" i="50"/>
  <c r="AT150" i="50"/>
  <c r="AU150" i="50"/>
  <c r="AN148" i="50"/>
  <c r="AO148" i="50"/>
  <c r="AT146" i="50"/>
  <c r="AU146" i="50"/>
  <c r="AN144" i="50"/>
  <c r="AO144" i="50"/>
  <c r="AT142" i="50"/>
  <c r="AU142" i="50"/>
  <c r="AN140" i="50"/>
  <c r="AO140" i="50"/>
  <c r="AT138" i="50"/>
  <c r="AU138" i="50"/>
  <c r="AE157" i="50"/>
  <c r="AP157" i="50"/>
  <c r="AQ157" i="50"/>
  <c r="AR157" i="50" s="1"/>
  <c r="AN157" i="50"/>
  <c r="AO157" i="50"/>
  <c r="AV151" i="50"/>
  <c r="AU151" i="50"/>
  <c r="AT151" i="50"/>
  <c r="AO149" i="50"/>
  <c r="AN149" i="50"/>
  <c r="AF145" i="50"/>
  <c r="AP145" i="50"/>
  <c r="AQ145" i="50" s="1"/>
  <c r="AR145" i="50" s="1"/>
  <c r="AN145" i="50"/>
  <c r="AO145" i="50"/>
  <c r="AT143" i="50"/>
  <c r="AU143" i="50"/>
  <c r="AN141" i="50"/>
  <c r="AO141" i="50"/>
  <c r="AT157" i="50"/>
  <c r="AU157" i="50"/>
  <c r="AV157" i="50"/>
  <c r="AN155" i="50"/>
  <c r="AO155" i="50"/>
  <c r="AP155" i="50"/>
  <c r="AT153" i="50"/>
  <c r="AU153" i="50"/>
  <c r="AV153" i="50"/>
  <c r="V151" i="50"/>
  <c r="AO151" i="50"/>
  <c r="AP151" i="50"/>
  <c r="AQ151" i="50"/>
  <c r="AR151" i="50" s="1"/>
  <c r="AN151" i="50"/>
  <c r="AT149" i="50"/>
  <c r="AU149" i="50"/>
  <c r="AO147" i="50"/>
  <c r="AN147" i="50"/>
  <c r="AT145" i="50"/>
  <c r="AU145" i="50"/>
  <c r="AN143" i="50"/>
  <c r="AO143" i="50"/>
  <c r="AT141" i="50"/>
  <c r="AU141" i="50"/>
  <c r="V139" i="50"/>
  <c r="AN139" i="50"/>
  <c r="AO139" i="50"/>
  <c r="AP139" i="50"/>
  <c r="AQ139" i="50" s="1"/>
  <c r="AR139" i="50" s="1"/>
  <c r="AP158" i="50"/>
  <c r="AN158" i="50"/>
  <c r="AO158" i="50"/>
  <c r="AT156" i="50"/>
  <c r="AV156" i="50"/>
  <c r="AU156" i="50"/>
  <c r="AN154" i="50"/>
  <c r="AO154" i="50"/>
  <c r="AP154" i="50"/>
  <c r="AT152" i="50"/>
  <c r="AU152" i="50"/>
  <c r="AV152" i="50"/>
  <c r="AN150" i="50"/>
  <c r="AO150" i="50"/>
  <c r="AT148" i="50"/>
  <c r="AU148" i="50"/>
  <c r="AN146" i="50"/>
  <c r="AO146" i="50"/>
  <c r="AT144" i="50"/>
  <c r="AU144" i="50"/>
  <c r="AN142" i="50"/>
  <c r="AO142" i="50"/>
  <c r="AT140" i="50"/>
  <c r="AU140" i="50"/>
  <c r="AO138" i="50"/>
  <c r="AN138" i="50"/>
  <c r="N140" i="50"/>
  <c r="N158" i="50"/>
  <c r="W141" i="50"/>
  <c r="X139" i="50"/>
  <c r="W148" i="50"/>
  <c r="W151" i="50"/>
  <c r="V157" i="50"/>
  <c r="AC143" i="50"/>
  <c r="P155" i="50"/>
  <c r="AB158" i="50"/>
  <c r="V158" i="50"/>
  <c r="X155" i="50"/>
  <c r="P148" i="50"/>
  <c r="V143" i="50"/>
  <c r="V140" i="50"/>
  <c r="AB156" i="50"/>
  <c r="AF151" i="50"/>
  <c r="T143" i="50"/>
  <c r="AC140" i="50"/>
  <c r="T140" i="50"/>
  <c r="T158" i="50"/>
  <c r="W155" i="50"/>
  <c r="AD151" i="50"/>
  <c r="T151" i="50"/>
  <c r="W144" i="50"/>
  <c r="AD139" i="50"/>
  <c r="T139" i="50"/>
  <c r="M158" i="50"/>
  <c r="V156" i="50"/>
  <c r="AC155" i="50"/>
  <c r="M155" i="50"/>
  <c r="AB151" i="50"/>
  <c r="AH151" i="50" s="1"/>
  <c r="M151" i="50"/>
  <c r="T144" i="50"/>
  <c r="T142" i="50"/>
  <c r="AC139" i="50"/>
  <c r="N139" i="50"/>
  <c r="AD158" i="50"/>
  <c r="W158" i="50"/>
  <c r="P157" i="50"/>
  <c r="Y151" i="50"/>
  <c r="T148" i="50"/>
  <c r="Y139" i="50"/>
  <c r="P153" i="50"/>
  <c r="AB148" i="50"/>
  <c r="M148" i="50"/>
  <c r="T147" i="50"/>
  <c r="AE145" i="50"/>
  <c r="AB144" i="50"/>
  <c r="M144" i="50"/>
  <c r="N143" i="50"/>
  <c r="V141" i="50"/>
  <c r="AF139" i="50"/>
  <c r="AB139" i="50"/>
  <c r="AH139" i="50" s="1"/>
  <c r="W139" i="50"/>
  <c r="M139" i="50"/>
  <c r="P143" i="50"/>
  <c r="S143" i="50" s="1"/>
  <c r="AC158" i="50"/>
  <c r="X158" i="50"/>
  <c r="Z157" i="50"/>
  <c r="P156" i="50"/>
  <c r="AB155" i="50"/>
  <c r="V155" i="50"/>
  <c r="AE139" i="50"/>
  <c r="Z139" i="50"/>
  <c r="P139" i="50"/>
  <c r="S139" i="50" s="1"/>
  <c r="P141" i="50"/>
  <c r="S141" i="50" s="1"/>
  <c r="P149" i="50"/>
  <c r="P145" i="50"/>
  <c r="N155" i="50"/>
  <c r="AD154" i="50"/>
  <c r="AE151" i="50"/>
  <c r="Z151" i="50"/>
  <c r="W149" i="50"/>
  <c r="V148" i="50"/>
  <c r="AC147" i="50"/>
  <c r="N147" i="50"/>
  <c r="T146" i="50"/>
  <c r="W145" i="50"/>
  <c r="V144" i="50"/>
  <c r="Q143" i="50"/>
  <c r="P152" i="50"/>
  <c r="P144" i="50"/>
  <c r="P140" i="50"/>
  <c r="S140" i="50" s="1"/>
  <c r="M156" i="50"/>
  <c r="X154" i="50"/>
  <c r="X152" i="50"/>
  <c r="V149" i="50"/>
  <c r="AB147" i="50"/>
  <c r="W147" i="50"/>
  <c r="M147" i="50"/>
  <c r="V145" i="50"/>
  <c r="P151" i="50"/>
  <c r="P147" i="50"/>
  <c r="AD156" i="50"/>
  <c r="W156" i="50"/>
  <c r="AC151" i="50"/>
  <c r="X151" i="50"/>
  <c r="N151" i="50"/>
  <c r="AC148" i="50"/>
  <c r="N148" i="50"/>
  <c r="V147" i="50"/>
  <c r="AC144" i="50"/>
  <c r="N144" i="50"/>
  <c r="M143" i="50"/>
  <c r="V142" i="50"/>
  <c r="AB140" i="50"/>
  <c r="W140" i="50"/>
  <c r="M140" i="50"/>
  <c r="P158" i="50"/>
  <c r="P154" i="50"/>
  <c r="P150" i="50"/>
  <c r="P146" i="50"/>
  <c r="P142" i="50"/>
  <c r="P138" i="50"/>
  <c r="S138" i="50" s="1"/>
  <c r="W154" i="50"/>
  <c r="AB154" i="50"/>
  <c r="M153" i="50"/>
  <c r="X153" i="50"/>
  <c r="AC153" i="50"/>
  <c r="W150" i="50"/>
  <c r="AB150" i="50"/>
  <c r="W138" i="50"/>
  <c r="AB138" i="50"/>
  <c r="M138" i="50"/>
  <c r="AC138" i="50"/>
  <c r="V138" i="50"/>
  <c r="N138" i="50"/>
  <c r="AD157" i="50"/>
  <c r="Y157" i="50"/>
  <c r="AK157" i="50" s="1"/>
  <c r="T157" i="50"/>
  <c r="N157" i="50"/>
  <c r="AC154" i="50"/>
  <c r="V154" i="50"/>
  <c r="N154" i="50"/>
  <c r="AD153" i="50"/>
  <c r="W153" i="50"/>
  <c r="N152" i="50"/>
  <c r="T152" i="50"/>
  <c r="AD152" i="50"/>
  <c r="AC150" i="50"/>
  <c r="V150" i="50"/>
  <c r="N150" i="50"/>
  <c r="AC157" i="50"/>
  <c r="X157" i="50"/>
  <c r="M157" i="50"/>
  <c r="T156" i="50"/>
  <c r="N156" i="50"/>
  <c r="T154" i="50"/>
  <c r="M154" i="50"/>
  <c r="AB153" i="50"/>
  <c r="V153" i="50"/>
  <c r="N153" i="50"/>
  <c r="AC152" i="50"/>
  <c r="W152" i="50"/>
  <c r="T150" i="50"/>
  <c r="M150" i="50"/>
  <c r="W146" i="50"/>
  <c r="AB146" i="50"/>
  <c r="M146" i="50"/>
  <c r="AC146" i="50"/>
  <c r="N146" i="50"/>
  <c r="T138" i="50"/>
  <c r="AF157" i="50"/>
  <c r="AB157" i="50"/>
  <c r="W157" i="50"/>
  <c r="AC156" i="50"/>
  <c r="X156" i="50"/>
  <c r="AD155" i="50"/>
  <c r="T155" i="50"/>
  <c r="T153" i="50"/>
  <c r="AB152" i="50"/>
  <c r="V152" i="50"/>
  <c r="M152" i="50"/>
  <c r="M149" i="50"/>
  <c r="AC149" i="50"/>
  <c r="N149" i="50"/>
  <c r="T149" i="50"/>
  <c r="AB149" i="50"/>
  <c r="V146" i="50"/>
  <c r="M145" i="50"/>
  <c r="X145" i="50"/>
  <c r="AC145" i="50"/>
  <c r="N145" i="50"/>
  <c r="T145" i="50"/>
  <c r="Y145" i="50"/>
  <c r="AD145" i="50"/>
  <c r="W142" i="50"/>
  <c r="AB142" i="50"/>
  <c r="M142" i="50"/>
  <c r="AC142" i="50"/>
  <c r="M141" i="50"/>
  <c r="AC141" i="50"/>
  <c r="N141" i="50"/>
  <c r="T141" i="50"/>
  <c r="AB145" i="50"/>
  <c r="AB141" i="50"/>
  <c r="Z145" i="50"/>
  <c r="AL145" i="50" s="1"/>
  <c r="N142" i="50"/>
  <c r="AB143" i="50"/>
  <c r="W143" i="50"/>
  <c r="AI148" i="50" l="1"/>
  <c r="B469" i="40"/>
  <c r="B187" i="65"/>
  <c r="AJ139" i="50"/>
  <c r="S149" i="50"/>
  <c r="S156" i="50"/>
  <c r="S150" i="50"/>
  <c r="S144" i="50"/>
  <c r="S146" i="50"/>
  <c r="S154" i="50"/>
  <c r="S147" i="50"/>
  <c r="S152" i="50"/>
  <c r="S153" i="50"/>
  <c r="S157" i="50"/>
  <c r="S148" i="50"/>
  <c r="S155" i="50"/>
  <c r="Q142" i="50"/>
  <c r="S142" i="50"/>
  <c r="S158" i="50"/>
  <c r="S151" i="50"/>
  <c r="S145" i="50"/>
  <c r="AI141" i="50"/>
  <c r="AI144" i="50"/>
  <c r="AI139" i="50"/>
  <c r="AJ154" i="50"/>
  <c r="AL151" i="50"/>
  <c r="Q141" i="50"/>
  <c r="AK145" i="50"/>
  <c r="AI140" i="50"/>
  <c r="AI151" i="50"/>
  <c r="AL139" i="50"/>
  <c r="AI158" i="50"/>
  <c r="AK139" i="50"/>
  <c r="AH144" i="50"/>
  <c r="AI145" i="50"/>
  <c r="AJ156" i="50"/>
  <c r="AL157" i="50"/>
  <c r="AH157" i="50"/>
  <c r="AI143" i="50"/>
  <c r="AH145" i="50"/>
  <c r="AJ157" i="50"/>
  <c r="AK151" i="50"/>
  <c r="AI156" i="50"/>
  <c r="AH147" i="50"/>
  <c r="AI155" i="50"/>
  <c r="AH158" i="50"/>
  <c r="AH142" i="50"/>
  <c r="AJ152" i="50"/>
  <c r="AH140" i="50"/>
  <c r="AJ158" i="50"/>
  <c r="AH148" i="50"/>
  <c r="AJ151" i="50"/>
  <c r="AH156" i="50"/>
  <c r="AI149" i="50"/>
  <c r="AJ155" i="50"/>
  <c r="AH138" i="50"/>
  <c r="AI147" i="50"/>
  <c r="AH143" i="50"/>
  <c r="AH141" i="50"/>
  <c r="AH155" i="50"/>
  <c r="AH149" i="50"/>
  <c r="AH150" i="50"/>
  <c r="AI157" i="50"/>
  <c r="AI153" i="50"/>
  <c r="AH146" i="50"/>
  <c r="AI138" i="50"/>
  <c r="AI150" i="50"/>
  <c r="AJ145" i="50"/>
  <c r="AH154" i="50"/>
  <c r="AJ153" i="50"/>
  <c r="AI146" i="50"/>
  <c r="AI154" i="50"/>
  <c r="AI142" i="50"/>
  <c r="AH152" i="50"/>
  <c r="AI152" i="50"/>
  <c r="AH153" i="50"/>
  <c r="B470" i="40" l="1"/>
  <c r="B188" i="65"/>
  <c r="M60" i="42"/>
  <c r="L60" i="42"/>
  <c r="I19" i="68"/>
  <c r="J19" i="68"/>
  <c r="J20" i="68"/>
  <c r="K20" i="68"/>
  <c r="K21" i="68"/>
  <c r="L22" i="68"/>
  <c r="L21" i="68"/>
  <c r="I18" i="68"/>
  <c r="H18" i="68"/>
  <c r="F1073" i="40"/>
  <c r="E1073" i="40"/>
  <c r="F1074" i="40"/>
  <c r="E1074" i="40"/>
  <c r="F1075" i="40"/>
  <c r="E1075" i="40"/>
  <c r="F1076" i="40"/>
  <c r="E1076" i="40"/>
  <c r="F1077" i="40"/>
  <c r="E1077" i="40"/>
  <c r="F1078" i="40"/>
  <c r="E1078" i="40"/>
  <c r="F1079" i="40"/>
  <c r="E1079" i="40"/>
  <c r="F1080" i="40"/>
  <c r="E1080" i="40"/>
  <c r="F1081" i="40"/>
  <c r="E1081" i="40"/>
  <c r="F1082" i="40"/>
  <c r="E1082" i="40"/>
  <c r="F1083" i="40"/>
  <c r="E1083" i="40"/>
  <c r="F1084" i="40"/>
  <c r="E1084" i="40"/>
  <c r="F1085" i="40"/>
  <c r="E1085" i="40"/>
  <c r="F1086" i="40"/>
  <c r="E1086" i="40"/>
  <c r="I40" i="68"/>
  <c r="I41" i="68"/>
  <c r="I42" i="68"/>
  <c r="I43" i="68"/>
  <c r="I39" i="68"/>
  <c r="K59" i="24"/>
  <c r="I57" i="24"/>
  <c r="M44" i="24"/>
  <c r="L43" i="24"/>
  <c r="H40" i="37" s="1"/>
  <c r="K42" i="24"/>
  <c r="K17" i="25" s="1"/>
  <c r="J41" i="24"/>
  <c r="J16" i="25" s="1"/>
  <c r="I40" i="24"/>
  <c r="I15" i="25" s="1"/>
  <c r="F40" i="68"/>
  <c r="H40" i="68"/>
  <c r="F41" i="68"/>
  <c r="H41" i="68"/>
  <c r="F42" i="68"/>
  <c r="H42" i="68"/>
  <c r="F43" i="68"/>
  <c r="H43" i="68"/>
  <c r="H39" i="68"/>
  <c r="F39" i="68"/>
  <c r="F28" i="68"/>
  <c r="F25" i="68"/>
  <c r="V60" i="42" l="1"/>
  <c r="B471" i="40"/>
  <c r="B189" i="65"/>
  <c r="M41" i="66"/>
  <c r="I41" i="37"/>
  <c r="L42" i="24"/>
  <c r="L39" i="66" s="1"/>
  <c r="I49" i="66"/>
  <c r="I27" i="25"/>
  <c r="K51" i="66"/>
  <c r="K29" i="25"/>
  <c r="M43" i="24"/>
  <c r="I40" i="37" s="1"/>
  <c r="L40" i="66"/>
  <c r="J40" i="24"/>
  <c r="J15" i="25" s="1"/>
  <c r="I37" i="66"/>
  <c r="K41" i="24"/>
  <c r="K16" i="25" s="1"/>
  <c r="J38" i="66"/>
  <c r="K39" i="66"/>
  <c r="I49" i="32"/>
  <c r="B472" i="40" l="1"/>
  <c r="B190" i="65"/>
  <c r="M42" i="24"/>
  <c r="M17" i="25" s="1"/>
  <c r="L17" i="25"/>
  <c r="K40" i="24"/>
  <c r="K15" i="25" s="1"/>
  <c r="J37" i="66"/>
  <c r="L41" i="24"/>
  <c r="L16" i="25" s="1"/>
  <c r="K38" i="66"/>
  <c r="N43" i="24"/>
  <c r="J40" i="37" s="1"/>
  <c r="M40" i="66"/>
  <c r="K43" i="68"/>
  <c r="U43" i="68" s="1"/>
  <c r="K40" i="68"/>
  <c r="O40" i="68" s="1"/>
  <c r="K39" i="68"/>
  <c r="P39" i="68" s="1"/>
  <c r="O39" i="68"/>
  <c r="M39" i="66" l="1"/>
  <c r="B473" i="40"/>
  <c r="B191" i="65"/>
  <c r="N42" i="24"/>
  <c r="N17" i="25" s="1"/>
  <c r="M41" i="24"/>
  <c r="M16" i="25" s="1"/>
  <c r="L38" i="66"/>
  <c r="L40" i="24"/>
  <c r="L15" i="25" s="1"/>
  <c r="K37" i="66"/>
  <c r="O43" i="24"/>
  <c r="K40" i="37" s="1"/>
  <c r="N40" i="66"/>
  <c r="N39" i="66"/>
  <c r="U39" i="68"/>
  <c r="AA39" i="68" s="1"/>
  <c r="T40" i="68"/>
  <c r="M39" i="68"/>
  <c r="Q39" i="68"/>
  <c r="V39" i="68"/>
  <c r="AB39" i="68" s="1"/>
  <c r="P40" i="68"/>
  <c r="U40" i="68"/>
  <c r="AA40" i="68" s="1"/>
  <c r="M43" i="68"/>
  <c r="Q43" i="68"/>
  <c r="V43" i="68"/>
  <c r="P43" i="68"/>
  <c r="N39" i="68"/>
  <c r="S39" i="68"/>
  <c r="W39" i="68"/>
  <c r="M40" i="68"/>
  <c r="Q40" i="68"/>
  <c r="V40" i="68"/>
  <c r="K41" i="68"/>
  <c r="W41" i="68" s="1"/>
  <c r="N43" i="68"/>
  <c r="S43" i="68"/>
  <c r="W43" i="68"/>
  <c r="T39" i="68"/>
  <c r="N40" i="68"/>
  <c r="S40" i="68"/>
  <c r="W40" i="68"/>
  <c r="K42" i="68"/>
  <c r="W42" i="68" s="1"/>
  <c r="O43" i="68"/>
  <c r="AA43" i="68" s="1"/>
  <c r="T43" i="68"/>
  <c r="B474" i="40" l="1"/>
  <c r="B192" i="65"/>
  <c r="O42" i="24"/>
  <c r="O17" i="25" s="1"/>
  <c r="N41" i="24"/>
  <c r="N16" i="25" s="1"/>
  <c r="M38" i="66"/>
  <c r="P43" i="24"/>
  <c r="L40" i="37" s="1"/>
  <c r="O40" i="66"/>
  <c r="M40" i="24"/>
  <c r="M15" i="25" s="1"/>
  <c r="L37" i="66"/>
  <c r="Q41" i="68"/>
  <c r="AC41" i="68" s="1"/>
  <c r="M41" i="68"/>
  <c r="U41" i="68"/>
  <c r="P42" i="68"/>
  <c r="P41" i="68"/>
  <c r="Z40" i="68"/>
  <c r="O42" i="68"/>
  <c r="AC40" i="68"/>
  <c r="AB43" i="68"/>
  <c r="U42" i="68"/>
  <c r="T42" i="68"/>
  <c r="S41" i="68"/>
  <c r="Y40" i="68"/>
  <c r="AC43" i="68"/>
  <c r="S42" i="68"/>
  <c r="O41" i="68"/>
  <c r="AB40" i="68"/>
  <c r="V42" i="68"/>
  <c r="N41" i="68"/>
  <c r="Y43" i="68"/>
  <c r="N42" i="68"/>
  <c r="M42" i="68"/>
  <c r="Q42" i="68"/>
  <c r="AC42" i="68" s="1"/>
  <c r="Z39" i="68"/>
  <c r="AE40" i="68"/>
  <c r="AC39" i="68"/>
  <c r="Z43" i="68"/>
  <c r="V41" i="68"/>
  <c r="T41" i="68"/>
  <c r="Y39" i="68"/>
  <c r="I48" i="42"/>
  <c r="J49" i="42"/>
  <c r="K50" i="42"/>
  <c r="L51" i="42"/>
  <c r="M52" i="42"/>
  <c r="N53" i="42"/>
  <c r="H47" i="42"/>
  <c r="O39" i="66" l="1"/>
  <c r="B475" i="40"/>
  <c r="B193" i="65"/>
  <c r="AF40" i="68"/>
  <c r="AG40" i="68" s="1"/>
  <c r="AM40" i="68" s="1"/>
  <c r="P42" i="24"/>
  <c r="P17" i="25" s="1"/>
  <c r="O41" i="24"/>
  <c r="O16" i="25" s="1"/>
  <c r="N38" i="66"/>
  <c r="N40" i="24"/>
  <c r="N15" i="25" s="1"/>
  <c r="M37" i="66"/>
  <c r="P40" i="66"/>
  <c r="Q43" i="24"/>
  <c r="Z42" i="68"/>
  <c r="AB41" i="68"/>
  <c r="Y41" i="68"/>
  <c r="AE41" i="68" s="1"/>
  <c r="AA42" i="68"/>
  <c r="AB42" i="68"/>
  <c r="Y42" i="68"/>
  <c r="AE42" i="68" s="1"/>
  <c r="AA41" i="68"/>
  <c r="AE39" i="68"/>
  <c r="AF39" i="68" s="1"/>
  <c r="AG39" i="68" s="1"/>
  <c r="AE43" i="68"/>
  <c r="AF43" i="68" s="1"/>
  <c r="AG43" i="68" s="1"/>
  <c r="AK40" i="68"/>
  <c r="Z41" i="68"/>
  <c r="AH40" i="68" l="1"/>
  <c r="AI40" i="68" s="1"/>
  <c r="AO40" i="68" s="1"/>
  <c r="AL40" i="68"/>
  <c r="Q42" i="24"/>
  <c r="Q17" i="25" s="1"/>
  <c r="P39" i="66"/>
  <c r="B476" i="40"/>
  <c r="B194" i="65"/>
  <c r="Q40" i="66"/>
  <c r="M40" i="37"/>
  <c r="Q39" i="66"/>
  <c r="O40" i="24"/>
  <c r="O15" i="25" s="1"/>
  <c r="N37" i="66"/>
  <c r="AF42" i="68"/>
  <c r="AG42" i="68" s="1"/>
  <c r="AH42" i="68" s="1"/>
  <c r="AI42" i="68" s="1"/>
  <c r="AO42" i="68" s="1"/>
  <c r="O38" i="66"/>
  <c r="P41" i="24"/>
  <c r="P16" i="25" s="1"/>
  <c r="AN40" i="68"/>
  <c r="AK41" i="68"/>
  <c r="AL39" i="68"/>
  <c r="AL43" i="68"/>
  <c r="AK39" i="68"/>
  <c r="AK43" i="68"/>
  <c r="AF41" i="68"/>
  <c r="AG41" i="68" s="1"/>
  <c r="AH39" i="68"/>
  <c r="AM39" i="68"/>
  <c r="AK42" i="68"/>
  <c r="AH43" i="68"/>
  <c r="AM43" i="68"/>
  <c r="L20" i="32"/>
  <c r="M20" i="32"/>
  <c r="B477" i="40" l="1"/>
  <c r="B195" i="65"/>
  <c r="AM42" i="68"/>
  <c r="AN42" i="68"/>
  <c r="P38" i="66"/>
  <c r="Q41" i="24"/>
  <c r="O37" i="66"/>
  <c r="P40" i="24"/>
  <c r="P15" i="25" s="1"/>
  <c r="AL42" i="68"/>
  <c r="AI39" i="68"/>
  <c r="AO39" i="68" s="1"/>
  <c r="AN39" i="68"/>
  <c r="AI43" i="68"/>
  <c r="AO43" i="68" s="1"/>
  <c r="AN43" i="68"/>
  <c r="AH41" i="68"/>
  <c r="AM41" i="68"/>
  <c r="AL41" i="68"/>
  <c r="J47" i="68" l="1"/>
  <c r="L57" i="68" s="1"/>
  <c r="M48" i="32" s="1"/>
  <c r="B478" i="40"/>
  <c r="B196" i="65"/>
  <c r="Q38" i="66"/>
  <c r="Q16" i="25"/>
  <c r="P37" i="66"/>
  <c r="Q40" i="24"/>
  <c r="AI41" i="68"/>
  <c r="AO41" i="68" s="1"/>
  <c r="AN41" i="68"/>
  <c r="K17" i="42"/>
  <c r="AY66" i="42" s="1"/>
  <c r="BO66" i="42" s="1"/>
  <c r="L17" i="42"/>
  <c r="AZ66" i="42" s="1"/>
  <c r="BP66" i="42" s="1"/>
  <c r="M17" i="42"/>
  <c r="BA66" i="42" s="1"/>
  <c r="BQ66" i="42" s="1"/>
  <c r="N17" i="42"/>
  <c r="BB66" i="42" s="1"/>
  <c r="BR66" i="42" s="1"/>
  <c r="BZ66" i="42" s="1"/>
  <c r="J17" i="42"/>
  <c r="J16" i="50"/>
  <c r="M129" i="25"/>
  <c r="N129" i="25"/>
  <c r="O129" i="25"/>
  <c r="P129" i="25"/>
  <c r="Q129" i="25"/>
  <c r="N128" i="25"/>
  <c r="O128" i="25"/>
  <c r="P128" i="25"/>
  <c r="Q128" i="25"/>
  <c r="M128" i="25"/>
  <c r="F31" i="65"/>
  <c r="K51" i="65"/>
  <c r="J332" i="50" l="1"/>
  <c r="AX66" i="42"/>
  <c r="BN66" i="42" s="1"/>
  <c r="B479" i="40"/>
  <c r="B197" i="65"/>
  <c r="AZ307" i="50"/>
  <c r="AZ302" i="50"/>
  <c r="AZ305" i="50"/>
  <c r="AZ301" i="50"/>
  <c r="AZ306" i="50"/>
  <c r="AZ300" i="50"/>
  <c r="AZ303" i="50"/>
  <c r="AZ304" i="50"/>
  <c r="AZ299" i="50"/>
  <c r="AZ297" i="50"/>
  <c r="AZ292" i="50"/>
  <c r="AZ293" i="50"/>
  <c r="AZ291" i="50"/>
  <c r="J331" i="50" s="1"/>
  <c r="AZ295" i="50"/>
  <c r="AZ294" i="50"/>
  <c r="AZ296" i="50"/>
  <c r="AZ298" i="50"/>
  <c r="AZ200" i="50"/>
  <c r="AZ180" i="50"/>
  <c r="AZ166" i="50"/>
  <c r="AZ161" i="50"/>
  <c r="AZ162" i="50"/>
  <c r="AZ197" i="50"/>
  <c r="AZ185" i="50"/>
  <c r="AZ182" i="50"/>
  <c r="AZ160" i="50"/>
  <c r="AZ177" i="50"/>
  <c r="AZ165" i="50"/>
  <c r="AZ175" i="50"/>
  <c r="AZ167" i="50"/>
  <c r="AZ186" i="50"/>
  <c r="AZ199" i="50"/>
  <c r="AZ163" i="50"/>
  <c r="AZ178" i="50"/>
  <c r="AZ181" i="50"/>
  <c r="AZ159" i="50"/>
  <c r="AZ198" i="50"/>
  <c r="AZ176" i="50"/>
  <c r="AZ184" i="50"/>
  <c r="AZ179" i="50"/>
  <c r="AZ183" i="50"/>
  <c r="AZ168" i="50"/>
  <c r="AZ164" i="50"/>
  <c r="Q37" i="66"/>
  <c r="Q15" i="25"/>
  <c r="AZ158" i="50"/>
  <c r="AZ143" i="50"/>
  <c r="AZ149" i="50"/>
  <c r="AZ148" i="50"/>
  <c r="AZ146" i="50"/>
  <c r="AZ157" i="50"/>
  <c r="AZ145" i="50"/>
  <c r="AZ142" i="50"/>
  <c r="B480" i="40" l="1"/>
  <c r="B198" i="65"/>
  <c r="M55" i="25"/>
  <c r="F28" i="65"/>
  <c r="M51" i="65"/>
  <c r="L45" i="65"/>
  <c r="K44" i="65"/>
  <c r="J43" i="65"/>
  <c r="I42" i="65"/>
  <c r="H41" i="65"/>
  <c r="L38" i="65"/>
  <c r="K37" i="65"/>
  <c r="J36" i="65"/>
  <c r="I35" i="65"/>
  <c r="H34" i="65"/>
  <c r="F25" i="65"/>
  <c r="F22" i="65"/>
  <c r="F19" i="65"/>
  <c r="N54" i="25"/>
  <c r="O54" i="25"/>
  <c r="P54" i="25"/>
  <c r="Q54" i="25"/>
  <c r="M54" i="25"/>
  <c r="I50" i="50"/>
  <c r="J51" i="50"/>
  <c r="K52" i="50"/>
  <c r="L53" i="50"/>
  <c r="M54" i="50"/>
  <c r="N55" i="50"/>
  <c r="I41" i="50"/>
  <c r="J42" i="50"/>
  <c r="K43" i="50"/>
  <c r="L44" i="50"/>
  <c r="M45" i="50"/>
  <c r="N46" i="50"/>
  <c r="H49" i="50"/>
  <c r="H40" i="50"/>
  <c r="L31" i="25"/>
  <c r="M32" i="25"/>
  <c r="N33" i="25"/>
  <c r="O34" i="25"/>
  <c r="P35" i="25"/>
  <c r="Q36" i="25"/>
  <c r="L19" i="25"/>
  <c r="M20" i="25"/>
  <c r="N21" i="25"/>
  <c r="O22" i="25"/>
  <c r="P23" i="25"/>
  <c r="Q24" i="25"/>
  <c r="K30" i="25"/>
  <c r="K18" i="25"/>
  <c r="N44" i="42"/>
  <c r="M43" i="42"/>
  <c r="L42" i="42"/>
  <c r="K41" i="42"/>
  <c r="J40" i="42"/>
  <c r="I39" i="42"/>
  <c r="H38" i="42"/>
  <c r="O60" i="42" s="1"/>
  <c r="R60" i="42" s="1"/>
  <c r="J58" i="24"/>
  <c r="L59" i="24"/>
  <c r="L29" i="25" s="1"/>
  <c r="L60" i="24"/>
  <c r="M61" i="24"/>
  <c r="N62" i="24"/>
  <c r="O63" i="24"/>
  <c r="K52" i="37" s="1"/>
  <c r="P64" i="24"/>
  <c r="Q65" i="24"/>
  <c r="J40" i="50"/>
  <c r="N44" i="24"/>
  <c r="N45" i="24"/>
  <c r="O46" i="24"/>
  <c r="P47" i="24"/>
  <c r="Q48" i="24"/>
  <c r="P370" i="65" l="1"/>
  <c r="X326" i="65"/>
  <c r="T380" i="65"/>
  <c r="V332" i="65"/>
  <c r="R298" i="65"/>
  <c r="T274" i="65"/>
  <c r="X362" i="65"/>
  <c r="X298" i="65"/>
  <c r="Q298" i="65"/>
  <c r="V330" i="65"/>
  <c r="T364" i="65"/>
  <c r="W326" i="65"/>
  <c r="T326" i="65"/>
  <c r="P326" i="65"/>
  <c r="Q300" i="65"/>
  <c r="S300" i="65"/>
  <c r="T372" i="65"/>
  <c r="Z362" i="65"/>
  <c r="Q380" i="65"/>
  <c r="P380" i="65"/>
  <c r="W268" i="65"/>
  <c r="P268" i="65"/>
  <c r="T370" i="65"/>
  <c r="Y370" i="65"/>
  <c r="R370" i="65"/>
  <c r="S306" i="65"/>
  <c r="R306" i="65"/>
  <c r="R274" i="65"/>
  <c r="P332" i="65"/>
  <c r="Q370" i="65"/>
  <c r="X338" i="65"/>
  <c r="Y326" i="65"/>
  <c r="X300" i="65"/>
  <c r="T300" i="65"/>
  <c r="T298" i="65"/>
  <c r="X316" i="65"/>
  <c r="Q268" i="65"/>
  <c r="V268" i="65"/>
  <c r="R332" i="65"/>
  <c r="S370" i="65"/>
  <c r="X370" i="65"/>
  <c r="Z268" i="65"/>
  <c r="X380" i="65"/>
  <c r="V324" i="65"/>
  <c r="Y268" i="65"/>
  <c r="R268" i="65"/>
  <c r="Z370" i="65"/>
  <c r="Z306" i="65"/>
  <c r="AF306" i="65" s="1"/>
  <c r="AR306" i="65" s="1"/>
  <c r="S274" i="65"/>
  <c r="Q332" i="65"/>
  <c r="S273" i="65"/>
  <c r="S364" i="65"/>
  <c r="V326" i="65"/>
  <c r="Z300" i="65"/>
  <c r="X382" i="65"/>
  <c r="W380" i="65"/>
  <c r="Z380" i="65"/>
  <c r="AF380" i="65" s="1"/>
  <c r="AR380" i="65" s="1"/>
  <c r="S380" i="65"/>
  <c r="W370" i="65"/>
  <c r="Y306" i="65"/>
  <c r="V306" i="65"/>
  <c r="Y332" i="65"/>
  <c r="X332" i="65"/>
  <c r="V380" i="65"/>
  <c r="T362" i="65"/>
  <c r="Y298" i="65"/>
  <c r="Z332" i="65"/>
  <c r="X306" i="65"/>
  <c r="V275" i="65"/>
  <c r="S275" i="65"/>
  <c r="W362" i="65"/>
  <c r="P362" i="65"/>
  <c r="W298" i="65"/>
  <c r="P298" i="65"/>
  <c r="P330" i="65"/>
  <c r="AB330" i="65" s="1"/>
  <c r="AN330" i="65" s="1"/>
  <c r="R362" i="65"/>
  <c r="AD362" i="65" s="1"/>
  <c r="AP362" i="65" s="1"/>
  <c r="Z326" i="65"/>
  <c r="Y274" i="65"/>
  <c r="W332" i="65"/>
  <c r="Q306" i="65"/>
  <c r="Y300" i="65"/>
  <c r="W382" i="65"/>
  <c r="Y380" i="65"/>
  <c r="R326" i="65"/>
  <c r="AD326" i="65" s="1"/>
  <c r="AP326" i="65" s="1"/>
  <c r="W300" i="65"/>
  <c r="T275" i="65"/>
  <c r="X268" i="65"/>
  <c r="Z274" i="65"/>
  <c r="T306" i="65"/>
  <c r="S332" i="65"/>
  <c r="V300" i="65"/>
  <c r="S268" i="65"/>
  <c r="AE268" i="65" s="1"/>
  <c r="AQ268" i="65" s="1"/>
  <c r="Z372" i="65"/>
  <c r="Z275" i="65"/>
  <c r="X275" i="65"/>
  <c r="V362" i="65"/>
  <c r="Y362" i="65"/>
  <c r="V298" i="65"/>
  <c r="Y364" i="65"/>
  <c r="Z364" i="65"/>
  <c r="S326" i="65"/>
  <c r="AE326" i="65" s="1"/>
  <c r="AQ326" i="65" s="1"/>
  <c r="Q326" i="65"/>
  <c r="AC326" i="65" s="1"/>
  <c r="AO326" i="65" s="1"/>
  <c r="P300" i="65"/>
  <c r="AB300" i="65" s="1"/>
  <c r="AN300" i="65" s="1"/>
  <c r="W306" i="65"/>
  <c r="R380" i="65"/>
  <c r="T332" i="65"/>
  <c r="R300" i="65"/>
  <c r="AD300" i="65" s="1"/>
  <c r="AP300" i="65" s="1"/>
  <c r="T268" i="65"/>
  <c r="AF268" i="65" s="1"/>
  <c r="AR268" i="65" s="1"/>
  <c r="P306" i="65"/>
  <c r="AB306" i="65" s="1"/>
  <c r="AN306" i="65" s="1"/>
  <c r="X274" i="65"/>
  <c r="X372" i="65"/>
  <c r="Y275" i="65"/>
  <c r="S362" i="65"/>
  <c r="Q362" i="65"/>
  <c r="S298" i="65"/>
  <c r="AE298" i="65" s="1"/>
  <c r="AQ298" i="65" s="1"/>
  <c r="Z298" i="65"/>
  <c r="T381" i="65"/>
  <c r="V370" i="65"/>
  <c r="AB370" i="65" s="1"/>
  <c r="AN370" i="65" s="1"/>
  <c r="V294" i="65"/>
  <c r="Q273" i="65"/>
  <c r="S335" i="65"/>
  <c r="X305" i="65"/>
  <c r="Z294" i="65"/>
  <c r="W358" i="65"/>
  <c r="X381" i="65"/>
  <c r="W292" i="65"/>
  <c r="Y338" i="65"/>
  <c r="Z382" i="65"/>
  <c r="W274" i="65"/>
  <c r="W284" i="65"/>
  <c r="V274" i="65"/>
  <c r="X292" i="65"/>
  <c r="Y284" i="65"/>
  <c r="V292" i="65"/>
  <c r="W305" i="65"/>
  <c r="Z324" i="65"/>
  <c r="W324" i="65"/>
  <c r="T335" i="65"/>
  <c r="Z335" i="65"/>
  <c r="Y292" i="65"/>
  <c r="X294" i="65"/>
  <c r="Y316" i="65"/>
  <c r="Y358" i="65"/>
  <c r="V335" i="65"/>
  <c r="Y294" i="65"/>
  <c r="X273" i="65"/>
  <c r="Q329" i="65"/>
  <c r="W291" i="65"/>
  <c r="P361" i="65"/>
  <c r="R361" i="65"/>
  <c r="T273" i="65"/>
  <c r="Z343" i="65"/>
  <c r="V369" i="65"/>
  <c r="R330" i="65"/>
  <c r="P381" i="65"/>
  <c r="W273" i="65"/>
  <c r="AC273" i="65" s="1"/>
  <c r="AO273" i="65" s="1"/>
  <c r="R381" i="65"/>
  <c r="AD381" i="65" s="1"/>
  <c r="AP381" i="65" s="1"/>
  <c r="R317" i="65"/>
  <c r="R369" i="65"/>
  <c r="Q381" i="65"/>
  <c r="V281" i="65"/>
  <c r="Y273" i="65"/>
  <c r="AE273" i="65" s="1"/>
  <c r="AQ273" i="65" s="1"/>
  <c r="Z369" i="65"/>
  <c r="Y330" i="65"/>
  <c r="Q305" i="65"/>
  <c r="Z356" i="65"/>
  <c r="T304" i="65"/>
  <c r="V313" i="65"/>
  <c r="Q337" i="65"/>
  <c r="V353" i="65"/>
  <c r="Y356" i="65"/>
  <c r="Q304" i="65"/>
  <c r="W377" i="65"/>
  <c r="Z353" i="65"/>
  <c r="S304" i="65"/>
  <c r="Q361" i="65"/>
  <c r="W372" i="65"/>
  <c r="S369" i="65"/>
  <c r="X364" i="65"/>
  <c r="X284" i="65"/>
  <c r="V338" i="65"/>
  <c r="Y335" i="65"/>
  <c r="AE335" i="65" s="1"/>
  <c r="AQ335" i="65" s="1"/>
  <c r="V284" i="65"/>
  <c r="Q335" i="65"/>
  <c r="Z358" i="65"/>
  <c r="P335" i="65"/>
  <c r="T361" i="65"/>
  <c r="Z361" i="65"/>
  <c r="T305" i="65"/>
  <c r="R329" i="65"/>
  <c r="Y317" i="65"/>
  <c r="X281" i="65"/>
  <c r="X317" i="65"/>
  <c r="W369" i="65"/>
  <c r="Z373" i="65"/>
  <c r="R335" i="65"/>
  <c r="S381" i="65"/>
  <c r="Z291" i="65"/>
  <c r="Y304" i="65"/>
  <c r="V364" i="65"/>
  <c r="X324" i="65"/>
  <c r="Y337" i="65"/>
  <c r="W335" i="65"/>
  <c r="AC335" i="65" s="1"/>
  <c r="AO335" i="65" s="1"/>
  <c r="W338" i="65"/>
  <c r="Z284" i="65"/>
  <c r="V382" i="65"/>
  <c r="Y291" i="65"/>
  <c r="P329" i="65"/>
  <c r="T330" i="65"/>
  <c r="W275" i="65"/>
  <c r="W353" i="65"/>
  <c r="Y324" i="65"/>
  <c r="V348" i="65"/>
  <c r="W348" i="65"/>
  <c r="T369" i="65"/>
  <c r="AF369" i="65" s="1"/>
  <c r="AR369" i="65" s="1"/>
  <c r="Z292" i="65"/>
  <c r="W316" i="65"/>
  <c r="Z337" i="65"/>
  <c r="W317" i="65"/>
  <c r="V358" i="65"/>
  <c r="W294" i="65"/>
  <c r="V372" i="65"/>
  <c r="Z338" i="65"/>
  <c r="Y372" i="65"/>
  <c r="V316" i="65"/>
  <c r="Y382" i="65"/>
  <c r="Z316" i="65"/>
  <c r="Z304" i="65"/>
  <c r="R337" i="65"/>
  <c r="X335" i="65"/>
  <c r="W364" i="65"/>
  <c r="X348" i="65"/>
  <c r="Z273" i="65"/>
  <c r="Z348" i="65"/>
  <c r="X358" i="65"/>
  <c r="Y348" i="65"/>
  <c r="T329" i="65"/>
  <c r="X361" i="65"/>
  <c r="T317" i="65"/>
  <c r="AF317" i="65" s="1"/>
  <c r="AR317" i="65" s="1"/>
  <c r="W281" i="65"/>
  <c r="Z317" i="65"/>
  <c r="V343" i="65"/>
  <c r="Y369" i="65"/>
  <c r="AE369" i="65" s="1"/>
  <c r="AQ369" i="65" s="1"/>
  <c r="R305" i="65"/>
  <c r="AD305" i="65" s="1"/>
  <c r="AP305" i="65" s="1"/>
  <c r="X343" i="65"/>
  <c r="S305" i="65"/>
  <c r="Y381" i="65"/>
  <c r="W356" i="65"/>
  <c r="V337" i="65"/>
  <c r="X337" i="65"/>
  <c r="X353" i="65"/>
  <c r="P337" i="65"/>
  <c r="V356" i="65"/>
  <c r="X297" i="65"/>
  <c r="Z281" i="65"/>
  <c r="X291" i="65"/>
  <c r="P269" i="65"/>
  <c r="Z269" i="65"/>
  <c r="S269" i="65"/>
  <c r="Q328" i="65"/>
  <c r="X328" i="65"/>
  <c r="R328" i="65"/>
  <c r="X363" i="65"/>
  <c r="S371" i="65"/>
  <c r="X295" i="65"/>
  <c r="V307" i="65"/>
  <c r="S307" i="65"/>
  <c r="P307" i="65"/>
  <c r="Z379" i="65"/>
  <c r="P379" i="65"/>
  <c r="S379" i="65"/>
  <c r="X301" i="65"/>
  <c r="Y301" i="65"/>
  <c r="V301" i="65"/>
  <c r="X302" i="65"/>
  <c r="V302" i="65"/>
  <c r="T302" i="65"/>
  <c r="R327" i="65"/>
  <c r="Y327" i="65"/>
  <c r="V271" i="65"/>
  <c r="Y271" i="65"/>
  <c r="W271" i="65"/>
  <c r="X334" i="65"/>
  <c r="V334" i="65"/>
  <c r="W293" i="65"/>
  <c r="Z331" i="65"/>
  <c r="Y331" i="65"/>
  <c r="Q331" i="65"/>
  <c r="W333" i="65"/>
  <c r="Z333" i="65"/>
  <c r="S333" i="65"/>
  <c r="X336" i="65"/>
  <c r="R336" i="65"/>
  <c r="T336" i="65"/>
  <c r="Z325" i="65"/>
  <c r="W325" i="65"/>
  <c r="R325" i="65"/>
  <c r="Z299" i="65"/>
  <c r="Y299" i="65"/>
  <c r="T299" i="65"/>
  <c r="Z303" i="65"/>
  <c r="Q303" i="65"/>
  <c r="P303" i="65"/>
  <c r="Y270" i="65"/>
  <c r="V270" i="65"/>
  <c r="V267" i="65"/>
  <c r="X267" i="65"/>
  <c r="T267" i="65"/>
  <c r="X272" i="65"/>
  <c r="R272" i="65"/>
  <c r="P272" i="65"/>
  <c r="W307" i="65"/>
  <c r="Y320" i="65"/>
  <c r="V320" i="65"/>
  <c r="W379" i="65"/>
  <c r="W301" i="65"/>
  <c r="S302" i="65"/>
  <c r="P302" i="65"/>
  <c r="W327" i="65"/>
  <c r="S327" i="65"/>
  <c r="AE327" i="65" s="1"/>
  <c r="AQ327" i="65" s="1"/>
  <c r="Y311" i="65"/>
  <c r="Q271" i="65"/>
  <c r="T271" i="65"/>
  <c r="S334" i="65"/>
  <c r="Y361" i="65"/>
  <c r="W329" i="65"/>
  <c r="W361" i="65"/>
  <c r="X330" i="65"/>
  <c r="V305" i="65"/>
  <c r="Z345" i="65"/>
  <c r="Q330" i="65"/>
  <c r="S317" i="65"/>
  <c r="AE317" i="65" s="1"/>
  <c r="AQ317" i="65" s="1"/>
  <c r="Z330" i="65"/>
  <c r="Y305" i="65"/>
  <c r="Q317" i="65"/>
  <c r="AC317" i="65" s="1"/>
  <c r="AO317" i="65" s="1"/>
  <c r="Z305" i="65"/>
  <c r="W337" i="65"/>
  <c r="W304" i="65"/>
  <c r="Z276" i="65"/>
  <c r="Z313" i="65"/>
  <c r="X340" i="65"/>
  <c r="W319" i="65"/>
  <c r="T269" i="65"/>
  <c r="Q269" i="65"/>
  <c r="W328" i="65"/>
  <c r="P328" i="65"/>
  <c r="Y363" i="65"/>
  <c r="V287" i="65"/>
  <c r="W346" i="65"/>
  <c r="Y346" i="65"/>
  <c r="Z371" i="65"/>
  <c r="T371" i="65"/>
  <c r="V295" i="65"/>
  <c r="Z307" i="65"/>
  <c r="X307" i="65"/>
  <c r="V285" i="65"/>
  <c r="Q379" i="65"/>
  <c r="S301" i="65"/>
  <c r="Z271" i="65"/>
  <c r="Y329" i="65"/>
  <c r="X329" i="65"/>
  <c r="V361" i="65"/>
  <c r="S361" i="65"/>
  <c r="AE361" i="65" s="1"/>
  <c r="AQ361" i="65" s="1"/>
  <c r="P369" i="65"/>
  <c r="W330" i="65"/>
  <c r="P305" i="65"/>
  <c r="AB305" i="65" s="1"/>
  <c r="AN305" i="65" s="1"/>
  <c r="P317" i="65"/>
  <c r="W345" i="65"/>
  <c r="Q369" i="65"/>
  <c r="S330" i="65"/>
  <c r="X356" i="65"/>
  <c r="T276" i="65"/>
  <c r="AF276" i="65" s="1"/>
  <c r="X304" i="65"/>
  <c r="Y313" i="65"/>
  <c r="S337" i="65"/>
  <c r="AE337" i="65" s="1"/>
  <c r="AQ337" i="65" s="1"/>
  <c r="Y350" i="65"/>
  <c r="Y377" i="65"/>
  <c r="P304" i="65"/>
  <c r="X377" i="65"/>
  <c r="V304" i="65"/>
  <c r="Y345" i="65"/>
  <c r="Y343" i="65"/>
  <c r="Z329" i="65"/>
  <c r="X269" i="65"/>
  <c r="R269" i="65"/>
  <c r="Y328" i="65"/>
  <c r="Z328" i="65"/>
  <c r="Z363" i="65"/>
  <c r="S363" i="65"/>
  <c r="Z287" i="65"/>
  <c r="Y371" i="65"/>
  <c r="W371" i="65"/>
  <c r="Y307" i="65"/>
  <c r="T307" i="65"/>
  <c r="Z285" i="65"/>
  <c r="X320" i="65"/>
  <c r="R379" i="65"/>
  <c r="T379" i="65"/>
  <c r="AF379" i="65" s="1"/>
  <c r="AR379" i="65" s="1"/>
  <c r="P301" i="65"/>
  <c r="AB301" i="65" s="1"/>
  <c r="AN301" i="65" s="1"/>
  <c r="Z301" i="65"/>
  <c r="R301" i="65"/>
  <c r="V329" i="65"/>
  <c r="AB329" i="65" s="1"/>
  <c r="AN329" i="65" s="1"/>
  <c r="V291" i="65"/>
  <c r="V317" i="65"/>
  <c r="Z381" i="65"/>
  <c r="W343" i="65"/>
  <c r="W381" i="65"/>
  <c r="R273" i="65"/>
  <c r="AD273" i="65" s="1"/>
  <c r="AP273" i="65" s="1"/>
  <c r="X369" i="65"/>
  <c r="V381" i="65"/>
  <c r="Z377" i="65"/>
  <c r="V377" i="65"/>
  <c r="Y353" i="65"/>
  <c r="T337" i="65"/>
  <c r="AF337" i="65" s="1"/>
  <c r="AR337" i="65" s="1"/>
  <c r="W350" i="65"/>
  <c r="W313" i="65"/>
  <c r="R304" i="65"/>
  <c r="AD304" i="65" s="1"/>
  <c r="AP304" i="65" s="1"/>
  <c r="V350" i="65"/>
  <c r="Z297" i="65"/>
  <c r="W378" i="65"/>
  <c r="Y281" i="65"/>
  <c r="S329" i="65"/>
  <c r="X283" i="65"/>
  <c r="Y283" i="65"/>
  <c r="Y319" i="65"/>
  <c r="W269" i="65"/>
  <c r="Y269" i="65"/>
  <c r="V269" i="65"/>
  <c r="V328" i="65"/>
  <c r="T328" i="65"/>
  <c r="S328" i="65"/>
  <c r="AE328" i="65" s="1"/>
  <c r="AQ328" i="65" s="1"/>
  <c r="R363" i="65"/>
  <c r="AD363" i="65" s="1"/>
  <c r="T363" i="65"/>
  <c r="X287" i="65"/>
  <c r="R371" i="65"/>
  <c r="X371" i="65"/>
  <c r="W295" i="65"/>
  <c r="R307" i="65"/>
  <c r="AD307" i="65" s="1"/>
  <c r="AP307" i="65" s="1"/>
  <c r="Q307" i="65"/>
  <c r="X285" i="65"/>
  <c r="Y285" i="65"/>
  <c r="W344" i="65"/>
  <c r="V379" i="65"/>
  <c r="X379" i="65"/>
  <c r="Y302" i="65"/>
  <c r="X327" i="65"/>
  <c r="R271" i="65"/>
  <c r="P334" i="65"/>
  <c r="V293" i="65"/>
  <c r="R331" i="65"/>
  <c r="S331" i="65"/>
  <c r="P333" i="65"/>
  <c r="V333" i="65"/>
  <c r="Y336" i="65"/>
  <c r="W336" i="65"/>
  <c r="V325" i="65"/>
  <c r="R299" i="65"/>
  <c r="S299" i="65"/>
  <c r="AE299" i="65" s="1"/>
  <c r="AQ299" i="65" s="1"/>
  <c r="Y303" i="65"/>
  <c r="W341" i="65"/>
  <c r="X270" i="65"/>
  <c r="T270" i="65"/>
  <c r="W267" i="65"/>
  <c r="P267" i="65"/>
  <c r="AB267" i="65" s="1"/>
  <c r="AN267" i="65" s="1"/>
  <c r="Q272" i="65"/>
  <c r="P336" i="65"/>
  <c r="S325" i="65"/>
  <c r="V303" i="65"/>
  <c r="S303" i="65"/>
  <c r="V351" i="65"/>
  <c r="P270" i="65"/>
  <c r="AB270" i="65" s="1"/>
  <c r="AN270" i="65" s="1"/>
  <c r="R267" i="65"/>
  <c r="AD267" i="65" s="1"/>
  <c r="AP267" i="65" s="1"/>
  <c r="Z272" i="65"/>
  <c r="X303" i="65"/>
  <c r="S267" i="65"/>
  <c r="V366" i="65"/>
  <c r="W270" i="65"/>
  <c r="R270" i="65"/>
  <c r="Z267" i="65"/>
  <c r="Y272" i="65"/>
  <c r="Y379" i="65"/>
  <c r="T301" i="65"/>
  <c r="AF301" i="65" s="1"/>
  <c r="AR301" i="65" s="1"/>
  <c r="Q302" i="65"/>
  <c r="V339" i="65"/>
  <c r="T327" i="65"/>
  <c r="Z311" i="65"/>
  <c r="P271" i="65"/>
  <c r="AB271" i="65" s="1"/>
  <c r="AN271" i="65" s="1"/>
  <c r="W334" i="65"/>
  <c r="Z334" i="65"/>
  <c r="X331" i="65"/>
  <c r="T333" i="65"/>
  <c r="AF333" i="65" s="1"/>
  <c r="AR333" i="65" s="1"/>
  <c r="R333" i="65"/>
  <c r="Q336" i="65"/>
  <c r="X325" i="65"/>
  <c r="X299" i="65"/>
  <c r="S270" i="65"/>
  <c r="AE270" i="65" s="1"/>
  <c r="AQ270" i="65" s="1"/>
  <c r="Q267" i="65"/>
  <c r="W272" i="65"/>
  <c r="W366" i="65"/>
  <c r="S272" i="65"/>
  <c r="AE272" i="65" s="1"/>
  <c r="AQ272" i="65" s="1"/>
  <c r="Z270" i="65"/>
  <c r="Y267" i="65"/>
  <c r="W302" i="65"/>
  <c r="R302" i="65"/>
  <c r="AD302" i="65" s="1"/>
  <c r="AP302" i="65" s="1"/>
  <c r="Z339" i="65"/>
  <c r="V327" i="65"/>
  <c r="Q327" i="65"/>
  <c r="AC327" i="65" s="1"/>
  <c r="AO327" i="65" s="1"/>
  <c r="S271" i="65"/>
  <c r="AE271" i="65" s="1"/>
  <c r="AQ271" i="65" s="1"/>
  <c r="V365" i="65"/>
  <c r="Y334" i="65"/>
  <c r="T334" i="65"/>
  <c r="Y368" i="65"/>
  <c r="Y322" i="65"/>
  <c r="Z277" i="65"/>
  <c r="X293" i="65"/>
  <c r="Y293" i="65"/>
  <c r="V331" i="65"/>
  <c r="P331" i="65"/>
  <c r="Y333" i="65"/>
  <c r="Z336" i="65"/>
  <c r="S336" i="65"/>
  <c r="P325" i="65"/>
  <c r="Q325" i="65"/>
  <c r="V299" i="65"/>
  <c r="P299" i="65"/>
  <c r="T303" i="65"/>
  <c r="AF303" i="65" s="1"/>
  <c r="AR303" i="65" s="1"/>
  <c r="Q270" i="65"/>
  <c r="V272" i="65"/>
  <c r="T272" i="65"/>
  <c r="AF272" i="65" s="1"/>
  <c r="AR272" i="65" s="1"/>
  <c r="Q301" i="65"/>
  <c r="AC301" i="65" s="1"/>
  <c r="AO301" i="65" s="1"/>
  <c r="Z302" i="65"/>
  <c r="W339" i="65"/>
  <c r="Z327" i="65"/>
  <c r="P327" i="65"/>
  <c r="AB327" i="65" s="1"/>
  <c r="AN327" i="65" s="1"/>
  <c r="X271" i="65"/>
  <c r="Q334" i="65"/>
  <c r="AC334" i="65" s="1"/>
  <c r="AO334" i="65" s="1"/>
  <c r="R334" i="65"/>
  <c r="Z368" i="65"/>
  <c r="V310" i="65"/>
  <c r="Z278" i="65"/>
  <c r="W331" i="65"/>
  <c r="T331" i="65"/>
  <c r="AF331" i="65" s="1"/>
  <c r="AR331" i="65" s="1"/>
  <c r="X333" i="65"/>
  <c r="Q333" i="65"/>
  <c r="AC333" i="65" s="1"/>
  <c r="AO333" i="65" s="1"/>
  <c r="V336" i="65"/>
  <c r="T325" i="65"/>
  <c r="AF325" i="65" s="1"/>
  <c r="AR325" i="65" s="1"/>
  <c r="Y325" i="65"/>
  <c r="W299" i="65"/>
  <c r="Q299" i="65"/>
  <c r="W357" i="65"/>
  <c r="R303" i="65"/>
  <c r="AD303" i="65" s="1"/>
  <c r="AP303" i="65" s="1"/>
  <c r="W303" i="65"/>
  <c r="Y280" i="65"/>
  <c r="Z323" i="65"/>
  <c r="V312" i="65"/>
  <c r="X347" i="65"/>
  <c r="Y312" i="65"/>
  <c r="W283" i="65"/>
  <c r="V346" i="65"/>
  <c r="W342" i="65"/>
  <c r="Z283" i="65"/>
  <c r="V322" i="65"/>
  <c r="V282" i="65"/>
  <c r="Y295" i="65"/>
  <c r="V283" i="65"/>
  <c r="V286" i="65"/>
  <c r="X352" i="65"/>
  <c r="Y365" i="65"/>
  <c r="W373" i="65"/>
  <c r="V341" i="65"/>
  <c r="X365" i="65"/>
  <c r="W360" i="65"/>
  <c r="V352" i="65"/>
  <c r="Z341" i="65"/>
  <c r="Z310" i="65"/>
  <c r="W282" i="65"/>
  <c r="Z319" i="65"/>
  <c r="X341" i="65"/>
  <c r="W296" i="65"/>
  <c r="Z288" i="65"/>
  <c r="X312" i="65"/>
  <c r="X321" i="65"/>
  <c r="X311" i="65"/>
  <c r="W359" i="65"/>
  <c r="Y290" i="65"/>
  <c r="X290" i="65"/>
  <c r="Z308" i="65"/>
  <c r="X376" i="65"/>
  <c r="V376" i="65"/>
  <c r="Z280" i="65"/>
  <c r="V374" i="65"/>
  <c r="X277" i="65"/>
  <c r="Y347" i="65"/>
  <c r="Y315" i="65"/>
  <c r="Y359" i="65"/>
  <c r="Y278" i="65"/>
  <c r="X276" i="65"/>
  <c r="W367" i="65"/>
  <c r="Y357" i="65"/>
  <c r="Z383" i="65"/>
  <c r="X367" i="65"/>
  <c r="V297" i="65"/>
  <c r="Z309" i="65"/>
  <c r="V340" i="65"/>
  <c r="V355" i="65"/>
  <c r="V311" i="65"/>
  <c r="W309" i="65"/>
  <c r="V378" i="65"/>
  <c r="W363" i="65"/>
  <c r="Y309" i="65"/>
  <c r="X318" i="65"/>
  <c r="Y297" i="65"/>
  <c r="W286" i="65"/>
  <c r="Y318" i="65"/>
  <c r="Y288" i="65"/>
  <c r="X350" i="65"/>
  <c r="Y310" i="65"/>
  <c r="W320" i="65"/>
  <c r="W355" i="65"/>
  <c r="Y373" i="65"/>
  <c r="X383" i="65"/>
  <c r="V359" i="65"/>
  <c r="W374" i="65"/>
  <c r="W351" i="65"/>
  <c r="Y342" i="65"/>
  <c r="V363" i="65"/>
  <c r="Z378" i="65"/>
  <c r="X314" i="65"/>
  <c r="W322" i="65"/>
  <c r="Y339" i="65"/>
  <c r="V309" i="65"/>
  <c r="X354" i="65"/>
  <c r="Y289" i="65"/>
  <c r="Y383" i="65"/>
  <c r="Z374" i="65"/>
  <c r="Y349" i="65"/>
  <c r="Z295" i="65"/>
  <c r="Z354" i="65"/>
  <c r="Z357" i="65"/>
  <c r="X357" i="65"/>
  <c r="Z312" i="65"/>
  <c r="Y360" i="65"/>
  <c r="X289" i="65"/>
  <c r="Y287" i="65"/>
  <c r="Z289" i="65"/>
  <c r="W368" i="65"/>
  <c r="Y308" i="65"/>
  <c r="V290" i="65"/>
  <c r="Z347" i="65"/>
  <c r="W315" i="65"/>
  <c r="W308" i="65"/>
  <c r="X359" i="65"/>
  <c r="V276" i="65"/>
  <c r="W323" i="65"/>
  <c r="V323" i="65"/>
  <c r="Y376" i="65"/>
  <c r="X296" i="65"/>
  <c r="Z349" i="65"/>
  <c r="X346" i="65"/>
  <c r="W278" i="65"/>
  <c r="X368" i="65"/>
  <c r="X366" i="65"/>
  <c r="Z366" i="65"/>
  <c r="Y351" i="65"/>
  <c r="Y341" i="65"/>
  <c r="Y323" i="65"/>
  <c r="X319" i="65"/>
  <c r="V321" i="65"/>
  <c r="X360" i="65"/>
  <c r="V319" i="65"/>
  <c r="X378" i="65"/>
  <c r="Z293" i="65"/>
  <c r="X344" i="65"/>
  <c r="W285" i="65"/>
  <c r="Z346" i="65"/>
  <c r="W297" i="65"/>
  <c r="W289" i="65"/>
  <c r="W347" i="65"/>
  <c r="Z282" i="65"/>
  <c r="W365" i="65"/>
  <c r="V289" i="65"/>
  <c r="X310" i="65"/>
  <c r="X282" i="65"/>
  <c r="V371" i="65"/>
  <c r="W314" i="65"/>
  <c r="V360" i="65"/>
  <c r="X349" i="65"/>
  <c r="Y352" i="65"/>
  <c r="Y296" i="65"/>
  <c r="Y321" i="65"/>
  <c r="Z290" i="65"/>
  <c r="V308" i="65"/>
  <c r="Z351" i="65"/>
  <c r="Z376" i="65"/>
  <c r="Y277" i="65"/>
  <c r="X315" i="65"/>
  <c r="V278" i="65"/>
  <c r="W354" i="65"/>
  <c r="V315" i="65"/>
  <c r="Z365" i="65"/>
  <c r="Y366" i="65"/>
  <c r="V347" i="65"/>
  <c r="W383" i="65"/>
  <c r="V368" i="65"/>
  <c r="Y375" i="65"/>
  <c r="V273" i="65"/>
  <c r="W311" i="65"/>
  <c r="V375" i="65"/>
  <c r="Y279" i="65"/>
  <c r="X313" i="65"/>
  <c r="Z321" i="65"/>
  <c r="V345" i="65"/>
  <c r="Z352" i="65"/>
  <c r="Y282" i="65"/>
  <c r="V354" i="65"/>
  <c r="V280" i="65"/>
  <c r="X375" i="65"/>
  <c r="X322" i="65"/>
  <c r="W349" i="65"/>
  <c r="W287" i="65"/>
  <c r="Y354" i="65"/>
  <c r="W310" i="65"/>
  <c r="Z375" i="65"/>
  <c r="Y378" i="65"/>
  <c r="V296" i="65"/>
  <c r="W352" i="65"/>
  <c r="W312" i="65"/>
  <c r="W290" i="65"/>
  <c r="X308" i="65"/>
  <c r="X351" i="65"/>
  <c r="Y374" i="65"/>
  <c r="V277" i="65"/>
  <c r="W277" i="65"/>
  <c r="Z315" i="65"/>
  <c r="X278" i="65"/>
  <c r="W276" i="65"/>
  <c r="Y276" i="65"/>
  <c r="X323" i="65"/>
  <c r="V314" i="65"/>
  <c r="Z314" i="65"/>
  <c r="Y286" i="65"/>
  <c r="X355" i="65"/>
  <c r="W321" i="65"/>
  <c r="V373" i="65"/>
  <c r="Z350" i="65"/>
  <c r="Z344" i="65"/>
  <c r="V288" i="65"/>
  <c r="W279" i="65"/>
  <c r="Z367" i="65"/>
  <c r="V357" i="65"/>
  <c r="W280" i="65"/>
  <c r="Y314" i="65"/>
  <c r="W375" i="65"/>
  <c r="W288" i="65"/>
  <c r="V344" i="65"/>
  <c r="X345" i="65"/>
  <c r="Y340" i="65"/>
  <c r="Z279" i="65"/>
  <c r="X309" i="65"/>
  <c r="W318" i="65"/>
  <c r="Z355" i="65"/>
  <c r="W340" i="65"/>
  <c r="Y367" i="65"/>
  <c r="V383" i="65"/>
  <c r="X374" i="65"/>
  <c r="W376" i="65"/>
  <c r="Z322" i="65"/>
  <c r="Z320" i="65"/>
  <c r="X288" i="65"/>
  <c r="Z340" i="65"/>
  <c r="X286" i="65"/>
  <c r="Z342" i="65"/>
  <c r="X342" i="65"/>
  <c r="Z286" i="65"/>
  <c r="Z296" i="65"/>
  <c r="X339" i="65"/>
  <c r="X280" i="65"/>
  <c r="Z359" i="65"/>
  <c r="V367" i="65"/>
  <c r="Z360" i="65"/>
  <c r="V318" i="65"/>
  <c r="Y355" i="65"/>
  <c r="Y344" i="65"/>
  <c r="V349" i="65"/>
  <c r="Z318" i="65"/>
  <c r="V342" i="65"/>
  <c r="X279" i="65"/>
  <c r="V279" i="65"/>
  <c r="X373" i="65"/>
  <c r="R275" i="65"/>
  <c r="AD275" i="65" s="1"/>
  <c r="P382" i="65"/>
  <c r="S324" i="65"/>
  <c r="S348" i="65"/>
  <c r="S284" i="65"/>
  <c r="AE284" i="65" s="1"/>
  <c r="T338" i="65"/>
  <c r="AF338" i="65" s="1"/>
  <c r="P275" i="65"/>
  <c r="S292" i="65"/>
  <c r="Q292" i="65"/>
  <c r="AC292" i="65" s="1"/>
  <c r="R284" i="65"/>
  <c r="AD284" i="65" s="1"/>
  <c r="R338" i="65"/>
  <c r="AD338" i="65" s="1"/>
  <c r="Q382" i="65"/>
  <c r="AC382" i="65" s="1"/>
  <c r="S291" i="65"/>
  <c r="AE291" i="65" s="1"/>
  <c r="P358" i="65"/>
  <c r="AB358" i="65" s="1"/>
  <c r="R353" i="65"/>
  <c r="P292" i="65"/>
  <c r="P281" i="65"/>
  <c r="Q377" i="65"/>
  <c r="AC377" i="65" s="1"/>
  <c r="Q318" i="65"/>
  <c r="Q372" i="65"/>
  <c r="S372" i="65"/>
  <c r="S294" i="65"/>
  <c r="AE294" i="65" s="1"/>
  <c r="R348" i="65"/>
  <c r="P284" i="65"/>
  <c r="AB284" i="65" s="1"/>
  <c r="T281" i="65"/>
  <c r="Q284" i="65"/>
  <c r="T292" i="65"/>
  <c r="S316" i="65"/>
  <c r="AE316" i="65" s="1"/>
  <c r="S338" i="65"/>
  <c r="AE338" i="65" s="1"/>
  <c r="R324" i="65"/>
  <c r="Q316" i="65"/>
  <c r="AC316" i="65" s="1"/>
  <c r="P324" i="65"/>
  <c r="T324" i="65"/>
  <c r="AF324" i="65" s="1"/>
  <c r="Q358" i="65"/>
  <c r="AC358" i="65" s="1"/>
  <c r="R364" i="65"/>
  <c r="AD364" i="65" s="1"/>
  <c r="Q353" i="65"/>
  <c r="AC353" i="65" s="1"/>
  <c r="T358" i="65"/>
  <c r="AF358" i="65" s="1"/>
  <c r="P377" i="65"/>
  <c r="T348" i="65"/>
  <c r="AF348" i="65" s="1"/>
  <c r="P274" i="65"/>
  <c r="AB274" i="65" s="1"/>
  <c r="P338" i="65"/>
  <c r="AB338" i="65" s="1"/>
  <c r="Q275" i="65"/>
  <c r="P364" i="65"/>
  <c r="P372" i="65"/>
  <c r="AB372" i="65" s="1"/>
  <c r="T382" i="65"/>
  <c r="Q343" i="65"/>
  <c r="AC343" i="65" s="1"/>
  <c r="R294" i="65"/>
  <c r="P316" i="65"/>
  <c r="T284" i="65"/>
  <c r="AF284" i="65" s="1"/>
  <c r="S358" i="65"/>
  <c r="Q338" i="65"/>
  <c r="AC338" i="65" s="1"/>
  <c r="Q324" i="65"/>
  <c r="AC324" i="65" s="1"/>
  <c r="Q294" i="65"/>
  <c r="AC294" i="65" s="1"/>
  <c r="Q348" i="65"/>
  <c r="AC348" i="65" s="1"/>
  <c r="P356" i="65"/>
  <c r="Q313" i="65"/>
  <c r="P350" i="65"/>
  <c r="AB350" i="65" s="1"/>
  <c r="Q364" i="65"/>
  <c r="S382" i="65"/>
  <c r="AE382" i="65" s="1"/>
  <c r="R372" i="65"/>
  <c r="AD372" i="65" s="1"/>
  <c r="R382" i="65"/>
  <c r="AD382" i="65" s="1"/>
  <c r="Q274" i="65"/>
  <c r="R313" i="65"/>
  <c r="AD313" i="65" s="1"/>
  <c r="P352" i="65"/>
  <c r="T316" i="65"/>
  <c r="R343" i="65"/>
  <c r="AD343" i="65" s="1"/>
  <c r="S353" i="65"/>
  <c r="AE353" i="65" s="1"/>
  <c r="P348" i="65"/>
  <c r="R316" i="65"/>
  <c r="AD316" i="65" s="1"/>
  <c r="P294" i="65"/>
  <c r="AB294" i="65" s="1"/>
  <c r="R292" i="65"/>
  <c r="AD292" i="65" s="1"/>
  <c r="R358" i="65"/>
  <c r="T294" i="65"/>
  <c r="AF294" i="65" s="1"/>
  <c r="S313" i="65"/>
  <c r="AE313" i="65" s="1"/>
  <c r="T353" i="65"/>
  <c r="AF353" i="65" s="1"/>
  <c r="P353" i="65"/>
  <c r="AB353" i="65" s="1"/>
  <c r="R291" i="65"/>
  <c r="AD291" i="65" s="1"/>
  <c r="S356" i="65"/>
  <c r="AE356" i="65" s="1"/>
  <c r="S377" i="65"/>
  <c r="AE377" i="65" s="1"/>
  <c r="S350" i="65"/>
  <c r="AE350" i="65" s="1"/>
  <c r="Q345" i="65"/>
  <c r="R281" i="65"/>
  <c r="AD281" i="65" s="1"/>
  <c r="T340" i="65"/>
  <c r="P287" i="65"/>
  <c r="AB287" i="65" s="1"/>
  <c r="R320" i="65"/>
  <c r="AD320" i="65" s="1"/>
  <c r="Q293" i="65"/>
  <c r="S360" i="65"/>
  <c r="AE360" i="65" s="1"/>
  <c r="P285" i="65"/>
  <c r="R356" i="65"/>
  <c r="AD356" i="65" s="1"/>
  <c r="Q356" i="65"/>
  <c r="P313" i="65"/>
  <c r="AB313" i="65" s="1"/>
  <c r="Q309" i="65"/>
  <c r="R377" i="65"/>
  <c r="AD377" i="65" s="1"/>
  <c r="R345" i="65"/>
  <c r="S281" i="65"/>
  <c r="AE281" i="65" s="1"/>
  <c r="P343" i="65"/>
  <c r="AB343" i="65" s="1"/>
  <c r="T291" i="65"/>
  <c r="AF291" i="65" s="1"/>
  <c r="R346" i="65"/>
  <c r="AD346" i="65" s="1"/>
  <c r="P295" i="65"/>
  <c r="AB295" i="65" s="1"/>
  <c r="S339" i="65"/>
  <c r="T343" i="65"/>
  <c r="S343" i="65"/>
  <c r="AE343" i="65" s="1"/>
  <c r="S288" i="65"/>
  <c r="S318" i="65"/>
  <c r="R378" i="65"/>
  <c r="AD378" i="65" s="1"/>
  <c r="T313" i="65"/>
  <c r="AF313" i="65" s="1"/>
  <c r="Q281" i="65"/>
  <c r="AC281" i="65" s="1"/>
  <c r="P340" i="65"/>
  <c r="R295" i="65"/>
  <c r="AD295" i="65" s="1"/>
  <c r="Q295" i="65"/>
  <c r="AC295" i="65" s="1"/>
  <c r="T285" i="65"/>
  <c r="AF285" i="65" s="1"/>
  <c r="P291" i="65"/>
  <c r="AB291" i="65" s="1"/>
  <c r="Q288" i="65"/>
  <c r="AC288" i="65" s="1"/>
  <c r="T356" i="65"/>
  <c r="AF356" i="65" s="1"/>
  <c r="T377" i="65"/>
  <c r="AF377" i="65" s="1"/>
  <c r="T350" i="65"/>
  <c r="S345" i="65"/>
  <c r="Q291" i="65"/>
  <c r="AC291" i="65" s="1"/>
  <c r="S319" i="65"/>
  <c r="AE319" i="65" s="1"/>
  <c r="S346" i="65"/>
  <c r="AE346" i="65" s="1"/>
  <c r="Q346" i="65"/>
  <c r="AC346" i="65" s="1"/>
  <c r="T346" i="65"/>
  <c r="AF346" i="65" s="1"/>
  <c r="S295" i="65"/>
  <c r="AE295" i="65" s="1"/>
  <c r="T360" i="65"/>
  <c r="Q320" i="65"/>
  <c r="Q339" i="65"/>
  <c r="AC339" i="65" s="1"/>
  <c r="R310" i="65"/>
  <c r="AD310" i="65" s="1"/>
  <c r="R322" i="65"/>
  <c r="T351" i="65"/>
  <c r="Q341" i="65"/>
  <c r="AC341" i="65" s="1"/>
  <c r="P347" i="65"/>
  <c r="AB347" i="65" s="1"/>
  <c r="Q366" i="65"/>
  <c r="AC366" i="65" s="1"/>
  <c r="R351" i="65"/>
  <c r="S366" i="65"/>
  <c r="AE366" i="65" s="1"/>
  <c r="S368" i="65"/>
  <c r="P310" i="65"/>
  <c r="AB310" i="65" s="1"/>
  <c r="S293" i="65"/>
  <c r="AE293" i="65" s="1"/>
  <c r="T341" i="65"/>
  <c r="AF341" i="65" s="1"/>
  <c r="S341" i="65"/>
  <c r="AE341" i="65" s="1"/>
  <c r="R366" i="65"/>
  <c r="R311" i="65"/>
  <c r="S315" i="65"/>
  <c r="AE315" i="65" s="1"/>
  <c r="P357" i="65"/>
  <c r="Q351" i="65"/>
  <c r="S322" i="65"/>
  <c r="R277" i="65"/>
  <c r="AD277" i="65" s="1"/>
  <c r="T293" i="65"/>
  <c r="AF293" i="65" s="1"/>
  <c r="R293" i="65"/>
  <c r="AD293" i="65" s="1"/>
  <c r="R341" i="65"/>
  <c r="AD341" i="65" s="1"/>
  <c r="S349" i="65"/>
  <c r="Q354" i="65"/>
  <c r="AC354" i="65" s="1"/>
  <c r="S357" i="65"/>
  <c r="P277" i="65"/>
  <c r="AB277" i="65" s="1"/>
  <c r="R365" i="65"/>
  <c r="AD365" i="65" s="1"/>
  <c r="T366" i="65"/>
  <c r="AF366" i="65" s="1"/>
  <c r="P354" i="65"/>
  <c r="S278" i="65"/>
  <c r="T344" i="65"/>
  <c r="AF344" i="65" s="1"/>
  <c r="P360" i="65"/>
  <c r="AB360" i="65" s="1"/>
  <c r="P345" i="65"/>
  <c r="P282" i="65"/>
  <c r="AB282" i="65" s="1"/>
  <c r="S320" i="65"/>
  <c r="AE320" i="65" s="1"/>
  <c r="T319" i="65"/>
  <c r="AF319" i="65" s="1"/>
  <c r="T288" i="65"/>
  <c r="P373" i="65"/>
  <c r="P383" i="65"/>
  <c r="S352" i="65"/>
  <c r="AE352" i="65" s="1"/>
  <c r="T352" i="65"/>
  <c r="AF352" i="65" s="1"/>
  <c r="Q280" i="65"/>
  <c r="AC280" i="65" s="1"/>
  <c r="R319" i="65"/>
  <c r="AD319" i="65" s="1"/>
  <c r="S285" i="65"/>
  <c r="P273" i="65"/>
  <c r="Q322" i="65"/>
  <c r="AC322" i="65" s="1"/>
  <c r="Q352" i="65"/>
  <c r="AC352" i="65" s="1"/>
  <c r="R308" i="65"/>
  <c r="P351" i="65"/>
  <c r="AB351" i="65" s="1"/>
  <c r="S359" i="65"/>
  <c r="AE359" i="65" s="1"/>
  <c r="S277" i="65"/>
  <c r="Q276" i="65"/>
  <c r="AC276" i="65" s="1"/>
  <c r="S323" i="65"/>
  <c r="T323" i="65"/>
  <c r="AF323" i="65" s="1"/>
  <c r="T359" i="65"/>
  <c r="AF359" i="65" s="1"/>
  <c r="S347" i="65"/>
  <c r="AE347" i="65" s="1"/>
  <c r="S314" i="65"/>
  <c r="S310" i="65"/>
  <c r="T349" i="65"/>
  <c r="AF349" i="65" s="1"/>
  <c r="Q344" i="65"/>
  <c r="AC344" i="65" s="1"/>
  <c r="T295" i="65"/>
  <c r="AF295" i="65" s="1"/>
  <c r="S378" i="65"/>
  <c r="AE378" i="65" s="1"/>
  <c r="S340" i="65"/>
  <c r="R340" i="65"/>
  <c r="AD340" i="65" s="1"/>
  <c r="S365" i="65"/>
  <c r="AE365" i="65" s="1"/>
  <c r="R282" i="65"/>
  <c r="P320" i="65"/>
  <c r="AB320" i="65" s="1"/>
  <c r="R297" i="65"/>
  <c r="AD297" i="65" s="1"/>
  <c r="T320" i="65"/>
  <c r="P342" i="65"/>
  <c r="AB342" i="65" s="1"/>
  <c r="R349" i="65"/>
  <c r="AD349" i="65" s="1"/>
  <c r="S342" i="65"/>
  <c r="AE342" i="65" s="1"/>
  <c r="S367" i="65"/>
  <c r="P323" i="65"/>
  <c r="AB323" i="65" s="1"/>
  <c r="Q312" i="65"/>
  <c r="AC312" i="65" s="1"/>
  <c r="Q360" i="65"/>
  <c r="AC360" i="65" s="1"/>
  <c r="R278" i="65"/>
  <c r="T278" i="65"/>
  <c r="AF278" i="65" s="1"/>
  <c r="R368" i="65"/>
  <c r="AD368" i="65" s="1"/>
  <c r="P341" i="65"/>
  <c r="AB341" i="65" s="1"/>
  <c r="P376" i="65"/>
  <c r="P349" i="65"/>
  <c r="AB349" i="65" s="1"/>
  <c r="R276" i="65"/>
  <c r="R285" i="65"/>
  <c r="P319" i="65"/>
  <c r="P339" i="65"/>
  <c r="AB339" i="65" s="1"/>
  <c r="Q285" i="65"/>
  <c r="AC285" i="65" s="1"/>
  <c r="Q371" i="65"/>
  <c r="AC371" i="65" s="1"/>
  <c r="Q319" i="65"/>
  <c r="AC319" i="65" s="1"/>
  <c r="R350" i="65"/>
  <c r="Q289" i="65"/>
  <c r="AC289" i="65" s="1"/>
  <c r="P289" i="65"/>
  <c r="T365" i="65"/>
  <c r="P374" i="65"/>
  <c r="AB374" i="65" s="1"/>
  <c r="T357" i="65"/>
  <c r="AF357" i="65" s="1"/>
  <c r="Q321" i="65"/>
  <c r="T296" i="65"/>
  <c r="R375" i="65"/>
  <c r="Q297" i="65"/>
  <c r="AC297" i="65" s="1"/>
  <c r="R321" i="65"/>
  <c r="AD321" i="65" s="1"/>
  <c r="T321" i="65"/>
  <c r="R287" i="65"/>
  <c r="AD287" i="65" s="1"/>
  <c r="Q290" i="65"/>
  <c r="S290" i="65"/>
  <c r="T290" i="65"/>
  <c r="P308" i="65"/>
  <c r="R347" i="65"/>
  <c r="AD347" i="65" s="1"/>
  <c r="T376" i="65"/>
  <c r="AF376" i="65" s="1"/>
  <c r="S280" i="65"/>
  <c r="AE280" i="65" s="1"/>
  <c r="Q277" i="65"/>
  <c r="AC277" i="65" s="1"/>
  <c r="P280" i="65"/>
  <c r="Q315" i="65"/>
  <c r="AC315" i="65" s="1"/>
  <c r="Q278" i="65"/>
  <c r="P276" i="65"/>
  <c r="AB276" i="65" s="1"/>
  <c r="R359" i="65"/>
  <c r="S376" i="65"/>
  <c r="T283" i="65"/>
  <c r="R355" i="65"/>
  <c r="T286" i="65"/>
  <c r="T310" i="65"/>
  <c r="Q283" i="65"/>
  <c r="AC283" i="65" s="1"/>
  <c r="R373" i="65"/>
  <c r="Q374" i="65"/>
  <c r="AC374" i="65" s="1"/>
  <c r="T373" i="65"/>
  <c r="AF373" i="65" s="1"/>
  <c r="S374" i="65"/>
  <c r="R354" i="65"/>
  <c r="R318" i="65"/>
  <c r="R296" i="65"/>
  <c r="P293" i="65"/>
  <c r="AB293" i="65" s="1"/>
  <c r="S312" i="65"/>
  <c r="AE312" i="65" s="1"/>
  <c r="S373" i="65"/>
  <c r="T322" i="65"/>
  <c r="AF322" i="65" s="1"/>
  <c r="P371" i="65"/>
  <c r="R288" i="65"/>
  <c r="AD288" i="65" s="1"/>
  <c r="P321" i="65"/>
  <c r="S351" i="65"/>
  <c r="AE351" i="65" s="1"/>
  <c r="P359" i="65"/>
  <c r="AB359" i="65" s="1"/>
  <c r="P290" i="65"/>
  <c r="S308" i="65"/>
  <c r="AE308" i="65" s="1"/>
  <c r="T308" i="65"/>
  <c r="AF308" i="65" s="1"/>
  <c r="R374" i="65"/>
  <c r="R315" i="65"/>
  <c r="AD315" i="65" s="1"/>
  <c r="T277" i="65"/>
  <c r="AF277" i="65" s="1"/>
  <c r="AR277" i="65" s="1"/>
  <c r="T347" i="65"/>
  <c r="AF347" i="65" s="1"/>
  <c r="T315" i="65"/>
  <c r="P367" i="65"/>
  <c r="AB367" i="65" s="1"/>
  <c r="Q376" i="65"/>
  <c r="T312" i="65"/>
  <c r="AF312" i="65" s="1"/>
  <c r="Q349" i="65"/>
  <c r="Q357" i="65"/>
  <c r="AC357" i="65" s="1"/>
  <c r="P366" i="65"/>
  <c r="P346" i="65"/>
  <c r="AB346" i="65" s="1"/>
  <c r="R283" i="65"/>
  <c r="AD283" i="65" s="1"/>
  <c r="T375" i="65"/>
  <c r="AF375" i="65" s="1"/>
  <c r="S283" i="65"/>
  <c r="AE283" i="65" s="1"/>
  <c r="S279" i="65"/>
  <c r="P311" i="65"/>
  <c r="R367" i="65"/>
  <c r="AD367" i="65" s="1"/>
  <c r="R360" i="65"/>
  <c r="S287" i="65"/>
  <c r="AE287" i="65" s="1"/>
  <c r="P283" i="65"/>
  <c r="AB283" i="65" s="1"/>
  <c r="T318" i="65"/>
  <c r="S383" i="65"/>
  <c r="AE383" i="65" s="1"/>
  <c r="S286" i="65"/>
  <c r="T354" i="65"/>
  <c r="AF354" i="65" s="1"/>
  <c r="Q373" i="65"/>
  <c r="AC373" i="65" s="1"/>
  <c r="P296" i="65"/>
  <c r="AB296" i="65" s="1"/>
  <c r="Q363" i="65"/>
  <c r="S297" i="65"/>
  <c r="AE297" i="65" s="1"/>
  <c r="R352" i="65"/>
  <c r="AD352" i="65" s="1"/>
  <c r="S354" i="65"/>
  <c r="AE354" i="65" s="1"/>
  <c r="T287" i="65"/>
  <c r="AF287" i="65" s="1"/>
  <c r="Q279" i="65"/>
  <c r="P278" i="65"/>
  <c r="Q359" i="65"/>
  <c r="R290" i="65"/>
  <c r="AD290" i="65" s="1"/>
  <c r="Q308" i="65"/>
  <c r="AC308" i="65" s="1"/>
  <c r="R376" i="65"/>
  <c r="AD376" i="65" s="1"/>
  <c r="R280" i="65"/>
  <c r="Q347" i="65"/>
  <c r="AC347" i="65" s="1"/>
  <c r="P315" i="65"/>
  <c r="T367" i="65"/>
  <c r="AF367" i="65" s="1"/>
  <c r="R357" i="65"/>
  <c r="AD357" i="65" s="1"/>
  <c r="Q383" i="65"/>
  <c r="AC383" i="65" s="1"/>
  <c r="T314" i="65"/>
  <c r="Q296" i="65"/>
  <c r="AC296" i="65" s="1"/>
  <c r="R339" i="65"/>
  <c r="Q287" i="65"/>
  <c r="AC287" i="65" s="1"/>
  <c r="P378" i="65"/>
  <c r="Q314" i="65"/>
  <c r="AC314" i="65" s="1"/>
  <c r="T345" i="65"/>
  <c r="AF345" i="65" s="1"/>
  <c r="T309" i="65"/>
  <c r="AF309" i="65" s="1"/>
  <c r="T355" i="65"/>
  <c r="AF355" i="65" s="1"/>
  <c r="P368" i="65"/>
  <c r="Q311" i="65"/>
  <c r="AC311" i="65" s="1"/>
  <c r="S309" i="65"/>
  <c r="AE309" i="65" s="1"/>
  <c r="R314" i="65"/>
  <c r="AD314" i="65" s="1"/>
  <c r="R279" i="65"/>
  <c r="AD279" i="65" s="1"/>
  <c r="Q365" i="65"/>
  <c r="P322" i="65"/>
  <c r="AB322" i="65" s="1"/>
  <c r="S311" i="65"/>
  <c r="R309" i="65"/>
  <c r="AD309" i="65" s="1"/>
  <c r="T279" i="65"/>
  <c r="AF279" i="65" s="1"/>
  <c r="T339" i="65"/>
  <c r="AF339" i="65" s="1"/>
  <c r="S321" i="65"/>
  <c r="R289" i="65"/>
  <c r="AD289" i="65" s="1"/>
  <c r="P375" i="65"/>
  <c r="AB375" i="65" s="1"/>
  <c r="T368" i="65"/>
  <c r="AF368" i="65" s="1"/>
  <c r="Q282" i="65"/>
  <c r="AC282" i="65" s="1"/>
  <c r="P286" i="65"/>
  <c r="AB286" i="65" s="1"/>
  <c r="S276" i="65"/>
  <c r="AE276" i="65" s="1"/>
  <c r="Q323" i="65"/>
  <c r="T383" i="65"/>
  <c r="AF383" i="65" s="1"/>
  <c r="P365" i="65"/>
  <c r="AB365" i="65" s="1"/>
  <c r="P363" i="65"/>
  <c r="AB363" i="65" s="1"/>
  <c r="Q340" i="65"/>
  <c r="Q286" i="65"/>
  <c r="AC286" i="65" s="1"/>
  <c r="P314" i="65"/>
  <c r="AB314" i="65" s="1"/>
  <c r="T282" i="65"/>
  <c r="AF282" i="65" s="1"/>
  <c r="S296" i="65"/>
  <c r="AE296" i="65" s="1"/>
  <c r="P309" i="65"/>
  <c r="AB309" i="65" s="1"/>
  <c r="T374" i="65"/>
  <c r="AF374" i="65" s="1"/>
  <c r="T280" i="65"/>
  <c r="AF280" i="65" s="1"/>
  <c r="T311" i="65"/>
  <c r="AF311" i="65" s="1"/>
  <c r="Q355" i="65"/>
  <c r="S289" i="65"/>
  <c r="Q342" i="65"/>
  <c r="T289" i="65"/>
  <c r="P344" i="65"/>
  <c r="T297" i="65"/>
  <c r="AF297" i="65" s="1"/>
  <c r="Q378" i="65"/>
  <c r="AC378" i="65" s="1"/>
  <c r="Q350" i="65"/>
  <c r="AC350" i="65" s="1"/>
  <c r="R312" i="65"/>
  <c r="AD312" i="65" s="1"/>
  <c r="S344" i="65"/>
  <c r="P318" i="65"/>
  <c r="AB318" i="65" s="1"/>
  <c r="P288" i="65"/>
  <c r="AB288" i="65" s="1"/>
  <c r="S375" i="65"/>
  <c r="P297" i="65"/>
  <c r="AB297" i="65" s="1"/>
  <c r="S355" i="65"/>
  <c r="AE355" i="65" s="1"/>
  <c r="R323" i="65"/>
  <c r="AD323" i="65" s="1"/>
  <c r="Q367" i="65"/>
  <c r="AC367" i="65" s="1"/>
  <c r="R383" i="65"/>
  <c r="Q368" i="65"/>
  <c r="AC368" i="65" s="1"/>
  <c r="S282" i="65"/>
  <c r="AE282" i="65" s="1"/>
  <c r="P355" i="65"/>
  <c r="AB355" i="65" s="1"/>
  <c r="R286" i="65"/>
  <c r="T342" i="65"/>
  <c r="AF342" i="65" s="1"/>
  <c r="R344" i="65"/>
  <c r="AD344" i="65" s="1"/>
  <c r="Q310" i="65"/>
  <c r="Q375" i="65"/>
  <c r="R342" i="65"/>
  <c r="AD342" i="65" s="1"/>
  <c r="P279" i="65"/>
  <c r="P312" i="65"/>
  <c r="AB312" i="65" s="1"/>
  <c r="T378" i="65"/>
  <c r="AF378" i="65" s="1"/>
  <c r="K391" i="65"/>
  <c r="L391" i="65"/>
  <c r="B481" i="40"/>
  <c r="B199" i="65"/>
  <c r="R191" i="65"/>
  <c r="P191" i="65"/>
  <c r="Q211" i="65"/>
  <c r="S164" i="65"/>
  <c r="P216" i="65"/>
  <c r="R216" i="65"/>
  <c r="Q155" i="65"/>
  <c r="P155" i="65"/>
  <c r="S167" i="65"/>
  <c r="Q187" i="65"/>
  <c r="P187" i="65"/>
  <c r="T227" i="65"/>
  <c r="P227" i="65"/>
  <c r="P152" i="65"/>
  <c r="Q152" i="65"/>
  <c r="T208" i="65"/>
  <c r="S208" i="65"/>
  <c r="R159" i="65"/>
  <c r="P153" i="65"/>
  <c r="Q157" i="65"/>
  <c r="Q191" i="65"/>
  <c r="S211" i="65"/>
  <c r="T164" i="65"/>
  <c r="R155" i="65"/>
  <c r="P207" i="65"/>
  <c r="Q227" i="65"/>
  <c r="T157" i="65"/>
  <c r="Q249" i="65"/>
  <c r="T191" i="65"/>
  <c r="P211" i="65"/>
  <c r="S231" i="65"/>
  <c r="Q231" i="65"/>
  <c r="T255" i="65"/>
  <c r="R164" i="65"/>
  <c r="T216" i="65"/>
  <c r="T232" i="65"/>
  <c r="Q252" i="65"/>
  <c r="S155" i="65"/>
  <c r="T167" i="65"/>
  <c r="R227" i="65"/>
  <c r="S227" i="65"/>
  <c r="R235" i="65"/>
  <c r="P208" i="65"/>
  <c r="P236" i="65"/>
  <c r="P240" i="65"/>
  <c r="T159" i="65"/>
  <c r="Q159" i="65"/>
  <c r="R153" i="65"/>
  <c r="T211" i="65"/>
  <c r="R255" i="65"/>
  <c r="P252" i="65"/>
  <c r="R157" i="65"/>
  <c r="S213" i="65"/>
  <c r="R249" i="65"/>
  <c r="S249" i="65"/>
  <c r="T253" i="65"/>
  <c r="R257" i="65"/>
  <c r="S257" i="65"/>
  <c r="R162" i="65"/>
  <c r="S230" i="65"/>
  <c r="R234" i="65"/>
  <c r="P228" i="65"/>
  <c r="R194" i="65"/>
  <c r="S160" i="65"/>
  <c r="Q193" i="65"/>
  <c r="S229" i="65"/>
  <c r="S194" i="65"/>
  <c r="Q240" i="65"/>
  <c r="R209" i="65"/>
  <c r="R217" i="65"/>
  <c r="T241" i="65"/>
  <c r="P249" i="65"/>
  <c r="Q253" i="65"/>
  <c r="T250" i="65"/>
  <c r="T239" i="65"/>
  <c r="T160" i="65"/>
  <c r="S192" i="65"/>
  <c r="R151" i="65"/>
  <c r="R211" i="65"/>
  <c r="T231" i="65"/>
  <c r="P164" i="65"/>
  <c r="S252" i="65"/>
  <c r="T155" i="65"/>
  <c r="P167" i="65"/>
  <c r="T236" i="65"/>
  <c r="S209" i="65"/>
  <c r="T213" i="65"/>
  <c r="S241" i="65"/>
  <c r="T249" i="65"/>
  <c r="P253" i="65"/>
  <c r="S253" i="65"/>
  <c r="P257" i="65"/>
  <c r="Q150" i="65"/>
  <c r="Q154" i="65"/>
  <c r="Q162" i="65"/>
  <c r="S162" i="65"/>
  <c r="R166" i="65"/>
  <c r="T166" i="65"/>
  <c r="T210" i="65"/>
  <c r="Q234" i="65"/>
  <c r="S234" i="65"/>
  <c r="R238" i="65"/>
  <c r="P242" i="65"/>
  <c r="Q242" i="65"/>
  <c r="R258" i="65"/>
  <c r="T228" i="65"/>
  <c r="T237" i="65"/>
  <c r="T194" i="65"/>
  <c r="Q194" i="65"/>
  <c r="R163" i="65"/>
  <c r="S191" i="65"/>
  <c r="S156" i="65"/>
  <c r="Q216" i="65"/>
  <c r="P157" i="65"/>
  <c r="P213" i="65"/>
  <c r="T217" i="65"/>
  <c r="T233" i="65"/>
  <c r="Q257" i="65"/>
  <c r="T154" i="65"/>
  <c r="P166" i="65"/>
  <c r="Q210" i="65"/>
  <c r="R218" i="65"/>
  <c r="Q230" i="65"/>
  <c r="T234" i="65"/>
  <c r="T238" i="65"/>
  <c r="R242" i="65"/>
  <c r="S242" i="65"/>
  <c r="P250" i="65"/>
  <c r="T254" i="65"/>
  <c r="P239" i="65"/>
  <c r="T192" i="65"/>
  <c r="R156" i="65"/>
  <c r="Q167" i="65"/>
  <c r="S235" i="65"/>
  <c r="Q247" i="65"/>
  <c r="R152" i="65"/>
  <c r="R208" i="65"/>
  <c r="R240" i="65"/>
  <c r="S157" i="65"/>
  <c r="Q213" i="65"/>
  <c r="Q233" i="65"/>
  <c r="P233" i="65"/>
  <c r="P241" i="65"/>
  <c r="R253" i="65"/>
  <c r="T257" i="65"/>
  <c r="R154" i="65"/>
  <c r="P162" i="65"/>
  <c r="Q166" i="65"/>
  <c r="R210" i="65"/>
  <c r="R226" i="65"/>
  <c r="P226" i="65"/>
  <c r="R230" i="65"/>
  <c r="P230" i="65"/>
  <c r="T230" i="65"/>
  <c r="P234" i="65"/>
  <c r="S238" i="65"/>
  <c r="P238" i="65"/>
  <c r="T242" i="65"/>
  <c r="Q250" i="65"/>
  <c r="T258" i="65"/>
  <c r="P258" i="65"/>
  <c r="R219" i="65"/>
  <c r="R239" i="65"/>
  <c r="S239" i="65"/>
  <c r="R228" i="65"/>
  <c r="T248" i="65"/>
  <c r="R229" i="65"/>
  <c r="R237" i="65"/>
  <c r="Q153" i="65"/>
  <c r="T162" i="65"/>
  <c r="S210" i="65"/>
  <c r="S226" i="65"/>
  <c r="S246" i="65"/>
  <c r="R250" i="65"/>
  <c r="S254" i="65"/>
  <c r="T219" i="65"/>
  <c r="P160" i="65"/>
  <c r="R192" i="65"/>
  <c r="Q248" i="65"/>
  <c r="P193" i="65"/>
  <c r="Q190" i="65"/>
  <c r="P194" i="65"/>
  <c r="Q237" i="65"/>
  <c r="S248" i="65"/>
  <c r="S165" i="65"/>
  <c r="T158" i="65"/>
  <c r="S237" i="65"/>
  <c r="P190" i="65"/>
  <c r="T214" i="65"/>
  <c r="T165" i="65"/>
  <c r="S214" i="65"/>
  <c r="Q228" i="65"/>
  <c r="P229" i="65"/>
  <c r="S158" i="65"/>
  <c r="R254" i="65"/>
  <c r="P161" i="65"/>
  <c r="P214" i="65"/>
  <c r="R158" i="65"/>
  <c r="Q212" i="65"/>
  <c r="R212" i="65"/>
  <c r="Q165" i="65"/>
  <c r="P218" i="65"/>
  <c r="P217" i="65"/>
  <c r="S255" i="65"/>
  <c r="S251" i="65"/>
  <c r="R251" i="65"/>
  <c r="T163" i="65"/>
  <c r="P163" i="65"/>
  <c r="S188" i="65"/>
  <c r="T190" i="65"/>
  <c r="P192" i="65"/>
  <c r="T209" i="65"/>
  <c r="T169" i="65"/>
  <c r="Q169" i="65"/>
  <c r="T153" i="65"/>
  <c r="S168" i="65"/>
  <c r="T256" i="65"/>
  <c r="Q189" i="65"/>
  <c r="T215" i="65"/>
  <c r="Q215" i="65"/>
  <c r="S193" i="65"/>
  <c r="R248" i="65"/>
  <c r="Q239" i="65"/>
  <c r="Q238" i="65"/>
  <c r="S218" i="65"/>
  <c r="S152" i="65"/>
  <c r="P247" i="65"/>
  <c r="P251" i="65"/>
  <c r="T240" i="65"/>
  <c r="S220" i="65"/>
  <c r="Q151" i="65"/>
  <c r="S236" i="65"/>
  <c r="T252" i="65"/>
  <c r="P255" i="65"/>
  <c r="R252" i="65"/>
  <c r="Q258" i="65"/>
  <c r="S233" i="65"/>
  <c r="P159" i="65"/>
  <c r="P235" i="65"/>
  <c r="R232" i="65"/>
  <c r="R231" i="65"/>
  <c r="P232" i="65"/>
  <c r="P156" i="65"/>
  <c r="R188" i="65"/>
  <c r="S256" i="65"/>
  <c r="Q266" i="65"/>
  <c r="T168" i="65"/>
  <c r="S190" i="65"/>
  <c r="R266" i="65"/>
  <c r="T247" i="65"/>
  <c r="S153" i="65"/>
  <c r="P231" i="65"/>
  <c r="T235" i="65"/>
  <c r="P151" i="65"/>
  <c r="P210" i="65"/>
  <c r="R161" i="65"/>
  <c r="S161" i="65"/>
  <c r="R189" i="65"/>
  <c r="P158" i="65"/>
  <c r="P212" i="65"/>
  <c r="T212" i="65"/>
  <c r="S169" i="65"/>
  <c r="T266" i="65"/>
  <c r="P209" i="65"/>
  <c r="Q232" i="65"/>
  <c r="Q251" i="65"/>
  <c r="S163" i="65"/>
  <c r="Q256" i="65"/>
  <c r="R190" i="65"/>
  <c r="Q254" i="65"/>
  <c r="Q246" i="65"/>
  <c r="Q217" i="65"/>
  <c r="Q209" i="65"/>
  <c r="P169" i="65"/>
  <c r="P188" i="65"/>
  <c r="P168" i="65"/>
  <c r="R213" i="65"/>
  <c r="S189" i="65"/>
  <c r="P149" i="65"/>
  <c r="P215" i="65"/>
  <c r="Q214" i="65"/>
  <c r="P165" i="65"/>
  <c r="Q192" i="65"/>
  <c r="P219" i="65"/>
  <c r="R214" i="65"/>
  <c r="P237" i="65"/>
  <c r="S228" i="65"/>
  <c r="Q160" i="65"/>
  <c r="S219" i="65"/>
  <c r="S258" i="65"/>
  <c r="P246" i="65"/>
  <c r="Q226" i="65"/>
  <c r="Q218" i="65"/>
  <c r="P186" i="65"/>
  <c r="S166" i="65"/>
  <c r="S154" i="65"/>
  <c r="R241" i="65"/>
  <c r="S217" i="65"/>
  <c r="S247" i="65"/>
  <c r="R167" i="65"/>
  <c r="S232" i="65"/>
  <c r="R220" i="65"/>
  <c r="Q156" i="65"/>
  <c r="Q255" i="65"/>
  <c r="Q235" i="65"/>
  <c r="S216" i="65"/>
  <c r="T156" i="65"/>
  <c r="Q229" i="65"/>
  <c r="Q208" i="65"/>
  <c r="R215" i="65"/>
  <c r="T229" i="65"/>
  <c r="S266" i="65"/>
  <c r="R193" i="65"/>
  <c r="P254" i="65"/>
  <c r="Q241" i="65"/>
  <c r="R233" i="65"/>
  <c r="R247" i="65"/>
  <c r="R236" i="65"/>
  <c r="T220" i="65"/>
  <c r="Q164" i="65"/>
  <c r="Q236" i="65"/>
  <c r="P248" i="65"/>
  <c r="T218" i="65"/>
  <c r="Q161" i="65"/>
  <c r="T161" i="65"/>
  <c r="Q158" i="65"/>
  <c r="P245" i="65"/>
  <c r="S212" i="65"/>
  <c r="Q219" i="65"/>
  <c r="P225" i="65"/>
  <c r="Q220" i="65"/>
  <c r="T251" i="65"/>
  <c r="Q163" i="65"/>
  <c r="Q188" i="65"/>
  <c r="P256" i="65"/>
  <c r="R256" i="65"/>
  <c r="T193" i="65"/>
  <c r="S250" i="65"/>
  <c r="R246" i="65"/>
  <c r="R169" i="65"/>
  <c r="R168" i="65"/>
  <c r="S240" i="65"/>
  <c r="P189" i="65"/>
  <c r="T189" i="65"/>
  <c r="S215" i="65"/>
  <c r="R165" i="65"/>
  <c r="P266" i="65"/>
  <c r="R160" i="65"/>
  <c r="P154" i="65"/>
  <c r="P150" i="65"/>
  <c r="Q168" i="65"/>
  <c r="S159" i="65"/>
  <c r="P220" i="65"/>
  <c r="P147" i="65"/>
  <c r="Q147" i="65"/>
  <c r="R147" i="65"/>
  <c r="V147" i="65"/>
  <c r="Z151" i="65"/>
  <c r="Z203" i="65"/>
  <c r="V203" i="65"/>
  <c r="S203" i="65"/>
  <c r="X211" i="65"/>
  <c r="X231" i="65"/>
  <c r="W231" i="65"/>
  <c r="R243" i="65"/>
  <c r="Z243" i="65"/>
  <c r="V243" i="65"/>
  <c r="Y144" i="65"/>
  <c r="Q144" i="65"/>
  <c r="Y164" i="65"/>
  <c r="V176" i="65"/>
  <c r="S176" i="65"/>
  <c r="Y176" i="65"/>
  <c r="Z204" i="65"/>
  <c r="S204" i="65"/>
  <c r="W204" i="65"/>
  <c r="Y204" i="65"/>
  <c r="T184" i="65"/>
  <c r="Z184" i="65"/>
  <c r="Y196" i="65"/>
  <c r="X196" i="65"/>
  <c r="Z196" i="65"/>
  <c r="W260" i="65"/>
  <c r="X260" i="65"/>
  <c r="Y264" i="65"/>
  <c r="T264" i="65"/>
  <c r="X264" i="65"/>
  <c r="T143" i="65"/>
  <c r="Y143" i="65"/>
  <c r="W167" i="65"/>
  <c r="Q179" i="65"/>
  <c r="W179" i="65"/>
  <c r="V187" i="65"/>
  <c r="X195" i="65"/>
  <c r="W195" i="65"/>
  <c r="Y195" i="65"/>
  <c r="Y207" i="65"/>
  <c r="W207" i="65"/>
  <c r="V227" i="65"/>
  <c r="X259" i="65"/>
  <c r="Q224" i="65"/>
  <c r="W244" i="65"/>
  <c r="V244" i="65"/>
  <c r="W159" i="65"/>
  <c r="X159" i="65"/>
  <c r="V171" i="65"/>
  <c r="P171" i="65"/>
  <c r="X171" i="65"/>
  <c r="S171" i="65"/>
  <c r="P175" i="65"/>
  <c r="S175" i="65"/>
  <c r="T175" i="65"/>
  <c r="Y175" i="65"/>
  <c r="W183" i="65"/>
  <c r="S183" i="65"/>
  <c r="P199" i="65"/>
  <c r="W223" i="65"/>
  <c r="Y223" i="65"/>
  <c r="Z148" i="65"/>
  <c r="R148" i="65"/>
  <c r="X148" i="65"/>
  <c r="T180" i="65"/>
  <c r="V180" i="65"/>
  <c r="V200" i="65"/>
  <c r="W200" i="65"/>
  <c r="Z149" i="65"/>
  <c r="R149" i="65"/>
  <c r="Q149" i="65"/>
  <c r="W153" i="65"/>
  <c r="W157" i="65"/>
  <c r="Y177" i="65"/>
  <c r="S185" i="65"/>
  <c r="Z185" i="65"/>
  <c r="T147" i="65"/>
  <c r="Y147" i="65"/>
  <c r="S147" i="65"/>
  <c r="T151" i="65"/>
  <c r="V191" i="65"/>
  <c r="Q203" i="65"/>
  <c r="W211" i="65"/>
  <c r="Q243" i="65"/>
  <c r="T243" i="65"/>
  <c r="AF243" i="65" s="1"/>
  <c r="AR243" i="65" s="1"/>
  <c r="P144" i="65"/>
  <c r="W144" i="65"/>
  <c r="S144" i="65"/>
  <c r="Z176" i="65"/>
  <c r="X176" i="65"/>
  <c r="P204" i="65"/>
  <c r="Y184" i="65"/>
  <c r="S184" i="65"/>
  <c r="V184" i="65"/>
  <c r="P196" i="65"/>
  <c r="R196" i="65"/>
  <c r="AD196" i="65" s="1"/>
  <c r="AP196" i="65" s="1"/>
  <c r="S260" i="65"/>
  <c r="V260" i="65"/>
  <c r="T260" i="65"/>
  <c r="S264" i="65"/>
  <c r="P143" i="65"/>
  <c r="W143" i="65"/>
  <c r="W155" i="65"/>
  <c r="V167" i="65"/>
  <c r="V179" i="65"/>
  <c r="T179" i="65"/>
  <c r="S179" i="65"/>
  <c r="X187" i="65"/>
  <c r="R187" i="65"/>
  <c r="Z195" i="65"/>
  <c r="S195" i="65"/>
  <c r="AE195" i="65" s="1"/>
  <c r="AQ195" i="65" s="1"/>
  <c r="Z227" i="65"/>
  <c r="S259" i="65"/>
  <c r="W259" i="65"/>
  <c r="T224" i="65"/>
  <c r="Y224" i="65"/>
  <c r="R224" i="65"/>
  <c r="X224" i="65"/>
  <c r="Q244" i="65"/>
  <c r="Z244" i="65"/>
  <c r="Y159" i="65"/>
  <c r="Z171" i="65"/>
  <c r="T171" i="65"/>
  <c r="Y171" i="65"/>
  <c r="V175" i="65"/>
  <c r="X175" i="65"/>
  <c r="T183" i="65"/>
  <c r="X183" i="65"/>
  <c r="V183" i="65"/>
  <c r="Q199" i="65"/>
  <c r="Z199" i="65"/>
  <c r="T199" i="65"/>
  <c r="X199" i="65"/>
  <c r="V223" i="65"/>
  <c r="T223" i="65"/>
  <c r="Q148" i="65"/>
  <c r="Y148" i="65"/>
  <c r="S180" i="65"/>
  <c r="Z180" i="65"/>
  <c r="Q180" i="65"/>
  <c r="T188" i="65"/>
  <c r="P200" i="65"/>
  <c r="R200" i="65"/>
  <c r="X200" i="65"/>
  <c r="S149" i="65"/>
  <c r="Z157" i="65"/>
  <c r="Q177" i="65"/>
  <c r="T177" i="65"/>
  <c r="R177" i="65"/>
  <c r="Q185" i="65"/>
  <c r="R185" i="65"/>
  <c r="T185" i="65"/>
  <c r="AF185" i="65" s="1"/>
  <c r="AR185" i="65" s="1"/>
  <c r="T197" i="65"/>
  <c r="R197" i="65"/>
  <c r="T205" i="65"/>
  <c r="Z205" i="65"/>
  <c r="W205" i="65"/>
  <c r="Q221" i="65"/>
  <c r="W221" i="65"/>
  <c r="V221" i="65"/>
  <c r="R221" i="65"/>
  <c r="R225" i="65"/>
  <c r="Z249" i="65"/>
  <c r="Y253" i="65"/>
  <c r="W261" i="65"/>
  <c r="T261" i="65"/>
  <c r="Q265" i="65"/>
  <c r="Z265" i="65"/>
  <c r="R265" i="65"/>
  <c r="Y146" i="65"/>
  <c r="S146" i="65"/>
  <c r="Z150" i="65"/>
  <c r="X162" i="65"/>
  <c r="Z162" i="65"/>
  <c r="Z170" i="65"/>
  <c r="Y170" i="65"/>
  <c r="W147" i="65"/>
  <c r="X147" i="65"/>
  <c r="V151" i="65"/>
  <c r="W191" i="65"/>
  <c r="W203" i="65"/>
  <c r="P203" i="65"/>
  <c r="Y203" i="65"/>
  <c r="X203" i="65"/>
  <c r="Y211" i="65"/>
  <c r="Z211" i="65"/>
  <c r="V231" i="65"/>
  <c r="Y243" i="65"/>
  <c r="S243" i="65"/>
  <c r="P243" i="65"/>
  <c r="AB243" i="65" s="1"/>
  <c r="AN243" i="65" s="1"/>
  <c r="W243" i="65"/>
  <c r="Y255" i="65"/>
  <c r="T144" i="65"/>
  <c r="V144" i="65"/>
  <c r="X144" i="65"/>
  <c r="Z164" i="65"/>
  <c r="W164" i="65"/>
  <c r="R176" i="65"/>
  <c r="AD176" i="65" s="1"/>
  <c r="AP176" i="65" s="1"/>
  <c r="T176" i="65"/>
  <c r="Q204" i="65"/>
  <c r="R204" i="65"/>
  <c r="V216" i="65"/>
  <c r="Z220" i="65"/>
  <c r="W232" i="65"/>
  <c r="Q184" i="65"/>
  <c r="P184" i="65"/>
  <c r="AB184" i="65" s="1"/>
  <c r="AN184" i="65" s="1"/>
  <c r="X184" i="65"/>
  <c r="W196" i="65"/>
  <c r="Q196" i="65"/>
  <c r="Z252" i="65"/>
  <c r="Z260" i="65"/>
  <c r="W264" i="65"/>
  <c r="R264" i="65"/>
  <c r="P264" i="65"/>
  <c r="R143" i="65"/>
  <c r="V143" i="65"/>
  <c r="S143" i="65"/>
  <c r="Z155" i="65"/>
  <c r="X155" i="65"/>
  <c r="Z167" i="65"/>
  <c r="X167" i="65"/>
  <c r="Z179" i="65"/>
  <c r="Y179" i="65"/>
  <c r="X179" i="65"/>
  <c r="T187" i="65"/>
  <c r="Y187" i="65"/>
  <c r="T195" i="65"/>
  <c r="Q195" i="65"/>
  <c r="R195" i="65"/>
  <c r="P195" i="65"/>
  <c r="T207" i="65"/>
  <c r="Z207" i="65"/>
  <c r="S207" i="65"/>
  <c r="V207" i="65"/>
  <c r="R259" i="65"/>
  <c r="AD259" i="65" s="1"/>
  <c r="AP259" i="65" s="1"/>
  <c r="Z259" i="65"/>
  <c r="V259" i="65"/>
  <c r="Q259" i="65"/>
  <c r="AC259" i="65" s="1"/>
  <c r="AO259" i="65" s="1"/>
  <c r="T152" i="65"/>
  <c r="W152" i="65"/>
  <c r="V208" i="65"/>
  <c r="V224" i="65"/>
  <c r="Z224" i="65"/>
  <c r="W224" i="65"/>
  <c r="V236" i="65"/>
  <c r="X240" i="65"/>
  <c r="Y244" i="65"/>
  <c r="T244" i="65"/>
  <c r="AF244" i="65" s="1"/>
  <c r="AR244" i="65" s="1"/>
  <c r="P244" i="65"/>
  <c r="R171" i="65"/>
  <c r="Z175" i="65"/>
  <c r="W175" i="65"/>
  <c r="R175" i="65"/>
  <c r="Z183" i="65"/>
  <c r="W199" i="65"/>
  <c r="V199" i="65"/>
  <c r="R223" i="65"/>
  <c r="X223" i="65"/>
  <c r="S223" i="65"/>
  <c r="P148" i="65"/>
  <c r="W148" i="65"/>
  <c r="S148" i="65"/>
  <c r="X180" i="65"/>
  <c r="Y180" i="65"/>
  <c r="Z188" i="65"/>
  <c r="AF188" i="65" s="1"/>
  <c r="AR188" i="65" s="1"/>
  <c r="S200" i="65"/>
  <c r="Q200" i="65"/>
  <c r="X149" i="65"/>
  <c r="Y149" i="65"/>
  <c r="Y153" i="65"/>
  <c r="V153" i="65"/>
  <c r="X157" i="65"/>
  <c r="V157" i="65"/>
  <c r="Y157" i="65"/>
  <c r="V177" i="65"/>
  <c r="S177" i="65"/>
  <c r="Y151" i="65"/>
  <c r="S151" i="65"/>
  <c r="Z191" i="65"/>
  <c r="T203" i="65"/>
  <c r="Y231" i="65"/>
  <c r="X243" i="65"/>
  <c r="Z144" i="65"/>
  <c r="V204" i="65"/>
  <c r="Z216" i="65"/>
  <c r="V220" i="65"/>
  <c r="X232" i="65"/>
  <c r="AD232" i="65" s="1"/>
  <c r="W184" i="65"/>
  <c r="P260" i="65"/>
  <c r="Q143" i="65"/>
  <c r="AC143" i="65" s="1"/>
  <c r="AO143" i="65" s="1"/>
  <c r="V155" i="65"/>
  <c r="Y259" i="65"/>
  <c r="T259" i="65"/>
  <c r="Y208" i="65"/>
  <c r="P224" i="65"/>
  <c r="W240" i="65"/>
  <c r="R244" i="65"/>
  <c r="W171" i="65"/>
  <c r="P183" i="65"/>
  <c r="Y199" i="65"/>
  <c r="Q223" i="65"/>
  <c r="Z223" i="65"/>
  <c r="P180" i="65"/>
  <c r="T149" i="65"/>
  <c r="X177" i="65"/>
  <c r="W185" i="65"/>
  <c r="Q197" i="65"/>
  <c r="V205" i="65"/>
  <c r="R205" i="65"/>
  <c r="Y205" i="65"/>
  <c r="Y213" i="65"/>
  <c r="S221" i="65"/>
  <c r="X221" i="65"/>
  <c r="T221" i="65"/>
  <c r="W225" i="65"/>
  <c r="Y225" i="65"/>
  <c r="V233" i="65"/>
  <c r="V241" i="65"/>
  <c r="X249" i="65"/>
  <c r="V253" i="65"/>
  <c r="S261" i="65"/>
  <c r="X261" i="65"/>
  <c r="T265" i="65"/>
  <c r="S150" i="65"/>
  <c r="Y162" i="65"/>
  <c r="X166" i="65"/>
  <c r="Q170" i="65"/>
  <c r="W170" i="65"/>
  <c r="Q178" i="65"/>
  <c r="S178" i="65"/>
  <c r="T178" i="65"/>
  <c r="P178" i="65"/>
  <c r="P182" i="65"/>
  <c r="V182" i="65"/>
  <c r="Q186" i="65"/>
  <c r="T186" i="65"/>
  <c r="V186" i="65"/>
  <c r="AB186" i="65" s="1"/>
  <c r="AN186" i="65" s="1"/>
  <c r="Q202" i="65"/>
  <c r="Y230" i="65"/>
  <c r="Y234" i="65"/>
  <c r="Z242" i="65"/>
  <c r="Y242" i="65"/>
  <c r="W262" i="65"/>
  <c r="R262" i="65"/>
  <c r="Q262" i="65"/>
  <c r="Y263" i="65"/>
  <c r="T263" i="65"/>
  <c r="V263" i="65"/>
  <c r="S172" i="65"/>
  <c r="Z172" i="65"/>
  <c r="V172" i="65"/>
  <c r="T145" i="65"/>
  <c r="R145" i="65"/>
  <c r="W145" i="65"/>
  <c r="V145" i="65"/>
  <c r="R173" i="65"/>
  <c r="T173" i="65"/>
  <c r="V173" i="65"/>
  <c r="Z181" i="65"/>
  <c r="Q201" i="65"/>
  <c r="W201" i="65"/>
  <c r="Z237" i="65"/>
  <c r="W245" i="65"/>
  <c r="R245" i="65"/>
  <c r="Z245" i="65"/>
  <c r="S174" i="65"/>
  <c r="X194" i="65"/>
  <c r="T198" i="65"/>
  <c r="Q198" i="65"/>
  <c r="W206" i="65"/>
  <c r="Y206" i="65"/>
  <c r="S206" i="65"/>
  <c r="X206" i="65"/>
  <c r="Q222" i="65"/>
  <c r="R222" i="65"/>
  <c r="V222" i="65"/>
  <c r="V262" i="65"/>
  <c r="X263" i="65"/>
  <c r="W172" i="65"/>
  <c r="X228" i="65"/>
  <c r="Z145" i="65"/>
  <c r="W173" i="65"/>
  <c r="S181" i="65"/>
  <c r="Y181" i="65"/>
  <c r="T201" i="65"/>
  <c r="R201" i="65"/>
  <c r="Y201" i="65"/>
  <c r="X201" i="65"/>
  <c r="X237" i="65"/>
  <c r="Y237" i="65"/>
  <c r="AE237" i="65" s="1"/>
  <c r="Q245" i="65"/>
  <c r="AC245" i="65" s="1"/>
  <c r="P174" i="65"/>
  <c r="V194" i="65"/>
  <c r="P198" i="65"/>
  <c r="S198" i="65"/>
  <c r="Q206" i="65"/>
  <c r="Y222" i="65"/>
  <c r="X222" i="65"/>
  <c r="W165" i="65"/>
  <c r="Z193" i="65"/>
  <c r="V237" i="65"/>
  <c r="Y245" i="65"/>
  <c r="R174" i="65"/>
  <c r="Z190" i="65"/>
  <c r="W194" i="65"/>
  <c r="R198" i="65"/>
  <c r="W198" i="65"/>
  <c r="T206" i="65"/>
  <c r="T222" i="65"/>
  <c r="Q264" i="65"/>
  <c r="W227" i="65"/>
  <c r="Z152" i="65"/>
  <c r="S224" i="65"/>
  <c r="W236" i="65"/>
  <c r="Z159" i="65"/>
  <c r="V148" i="65"/>
  <c r="Z200" i="65"/>
  <c r="Y200" i="65"/>
  <c r="W169" i="65"/>
  <c r="W177" i="65"/>
  <c r="V197" i="65"/>
  <c r="W233" i="65"/>
  <c r="P261" i="65"/>
  <c r="V265" i="65"/>
  <c r="Y150" i="65"/>
  <c r="V154" i="65"/>
  <c r="P202" i="65"/>
  <c r="V210" i="65"/>
  <c r="Y258" i="65"/>
  <c r="Y266" i="65"/>
  <c r="Z219" i="65"/>
  <c r="Q263" i="65"/>
  <c r="Z263" i="65"/>
  <c r="R172" i="65"/>
  <c r="T172" i="65"/>
  <c r="Y191" i="65"/>
  <c r="X156" i="65"/>
  <c r="W176" i="65"/>
  <c r="Y216" i="65"/>
  <c r="X220" i="65"/>
  <c r="Z232" i="65"/>
  <c r="V196" i="65"/>
  <c r="R260" i="65"/>
  <c r="AD260" i="65" s="1"/>
  <c r="AP260" i="65" s="1"/>
  <c r="V264" i="65"/>
  <c r="X143" i="65"/>
  <c r="R179" i="65"/>
  <c r="Z187" i="65"/>
  <c r="V195" i="65"/>
  <c r="X207" i="65"/>
  <c r="Y227" i="65"/>
  <c r="V247" i="65"/>
  <c r="V159" i="65"/>
  <c r="Q183" i="65"/>
  <c r="AC183" i="65" s="1"/>
  <c r="AO183" i="65" s="1"/>
  <c r="R183" i="65"/>
  <c r="S199" i="65"/>
  <c r="T148" i="65"/>
  <c r="R180" i="65"/>
  <c r="T200" i="65"/>
  <c r="Z177" i="65"/>
  <c r="Y185" i="65"/>
  <c r="V185" i="65"/>
  <c r="X197" i="65"/>
  <c r="Z197" i="65"/>
  <c r="W197" i="65"/>
  <c r="X213" i="65"/>
  <c r="V213" i="65"/>
  <c r="X217" i="65"/>
  <c r="P221" i="65"/>
  <c r="T225" i="65"/>
  <c r="Q225" i="65"/>
  <c r="Y233" i="65"/>
  <c r="X233" i="65"/>
  <c r="Y241" i="65"/>
  <c r="V249" i="65"/>
  <c r="W257" i="65"/>
  <c r="R261" i="65"/>
  <c r="Z261" i="65"/>
  <c r="Y265" i="65"/>
  <c r="P265" i="65"/>
  <c r="T146" i="65"/>
  <c r="P146" i="65"/>
  <c r="R150" i="65"/>
  <c r="X154" i="65"/>
  <c r="W162" i="65"/>
  <c r="P170" i="65"/>
  <c r="V178" i="65"/>
  <c r="Y178" i="65"/>
  <c r="S182" i="65"/>
  <c r="T182" i="65"/>
  <c r="R182" i="65"/>
  <c r="S186" i="65"/>
  <c r="W186" i="65"/>
  <c r="Y202" i="65"/>
  <c r="W202" i="65"/>
  <c r="S202" i="65"/>
  <c r="Y210" i="65"/>
  <c r="V226" i="65"/>
  <c r="W226" i="65"/>
  <c r="Z230" i="65"/>
  <c r="X230" i="65"/>
  <c r="V230" i="65"/>
  <c r="W234" i="65"/>
  <c r="Z238" i="65"/>
  <c r="W242" i="65"/>
  <c r="W258" i="65"/>
  <c r="Z262" i="65"/>
  <c r="T262" i="65"/>
  <c r="X262" i="65"/>
  <c r="S263" i="65"/>
  <c r="X172" i="65"/>
  <c r="Q145" i="65"/>
  <c r="Y173" i="65"/>
  <c r="Q173" i="65"/>
  <c r="T181" i="65"/>
  <c r="W193" i="65"/>
  <c r="V174" i="65"/>
  <c r="V198" i="65"/>
  <c r="V165" i="65"/>
  <c r="W229" i="65"/>
  <c r="T174" i="65"/>
  <c r="X190" i="65"/>
  <c r="V211" i="65"/>
  <c r="W251" i="65"/>
  <c r="V255" i="65"/>
  <c r="X164" i="65"/>
  <c r="Q176" i="65"/>
  <c r="P176" i="65"/>
  <c r="X204" i="65"/>
  <c r="W220" i="65"/>
  <c r="Y232" i="65"/>
  <c r="R184" i="65"/>
  <c r="T196" i="65"/>
  <c r="S196" i="65"/>
  <c r="Y260" i="65"/>
  <c r="Z264" i="65"/>
  <c r="P179" i="65"/>
  <c r="S187" i="65"/>
  <c r="P259" i="65"/>
  <c r="X208" i="65"/>
  <c r="R199" i="65"/>
  <c r="X205" i="65"/>
  <c r="P205" i="65"/>
  <c r="Z221" i="65"/>
  <c r="W241" i="65"/>
  <c r="Z253" i="65"/>
  <c r="X146" i="65"/>
  <c r="W178" i="65"/>
  <c r="Z182" i="65"/>
  <c r="R202" i="65"/>
  <c r="Z226" i="65"/>
  <c r="Y226" i="65"/>
  <c r="Y246" i="65"/>
  <c r="Z246" i="65"/>
  <c r="X258" i="65"/>
  <c r="X266" i="65"/>
  <c r="Y219" i="65"/>
  <c r="Z147" i="65"/>
  <c r="R203" i="65"/>
  <c r="R144" i="65"/>
  <c r="V164" i="65"/>
  <c r="T204" i="65"/>
  <c r="AF204" i="65" s="1"/>
  <c r="AR204" i="65" s="1"/>
  <c r="Y252" i="65"/>
  <c r="Q260" i="65"/>
  <c r="Z143" i="65"/>
  <c r="Y155" i="65"/>
  <c r="AE155" i="65" s="1"/>
  <c r="Q207" i="65"/>
  <c r="R207" i="65"/>
  <c r="X227" i="65"/>
  <c r="X236" i="65"/>
  <c r="S244" i="65"/>
  <c r="Q171" i="65"/>
  <c r="Q175" i="65"/>
  <c r="AC175" i="65" s="1"/>
  <c r="AO175" i="65" s="1"/>
  <c r="P223" i="65"/>
  <c r="W180" i="65"/>
  <c r="W149" i="65"/>
  <c r="Z153" i="65"/>
  <c r="P177" i="65"/>
  <c r="X185" i="65"/>
  <c r="S197" i="65"/>
  <c r="Y197" i="65"/>
  <c r="S205" i="65"/>
  <c r="W213" i="65"/>
  <c r="Z213" i="65"/>
  <c r="Z225" i="65"/>
  <c r="S225" i="65"/>
  <c r="X241" i="65"/>
  <c r="Y249" i="65"/>
  <c r="X253" i="65"/>
  <c r="W253" i="65"/>
  <c r="X257" i="65"/>
  <c r="Q261" i="65"/>
  <c r="V261" i="65"/>
  <c r="S265" i="65"/>
  <c r="X265" i="65"/>
  <c r="Z146" i="65"/>
  <c r="W146" i="65"/>
  <c r="V146" i="65"/>
  <c r="Q146" i="65"/>
  <c r="T150" i="65"/>
  <c r="X150" i="65"/>
  <c r="W150" i="65"/>
  <c r="Z154" i="65"/>
  <c r="V162" i="65"/>
  <c r="Y166" i="65"/>
  <c r="R170" i="65"/>
  <c r="V170" i="65"/>
  <c r="S170" i="65"/>
  <c r="Z178" i="65"/>
  <c r="X178" i="65"/>
  <c r="R178" i="65"/>
  <c r="X182" i="65"/>
  <c r="Y182" i="65"/>
  <c r="Q182" i="65"/>
  <c r="W182" i="65"/>
  <c r="Y186" i="65"/>
  <c r="R186" i="65"/>
  <c r="X186" i="65"/>
  <c r="Z186" i="65"/>
  <c r="Z202" i="65"/>
  <c r="V202" i="65"/>
  <c r="X202" i="65"/>
  <c r="AD202" i="65" s="1"/>
  <c r="AP202" i="65" s="1"/>
  <c r="X210" i="65"/>
  <c r="T226" i="65"/>
  <c r="Z234" i="65"/>
  <c r="X234" i="65"/>
  <c r="W238" i="65"/>
  <c r="V242" i="65"/>
  <c r="X242" i="65"/>
  <c r="T246" i="65"/>
  <c r="Z250" i="65"/>
  <c r="Z258" i="65"/>
  <c r="Y262" i="65"/>
  <c r="P262" i="65"/>
  <c r="AB262" i="65" s="1"/>
  <c r="AN262" i="65" s="1"/>
  <c r="V219" i="65"/>
  <c r="X239" i="65"/>
  <c r="W263" i="65"/>
  <c r="R263" i="65"/>
  <c r="P263" i="65"/>
  <c r="W160" i="65"/>
  <c r="V160" i="65"/>
  <c r="Z160" i="65"/>
  <c r="Y172" i="65"/>
  <c r="Q172" i="65"/>
  <c r="AC172" i="65" s="1"/>
  <c r="AO172" i="65" s="1"/>
  <c r="Y192" i="65"/>
  <c r="Z192" i="65"/>
  <c r="Y228" i="65"/>
  <c r="Z228" i="65"/>
  <c r="W248" i="65"/>
  <c r="X145" i="65"/>
  <c r="Y145" i="65"/>
  <c r="Z173" i="65"/>
  <c r="P181" i="65"/>
  <c r="Q181" i="65"/>
  <c r="Y193" i="65"/>
  <c r="Z201" i="65"/>
  <c r="V201" i="65"/>
  <c r="T245" i="65"/>
  <c r="AF245" i="65" s="1"/>
  <c r="AR245" i="65" s="1"/>
  <c r="Q174" i="65"/>
  <c r="Y194" i="65"/>
  <c r="X198" i="65"/>
  <c r="Z206" i="65"/>
  <c r="S222" i="65"/>
  <c r="Y167" i="65"/>
  <c r="Y235" i="65"/>
  <c r="Y152" i="65"/>
  <c r="X244" i="65"/>
  <c r="Y183" i="65"/>
  <c r="V168" i="65"/>
  <c r="P185" i="65"/>
  <c r="P197" i="65"/>
  <c r="Q205" i="65"/>
  <c r="Y221" i="65"/>
  <c r="X225" i="65"/>
  <c r="W249" i="65"/>
  <c r="Y261" i="65"/>
  <c r="W265" i="65"/>
  <c r="R146" i="65"/>
  <c r="X170" i="65"/>
  <c r="T170" i="65"/>
  <c r="AF170" i="65" s="1"/>
  <c r="AR170" i="65" s="1"/>
  <c r="T202" i="65"/>
  <c r="Y218" i="65"/>
  <c r="W230" i="65"/>
  <c r="V234" i="65"/>
  <c r="Y238" i="65"/>
  <c r="S262" i="65"/>
  <c r="Y239" i="65"/>
  <c r="P172" i="65"/>
  <c r="AB172" i="65" s="1"/>
  <c r="AN172" i="65" s="1"/>
  <c r="X165" i="65"/>
  <c r="S173" i="65"/>
  <c r="W181" i="65"/>
  <c r="X245" i="65"/>
  <c r="W174" i="65"/>
  <c r="X174" i="65"/>
  <c r="X214" i="65"/>
  <c r="P222" i="65"/>
  <c r="W222" i="65"/>
  <c r="Z174" i="65"/>
  <c r="Z194" i="65"/>
  <c r="V206" i="65"/>
  <c r="Y198" i="65"/>
  <c r="X212" i="65"/>
  <c r="W228" i="65"/>
  <c r="P173" i="65"/>
  <c r="V193" i="65"/>
  <c r="P201" i="65"/>
  <c r="V229" i="65"/>
  <c r="V190" i="65"/>
  <c r="AB190" i="65" s="1"/>
  <c r="P145" i="65"/>
  <c r="V228" i="65"/>
  <c r="X173" i="65"/>
  <c r="V181" i="65"/>
  <c r="X181" i="65"/>
  <c r="Z229" i="65"/>
  <c r="W237" i="65"/>
  <c r="S245" i="65"/>
  <c r="Y174" i="65"/>
  <c r="Z198" i="65"/>
  <c r="R206" i="65"/>
  <c r="Z222" i="65"/>
  <c r="S145" i="65"/>
  <c r="R181" i="65"/>
  <c r="S201" i="65"/>
  <c r="P206" i="65"/>
  <c r="Z168" i="65"/>
  <c r="X226" i="65"/>
  <c r="X161" i="65"/>
  <c r="X238" i="65"/>
  <c r="V158" i="65"/>
  <c r="W161" i="65"/>
  <c r="Y217" i="65"/>
  <c r="W254" i="65"/>
  <c r="V256" i="65"/>
  <c r="Z256" i="65"/>
  <c r="Z254" i="65"/>
  <c r="Y250" i="65"/>
  <c r="Z217" i="65"/>
  <c r="Y168" i="65"/>
  <c r="V218" i="65"/>
  <c r="V149" i="65"/>
  <c r="X229" i="65"/>
  <c r="X248" i="65"/>
  <c r="W239" i="65"/>
  <c r="X254" i="65"/>
  <c r="W190" i="65"/>
  <c r="X192" i="65"/>
  <c r="W266" i="65"/>
  <c r="X250" i="65"/>
  <c r="V166" i="65"/>
  <c r="Y154" i="65"/>
  <c r="Z257" i="65"/>
  <c r="Z241" i="65"/>
  <c r="Z233" i="65"/>
  <c r="AF233" i="65" s="1"/>
  <c r="V189" i="65"/>
  <c r="X247" i="65"/>
  <c r="W156" i="65"/>
  <c r="X153" i="65"/>
  <c r="Y236" i="65"/>
  <c r="V235" i="65"/>
  <c r="AB235" i="65" s="1"/>
  <c r="W187" i="65"/>
  <c r="V232" i="65"/>
  <c r="Z156" i="65"/>
  <c r="Z255" i="65"/>
  <c r="Z235" i="65"/>
  <c r="Y220" i="65"/>
  <c r="W255" i="65"/>
  <c r="Y247" i="65"/>
  <c r="W256" i="65"/>
  <c r="Y163" i="65"/>
  <c r="W216" i="65"/>
  <c r="V240" i="65"/>
  <c r="X193" i="65"/>
  <c r="Z239" i="65"/>
  <c r="Y158" i="65"/>
  <c r="V212" i="65"/>
  <c r="W151" i="65"/>
  <c r="V225" i="65"/>
  <c r="X251" i="65"/>
  <c r="V163" i="65"/>
  <c r="X188" i="65"/>
  <c r="V214" i="65"/>
  <c r="X218" i="65"/>
  <c r="Y169" i="65"/>
  <c r="Y189" i="65"/>
  <c r="X215" i="65"/>
  <c r="Y214" i="65"/>
  <c r="Y160" i="65"/>
  <c r="V248" i="65"/>
  <c r="Z218" i="65"/>
  <c r="W154" i="65"/>
  <c r="W252" i="65"/>
  <c r="V245" i="65"/>
  <c r="X246" i="65"/>
  <c r="Y190" i="65"/>
  <c r="V161" i="65"/>
  <c r="X158" i="65"/>
  <c r="Y212" i="65"/>
  <c r="Y254" i="65"/>
  <c r="Z251" i="65"/>
  <c r="X191" i="65"/>
  <c r="W163" i="65"/>
  <c r="V188" i="65"/>
  <c r="X256" i="65"/>
  <c r="Z231" i="65"/>
  <c r="X160" i="65"/>
  <c r="Z169" i="65"/>
  <c r="W168" i="65"/>
  <c r="W215" i="65"/>
  <c r="Y165" i="65"/>
  <c r="V257" i="65"/>
  <c r="Z247" i="65"/>
  <c r="Y215" i="65"/>
  <c r="Z236" i="65"/>
  <c r="Z240" i="65"/>
  <c r="Z208" i="65"/>
  <c r="W235" i="65"/>
  <c r="X151" i="65"/>
  <c r="W166" i="65"/>
  <c r="X152" i="65"/>
  <c r="Z266" i="65"/>
  <c r="Y161" i="65"/>
  <c r="W158" i="65"/>
  <c r="V258" i="65"/>
  <c r="W218" i="65"/>
  <c r="X189" i="65"/>
  <c r="V251" i="65"/>
  <c r="Y188" i="65"/>
  <c r="Z248" i="65"/>
  <c r="W217" i="65"/>
  <c r="X169" i="65"/>
  <c r="V239" i="65"/>
  <c r="Z210" i="65"/>
  <c r="Z166" i="65"/>
  <c r="X235" i="65"/>
  <c r="Y156" i="65"/>
  <c r="Z209" i="65"/>
  <c r="AF209" i="65" s="1"/>
  <c r="Z158" i="65"/>
  <c r="W212" i="65"/>
  <c r="V215" i="65"/>
  <c r="V266" i="65"/>
  <c r="V246" i="65"/>
  <c r="Z189" i="65"/>
  <c r="Y251" i="65"/>
  <c r="Z163" i="65"/>
  <c r="W188" i="65"/>
  <c r="X219" i="65"/>
  <c r="V217" i="65"/>
  <c r="W209" i="65"/>
  <c r="V169" i="65"/>
  <c r="X168" i="65"/>
  <c r="Z215" i="65"/>
  <c r="X252" i="65"/>
  <c r="Z214" i="65"/>
  <c r="W214" i="65"/>
  <c r="Y229" i="65"/>
  <c r="Z165" i="65"/>
  <c r="V192" i="65"/>
  <c r="W219" i="65"/>
  <c r="W246" i="65"/>
  <c r="W210" i="65"/>
  <c r="Y257" i="65"/>
  <c r="X209" i="65"/>
  <c r="W247" i="65"/>
  <c r="Y240" i="65"/>
  <c r="V252" i="65"/>
  <c r="W208" i="65"/>
  <c r="V250" i="65"/>
  <c r="Z161" i="65"/>
  <c r="Z212" i="65"/>
  <c r="V254" i="65"/>
  <c r="X216" i="65"/>
  <c r="X163" i="65"/>
  <c r="Y256" i="65"/>
  <c r="W250" i="65"/>
  <c r="V209" i="65"/>
  <c r="W189" i="65"/>
  <c r="Y248" i="65"/>
  <c r="W192" i="65"/>
  <c r="V238" i="65"/>
  <c r="V150" i="65"/>
  <c r="Y209" i="65"/>
  <c r="V156" i="65"/>
  <c r="V152" i="65"/>
  <c r="X255" i="65"/>
  <c r="N272" i="50"/>
  <c r="Q272" i="50" s="1"/>
  <c r="S272" i="50" s="1"/>
  <c r="N273" i="50"/>
  <c r="Q273" i="50" s="1"/>
  <c r="S273" i="50" s="1"/>
  <c r="N268" i="50"/>
  <c r="Q268" i="50" s="1"/>
  <c r="S268" i="50" s="1"/>
  <c r="N270" i="50"/>
  <c r="Q270" i="50" s="1"/>
  <c r="S270" i="50" s="1"/>
  <c r="N269" i="50"/>
  <c r="Q269" i="50" s="1"/>
  <c r="S269" i="50" s="1"/>
  <c r="N257" i="50"/>
  <c r="Q257" i="50" s="1"/>
  <c r="S257" i="50" s="1"/>
  <c r="N265" i="50"/>
  <c r="Q265" i="50" s="1"/>
  <c r="S265" i="50" s="1"/>
  <c r="N258" i="50"/>
  <c r="Q258" i="50" s="1"/>
  <c r="S258" i="50" s="1"/>
  <c r="N251" i="50"/>
  <c r="Q251" i="50" s="1"/>
  <c r="S251" i="50" s="1"/>
  <c r="N262" i="50"/>
  <c r="Q262" i="50" s="1"/>
  <c r="S262" i="50" s="1"/>
  <c r="N267" i="50"/>
  <c r="Q267" i="50" s="1"/>
  <c r="S267" i="50" s="1"/>
  <c r="N261" i="50"/>
  <c r="Q261" i="50" s="1"/>
  <c r="S261" i="50" s="1"/>
  <c r="N263" i="50"/>
  <c r="Q263" i="50" s="1"/>
  <c r="S263" i="50" s="1"/>
  <c r="N255" i="50"/>
  <c r="Q255" i="50" s="1"/>
  <c r="S255" i="50" s="1"/>
  <c r="N254" i="50"/>
  <c r="Q254" i="50" s="1"/>
  <c r="S254" i="50" s="1"/>
  <c r="N252" i="50"/>
  <c r="Q252" i="50" s="1"/>
  <c r="S252" i="50" s="1"/>
  <c r="N256" i="50"/>
  <c r="Q256" i="50" s="1"/>
  <c r="S256" i="50" s="1"/>
  <c r="N264" i="50"/>
  <c r="Q264" i="50" s="1"/>
  <c r="S264" i="50" s="1"/>
  <c r="N259" i="50"/>
  <c r="Q259" i="50" s="1"/>
  <c r="S259" i="50" s="1"/>
  <c r="N260" i="50"/>
  <c r="Q260" i="50" s="1"/>
  <c r="S260" i="50" s="1"/>
  <c r="N253" i="50"/>
  <c r="Q253" i="50" s="1"/>
  <c r="S253" i="50" s="1"/>
  <c r="N266" i="50"/>
  <c r="Q266" i="50" s="1"/>
  <c r="S266" i="50" s="1"/>
  <c r="O43" i="66"/>
  <c r="K43" i="37"/>
  <c r="M53" i="66"/>
  <c r="I50" i="37"/>
  <c r="P56" i="66"/>
  <c r="L53" i="37"/>
  <c r="Q57" i="66"/>
  <c r="M54" i="37"/>
  <c r="N42" i="66"/>
  <c r="J42" i="37"/>
  <c r="L52" i="66"/>
  <c r="H49" i="37"/>
  <c r="Q45" i="66"/>
  <c r="M45" i="37"/>
  <c r="N41" i="66"/>
  <c r="J41" i="37"/>
  <c r="P44" i="66"/>
  <c r="L44" i="37"/>
  <c r="N54" i="66"/>
  <c r="J51" i="37"/>
  <c r="M187" i="50"/>
  <c r="P187" i="50" s="1"/>
  <c r="M194" i="50"/>
  <c r="P194" i="50" s="1"/>
  <c r="J50" i="66"/>
  <c r="J28" i="25"/>
  <c r="N195" i="50"/>
  <c r="Q195" i="50" s="1"/>
  <c r="S195" i="50" s="1"/>
  <c r="N188" i="50"/>
  <c r="Q188" i="50" s="1"/>
  <c r="S188" i="50" s="1"/>
  <c r="L50" i="42"/>
  <c r="O55" i="66"/>
  <c r="M59" i="24"/>
  <c r="L51" i="66"/>
  <c r="P73" i="65"/>
  <c r="Q73" i="65"/>
  <c r="R114" i="65"/>
  <c r="R115" i="65"/>
  <c r="P58" i="65"/>
  <c r="T82" i="65"/>
  <c r="P117" i="65"/>
  <c r="S77" i="65"/>
  <c r="P77" i="65"/>
  <c r="Q79" i="65"/>
  <c r="P62" i="65"/>
  <c r="R71" i="65"/>
  <c r="S79" i="65"/>
  <c r="P130" i="65"/>
  <c r="Q130" i="65"/>
  <c r="R62" i="65"/>
  <c r="Q77" i="65"/>
  <c r="S116" i="65"/>
  <c r="Q64" i="65"/>
  <c r="Q67" i="65"/>
  <c r="T65" i="65"/>
  <c r="S75" i="65"/>
  <c r="T117" i="65"/>
  <c r="P132" i="65"/>
  <c r="S140" i="65"/>
  <c r="S126" i="65"/>
  <c r="Q75" i="65"/>
  <c r="T81" i="65"/>
  <c r="S67" i="65"/>
  <c r="Q114" i="65"/>
  <c r="P110" i="65"/>
  <c r="P114" i="65"/>
  <c r="R117" i="65"/>
  <c r="P75" i="65"/>
  <c r="P108" i="65"/>
  <c r="Q60" i="65"/>
  <c r="R65" i="65"/>
  <c r="Q62" i="65"/>
  <c r="R75" i="65"/>
  <c r="P82" i="65"/>
  <c r="Q66" i="65"/>
  <c r="Q81" i="65"/>
  <c r="R66" i="65"/>
  <c r="R70" i="65"/>
  <c r="T73" i="65"/>
  <c r="T62" i="65"/>
  <c r="P70" i="65"/>
  <c r="T70" i="65"/>
  <c r="S62" i="65"/>
  <c r="Q70" i="65"/>
  <c r="P66" i="65"/>
  <c r="S78" i="65"/>
  <c r="R140" i="65"/>
  <c r="T80" i="65"/>
  <c r="S71" i="65"/>
  <c r="S111" i="65"/>
  <c r="T110" i="65"/>
  <c r="T118" i="65"/>
  <c r="S124" i="65"/>
  <c r="Q140" i="65"/>
  <c r="R81" i="65"/>
  <c r="R67" i="65"/>
  <c r="Q84" i="65"/>
  <c r="S118" i="65"/>
  <c r="R132" i="65"/>
  <c r="T67" i="65"/>
  <c r="Q80" i="65"/>
  <c r="P84" i="65"/>
  <c r="Q117" i="65"/>
  <c r="R112" i="65"/>
  <c r="R116" i="65"/>
  <c r="S65" i="65"/>
  <c r="Q110" i="65"/>
  <c r="T78" i="65"/>
  <c r="R77" i="65"/>
  <c r="S110" i="65"/>
  <c r="P64" i="65"/>
  <c r="R118" i="65"/>
  <c r="R84" i="65"/>
  <c r="T71" i="65"/>
  <c r="P124" i="65"/>
  <c r="T79" i="65"/>
  <c r="R69" i="65"/>
  <c r="P79" i="65"/>
  <c r="T76" i="65"/>
  <c r="S76" i="65"/>
  <c r="Q78" i="65"/>
  <c r="T124" i="65"/>
  <c r="T126" i="65"/>
  <c r="Q76" i="65"/>
  <c r="R76" i="65"/>
  <c r="Q71" i="65"/>
  <c r="S70" i="65"/>
  <c r="T114" i="65"/>
  <c r="Q124" i="65"/>
  <c r="P67" i="65"/>
  <c r="P112" i="65"/>
  <c r="Q118" i="65"/>
  <c r="S112" i="65"/>
  <c r="S81" i="65"/>
  <c r="R109" i="65"/>
  <c r="T111" i="65"/>
  <c r="T116" i="65"/>
  <c r="Q109" i="65"/>
  <c r="P60" i="65"/>
  <c r="T69" i="65"/>
  <c r="P69" i="65"/>
  <c r="S82" i="65"/>
  <c r="P115" i="65"/>
  <c r="R111" i="65"/>
  <c r="Q65" i="65"/>
  <c r="T77" i="65"/>
  <c r="Q116" i="65"/>
  <c r="T64" i="65"/>
  <c r="P71" i="65"/>
  <c r="Q115" i="65"/>
  <c r="Q132" i="65"/>
  <c r="P126" i="65"/>
  <c r="P116" i="65"/>
  <c r="P118" i="65"/>
  <c r="Q112" i="65"/>
  <c r="S80" i="65"/>
  <c r="S117" i="65"/>
  <c r="S109" i="65"/>
  <c r="T112" i="65"/>
  <c r="P111" i="65"/>
  <c r="S73" i="65"/>
  <c r="R73" i="65"/>
  <c r="T130" i="65"/>
  <c r="Q83" i="65"/>
  <c r="S69" i="65"/>
  <c r="R64" i="65"/>
  <c r="P83" i="65"/>
  <c r="R78" i="65"/>
  <c r="S64" i="65"/>
  <c r="P78" i="65"/>
  <c r="P109" i="65"/>
  <c r="S66" i="65"/>
  <c r="T75" i="65"/>
  <c r="P80" i="65"/>
  <c r="T84" i="65"/>
  <c r="S115" i="65"/>
  <c r="S132" i="65"/>
  <c r="Q126" i="65"/>
  <c r="R113" i="65"/>
  <c r="R130" i="65"/>
  <c r="P76" i="65"/>
  <c r="R80" i="65"/>
  <c r="Q113" i="65"/>
  <c r="R110" i="65"/>
  <c r="R79" i="65"/>
  <c r="P113" i="65"/>
  <c r="R126" i="65"/>
  <c r="T132" i="65"/>
  <c r="T83" i="65"/>
  <c r="S83" i="65"/>
  <c r="Q82" i="65"/>
  <c r="R82" i="65"/>
  <c r="S130" i="65"/>
  <c r="P140" i="65"/>
  <c r="S114" i="65"/>
  <c r="P65" i="65"/>
  <c r="S84" i="65"/>
  <c r="R124" i="65"/>
  <c r="Q107" i="65"/>
  <c r="Q111" i="65"/>
  <c r="T113" i="65"/>
  <c r="R83" i="65"/>
  <c r="S113" i="65"/>
  <c r="R60" i="65"/>
  <c r="T66" i="65"/>
  <c r="P81" i="65"/>
  <c r="T115" i="65"/>
  <c r="P106" i="65"/>
  <c r="Q129" i="65"/>
  <c r="Q69" i="65"/>
  <c r="P107" i="65"/>
  <c r="Q141" i="65"/>
  <c r="T141" i="65"/>
  <c r="R141" i="65"/>
  <c r="R131" i="65"/>
  <c r="Q63" i="65"/>
  <c r="Q74" i="65"/>
  <c r="R68" i="65"/>
  <c r="P68" i="65"/>
  <c r="S63" i="65"/>
  <c r="T127" i="65"/>
  <c r="T123" i="65"/>
  <c r="Q68" i="65"/>
  <c r="R129" i="65"/>
  <c r="R127" i="65"/>
  <c r="T68" i="65"/>
  <c r="R108" i="65"/>
  <c r="S141" i="65"/>
  <c r="R61" i="65"/>
  <c r="P74" i="65"/>
  <c r="S61" i="65"/>
  <c r="Q127" i="65"/>
  <c r="P63" i="65"/>
  <c r="T131" i="65"/>
  <c r="Q72" i="65"/>
  <c r="S127" i="65"/>
  <c r="R123" i="65"/>
  <c r="P59" i="65"/>
  <c r="T72" i="65"/>
  <c r="Q123" i="65"/>
  <c r="Q108" i="65"/>
  <c r="S131" i="65"/>
  <c r="Q61" i="65"/>
  <c r="R72" i="65"/>
  <c r="Q59" i="65"/>
  <c r="P123" i="65"/>
  <c r="P61" i="65"/>
  <c r="T74" i="65"/>
  <c r="T63" i="65"/>
  <c r="T129" i="65"/>
  <c r="P72" i="65"/>
  <c r="S74" i="65"/>
  <c r="S68" i="65"/>
  <c r="P141" i="65"/>
  <c r="P127" i="65"/>
  <c r="P131" i="65"/>
  <c r="S72" i="65"/>
  <c r="R63" i="65"/>
  <c r="P129" i="65"/>
  <c r="Q131" i="65"/>
  <c r="S123" i="65"/>
  <c r="S129" i="65"/>
  <c r="R74" i="65"/>
  <c r="P97" i="65"/>
  <c r="Z88" i="65"/>
  <c r="Q120" i="65"/>
  <c r="S121" i="65"/>
  <c r="T94" i="65"/>
  <c r="X94" i="65"/>
  <c r="V136" i="65"/>
  <c r="S128" i="65"/>
  <c r="P128" i="65"/>
  <c r="Q128" i="65"/>
  <c r="X134" i="65"/>
  <c r="T134" i="65"/>
  <c r="V134" i="65"/>
  <c r="Y121" i="65"/>
  <c r="T119" i="65"/>
  <c r="W119" i="65"/>
  <c r="Q122" i="65"/>
  <c r="P120" i="65"/>
  <c r="R99" i="65"/>
  <c r="W90" i="65"/>
  <c r="X90" i="65"/>
  <c r="V90" i="65"/>
  <c r="W122" i="65"/>
  <c r="Z97" i="65"/>
  <c r="W92" i="65"/>
  <c r="X92" i="65"/>
  <c r="V92" i="65"/>
  <c r="P95" i="65"/>
  <c r="S95" i="65"/>
  <c r="W95" i="65"/>
  <c r="R86" i="65"/>
  <c r="S86" i="65"/>
  <c r="T86" i="65"/>
  <c r="Y88" i="65"/>
  <c r="Y60" i="65"/>
  <c r="S54" i="65"/>
  <c r="P54" i="65"/>
  <c r="Q54" i="65"/>
  <c r="Q94" i="65"/>
  <c r="W97" i="65"/>
  <c r="W134" i="65"/>
  <c r="T97" i="65"/>
  <c r="S122" i="65"/>
  <c r="Z99" i="65"/>
  <c r="Y97" i="65"/>
  <c r="R54" i="65"/>
  <c r="X136" i="65"/>
  <c r="Y136" i="65"/>
  <c r="T128" i="65"/>
  <c r="Z128" i="65"/>
  <c r="X142" i="65"/>
  <c r="P134" i="65"/>
  <c r="Z134" i="65"/>
  <c r="Z140" i="65"/>
  <c r="R134" i="65"/>
  <c r="R121" i="65"/>
  <c r="Z120" i="65"/>
  <c r="R119" i="65"/>
  <c r="Y99" i="65"/>
  <c r="T90" i="65"/>
  <c r="W102" i="65"/>
  <c r="R122" i="65"/>
  <c r="V105" i="65"/>
  <c r="S97" i="65"/>
  <c r="Q97" i="65"/>
  <c r="R92" i="65"/>
  <c r="Y92" i="65"/>
  <c r="T95" i="65"/>
  <c r="X86" i="65"/>
  <c r="P86" i="65"/>
  <c r="Y105" i="65"/>
  <c r="P88" i="65"/>
  <c r="Y94" i="65"/>
  <c r="X56" i="65"/>
  <c r="T56" i="65"/>
  <c r="V56" i="65"/>
  <c r="T60" i="65"/>
  <c r="P94" i="65"/>
  <c r="V94" i="65"/>
  <c r="X128" i="65"/>
  <c r="Y128" i="65"/>
  <c r="P142" i="65"/>
  <c r="S134" i="65"/>
  <c r="Y134" i="65"/>
  <c r="R142" i="65"/>
  <c r="T140" i="65"/>
  <c r="AF140" i="65" s="1"/>
  <c r="P121" i="65"/>
  <c r="W121" i="65"/>
  <c r="P119" i="65"/>
  <c r="X95" i="65"/>
  <c r="Z122" i="65"/>
  <c r="T120" i="65"/>
  <c r="Z119" i="65"/>
  <c r="X122" i="65"/>
  <c r="X119" i="65"/>
  <c r="Q99" i="65"/>
  <c r="S90" i="65"/>
  <c r="P90" i="65"/>
  <c r="AB90" i="65" s="1"/>
  <c r="Q90" i="65"/>
  <c r="P122" i="65"/>
  <c r="V122" i="65"/>
  <c r="Z109" i="65"/>
  <c r="T136" i="65"/>
  <c r="V128" i="65"/>
  <c r="Q142" i="65"/>
  <c r="W136" i="65"/>
  <c r="R120" i="65"/>
  <c r="S99" i="65"/>
  <c r="P99" i="65"/>
  <c r="Y122" i="65"/>
  <c r="Q121" i="65"/>
  <c r="Z90" i="65"/>
  <c r="X97" i="65"/>
  <c r="S92" i="65"/>
  <c r="P92" i="65"/>
  <c r="AB92" i="65" s="1"/>
  <c r="Y95" i="65"/>
  <c r="Q95" i="65"/>
  <c r="W86" i="65"/>
  <c r="Q86" i="65"/>
  <c r="W94" i="65"/>
  <c r="W73" i="65"/>
  <c r="Q56" i="65"/>
  <c r="V54" i="65"/>
  <c r="Z94" i="65"/>
  <c r="V95" i="65"/>
  <c r="Z86" i="65"/>
  <c r="Q92" i="65"/>
  <c r="S119" i="65"/>
  <c r="Z103" i="65"/>
  <c r="W105" i="65"/>
  <c r="T105" i="65"/>
  <c r="R95" i="65"/>
  <c r="V142" i="65"/>
  <c r="Q134" i="65"/>
  <c r="T121" i="65"/>
  <c r="Y119" i="65"/>
  <c r="Z106" i="65"/>
  <c r="W120" i="65"/>
  <c r="X120" i="65"/>
  <c r="X99" i="65"/>
  <c r="V99" i="65"/>
  <c r="X102" i="65"/>
  <c r="V120" i="65"/>
  <c r="V118" i="65"/>
  <c r="X98" i="65"/>
  <c r="V86" i="65"/>
  <c r="R105" i="65"/>
  <c r="R97" i="65"/>
  <c r="R88" i="65"/>
  <c r="S88" i="65"/>
  <c r="AE88" i="65" s="1"/>
  <c r="T88" i="65"/>
  <c r="S94" i="65"/>
  <c r="P56" i="65"/>
  <c r="Z56" i="65"/>
  <c r="W56" i="65"/>
  <c r="T54" i="65"/>
  <c r="Z54" i="65"/>
  <c r="Z92" i="65"/>
  <c r="Q88" i="65"/>
  <c r="S120" i="65"/>
  <c r="Z60" i="65"/>
  <c r="R128" i="65"/>
  <c r="Z136" i="65"/>
  <c r="S142" i="65"/>
  <c r="W128" i="65"/>
  <c r="X106" i="65"/>
  <c r="Q119" i="65"/>
  <c r="X121" i="65"/>
  <c r="R90" i="65"/>
  <c r="AD90" i="65" s="1"/>
  <c r="Q102" i="65"/>
  <c r="T102" i="65"/>
  <c r="T109" i="65"/>
  <c r="V98" i="65"/>
  <c r="X105" i="65"/>
  <c r="Z96" i="65"/>
  <c r="Z95" i="65"/>
  <c r="Y86" i="65"/>
  <c r="Y101" i="65"/>
  <c r="W88" i="65"/>
  <c r="X88" i="65"/>
  <c r="V88" i="65"/>
  <c r="V73" i="65"/>
  <c r="S56" i="65"/>
  <c r="Y56" i="65"/>
  <c r="S60" i="65"/>
  <c r="X54" i="65"/>
  <c r="Y54" i="65"/>
  <c r="T99" i="65"/>
  <c r="AF99" i="65" s="1"/>
  <c r="T142" i="65"/>
  <c r="Y120" i="65"/>
  <c r="W99" i="65"/>
  <c r="Y90" i="65"/>
  <c r="V102" i="65"/>
  <c r="P102" i="65"/>
  <c r="T122" i="65"/>
  <c r="Z121" i="65"/>
  <c r="V121" i="65"/>
  <c r="V119" i="65"/>
  <c r="Z98" i="65"/>
  <c r="V97" i="65"/>
  <c r="T92" i="65"/>
  <c r="X96" i="65"/>
  <c r="R94" i="65"/>
  <c r="R56" i="65"/>
  <c r="X75" i="65"/>
  <c r="Y140" i="65"/>
  <c r="X101" i="65"/>
  <c r="Z107" i="65"/>
  <c r="W76" i="65"/>
  <c r="S98" i="65"/>
  <c r="W77" i="65"/>
  <c r="Z138" i="65"/>
  <c r="R102" i="65"/>
  <c r="Z105" i="65"/>
  <c r="Q105" i="65"/>
  <c r="W54" i="65"/>
  <c r="Q52" i="65"/>
  <c r="W103" i="65"/>
  <c r="Q96" i="65"/>
  <c r="P103" i="65"/>
  <c r="R101" i="65"/>
  <c r="R107" i="65"/>
  <c r="V113" i="65"/>
  <c r="V115" i="65"/>
  <c r="X138" i="65"/>
  <c r="Z52" i="65"/>
  <c r="Q103" i="65"/>
  <c r="T52" i="65"/>
  <c r="P138" i="65"/>
  <c r="X140" i="65"/>
  <c r="X79" i="65"/>
  <c r="Y58" i="65"/>
  <c r="S58" i="65"/>
  <c r="Y83" i="65"/>
  <c r="W82" i="65"/>
  <c r="X83" i="65"/>
  <c r="Y113" i="65"/>
  <c r="R96" i="65"/>
  <c r="AD96" i="65" s="1"/>
  <c r="W78" i="65"/>
  <c r="V110" i="65"/>
  <c r="R52" i="65"/>
  <c r="W114" i="65"/>
  <c r="V78" i="65"/>
  <c r="V58" i="65"/>
  <c r="V82" i="65"/>
  <c r="Z78" i="65"/>
  <c r="X115" i="65"/>
  <c r="X124" i="65"/>
  <c r="Y130" i="65"/>
  <c r="Y57" i="65"/>
  <c r="V139" i="65"/>
  <c r="W139" i="65"/>
  <c r="X139" i="65"/>
  <c r="T139" i="65"/>
  <c r="Z61" i="65"/>
  <c r="Z71" i="65"/>
  <c r="W65" i="65"/>
  <c r="Y85" i="65"/>
  <c r="Z85" i="65"/>
  <c r="W85" i="65"/>
  <c r="Y93" i="65"/>
  <c r="Z93" i="65"/>
  <c r="Z76" i="65"/>
  <c r="W109" i="65"/>
  <c r="X112" i="65"/>
  <c r="X116" i="65"/>
  <c r="T125" i="65"/>
  <c r="T133" i="65"/>
  <c r="T87" i="65"/>
  <c r="V87" i="65"/>
  <c r="W113" i="65"/>
  <c r="Y124" i="65"/>
  <c r="S100" i="65"/>
  <c r="T100" i="65"/>
  <c r="Q53" i="65"/>
  <c r="R53" i="65"/>
  <c r="S53" i="65"/>
  <c r="T53" i="65"/>
  <c r="T91" i="65"/>
  <c r="V91" i="65"/>
  <c r="T89" i="65"/>
  <c r="V89" i="65"/>
  <c r="V112" i="65"/>
  <c r="Q104" i="65"/>
  <c r="R104" i="65"/>
  <c r="Y104" i="65"/>
  <c r="Z118" i="65"/>
  <c r="V135" i="65"/>
  <c r="W135" i="65"/>
  <c r="X135" i="65"/>
  <c r="Z112" i="65"/>
  <c r="V81" i="65"/>
  <c r="Z55" i="65"/>
  <c r="T55" i="65"/>
  <c r="R59" i="65"/>
  <c r="X59" i="65"/>
  <c r="S59" i="65"/>
  <c r="V66" i="65"/>
  <c r="X71" i="65"/>
  <c r="Z126" i="65"/>
  <c r="P101" i="65"/>
  <c r="W132" i="65"/>
  <c r="Q106" i="65"/>
  <c r="Z77" i="65"/>
  <c r="Z102" i="65"/>
  <c r="Y80" i="65"/>
  <c r="Y142" i="65"/>
  <c r="X52" i="65"/>
  <c r="P105" i="65"/>
  <c r="S52" i="65"/>
  <c r="S96" i="65"/>
  <c r="Y77" i="65"/>
  <c r="S101" i="65"/>
  <c r="P52" i="65"/>
  <c r="Y73" i="65"/>
  <c r="S107" i="65"/>
  <c r="Q136" i="65"/>
  <c r="Y103" i="65"/>
  <c r="X126" i="65"/>
  <c r="V114" i="65"/>
  <c r="V79" i="65"/>
  <c r="X84" i="65"/>
  <c r="Z83" i="65"/>
  <c r="W84" i="65"/>
  <c r="V83" i="65"/>
  <c r="Z130" i="65"/>
  <c r="P98" i="65"/>
  <c r="Y98" i="65"/>
  <c r="Y114" i="65"/>
  <c r="R138" i="65"/>
  <c r="Z124" i="65"/>
  <c r="X64" i="65"/>
  <c r="X70" i="65"/>
  <c r="W118" i="65"/>
  <c r="X130" i="65"/>
  <c r="W58" i="65"/>
  <c r="Q57" i="65"/>
  <c r="R57" i="65"/>
  <c r="S57" i="65"/>
  <c r="P57" i="65"/>
  <c r="Q139" i="65"/>
  <c r="Z64" i="65"/>
  <c r="T61" i="65"/>
  <c r="AF61" i="65" s="1"/>
  <c r="Y66" i="65"/>
  <c r="X67" i="65"/>
  <c r="Y70" i="65"/>
  <c r="Z81" i="65"/>
  <c r="S85" i="65"/>
  <c r="T93" i="65"/>
  <c r="S93" i="65"/>
  <c r="R93" i="65"/>
  <c r="Z115" i="65"/>
  <c r="Z125" i="65"/>
  <c r="W125" i="65"/>
  <c r="X125" i="65"/>
  <c r="Y125" i="65"/>
  <c r="S87" i="65"/>
  <c r="X87" i="65"/>
  <c r="V100" i="65"/>
  <c r="X100" i="65"/>
  <c r="V53" i="65"/>
  <c r="Q91" i="65"/>
  <c r="S89" i="65"/>
  <c r="X89" i="65"/>
  <c r="V104" i="65"/>
  <c r="T104" i="65"/>
  <c r="S135" i="65"/>
  <c r="Y109" i="65"/>
  <c r="Y112" i="65"/>
  <c r="W116" i="65"/>
  <c r="W75" i="65"/>
  <c r="V80" i="65"/>
  <c r="Y59" i="65"/>
  <c r="X66" i="65"/>
  <c r="W83" i="65"/>
  <c r="Z113" i="65"/>
  <c r="Q137" i="65"/>
  <c r="R137" i="65"/>
  <c r="S137" i="65"/>
  <c r="T137" i="65"/>
  <c r="V109" i="65"/>
  <c r="Z110" i="65"/>
  <c r="Y132" i="65"/>
  <c r="W101" i="65"/>
  <c r="T107" i="65"/>
  <c r="T106" i="65"/>
  <c r="W142" i="65"/>
  <c r="S105" i="65"/>
  <c r="Z142" i="65"/>
  <c r="Y81" i="65"/>
  <c r="X103" i="65"/>
  <c r="V96" i="65"/>
  <c r="T96" i="65"/>
  <c r="Y96" i="65"/>
  <c r="Q101" i="65"/>
  <c r="P136" i="65"/>
  <c r="X107" i="65"/>
  <c r="Q98" i="65"/>
  <c r="W112" i="65"/>
  <c r="Z73" i="65"/>
  <c r="V77" i="65"/>
  <c r="V101" i="65"/>
  <c r="W52" i="65"/>
  <c r="W106" i="65"/>
  <c r="V140" i="65"/>
  <c r="R103" i="65"/>
  <c r="Q138" i="65"/>
  <c r="V103" i="65"/>
  <c r="X58" i="65"/>
  <c r="X132" i="65"/>
  <c r="T58" i="65"/>
  <c r="X62" i="65"/>
  <c r="Y84" i="65"/>
  <c r="X117" i="65"/>
  <c r="V117" i="65"/>
  <c r="V132" i="65"/>
  <c r="W124" i="65"/>
  <c r="Q58" i="65"/>
  <c r="V57" i="65"/>
  <c r="S139" i="65"/>
  <c r="P139" i="65"/>
  <c r="Y64" i="65"/>
  <c r="T85" i="65"/>
  <c r="W93" i="65"/>
  <c r="Z111" i="65"/>
  <c r="V125" i="65"/>
  <c r="P125" i="65"/>
  <c r="Z133" i="65"/>
  <c r="Y87" i="65"/>
  <c r="Q100" i="65"/>
  <c r="X53" i="65"/>
  <c r="Z91" i="65"/>
  <c r="W91" i="65"/>
  <c r="P89" i="65"/>
  <c r="AB89" i="65" s="1"/>
  <c r="Z89" i="65"/>
  <c r="V116" i="65"/>
  <c r="P104" i="65"/>
  <c r="AB104" i="65" s="1"/>
  <c r="T135" i="65"/>
  <c r="Y110" i="65"/>
  <c r="Y116" i="65"/>
  <c r="W140" i="65"/>
  <c r="Z108" i="65"/>
  <c r="T108" i="65"/>
  <c r="W60" i="65"/>
  <c r="X80" i="65"/>
  <c r="W62" i="65"/>
  <c r="V67" i="65"/>
  <c r="V65" i="65"/>
  <c r="X114" i="65"/>
  <c r="W137" i="65"/>
  <c r="Y126" i="65"/>
  <c r="Y62" i="65"/>
  <c r="T101" i="65"/>
  <c r="S106" i="65"/>
  <c r="Y102" i="65"/>
  <c r="Z67" i="65"/>
  <c r="Y138" i="65"/>
  <c r="S103" i="65"/>
  <c r="AE103" i="65" s="1"/>
  <c r="AQ103" i="65" s="1"/>
  <c r="V138" i="65"/>
  <c r="S138" i="65"/>
  <c r="T103" i="65"/>
  <c r="AF103" i="65" s="1"/>
  <c r="AR103" i="65" s="1"/>
  <c r="Z79" i="65"/>
  <c r="Y69" i="65"/>
  <c r="R58" i="65"/>
  <c r="W79" i="65"/>
  <c r="X113" i="65"/>
  <c r="V111" i="65"/>
  <c r="X78" i="65"/>
  <c r="W110" i="65"/>
  <c r="Z57" i="65"/>
  <c r="R139" i="65"/>
  <c r="V70" i="65"/>
  <c r="Z80" i="65"/>
  <c r="Q93" i="65"/>
  <c r="R87" i="65"/>
  <c r="W117" i="65"/>
  <c r="Y65" i="65"/>
  <c r="Z100" i="65"/>
  <c r="Y100" i="65"/>
  <c r="P100" i="65"/>
  <c r="W53" i="65"/>
  <c r="P53" i="65"/>
  <c r="P91" i="65"/>
  <c r="R91" i="65"/>
  <c r="Y89" i="65"/>
  <c r="X104" i="65"/>
  <c r="R135" i="65"/>
  <c r="Y135" i="65"/>
  <c r="Y111" i="65"/>
  <c r="Y108" i="65"/>
  <c r="Z75" i="65"/>
  <c r="X81" i="65"/>
  <c r="R55" i="65"/>
  <c r="S55" i="65"/>
  <c r="P55" i="65"/>
  <c r="Z62" i="65"/>
  <c r="T59" i="65"/>
  <c r="Y71" i="65"/>
  <c r="V137" i="65"/>
  <c r="V62" i="65"/>
  <c r="Y106" i="65"/>
  <c r="V69" i="65"/>
  <c r="W130" i="65"/>
  <c r="R106" i="65"/>
  <c r="T138" i="65"/>
  <c r="Y52" i="65"/>
  <c r="V52" i="65"/>
  <c r="W67" i="65"/>
  <c r="Y76" i="65"/>
  <c r="Z82" i="65"/>
  <c r="X82" i="65"/>
  <c r="V84" i="65"/>
  <c r="P96" i="65"/>
  <c r="T98" i="65"/>
  <c r="X111" i="65"/>
  <c r="W138" i="65"/>
  <c r="Y118" i="65"/>
  <c r="V76" i="65"/>
  <c r="W126" i="65"/>
  <c r="Z58" i="65"/>
  <c r="X57" i="65"/>
  <c r="T57" i="65"/>
  <c r="Z116" i="65"/>
  <c r="V64" i="65"/>
  <c r="V71" i="65"/>
  <c r="Q85" i="65"/>
  <c r="R85" i="65"/>
  <c r="V93" i="65"/>
  <c r="S125" i="65"/>
  <c r="Q133" i="65"/>
  <c r="R133" i="65"/>
  <c r="S133" i="65"/>
  <c r="Y133" i="65"/>
  <c r="Q87" i="65"/>
  <c r="W87" i="65"/>
  <c r="W81" i="65"/>
  <c r="W100" i="65"/>
  <c r="Y67" i="65"/>
  <c r="Y91" i="65"/>
  <c r="S91" i="65"/>
  <c r="X91" i="65"/>
  <c r="R89" i="65"/>
  <c r="Z114" i="65"/>
  <c r="Q135" i="65"/>
  <c r="P135" i="65"/>
  <c r="Y78" i="65"/>
  <c r="Z65" i="65"/>
  <c r="Q55" i="65"/>
  <c r="W55" i="65"/>
  <c r="X55" i="65"/>
  <c r="Z59" i="65"/>
  <c r="Z70" i="65"/>
  <c r="Y82" i="65"/>
  <c r="W107" i="65"/>
  <c r="Z117" i="65"/>
  <c r="Z137" i="65"/>
  <c r="Y137" i="65"/>
  <c r="W115" i="65"/>
  <c r="V124" i="65"/>
  <c r="Y107" i="65"/>
  <c r="R98" i="65"/>
  <c r="S102" i="65"/>
  <c r="S136" i="65"/>
  <c r="X77" i="65"/>
  <c r="Z101" i="65"/>
  <c r="X73" i="65"/>
  <c r="V130" i="65"/>
  <c r="W69" i="65"/>
  <c r="X60" i="65"/>
  <c r="Y79" i="65"/>
  <c r="W96" i="65"/>
  <c r="AC96" i="65" s="1"/>
  <c r="W98" i="65"/>
  <c r="Y117" i="65"/>
  <c r="W64" i="65"/>
  <c r="V126" i="65"/>
  <c r="W57" i="65"/>
  <c r="W71" i="65"/>
  <c r="P93" i="65"/>
  <c r="X76" i="65"/>
  <c r="X133" i="65"/>
  <c r="Z87" i="65"/>
  <c r="R100" i="65"/>
  <c r="Y53" i="65"/>
  <c r="Q89" i="65"/>
  <c r="Y75" i="65"/>
  <c r="Y55" i="65"/>
  <c r="W70" i="65"/>
  <c r="X137" i="65"/>
  <c r="Z132" i="65"/>
  <c r="Y139" i="65"/>
  <c r="V85" i="65"/>
  <c r="X85" i="65"/>
  <c r="X93" i="65"/>
  <c r="W133" i="65"/>
  <c r="X109" i="65"/>
  <c r="S108" i="65"/>
  <c r="V55" i="65"/>
  <c r="V106" i="65"/>
  <c r="Z66" i="65"/>
  <c r="X110" i="65"/>
  <c r="V75" i="65"/>
  <c r="X65" i="65"/>
  <c r="R125" i="65"/>
  <c r="P87" i="65"/>
  <c r="Z53" i="65"/>
  <c r="W80" i="65"/>
  <c r="Z84" i="65"/>
  <c r="S104" i="65"/>
  <c r="W104" i="65"/>
  <c r="Z135" i="65"/>
  <c r="Y115" i="65"/>
  <c r="W111" i="65"/>
  <c r="V60" i="65"/>
  <c r="R136" i="65"/>
  <c r="Z139" i="65"/>
  <c r="W66" i="65"/>
  <c r="P85" i="65"/>
  <c r="Q125" i="65"/>
  <c r="AC125" i="65" s="1"/>
  <c r="V133" i="65"/>
  <c r="P133" i="65"/>
  <c r="W89" i="65"/>
  <c r="Z104" i="65"/>
  <c r="X118" i="65"/>
  <c r="P137" i="65"/>
  <c r="Z141" i="65"/>
  <c r="X63" i="65"/>
  <c r="W68" i="65"/>
  <c r="Z129" i="65"/>
  <c r="X129" i="65"/>
  <c r="W108" i="65"/>
  <c r="X123" i="65"/>
  <c r="Z63" i="65"/>
  <c r="Y74" i="65"/>
  <c r="X69" i="65"/>
  <c r="V107" i="65"/>
  <c r="V108" i="65"/>
  <c r="V63" i="65"/>
  <c r="X141" i="65"/>
  <c r="W59" i="65"/>
  <c r="V141" i="65"/>
  <c r="Y129" i="65"/>
  <c r="Y131" i="65"/>
  <c r="Y127" i="65"/>
  <c r="Y61" i="65"/>
  <c r="W129" i="65"/>
  <c r="X72" i="65"/>
  <c r="W127" i="65"/>
  <c r="W123" i="65"/>
  <c r="W74" i="65"/>
  <c r="X108" i="65"/>
  <c r="V74" i="65"/>
  <c r="V127" i="65"/>
  <c r="V61" i="65"/>
  <c r="Z69" i="65"/>
  <c r="Y63" i="65"/>
  <c r="W141" i="65"/>
  <c r="V59" i="65"/>
  <c r="V131" i="65"/>
  <c r="V72" i="65"/>
  <c r="V129" i="65"/>
  <c r="W72" i="65"/>
  <c r="X127" i="65"/>
  <c r="Z74" i="65"/>
  <c r="V123" i="65"/>
  <c r="Z68" i="65"/>
  <c r="X131" i="65"/>
  <c r="X61" i="65"/>
  <c r="Z131" i="65"/>
  <c r="W63" i="65"/>
  <c r="Y141" i="65"/>
  <c r="Z123" i="65"/>
  <c r="Z72" i="65"/>
  <c r="Z127" i="65"/>
  <c r="W131" i="65"/>
  <c r="V68" i="65"/>
  <c r="Y72" i="65"/>
  <c r="Y68" i="65"/>
  <c r="Y123" i="65"/>
  <c r="W61" i="65"/>
  <c r="X74" i="65"/>
  <c r="X68" i="65"/>
  <c r="N51" i="65"/>
  <c r="W51" i="65" s="1"/>
  <c r="N43" i="42"/>
  <c r="M44" i="50"/>
  <c r="L43" i="50"/>
  <c r="O45" i="24"/>
  <c r="K42" i="37" s="1"/>
  <c r="N52" i="42"/>
  <c r="M31" i="25"/>
  <c r="J48" i="42"/>
  <c r="O62" i="24"/>
  <c r="K49" i="42"/>
  <c r="M51" i="42"/>
  <c r="M60" i="24"/>
  <c r="I47" i="42"/>
  <c r="Q64" i="24"/>
  <c r="N61" i="24"/>
  <c r="J50" i="37" s="1"/>
  <c r="K58" i="24"/>
  <c r="K28" i="25" s="1"/>
  <c r="K41" i="50"/>
  <c r="O44" i="24"/>
  <c r="K41" i="37" s="1"/>
  <c r="Q47" i="24"/>
  <c r="I41" i="65"/>
  <c r="P63" i="24"/>
  <c r="L52" i="37" s="1"/>
  <c r="L52" i="50"/>
  <c r="K51" i="50"/>
  <c r="J57" i="24"/>
  <c r="J27" i="25" s="1"/>
  <c r="J38" i="42"/>
  <c r="J39" i="42"/>
  <c r="K40" i="42"/>
  <c r="M18" i="25"/>
  <c r="P22" i="25"/>
  <c r="O21" i="25"/>
  <c r="N19" i="25"/>
  <c r="L30" i="25"/>
  <c r="Q35" i="25"/>
  <c r="N32" i="25"/>
  <c r="I49" i="50"/>
  <c r="N54" i="50"/>
  <c r="M53" i="50"/>
  <c r="L44" i="65"/>
  <c r="K43" i="65"/>
  <c r="P46" i="24"/>
  <c r="J42" i="65"/>
  <c r="J50" i="50"/>
  <c r="N59" i="24"/>
  <c r="I38" i="42"/>
  <c r="S66" i="42" s="1"/>
  <c r="K39" i="42"/>
  <c r="L41" i="42"/>
  <c r="M42" i="42"/>
  <c r="L18" i="25"/>
  <c r="Q23" i="25"/>
  <c r="N20" i="25"/>
  <c r="M19" i="25"/>
  <c r="P34" i="25"/>
  <c r="O33" i="25"/>
  <c r="I40" i="50"/>
  <c r="N45" i="50"/>
  <c r="K42" i="50"/>
  <c r="J41" i="50"/>
  <c r="I38" i="32"/>
  <c r="J38" i="32"/>
  <c r="I39" i="32"/>
  <c r="J39" i="32"/>
  <c r="I40" i="32"/>
  <c r="J40" i="32"/>
  <c r="I41" i="32"/>
  <c r="J41" i="32"/>
  <c r="I42" i="32"/>
  <c r="J42" i="32"/>
  <c r="I43" i="32"/>
  <c r="J43" i="32"/>
  <c r="I46" i="32"/>
  <c r="J46" i="32"/>
  <c r="I51" i="32"/>
  <c r="J51" i="32"/>
  <c r="E1072" i="40"/>
  <c r="CE229" i="53"/>
  <c r="CF229" i="53"/>
  <c r="CG229" i="53"/>
  <c r="CH229" i="53"/>
  <c r="CD229" i="53"/>
  <c r="CC13" i="40" s="1"/>
  <c r="AF246" i="65" l="1"/>
  <c r="AR246" i="65" s="1"/>
  <c r="AD296" i="65"/>
  <c r="AE376" i="65"/>
  <c r="AE290" i="65"/>
  <c r="AB289" i="65"/>
  <c r="AE285" i="65"/>
  <c r="AE368" i="65"/>
  <c r="AE324" i="65"/>
  <c r="AF320" i="65"/>
  <c r="AF305" i="65"/>
  <c r="AR305" i="65" s="1"/>
  <c r="AC331" i="65"/>
  <c r="AO331" i="65" s="1"/>
  <c r="AB337" i="65"/>
  <c r="AN337" i="65" s="1"/>
  <c r="AC365" i="65"/>
  <c r="AC359" i="65"/>
  <c r="AB366" i="65"/>
  <c r="AC293" i="65"/>
  <c r="AC274" i="65"/>
  <c r="AC349" i="65"/>
  <c r="AC270" i="65"/>
  <c r="AO270" i="65" s="1"/>
  <c r="AF329" i="65"/>
  <c r="AR329" i="65" s="1"/>
  <c r="AF381" i="65"/>
  <c r="AR381" i="65" s="1"/>
  <c r="AF57" i="65"/>
  <c r="AD125" i="65"/>
  <c r="AF85" i="65"/>
  <c r="AR85" i="65" s="1"/>
  <c r="AF122" i="65"/>
  <c r="AD286" i="65"/>
  <c r="AE344" i="65"/>
  <c r="AB290" i="65"/>
  <c r="AD354" i="65"/>
  <c r="AE278" i="65"/>
  <c r="AE322" i="65"/>
  <c r="AD270" i="65"/>
  <c r="AP270" i="65" s="1"/>
  <c r="AB336" i="65"/>
  <c r="AN336" i="65" s="1"/>
  <c r="AF328" i="65"/>
  <c r="AR328" i="65" s="1"/>
  <c r="AF307" i="65"/>
  <c r="AR307" i="65" s="1"/>
  <c r="AE330" i="65"/>
  <c r="AQ330" i="65" s="1"/>
  <c r="AE301" i="65"/>
  <c r="AQ301" i="65" s="1"/>
  <c r="AB328" i="65"/>
  <c r="AN328" i="65" s="1"/>
  <c r="AC271" i="65"/>
  <c r="AO271" i="65" s="1"/>
  <c r="AD272" i="65"/>
  <c r="AP272" i="65" s="1"/>
  <c r="AD328" i="65"/>
  <c r="AP328" i="65" s="1"/>
  <c r="AF332" i="65"/>
  <c r="AR332" i="65" s="1"/>
  <c r="AD195" i="65"/>
  <c r="AP195" i="65" s="1"/>
  <c r="AD294" i="65"/>
  <c r="AB333" i="65"/>
  <c r="AN333" i="65" s="1"/>
  <c r="AC328" i="65"/>
  <c r="AO328" i="65" s="1"/>
  <c r="AB221" i="65"/>
  <c r="AN221" i="65" s="1"/>
  <c r="AC232" i="65"/>
  <c r="AD360" i="65"/>
  <c r="AB321" i="65"/>
  <c r="AB280" i="65"/>
  <c r="AE340" i="65"/>
  <c r="AE277" i="65"/>
  <c r="AB383" i="65"/>
  <c r="AC325" i="65"/>
  <c r="AO325" i="65" s="1"/>
  <c r="AF334" i="65"/>
  <c r="AR334" i="65" s="1"/>
  <c r="AE331" i="65"/>
  <c r="AQ331" i="65" s="1"/>
  <c r="AC307" i="65"/>
  <c r="AO307" i="65" s="1"/>
  <c r="AF269" i="65"/>
  <c r="AR269" i="65" s="1"/>
  <c r="AC330" i="65"/>
  <c r="AO330" i="65" s="1"/>
  <c r="AE379" i="65"/>
  <c r="AQ379" i="65" s="1"/>
  <c r="AF361" i="65"/>
  <c r="AR361" i="65" s="1"/>
  <c r="AF273" i="65"/>
  <c r="AR273" i="65" s="1"/>
  <c r="AD383" i="65"/>
  <c r="AB368" i="65"/>
  <c r="AD375" i="65"/>
  <c r="AF351" i="65"/>
  <c r="AE345" i="65"/>
  <c r="AC345" i="65"/>
  <c r="AF382" i="65"/>
  <c r="AE372" i="65"/>
  <c r="AB325" i="65"/>
  <c r="AN325" i="65" s="1"/>
  <c r="AF270" i="65"/>
  <c r="AR270" i="65" s="1"/>
  <c r="AB304" i="65"/>
  <c r="AN304" i="65" s="1"/>
  <c r="AB302" i="65"/>
  <c r="AN302" i="65" s="1"/>
  <c r="AB335" i="65"/>
  <c r="AN335" i="65" s="1"/>
  <c r="AF335" i="65"/>
  <c r="AR335" i="65" s="1"/>
  <c r="AC362" i="65"/>
  <c r="AO362" i="65" s="1"/>
  <c r="AF362" i="65"/>
  <c r="AR362" i="65" s="1"/>
  <c r="AC176" i="65"/>
  <c r="AO176" i="65" s="1"/>
  <c r="AB348" i="65"/>
  <c r="AC313" i="65"/>
  <c r="AB324" i="65"/>
  <c r="AH324" i="65" s="1"/>
  <c r="AI324" i="65" s="1"/>
  <c r="AC372" i="65"/>
  <c r="AE292" i="65"/>
  <c r="AE362" i="65"/>
  <c r="AQ362" i="65" s="1"/>
  <c r="AD98" i="65"/>
  <c r="AB279" i="65"/>
  <c r="AF289" i="65"/>
  <c r="AC363" i="65"/>
  <c r="AD285" i="65"/>
  <c r="AD308" i="65"/>
  <c r="AB364" i="65"/>
  <c r="AB275" i="65"/>
  <c r="AB340" i="65"/>
  <c r="AF288" i="65"/>
  <c r="AB334" i="65"/>
  <c r="AN334" i="65" s="1"/>
  <c r="AB369" i="65"/>
  <c r="AN369" i="65" s="1"/>
  <c r="AF371" i="65"/>
  <c r="AE370" i="65"/>
  <c r="AQ370" i="65" s="1"/>
  <c r="AC342" i="65"/>
  <c r="AD280" i="65"/>
  <c r="AC356" i="65"/>
  <c r="AD324" i="65"/>
  <c r="AF321" i="65"/>
  <c r="AC361" i="65"/>
  <c r="AO361" i="65" s="1"/>
  <c r="AE307" i="65"/>
  <c r="AQ307" i="65" s="1"/>
  <c r="AC375" i="65"/>
  <c r="AE289" i="65"/>
  <c r="AB308" i="65"/>
  <c r="AF343" i="65"/>
  <c r="AE318" i="65"/>
  <c r="AB331" i="65"/>
  <c r="AN331" i="65" s="1"/>
  <c r="AE329" i="65"/>
  <c r="AQ329" i="65" s="1"/>
  <c r="AD317" i="65"/>
  <c r="AP317" i="65" s="1"/>
  <c r="AB326" i="65"/>
  <c r="AN326" i="65" s="1"/>
  <c r="AD92" i="65"/>
  <c r="AD172" i="65"/>
  <c r="AP172" i="65" s="1"/>
  <c r="AE375" i="65"/>
  <c r="AE311" i="65"/>
  <c r="AB378" i="65"/>
  <c r="AF283" i="65"/>
  <c r="AB285" i="65"/>
  <c r="AE348" i="65"/>
  <c r="AC268" i="65"/>
  <c r="AO268" i="65" s="1"/>
  <c r="AH279" i="65"/>
  <c r="AN279" i="65" s="1"/>
  <c r="AH288" i="65"/>
  <c r="AI288" i="65" s="1"/>
  <c r="AJ288" i="65" s="1"/>
  <c r="AH322" i="65"/>
  <c r="AI322" i="65" s="1"/>
  <c r="AH346" i="65"/>
  <c r="AI346" i="65" s="1"/>
  <c r="AJ346" i="65" s="1"/>
  <c r="AK346" i="65" s="1"/>
  <c r="AL346" i="65" s="1"/>
  <c r="AH289" i="65"/>
  <c r="AI289" i="65" s="1"/>
  <c r="AJ289" i="65" s="1"/>
  <c r="AK289" i="65" s="1"/>
  <c r="AL289" i="65" s="1"/>
  <c r="AR289" i="65" s="1"/>
  <c r="AH341" i="65"/>
  <c r="AI341" i="65" s="1"/>
  <c r="AJ341" i="65" s="1"/>
  <c r="AK341" i="65" s="1"/>
  <c r="AL341" i="65" s="1"/>
  <c r="AR341" i="65" s="1"/>
  <c r="AH360" i="65"/>
  <c r="AI360" i="65" s="1"/>
  <c r="AJ360" i="65" s="1"/>
  <c r="AK360" i="65" s="1"/>
  <c r="AQ360" i="65" s="1"/>
  <c r="AH347" i="65"/>
  <c r="AI347" i="65" s="1"/>
  <c r="AJ347" i="65" s="1"/>
  <c r="AK347" i="65" s="1"/>
  <c r="AL347" i="65" s="1"/>
  <c r="AR347" i="65" s="1"/>
  <c r="AH295" i="65"/>
  <c r="AI295" i="65" s="1"/>
  <c r="AJ295" i="65" s="1"/>
  <c r="AK295" i="65" s="1"/>
  <c r="AL295" i="65" s="1"/>
  <c r="AH313" i="65"/>
  <c r="AI313" i="65" s="1"/>
  <c r="AJ313" i="65" s="1"/>
  <c r="AK313" i="65" s="1"/>
  <c r="AL313" i="65" s="1"/>
  <c r="AR313" i="65" s="1"/>
  <c r="AH364" i="65"/>
  <c r="AN364" i="65"/>
  <c r="AH275" i="65"/>
  <c r="AN275" i="65"/>
  <c r="AD339" i="65"/>
  <c r="AC318" i="65"/>
  <c r="AD345" i="65"/>
  <c r="AB373" i="65"/>
  <c r="AC290" i="65"/>
  <c r="AD359" i="65"/>
  <c r="AE349" i="65"/>
  <c r="AE373" i="65"/>
  <c r="AD350" i="65"/>
  <c r="AH340" i="65"/>
  <c r="AN340" i="65" s="1"/>
  <c r="AD333" i="65"/>
  <c r="AP333" i="65" s="1"/>
  <c r="AB377" i="65"/>
  <c r="AC269" i="65"/>
  <c r="AO269" i="65" s="1"/>
  <c r="AE334" i="65"/>
  <c r="AQ334" i="65" s="1"/>
  <c r="AF267" i="65"/>
  <c r="AR267" i="65" s="1"/>
  <c r="AF299" i="65"/>
  <c r="AR299" i="65" s="1"/>
  <c r="AB307" i="65"/>
  <c r="AN307" i="65" s="1"/>
  <c r="AE371" i="65"/>
  <c r="AD348" i="65"/>
  <c r="AF292" i="65"/>
  <c r="AD335" i="65"/>
  <c r="AP335" i="65" s="1"/>
  <c r="AC304" i="65"/>
  <c r="AO304" i="65" s="1"/>
  <c r="AC381" i="65"/>
  <c r="AO381" i="65" s="1"/>
  <c r="AC306" i="65"/>
  <c r="AO306" i="65" s="1"/>
  <c r="AB362" i="65"/>
  <c r="AN362" i="65" s="1"/>
  <c r="AE364" i="65"/>
  <c r="AD274" i="65"/>
  <c r="AB380" i="65"/>
  <c r="AN380" i="65" s="1"/>
  <c r="AE300" i="65"/>
  <c r="AQ300" i="65" s="1"/>
  <c r="AH318" i="65"/>
  <c r="AI318" i="65" s="1"/>
  <c r="AR280" i="65"/>
  <c r="AH363" i="65"/>
  <c r="AI363" i="65" s="1"/>
  <c r="AJ363" i="65" s="1"/>
  <c r="AK363" i="65" s="1"/>
  <c r="AL363" i="65" s="1"/>
  <c r="AH375" i="65"/>
  <c r="AN375" i="65"/>
  <c r="AP280" i="65"/>
  <c r="AH296" i="65"/>
  <c r="AI296" i="65" s="1"/>
  <c r="AJ296" i="65" s="1"/>
  <c r="AK296" i="65" s="1"/>
  <c r="AH366" i="65"/>
  <c r="AI366" i="65" s="1"/>
  <c r="AH321" i="65"/>
  <c r="AH280" i="65"/>
  <c r="AI280" i="65" s="1"/>
  <c r="AJ280" i="65" s="1"/>
  <c r="AK280" i="65" s="1"/>
  <c r="AL280" i="65" s="1"/>
  <c r="AN280" i="65"/>
  <c r="AP368" i="65"/>
  <c r="AP349" i="65"/>
  <c r="AH320" i="65"/>
  <c r="AN320" i="65"/>
  <c r="AH383" i="65"/>
  <c r="AI383" i="65" s="1"/>
  <c r="AJ383" i="65" s="1"/>
  <c r="AK383" i="65" s="1"/>
  <c r="AL383" i="65" s="1"/>
  <c r="AN383" i="65"/>
  <c r="AR346" i="65"/>
  <c r="AO295" i="65"/>
  <c r="AP346" i="65"/>
  <c r="AQ313" i="65"/>
  <c r="AH294" i="65"/>
  <c r="AI294" i="65" s="1"/>
  <c r="AJ294" i="65" s="1"/>
  <c r="AK294" i="65" s="1"/>
  <c r="AL294" i="65" s="1"/>
  <c r="AR294" i="65" s="1"/>
  <c r="AN294" i="65"/>
  <c r="AH358" i="65"/>
  <c r="AI358" i="65" s="1"/>
  <c r="AJ358" i="65" s="1"/>
  <c r="AK358" i="65" s="1"/>
  <c r="AL358" i="65" s="1"/>
  <c r="AR358" i="65" s="1"/>
  <c r="AC321" i="65"/>
  <c r="AD282" i="65"/>
  <c r="AC355" i="65"/>
  <c r="AE288" i="65"/>
  <c r="AD318" i="65"/>
  <c r="AD311" i="65"/>
  <c r="AF310" i="65"/>
  <c r="AC302" i="65"/>
  <c r="AO302" i="65" s="1"/>
  <c r="AE267" i="65"/>
  <c r="AQ267" i="65" s="1"/>
  <c r="AE325" i="65"/>
  <c r="AQ325" i="65" s="1"/>
  <c r="AD271" i="65"/>
  <c r="AP271" i="65" s="1"/>
  <c r="AD371" i="65"/>
  <c r="AB317" i="65"/>
  <c r="AN317" i="65" s="1"/>
  <c r="AF271" i="65"/>
  <c r="AR271" i="65" s="1"/>
  <c r="AB272" i="65"/>
  <c r="AN272" i="65" s="1"/>
  <c r="AB303" i="65"/>
  <c r="AN303" i="65" s="1"/>
  <c r="AE333" i="65"/>
  <c r="AQ333" i="65" s="1"/>
  <c r="AE269" i="65"/>
  <c r="AQ269" i="65" s="1"/>
  <c r="AF281" i="65"/>
  <c r="AD353" i="65"/>
  <c r="AD358" i="65"/>
  <c r="AC364" i="65"/>
  <c r="AF316" i="65"/>
  <c r="AE304" i="65"/>
  <c r="AQ304" i="65" s="1"/>
  <c r="AF304" i="65"/>
  <c r="AR304" i="65" s="1"/>
  <c r="AD369" i="65"/>
  <c r="AP369" i="65" s="1"/>
  <c r="AB381" i="65"/>
  <c r="AN381" i="65" s="1"/>
  <c r="AC329" i="65"/>
  <c r="AO329" i="65" s="1"/>
  <c r="AE358" i="65"/>
  <c r="AD332" i="65"/>
  <c r="AP332" i="65" s="1"/>
  <c r="AF298" i="65"/>
  <c r="AR298" i="65" s="1"/>
  <c r="AD306" i="65"/>
  <c r="AP306" i="65" s="1"/>
  <c r="AF370" i="65"/>
  <c r="AR370" i="65" s="1"/>
  <c r="AC380" i="65"/>
  <c r="AO380" i="65" s="1"/>
  <c r="AC300" i="65"/>
  <c r="AO300" i="65" s="1"/>
  <c r="AF364" i="65"/>
  <c r="AP383" i="65"/>
  <c r="AH297" i="65"/>
  <c r="AI297" i="65" s="1"/>
  <c r="AJ297" i="65" s="1"/>
  <c r="AK297" i="65" s="1"/>
  <c r="AL297" i="65" s="1"/>
  <c r="AR297" i="65" s="1"/>
  <c r="AH314" i="65"/>
  <c r="AI314" i="65" s="1"/>
  <c r="AJ314" i="65" s="1"/>
  <c r="AH365" i="65"/>
  <c r="AI365" i="65" s="1"/>
  <c r="AJ365" i="65" s="1"/>
  <c r="AK365" i="65" s="1"/>
  <c r="AQ365" i="65" s="1"/>
  <c r="AH286" i="65"/>
  <c r="AI286" i="65" s="1"/>
  <c r="AJ286" i="65" s="1"/>
  <c r="AK286" i="65" s="1"/>
  <c r="AH368" i="65"/>
  <c r="AI368" i="65" s="1"/>
  <c r="AJ368" i="65" s="1"/>
  <c r="AK368" i="65" s="1"/>
  <c r="AL368" i="65" s="1"/>
  <c r="AR368" i="65" s="1"/>
  <c r="AO296" i="65"/>
  <c r="AH367" i="65"/>
  <c r="AI367" i="65" s="1"/>
  <c r="AJ367" i="65" s="1"/>
  <c r="AH290" i="65"/>
  <c r="AI290" i="65" s="1"/>
  <c r="AJ290" i="65" s="1"/>
  <c r="AK290" i="65" s="1"/>
  <c r="AL290" i="65" s="1"/>
  <c r="AP288" i="65"/>
  <c r="AH276" i="65"/>
  <c r="AI276" i="65" s="1"/>
  <c r="AH308" i="65"/>
  <c r="AI308" i="65" s="1"/>
  <c r="AJ308" i="65" s="1"/>
  <c r="AK308" i="65" s="1"/>
  <c r="AL308" i="65" s="1"/>
  <c r="AR308" i="65" s="1"/>
  <c r="AH374" i="65"/>
  <c r="AI374" i="65" s="1"/>
  <c r="AN374" i="65"/>
  <c r="AH339" i="65"/>
  <c r="AI339" i="65" s="1"/>
  <c r="AJ339" i="65" s="1"/>
  <c r="AH349" i="65"/>
  <c r="AI349" i="65" s="1"/>
  <c r="AJ349" i="65" s="1"/>
  <c r="AK349" i="65" s="1"/>
  <c r="AL349" i="65" s="1"/>
  <c r="AR349" i="65" s="1"/>
  <c r="AH323" i="65"/>
  <c r="AH342" i="65"/>
  <c r="AI342" i="65" s="1"/>
  <c r="AJ342" i="65" s="1"/>
  <c r="AQ378" i="65"/>
  <c r="AO322" i="65"/>
  <c r="AO280" i="65"/>
  <c r="AH282" i="65"/>
  <c r="AI282" i="65" s="1"/>
  <c r="AJ282" i="65" s="1"/>
  <c r="AK282" i="65" s="1"/>
  <c r="AL282" i="65" s="1"/>
  <c r="AR282" i="65" s="1"/>
  <c r="AH277" i="65"/>
  <c r="AI277" i="65" s="1"/>
  <c r="AJ277" i="65" s="1"/>
  <c r="AK277" i="65" s="1"/>
  <c r="AQ277" i="65" s="1"/>
  <c r="AO346" i="65"/>
  <c r="AO288" i="65"/>
  <c r="AP295" i="65"/>
  <c r="AH350" i="65"/>
  <c r="AI350" i="65" s="1"/>
  <c r="AN350" i="65"/>
  <c r="AO294" i="65"/>
  <c r="AH338" i="65"/>
  <c r="AI338" i="65" s="1"/>
  <c r="AJ338" i="65" s="1"/>
  <c r="AK338" i="65" s="1"/>
  <c r="AL338" i="65" s="1"/>
  <c r="AR338" i="65" s="1"/>
  <c r="AF286" i="65"/>
  <c r="AF340" i="65"/>
  <c r="AC376" i="65"/>
  <c r="AC340" i="65"/>
  <c r="AB357" i="65"/>
  <c r="AD355" i="65"/>
  <c r="AD351" i="65"/>
  <c r="AC323" i="65"/>
  <c r="AC320" i="65"/>
  <c r="AB311" i="65"/>
  <c r="AD331" i="65"/>
  <c r="AP331" i="65" s="1"/>
  <c r="AC303" i="65"/>
  <c r="AO303" i="65" s="1"/>
  <c r="AF336" i="65"/>
  <c r="AR336" i="65" s="1"/>
  <c r="AD327" i="65"/>
  <c r="AP327" i="65" s="1"/>
  <c r="AB379" i="65"/>
  <c r="AN379" i="65" s="1"/>
  <c r="AE305" i="65"/>
  <c r="AQ305" i="65" s="1"/>
  <c r="AC275" i="65"/>
  <c r="AB382" i="65"/>
  <c r="AD330" i="65"/>
  <c r="AP330" i="65" s="1"/>
  <c r="AD361" i="65"/>
  <c r="AP361" i="65" s="1"/>
  <c r="AB292" i="65"/>
  <c r="AC284" i="65"/>
  <c r="AF275" i="65"/>
  <c r="AB298" i="65"/>
  <c r="AN298" i="65" s="1"/>
  <c r="AE275" i="65"/>
  <c r="AE332" i="65"/>
  <c r="AQ332" i="65" s="1"/>
  <c r="AE380" i="65"/>
  <c r="AQ380" i="65" s="1"/>
  <c r="AC332" i="65"/>
  <c r="AO332" i="65" s="1"/>
  <c r="AD268" i="65"/>
  <c r="AP268" i="65" s="1"/>
  <c r="AF300" i="65"/>
  <c r="AR300" i="65" s="1"/>
  <c r="AC370" i="65"/>
  <c r="AO370" i="65" s="1"/>
  <c r="AE306" i="65"/>
  <c r="AQ306" i="65" s="1"/>
  <c r="AB268" i="65"/>
  <c r="AN268" i="65" s="1"/>
  <c r="AF274" i="65"/>
  <c r="AH312" i="65"/>
  <c r="AI312" i="65" s="1"/>
  <c r="AJ312" i="65" s="1"/>
  <c r="AK312" i="65" s="1"/>
  <c r="AL312" i="65" s="1"/>
  <c r="AR312" i="65" s="1"/>
  <c r="AN312" i="65"/>
  <c r="AC310" i="65"/>
  <c r="AH355" i="65"/>
  <c r="AI355" i="65" s="1"/>
  <c r="AJ355" i="65" s="1"/>
  <c r="AK355" i="65" s="1"/>
  <c r="AL355" i="65" s="1"/>
  <c r="AR355" i="65" s="1"/>
  <c r="AO367" i="65"/>
  <c r="AB344" i="65"/>
  <c r="AH309" i="65"/>
  <c r="AR383" i="65"/>
  <c r="AE321" i="65"/>
  <c r="AH378" i="65"/>
  <c r="AI378" i="65" s="1"/>
  <c r="AJ378" i="65" s="1"/>
  <c r="AK378" i="65" s="1"/>
  <c r="AL378" i="65" s="1"/>
  <c r="AR378" i="65" s="1"/>
  <c r="AF314" i="65"/>
  <c r="AB315" i="65"/>
  <c r="AC279" i="65"/>
  <c r="AH283" i="65"/>
  <c r="AI283" i="65" s="1"/>
  <c r="AJ283" i="65" s="1"/>
  <c r="AK283" i="65" s="1"/>
  <c r="AL283" i="65" s="1"/>
  <c r="AR283" i="65" s="1"/>
  <c r="AN283" i="65"/>
  <c r="AF315" i="65"/>
  <c r="AH359" i="65"/>
  <c r="AI359" i="65" s="1"/>
  <c r="AB371" i="65"/>
  <c r="AH293" i="65"/>
  <c r="AI293" i="65" s="1"/>
  <c r="AJ293" i="65" s="1"/>
  <c r="AK293" i="65" s="1"/>
  <c r="AL293" i="65" s="1"/>
  <c r="AR293" i="65" s="1"/>
  <c r="AE374" i="65"/>
  <c r="AC278" i="65"/>
  <c r="AQ280" i="65"/>
  <c r="AF290" i="65"/>
  <c r="AF296" i="65"/>
  <c r="AF365" i="65"/>
  <c r="AB319" i="65"/>
  <c r="AD278" i="65"/>
  <c r="AE367" i="65"/>
  <c r="AR295" i="65"/>
  <c r="AE314" i="65"/>
  <c r="AE323" i="65"/>
  <c r="AH351" i="65"/>
  <c r="AB273" i="65"/>
  <c r="AN273" i="65" s="1"/>
  <c r="AB345" i="65"/>
  <c r="AB354" i="65"/>
  <c r="AE357" i="65"/>
  <c r="AC351" i="65"/>
  <c r="AD366" i="65"/>
  <c r="AH310" i="65"/>
  <c r="AO366" i="65"/>
  <c r="AD322" i="65"/>
  <c r="AF360" i="65"/>
  <c r="AQ346" i="65"/>
  <c r="AH291" i="65"/>
  <c r="AI291" i="65" s="1"/>
  <c r="AJ291" i="65" s="1"/>
  <c r="AK291" i="65" s="1"/>
  <c r="AL291" i="65" s="1"/>
  <c r="AR291" i="65" s="1"/>
  <c r="AE339" i="65"/>
  <c r="AH343" i="65"/>
  <c r="AI343" i="65" s="1"/>
  <c r="AJ343" i="65" s="1"/>
  <c r="AK343" i="65" s="1"/>
  <c r="AL343" i="65" s="1"/>
  <c r="AR343" i="65" s="1"/>
  <c r="AN343" i="65"/>
  <c r="AC309" i="65"/>
  <c r="AH285" i="65"/>
  <c r="AI285" i="65" s="1"/>
  <c r="AJ285" i="65" s="1"/>
  <c r="AK285" i="65" s="1"/>
  <c r="AL285" i="65" s="1"/>
  <c r="AR285" i="65" s="1"/>
  <c r="AH287" i="65"/>
  <c r="AI287" i="65" s="1"/>
  <c r="AJ287" i="65" s="1"/>
  <c r="AK287" i="65" s="1"/>
  <c r="AL287" i="65" s="1"/>
  <c r="AR287" i="65" s="1"/>
  <c r="AH353" i="65"/>
  <c r="AI353" i="65" s="1"/>
  <c r="AJ353" i="65" s="1"/>
  <c r="AK353" i="65" s="1"/>
  <c r="AL353" i="65" s="1"/>
  <c r="AR353" i="65" s="1"/>
  <c r="AN353" i="65"/>
  <c r="AH348" i="65"/>
  <c r="AI348" i="65" s="1"/>
  <c r="AO313" i="65"/>
  <c r="AH372" i="65"/>
  <c r="AN372" i="65"/>
  <c r="AH274" i="65"/>
  <c r="AI274" i="65" s="1"/>
  <c r="AJ274" i="65" s="1"/>
  <c r="AN274" i="65"/>
  <c r="AO353" i="65"/>
  <c r="AH284" i="65"/>
  <c r="AN284" i="65" s="1"/>
  <c r="AD373" i="65"/>
  <c r="AF318" i="65"/>
  <c r="AD374" i="65"/>
  <c r="AF350" i="65"/>
  <c r="AE286" i="65"/>
  <c r="AE279" i="65"/>
  <c r="AB278" i="65"/>
  <c r="AE310" i="65"/>
  <c r="AD276" i="65"/>
  <c r="AB376" i="65"/>
  <c r="AB352" i="65"/>
  <c r="AC299" i="65"/>
  <c r="AO299" i="65" s="1"/>
  <c r="AD334" i="65"/>
  <c r="AP334" i="65" s="1"/>
  <c r="AB299" i="65"/>
  <c r="AN299" i="65" s="1"/>
  <c r="AE336" i="65"/>
  <c r="AQ336" i="65" s="1"/>
  <c r="AC267" i="65"/>
  <c r="AO267" i="65" s="1"/>
  <c r="AC336" i="65"/>
  <c r="AO336" i="65" s="1"/>
  <c r="AF327" i="65"/>
  <c r="AR327" i="65" s="1"/>
  <c r="AE303" i="65"/>
  <c r="AQ303" i="65" s="1"/>
  <c r="AC272" i="65"/>
  <c r="AO272" i="65" s="1"/>
  <c r="AD299" i="65"/>
  <c r="AP299" i="65" s="1"/>
  <c r="AF363" i="65"/>
  <c r="AR363" i="65" s="1"/>
  <c r="AD301" i="65"/>
  <c r="AP301" i="65" s="1"/>
  <c r="AD379" i="65"/>
  <c r="AP379" i="65" s="1"/>
  <c r="AE363" i="65"/>
  <c r="AQ363" i="65" s="1"/>
  <c r="AD269" i="65"/>
  <c r="AP269" i="65" s="1"/>
  <c r="AC369" i="65"/>
  <c r="AO369" i="65" s="1"/>
  <c r="AD329" i="65"/>
  <c r="AP329" i="65" s="1"/>
  <c r="AC379" i="65"/>
  <c r="AO379" i="65" s="1"/>
  <c r="AE302" i="65"/>
  <c r="AQ302" i="65" s="1"/>
  <c r="AD325" i="65"/>
  <c r="AP325" i="65" s="1"/>
  <c r="AD336" i="65"/>
  <c r="AP336" i="65" s="1"/>
  <c r="AF302" i="65"/>
  <c r="AR302" i="65" s="1"/>
  <c r="AB269" i="65"/>
  <c r="AN269" i="65" s="1"/>
  <c r="AB356" i="65"/>
  <c r="AD337" i="65"/>
  <c r="AP337" i="65" s="1"/>
  <c r="AB316" i="65"/>
  <c r="AF330" i="65"/>
  <c r="AR330" i="65" s="1"/>
  <c r="AE381" i="65"/>
  <c r="AQ381" i="65" s="1"/>
  <c r="AC337" i="65"/>
  <c r="AO337" i="65" s="1"/>
  <c r="AC305" i="65"/>
  <c r="AO305" i="65" s="1"/>
  <c r="AB281" i="65"/>
  <c r="AB361" i="65"/>
  <c r="AN361" i="65" s="1"/>
  <c r="AD380" i="65"/>
  <c r="AP380" i="65" s="1"/>
  <c r="AE274" i="65"/>
  <c r="AB332" i="65"/>
  <c r="AN332" i="65" s="1"/>
  <c r="AD370" i="65"/>
  <c r="AP370" i="65" s="1"/>
  <c r="AF372" i="65"/>
  <c r="AF326" i="65"/>
  <c r="AR326" i="65" s="1"/>
  <c r="AC298" i="65"/>
  <c r="AO298" i="65" s="1"/>
  <c r="AD298" i="65"/>
  <c r="AP298" i="65" s="1"/>
  <c r="AE214" i="65"/>
  <c r="AF156" i="65"/>
  <c r="AB188" i="65"/>
  <c r="AH188" i="65" s="1"/>
  <c r="AB189" i="65"/>
  <c r="AH189" i="65" s="1"/>
  <c r="AE210" i="65"/>
  <c r="AB187" i="65"/>
  <c r="AH187" i="65" s="1"/>
  <c r="AN187" i="65" s="1"/>
  <c r="AC260" i="65"/>
  <c r="AO260" i="65" s="1"/>
  <c r="AB176" i="65"/>
  <c r="AN176" i="65" s="1"/>
  <c r="AE264" i="65"/>
  <c r="AQ264" i="65" s="1"/>
  <c r="AF148" i="65"/>
  <c r="AR148" i="65" s="1"/>
  <c r="AB225" i="65"/>
  <c r="AN225" i="65" s="1"/>
  <c r="AE235" i="65"/>
  <c r="AB179" i="65"/>
  <c r="AN179" i="65" s="1"/>
  <c r="AF149" i="65"/>
  <c r="AR149" i="65" s="1"/>
  <c r="AB143" i="65"/>
  <c r="AN143" i="65" s="1"/>
  <c r="AF151" i="65"/>
  <c r="AR151" i="65" s="1"/>
  <c r="AD159" i="65"/>
  <c r="AB150" i="65"/>
  <c r="AH150" i="65" s="1"/>
  <c r="AN150" i="65" s="1"/>
  <c r="AC205" i="65"/>
  <c r="AO205" i="65" s="1"/>
  <c r="AC261" i="65"/>
  <c r="AO261" i="65" s="1"/>
  <c r="AF197" i="65"/>
  <c r="AR197" i="65" s="1"/>
  <c r="AF187" i="65"/>
  <c r="AR187" i="65" s="1"/>
  <c r="AC169" i="65"/>
  <c r="AB183" i="65"/>
  <c r="AN183" i="65" s="1"/>
  <c r="AE223" i="65"/>
  <c r="AQ223" i="65" s="1"/>
  <c r="AF176" i="65"/>
  <c r="AR176" i="65" s="1"/>
  <c r="AC244" i="65"/>
  <c r="AO244" i="65" s="1"/>
  <c r="AC207" i="65"/>
  <c r="AO207" i="65" s="1"/>
  <c r="AF203" i="65"/>
  <c r="AR203" i="65" s="1"/>
  <c r="AD187" i="65"/>
  <c r="AP187" i="65" s="1"/>
  <c r="AB147" i="65"/>
  <c r="AN147" i="65" s="1"/>
  <c r="AD261" i="65"/>
  <c r="AP261" i="65" s="1"/>
  <c r="AE177" i="65"/>
  <c r="AQ177" i="65" s="1"/>
  <c r="AC195" i="65"/>
  <c r="AO195" i="65" s="1"/>
  <c r="AC201" i="65"/>
  <c r="AO201" i="65" s="1"/>
  <c r="AE202" i="65"/>
  <c r="AQ202" i="65" s="1"/>
  <c r="AD118" i="65"/>
  <c r="AB111" i="65"/>
  <c r="AH111" i="65" s="1"/>
  <c r="AN111" i="65" s="1"/>
  <c r="AB197" i="65"/>
  <c r="AN197" i="65" s="1"/>
  <c r="AE222" i="65"/>
  <c r="AQ222" i="65" s="1"/>
  <c r="AD178" i="65"/>
  <c r="AP178" i="65" s="1"/>
  <c r="AB259" i="65"/>
  <c r="AN259" i="65" s="1"/>
  <c r="AF200" i="65"/>
  <c r="AR200" i="65" s="1"/>
  <c r="AE151" i="65"/>
  <c r="AQ151" i="65" s="1"/>
  <c r="AE148" i="65"/>
  <c r="AQ148" i="65" s="1"/>
  <c r="AD223" i="65"/>
  <c r="AP223" i="65" s="1"/>
  <c r="AB171" i="65"/>
  <c r="AN171" i="65" s="1"/>
  <c r="AF184" i="65"/>
  <c r="AR184" i="65" s="1"/>
  <c r="AC209" i="65"/>
  <c r="AE215" i="65"/>
  <c r="AE245" i="65"/>
  <c r="AQ245" i="65" s="1"/>
  <c r="AB173" i="65"/>
  <c r="AN173" i="65" s="1"/>
  <c r="AF226" i="65"/>
  <c r="AR226" i="65" s="1"/>
  <c r="AF150" i="65"/>
  <c r="AR150" i="65" s="1"/>
  <c r="AC171" i="65"/>
  <c r="AO171" i="65" s="1"/>
  <c r="AC145" i="65"/>
  <c r="AO145" i="65" s="1"/>
  <c r="AF262" i="65"/>
  <c r="AR262" i="65" s="1"/>
  <c r="AB265" i="65"/>
  <c r="AN265" i="65" s="1"/>
  <c r="AE233" i="65"/>
  <c r="AE199" i="65"/>
  <c r="AQ199" i="65" s="1"/>
  <c r="AF172" i="65"/>
  <c r="AR172" i="65" s="1"/>
  <c r="AB261" i="65"/>
  <c r="AN261" i="65" s="1"/>
  <c r="AC165" i="65"/>
  <c r="AE181" i="65"/>
  <c r="AQ181" i="65" s="1"/>
  <c r="AF263" i="65"/>
  <c r="AR263" i="65" s="1"/>
  <c r="AC186" i="65"/>
  <c r="AO186" i="65" s="1"/>
  <c r="AC170" i="65"/>
  <c r="AO170" i="65" s="1"/>
  <c r="AF265" i="65"/>
  <c r="AR265" i="65" s="1"/>
  <c r="AC197" i="65"/>
  <c r="AO197" i="65" s="1"/>
  <c r="AB180" i="65"/>
  <c r="AN180" i="65" s="1"/>
  <c r="AC200" i="65"/>
  <c r="AO200" i="65" s="1"/>
  <c r="AF207" i="65"/>
  <c r="AR207" i="65" s="1"/>
  <c r="AF195" i="65"/>
  <c r="AR195" i="65" s="1"/>
  <c r="AE146" i="65"/>
  <c r="AQ146" i="65" s="1"/>
  <c r="AD200" i="65"/>
  <c r="AP200" i="65" s="1"/>
  <c r="AF171" i="65"/>
  <c r="AR171" i="65" s="1"/>
  <c r="AE147" i="65"/>
  <c r="AQ147" i="65" s="1"/>
  <c r="AE176" i="65"/>
  <c r="AQ176" i="65" s="1"/>
  <c r="AE159" i="65"/>
  <c r="AC174" i="65"/>
  <c r="AO174" i="65" s="1"/>
  <c r="AB263" i="65"/>
  <c r="AN263" i="65" s="1"/>
  <c r="AF186" i="65"/>
  <c r="AR186" i="65" s="1"/>
  <c r="AC146" i="65"/>
  <c r="AO146" i="65" s="1"/>
  <c r="AB205" i="65"/>
  <c r="AN205" i="65" s="1"/>
  <c r="AD179" i="65"/>
  <c r="AP179" i="65" s="1"/>
  <c r="AC233" i="65"/>
  <c r="AC264" i="65"/>
  <c r="AO264" i="65" s="1"/>
  <c r="AD201" i="65"/>
  <c r="AP201" i="65" s="1"/>
  <c r="AE175" i="65"/>
  <c r="AQ175" i="65" s="1"/>
  <c r="AE204" i="65"/>
  <c r="AQ204" i="65" s="1"/>
  <c r="AD181" i="65"/>
  <c r="AP181" i="65" s="1"/>
  <c r="AB201" i="65"/>
  <c r="AN201" i="65" s="1"/>
  <c r="AE173" i="65"/>
  <c r="AQ173" i="65" s="1"/>
  <c r="AE262" i="65"/>
  <c r="AQ262" i="65" s="1"/>
  <c r="AD263" i="65"/>
  <c r="AP263" i="65" s="1"/>
  <c r="AC150" i="65"/>
  <c r="AO150" i="65" s="1"/>
  <c r="AE225" i="65"/>
  <c r="AQ225" i="65" s="1"/>
  <c r="AE205" i="65"/>
  <c r="AQ205" i="65" s="1"/>
  <c r="AB223" i="65"/>
  <c r="AN223" i="65" s="1"/>
  <c r="AE187" i="65"/>
  <c r="AQ187" i="65" s="1"/>
  <c r="AE263" i="65"/>
  <c r="AQ263" i="65" s="1"/>
  <c r="AE224" i="65"/>
  <c r="AQ224" i="65" s="1"/>
  <c r="AC223" i="65"/>
  <c r="AO223" i="65" s="1"/>
  <c r="AB260" i="65"/>
  <c r="AN260" i="65" s="1"/>
  <c r="AD175" i="65"/>
  <c r="AP175" i="65" s="1"/>
  <c r="AB244" i="65"/>
  <c r="AN244" i="65" s="1"/>
  <c r="AE207" i="65"/>
  <c r="AQ207" i="65" s="1"/>
  <c r="AE143" i="65"/>
  <c r="AQ143" i="65" s="1"/>
  <c r="AD264" i="65"/>
  <c r="AP264" i="65" s="1"/>
  <c r="B482" i="40"/>
  <c r="B200" i="65"/>
  <c r="AD174" i="65"/>
  <c r="AP174" i="65" s="1"/>
  <c r="AE198" i="65"/>
  <c r="AQ198" i="65" s="1"/>
  <c r="AB145" i="65"/>
  <c r="AN145" i="65" s="1"/>
  <c r="AF178" i="65"/>
  <c r="AR178" i="65" s="1"/>
  <c r="AF152" i="65"/>
  <c r="AR152" i="65" s="1"/>
  <c r="AC265" i="65"/>
  <c r="AO265" i="65" s="1"/>
  <c r="AD185" i="65"/>
  <c r="AP185" i="65" s="1"/>
  <c r="AC177" i="65"/>
  <c r="AO177" i="65" s="1"/>
  <c r="AF223" i="65"/>
  <c r="AR223" i="65" s="1"/>
  <c r="AE185" i="65"/>
  <c r="AQ185" i="65" s="1"/>
  <c r="AB199" i="65"/>
  <c r="AN199" i="65" s="1"/>
  <c r="AF143" i="65"/>
  <c r="AR143" i="65" s="1"/>
  <c r="AD160" i="65"/>
  <c r="AF189" i="65"/>
  <c r="AD169" i="65"/>
  <c r="AD256" i="65"/>
  <c r="AF251" i="65"/>
  <c r="AE212" i="65"/>
  <c r="AC164" i="65"/>
  <c r="AD233" i="65"/>
  <c r="AE266" i="65"/>
  <c r="AC255" i="65"/>
  <c r="AC226" i="65"/>
  <c r="AB219" i="65"/>
  <c r="AH219" i="65" s="1"/>
  <c r="AB215" i="65"/>
  <c r="AB168" i="65"/>
  <c r="AH168" i="65" s="1"/>
  <c r="AN168" i="65" s="1"/>
  <c r="AC217" i="65"/>
  <c r="AB209" i="65"/>
  <c r="AB212" i="65"/>
  <c r="AH212" i="65" s="1"/>
  <c r="AD161" i="65"/>
  <c r="AE190" i="65"/>
  <c r="AC258" i="65"/>
  <c r="AE236" i="65"/>
  <c r="AB251" i="65"/>
  <c r="AC238" i="65"/>
  <c r="AE168" i="65"/>
  <c r="AB163" i="65"/>
  <c r="AH163" i="65" s="1"/>
  <c r="AN163" i="65" s="1"/>
  <c r="AE255" i="65"/>
  <c r="AB161" i="65"/>
  <c r="AH161" i="65" s="1"/>
  <c r="AN161" i="65" s="1"/>
  <c r="AC228" i="65"/>
  <c r="AE248" i="65"/>
  <c r="AD237" i="65"/>
  <c r="AE239" i="65"/>
  <c r="AE238" i="65"/>
  <c r="AD230" i="65"/>
  <c r="AC166" i="65"/>
  <c r="AD253" i="65"/>
  <c r="AC213" i="65"/>
  <c r="AD152" i="65"/>
  <c r="AD156" i="65"/>
  <c r="AB250" i="65"/>
  <c r="AH250" i="65" s="1"/>
  <c r="AN250" i="65" s="1"/>
  <c r="AF234" i="65"/>
  <c r="AB166" i="65"/>
  <c r="AH166" i="65" s="1"/>
  <c r="AF217" i="65"/>
  <c r="AE156" i="65"/>
  <c r="AF194" i="65"/>
  <c r="AC242" i="65"/>
  <c r="AC234" i="65"/>
  <c r="AE162" i="65"/>
  <c r="AB257" i="65"/>
  <c r="AH257" i="65" s="1"/>
  <c r="AB167" i="65"/>
  <c r="AH167" i="65" s="1"/>
  <c r="AN167" i="65" s="1"/>
  <c r="AF160" i="65"/>
  <c r="AB249" i="65"/>
  <c r="AH249" i="65" s="1"/>
  <c r="AC240" i="65"/>
  <c r="AE160" i="65"/>
  <c r="AF253" i="65"/>
  <c r="AD157" i="65"/>
  <c r="AB236" i="65"/>
  <c r="AH236" i="65" s="1"/>
  <c r="AD227" i="65"/>
  <c r="AF232" i="65"/>
  <c r="AC249" i="65"/>
  <c r="AC157" i="65"/>
  <c r="AF208" i="65"/>
  <c r="AF227" i="65"/>
  <c r="AR227" i="65" s="1"/>
  <c r="AE164" i="65"/>
  <c r="AD146" i="65"/>
  <c r="AP146" i="65" s="1"/>
  <c r="AD150" i="65"/>
  <c r="AP150" i="65" s="1"/>
  <c r="AB198" i="65"/>
  <c r="AN198" i="65" s="1"/>
  <c r="AC203" i="65"/>
  <c r="AO203" i="65" s="1"/>
  <c r="AF145" i="65"/>
  <c r="AR145" i="65" s="1"/>
  <c r="AH190" i="65"/>
  <c r="AN190" i="65" s="1"/>
  <c r="AB206" i="65"/>
  <c r="AN206" i="65" s="1"/>
  <c r="AD144" i="65"/>
  <c r="AP144" i="65" s="1"/>
  <c r="AC149" i="65"/>
  <c r="AO149" i="65" s="1"/>
  <c r="AH215" i="65"/>
  <c r="AH251" i="65"/>
  <c r="AN251" i="65" s="1"/>
  <c r="AC215" i="65"/>
  <c r="AE226" i="65"/>
  <c r="AQ226" i="65" s="1"/>
  <c r="AF258" i="65"/>
  <c r="AE230" i="65"/>
  <c r="AH235" i="65"/>
  <c r="AN235" i="65" s="1"/>
  <c r="AE201" i="65"/>
  <c r="AQ201" i="65" s="1"/>
  <c r="AE244" i="65"/>
  <c r="AQ244" i="65" s="1"/>
  <c r="AF181" i="65"/>
  <c r="AR181" i="65" s="1"/>
  <c r="AD182" i="65"/>
  <c r="AP182" i="65" s="1"/>
  <c r="AC225" i="65"/>
  <c r="AO225" i="65" s="1"/>
  <c r="AB196" i="65"/>
  <c r="AN196" i="65" s="1"/>
  <c r="AD198" i="65"/>
  <c r="AP198" i="65" s="1"/>
  <c r="AD222" i="65"/>
  <c r="AP222" i="65" s="1"/>
  <c r="AC222" i="65"/>
  <c r="AO222" i="65" s="1"/>
  <c r="AE174" i="65"/>
  <c r="AQ174" i="65" s="1"/>
  <c r="AC202" i="65"/>
  <c r="AO202" i="65" s="1"/>
  <c r="AE178" i="65"/>
  <c r="AQ178" i="65" s="1"/>
  <c r="AF221" i="65"/>
  <c r="AR221" i="65" s="1"/>
  <c r="AE200" i="65"/>
  <c r="AQ200" i="65" s="1"/>
  <c r="AF183" i="65"/>
  <c r="AR183" i="65" s="1"/>
  <c r="AD171" i="65"/>
  <c r="AP171" i="65" s="1"/>
  <c r="AB224" i="65"/>
  <c r="AN224" i="65" s="1"/>
  <c r="AB195" i="65"/>
  <c r="AN195" i="65" s="1"/>
  <c r="AB264" i="65"/>
  <c r="AN264" i="65" s="1"/>
  <c r="AB203" i="65"/>
  <c r="AN203" i="65" s="1"/>
  <c r="AD147" i="65"/>
  <c r="AP147" i="65" s="1"/>
  <c r="AF261" i="65"/>
  <c r="AR261" i="65" s="1"/>
  <c r="AD225" i="65"/>
  <c r="AP225" i="65" s="1"/>
  <c r="AC221" i="65"/>
  <c r="AO221" i="65" s="1"/>
  <c r="AD197" i="65"/>
  <c r="AP197" i="65" s="1"/>
  <c r="AC185" i="65"/>
  <c r="AO185" i="65" s="1"/>
  <c r="AB200" i="65"/>
  <c r="AN200" i="65" s="1"/>
  <c r="AE180" i="65"/>
  <c r="AQ180" i="65" s="1"/>
  <c r="AC199" i="65"/>
  <c r="AO199" i="65" s="1"/>
  <c r="AF179" i="65"/>
  <c r="AR179" i="65" s="1"/>
  <c r="AB144" i="65"/>
  <c r="AN144" i="65" s="1"/>
  <c r="AD149" i="65"/>
  <c r="AP149" i="65" s="1"/>
  <c r="AE183" i="65"/>
  <c r="AQ183" i="65" s="1"/>
  <c r="AC179" i="65"/>
  <c r="AO179" i="65" s="1"/>
  <c r="AC147" i="65"/>
  <c r="AO147" i="65" s="1"/>
  <c r="AC168" i="65"/>
  <c r="AB266" i="65"/>
  <c r="AD246" i="65"/>
  <c r="AB256" i="65"/>
  <c r="AC220" i="65"/>
  <c r="AB245" i="65"/>
  <c r="AF218" i="65"/>
  <c r="AF220" i="65"/>
  <c r="AC241" i="65"/>
  <c r="AF229" i="65"/>
  <c r="AC156" i="65"/>
  <c r="AE247" i="65"/>
  <c r="AE166" i="65"/>
  <c r="AB246" i="65"/>
  <c r="AE228" i="65"/>
  <c r="AC192" i="65"/>
  <c r="AB149" i="65"/>
  <c r="AN149" i="65" s="1"/>
  <c r="AC246" i="65"/>
  <c r="AE163" i="65"/>
  <c r="AF266" i="65"/>
  <c r="AB158" i="65"/>
  <c r="AB210" i="65"/>
  <c r="AE153" i="65"/>
  <c r="AF168" i="65"/>
  <c r="AB156" i="65"/>
  <c r="AD252" i="65"/>
  <c r="AC151" i="65"/>
  <c r="AB247" i="65"/>
  <c r="AC239" i="65"/>
  <c r="AF215" i="65"/>
  <c r="AF153" i="65"/>
  <c r="AR153" i="65" s="1"/>
  <c r="AB192" i="65"/>
  <c r="AF163" i="65"/>
  <c r="AB217" i="65"/>
  <c r="AC212" i="65"/>
  <c r="AD254" i="65"/>
  <c r="AC237" i="65"/>
  <c r="AC248" i="65"/>
  <c r="AE254" i="65"/>
  <c r="AD229" i="65"/>
  <c r="AD239" i="65"/>
  <c r="AC250" i="65"/>
  <c r="AB234" i="65"/>
  <c r="AB226" i="65"/>
  <c r="AB162" i="65"/>
  <c r="AB241" i="65"/>
  <c r="AE157" i="65"/>
  <c r="AC247" i="65"/>
  <c r="AF192" i="65"/>
  <c r="AE242" i="65"/>
  <c r="AC230" i="65"/>
  <c r="AF154" i="65"/>
  <c r="AB213" i="65"/>
  <c r="AE191" i="65"/>
  <c r="AF237" i="65"/>
  <c r="AB242" i="65"/>
  <c r="AF210" i="65"/>
  <c r="AC162" i="65"/>
  <c r="AE253" i="65"/>
  <c r="AF213" i="65"/>
  <c r="AF155" i="65"/>
  <c r="AD211" i="65"/>
  <c r="AF239" i="65"/>
  <c r="AF241" i="65"/>
  <c r="AE194" i="65"/>
  <c r="AD194" i="65"/>
  <c r="AD162" i="65"/>
  <c r="AE249" i="65"/>
  <c r="AB252" i="65"/>
  <c r="AC159" i="65"/>
  <c r="AB208" i="65"/>
  <c r="AF167" i="65"/>
  <c r="AF216" i="65"/>
  <c r="AE231" i="65"/>
  <c r="AF157" i="65"/>
  <c r="AF164" i="65"/>
  <c r="AB153" i="65"/>
  <c r="AC152" i="65"/>
  <c r="AC155" i="65"/>
  <c r="AC211" i="65"/>
  <c r="AE186" i="65"/>
  <c r="AQ186" i="65" s="1"/>
  <c r="AD184" i="65"/>
  <c r="AP184" i="65" s="1"/>
  <c r="AE179" i="65"/>
  <c r="AQ179" i="65" s="1"/>
  <c r="AB155" i="65"/>
  <c r="AB59" i="65"/>
  <c r="AH59" i="65" s="1"/>
  <c r="AE65" i="65"/>
  <c r="AD70" i="65"/>
  <c r="AE154" i="65"/>
  <c r="AC161" i="65"/>
  <c r="AD212" i="65"/>
  <c r="AC181" i="65"/>
  <c r="AO181" i="65" s="1"/>
  <c r="AD186" i="65"/>
  <c r="AP186" i="65" s="1"/>
  <c r="AC182" i="65"/>
  <c r="AO182" i="65" s="1"/>
  <c r="AD170" i="65"/>
  <c r="AP170" i="65" s="1"/>
  <c r="AE265" i="65"/>
  <c r="AQ265" i="65" s="1"/>
  <c r="AB177" i="65"/>
  <c r="AN177" i="65" s="1"/>
  <c r="AE196" i="65"/>
  <c r="AQ196" i="65" s="1"/>
  <c r="AC173" i="65"/>
  <c r="AO173" i="65" s="1"/>
  <c r="AF182" i="65"/>
  <c r="AR182" i="65" s="1"/>
  <c r="AB170" i="65"/>
  <c r="AN170" i="65" s="1"/>
  <c r="AB146" i="65"/>
  <c r="AN146" i="65" s="1"/>
  <c r="AE241" i="65"/>
  <c r="AF225" i="65"/>
  <c r="AR225" i="65" s="1"/>
  <c r="AB185" i="65"/>
  <c r="AN185" i="65" s="1"/>
  <c r="AD180" i="65"/>
  <c r="AP180" i="65" s="1"/>
  <c r="AD207" i="65"/>
  <c r="AP207" i="65" s="1"/>
  <c r="AD143" i="65"/>
  <c r="AP143" i="65" s="1"/>
  <c r="AF222" i="65"/>
  <c r="AR222" i="65" s="1"/>
  <c r="AF201" i="65"/>
  <c r="AR201" i="65" s="1"/>
  <c r="AD206" i="65"/>
  <c r="AP206" i="65" s="1"/>
  <c r="AC198" i="65"/>
  <c r="AO198" i="65" s="1"/>
  <c r="AF173" i="65"/>
  <c r="AR173" i="65" s="1"/>
  <c r="AD145" i="65"/>
  <c r="AP145" i="65" s="1"/>
  <c r="AE172" i="65"/>
  <c r="AQ172" i="65" s="1"/>
  <c r="AC262" i="65"/>
  <c r="AO262" i="65" s="1"/>
  <c r="AB182" i="65"/>
  <c r="AN182" i="65" s="1"/>
  <c r="AC178" i="65"/>
  <c r="AO178" i="65" s="1"/>
  <c r="AE261" i="65"/>
  <c r="AQ261" i="65" s="1"/>
  <c r="AD205" i="65"/>
  <c r="AP205" i="65" s="1"/>
  <c r="AD244" i="65"/>
  <c r="AP244" i="65" s="1"/>
  <c r="AF259" i="65"/>
  <c r="AR259" i="65" s="1"/>
  <c r="AD167" i="65"/>
  <c r="AC196" i="65"/>
  <c r="AO196" i="65" s="1"/>
  <c r="AC184" i="65"/>
  <c r="AO184" i="65" s="1"/>
  <c r="AD204" i="65"/>
  <c r="AP204" i="65" s="1"/>
  <c r="AF144" i="65"/>
  <c r="AR144" i="65" s="1"/>
  <c r="AE243" i="65"/>
  <c r="AQ243" i="65" s="1"/>
  <c r="AD265" i="65"/>
  <c r="AP265" i="65" s="1"/>
  <c r="AD221" i="65"/>
  <c r="AP221" i="65" s="1"/>
  <c r="AD177" i="65"/>
  <c r="AP177" i="65" s="1"/>
  <c r="AE149" i="65"/>
  <c r="AQ149" i="65" s="1"/>
  <c r="AD199" i="65"/>
  <c r="AP199" i="65" s="1"/>
  <c r="AD224" i="65"/>
  <c r="AP224" i="65" s="1"/>
  <c r="AE259" i="65"/>
  <c r="AQ259" i="65" s="1"/>
  <c r="AE260" i="65"/>
  <c r="AQ260" i="65" s="1"/>
  <c r="AE184" i="65"/>
  <c r="AQ184" i="65" s="1"/>
  <c r="AF147" i="65"/>
  <c r="AR147" i="65" s="1"/>
  <c r="AF180" i="65"/>
  <c r="AR180" i="65" s="1"/>
  <c r="AB175" i="65"/>
  <c r="AN175" i="65" s="1"/>
  <c r="AF264" i="65"/>
  <c r="AR264" i="65" s="1"/>
  <c r="AF196" i="65"/>
  <c r="AR196" i="65" s="1"/>
  <c r="AD165" i="65"/>
  <c r="AE240" i="65"/>
  <c r="AE250" i="65"/>
  <c r="AC188" i="65"/>
  <c r="AC158" i="65"/>
  <c r="AB248" i="65"/>
  <c r="AD236" i="65"/>
  <c r="AB254" i="65"/>
  <c r="AD215" i="65"/>
  <c r="AE216" i="65"/>
  <c r="AD220" i="65"/>
  <c r="AE217" i="65"/>
  <c r="AE258" i="65"/>
  <c r="AB237" i="65"/>
  <c r="AB165" i="65"/>
  <c r="AE189" i="65"/>
  <c r="AB169" i="65"/>
  <c r="AC254" i="65"/>
  <c r="AC251" i="65"/>
  <c r="AE169" i="65"/>
  <c r="AD189" i="65"/>
  <c r="AB151" i="65"/>
  <c r="AF247" i="65"/>
  <c r="AC266" i="65"/>
  <c r="AB232" i="65"/>
  <c r="AB159" i="65"/>
  <c r="AB255" i="65"/>
  <c r="AE220" i="65"/>
  <c r="AE152" i="65"/>
  <c r="AQ152" i="65" s="1"/>
  <c r="AD248" i="65"/>
  <c r="AC189" i="65"/>
  <c r="AF190" i="65"/>
  <c r="AD251" i="65"/>
  <c r="AB218" i="65"/>
  <c r="AD158" i="65"/>
  <c r="AE158" i="65"/>
  <c r="AF165" i="65"/>
  <c r="AF158" i="65"/>
  <c r="AB194" i="65"/>
  <c r="AD192" i="65"/>
  <c r="AD250" i="65"/>
  <c r="AF162" i="65"/>
  <c r="AF248" i="65"/>
  <c r="AD219" i="65"/>
  <c r="AF242" i="65"/>
  <c r="AF230" i="65"/>
  <c r="AD226" i="65"/>
  <c r="AD154" i="65"/>
  <c r="AB233" i="65"/>
  <c r="AD240" i="65"/>
  <c r="AB239" i="65"/>
  <c r="AD242" i="65"/>
  <c r="AD218" i="65"/>
  <c r="AC257" i="65"/>
  <c r="AB157" i="65"/>
  <c r="AD163" i="65"/>
  <c r="AF228" i="65"/>
  <c r="AD238" i="65"/>
  <c r="AF166" i="65"/>
  <c r="AC154" i="65"/>
  <c r="AB253" i="65"/>
  <c r="AE209" i="65"/>
  <c r="AE252" i="65"/>
  <c r="AD151" i="65"/>
  <c r="AP151" i="65" s="1"/>
  <c r="AF250" i="65"/>
  <c r="AD217" i="65"/>
  <c r="AE229" i="65"/>
  <c r="AB228" i="65"/>
  <c r="AE257" i="65"/>
  <c r="AD249" i="65"/>
  <c r="AD255" i="65"/>
  <c r="AF159" i="65"/>
  <c r="AD235" i="65"/>
  <c r="AD164" i="65"/>
  <c r="AB211" i="65"/>
  <c r="AC227" i="65"/>
  <c r="AE211" i="65"/>
  <c r="AB152" i="65"/>
  <c r="AC187" i="65"/>
  <c r="AO187" i="65" s="1"/>
  <c r="AD216" i="65"/>
  <c r="AB191" i="65"/>
  <c r="AF224" i="65"/>
  <c r="AR224" i="65" s="1"/>
  <c r="AF260" i="65"/>
  <c r="AR260" i="65" s="1"/>
  <c r="AF175" i="65"/>
  <c r="AR175" i="65" s="1"/>
  <c r="AC229" i="65"/>
  <c r="AC160" i="65"/>
  <c r="AC256" i="65"/>
  <c r="AB231" i="65"/>
  <c r="AD188" i="65"/>
  <c r="AF219" i="65"/>
  <c r="AF231" i="65"/>
  <c r="AC231" i="65"/>
  <c r="AD155" i="65"/>
  <c r="AD153" i="65"/>
  <c r="AE145" i="65"/>
  <c r="AQ145" i="65" s="1"/>
  <c r="AB193" i="65"/>
  <c r="AF202" i="65"/>
  <c r="AR202" i="65" s="1"/>
  <c r="AB181" i="65"/>
  <c r="AN181" i="65" s="1"/>
  <c r="AB202" i="65"/>
  <c r="AN202" i="65" s="1"/>
  <c r="AE197" i="65"/>
  <c r="AQ197" i="65" s="1"/>
  <c r="AF174" i="65"/>
  <c r="AR174" i="65" s="1"/>
  <c r="AE182" i="65"/>
  <c r="AQ182" i="65" s="1"/>
  <c r="AF146" i="65"/>
  <c r="AR146" i="65" s="1"/>
  <c r="AC263" i="65"/>
  <c r="AO263" i="65" s="1"/>
  <c r="AF206" i="65"/>
  <c r="AR206" i="65" s="1"/>
  <c r="AC206" i="65"/>
  <c r="AO206" i="65" s="1"/>
  <c r="AB174" i="65"/>
  <c r="AN174" i="65" s="1"/>
  <c r="AB222" i="65"/>
  <c r="AN222" i="65" s="1"/>
  <c r="AE206" i="65"/>
  <c r="AQ206" i="65" s="1"/>
  <c r="AF198" i="65"/>
  <c r="AR198" i="65" s="1"/>
  <c r="AD245" i="65"/>
  <c r="AD173" i="65"/>
  <c r="AP173" i="65" s="1"/>
  <c r="AD262" i="65"/>
  <c r="AP262" i="65" s="1"/>
  <c r="AB178" i="65"/>
  <c r="AN178" i="65" s="1"/>
  <c r="AE150" i="65"/>
  <c r="AQ150" i="65" s="1"/>
  <c r="AE221" i="65"/>
  <c r="AQ221" i="65" s="1"/>
  <c r="AB204" i="65"/>
  <c r="AN204" i="65" s="1"/>
  <c r="AB148" i="65"/>
  <c r="AN148" i="65" s="1"/>
  <c r="AC204" i="65"/>
  <c r="AO204" i="65" s="1"/>
  <c r="AD203" i="65"/>
  <c r="AP203" i="65" s="1"/>
  <c r="AE170" i="65"/>
  <c r="AQ170" i="65" s="1"/>
  <c r="AF205" i="65"/>
  <c r="AR205" i="65" s="1"/>
  <c r="AF177" i="65"/>
  <c r="AR177" i="65" s="1"/>
  <c r="AC180" i="65"/>
  <c r="AO180" i="65" s="1"/>
  <c r="AC148" i="65"/>
  <c r="AO148" i="65" s="1"/>
  <c r="AF199" i="65"/>
  <c r="AR199" i="65" s="1"/>
  <c r="AD183" i="65"/>
  <c r="AP183" i="65" s="1"/>
  <c r="AE144" i="65"/>
  <c r="AQ144" i="65" s="1"/>
  <c r="AC243" i="65"/>
  <c r="AO243" i="65" s="1"/>
  <c r="AD148" i="65"/>
  <c r="AP148" i="65" s="1"/>
  <c r="AE171" i="65"/>
  <c r="AQ171" i="65" s="1"/>
  <c r="AC224" i="65"/>
  <c r="AO224" i="65" s="1"/>
  <c r="AC144" i="65"/>
  <c r="AO144" i="65" s="1"/>
  <c r="AD243" i="65"/>
  <c r="AP243" i="65" s="1"/>
  <c r="AE203" i="65"/>
  <c r="AQ203" i="65" s="1"/>
  <c r="AB220" i="65"/>
  <c r="AB154" i="65"/>
  <c r="AD168" i="65"/>
  <c r="AF193" i="65"/>
  <c r="AC163" i="65"/>
  <c r="AC219" i="65"/>
  <c r="AF161" i="65"/>
  <c r="AC236" i="65"/>
  <c r="AD247" i="65"/>
  <c r="AD193" i="65"/>
  <c r="AC208" i="65"/>
  <c r="AC235" i="65"/>
  <c r="AE232" i="65"/>
  <c r="AD241" i="65"/>
  <c r="AC218" i="65"/>
  <c r="AE219" i="65"/>
  <c r="AD214" i="65"/>
  <c r="AC214" i="65"/>
  <c r="AD213" i="65"/>
  <c r="AD190" i="65"/>
  <c r="AF212" i="65"/>
  <c r="AE161" i="65"/>
  <c r="AF235" i="65"/>
  <c r="AD266" i="65"/>
  <c r="AE256" i="65"/>
  <c r="AD231" i="65"/>
  <c r="AF252" i="65"/>
  <c r="AF240" i="65"/>
  <c r="AE218" i="65"/>
  <c r="AE193" i="65"/>
  <c r="AF256" i="65"/>
  <c r="AF169" i="65"/>
  <c r="AE188" i="65"/>
  <c r="AQ188" i="65" s="1"/>
  <c r="AE251" i="65"/>
  <c r="AB214" i="65"/>
  <c r="AB229" i="65"/>
  <c r="AF214" i="65"/>
  <c r="AE165" i="65"/>
  <c r="AC190" i="65"/>
  <c r="AB160" i="65"/>
  <c r="AE246" i="65"/>
  <c r="AC153" i="65"/>
  <c r="AD228" i="65"/>
  <c r="AB258" i="65"/>
  <c r="AB238" i="65"/>
  <c r="AB230" i="65"/>
  <c r="AD210" i="65"/>
  <c r="AF257" i="65"/>
  <c r="AD208" i="65"/>
  <c r="AC167" i="65"/>
  <c r="AF254" i="65"/>
  <c r="AF238" i="65"/>
  <c r="AC210" i="65"/>
  <c r="AC216" i="65"/>
  <c r="AC194" i="65"/>
  <c r="AD258" i="65"/>
  <c r="AE234" i="65"/>
  <c r="AD166" i="65"/>
  <c r="AF249" i="65"/>
  <c r="AF236" i="65"/>
  <c r="AB164" i="65"/>
  <c r="AE192" i="65"/>
  <c r="AC253" i="65"/>
  <c r="AD209" i="65"/>
  <c r="AC193" i="65"/>
  <c r="AD234" i="65"/>
  <c r="AD257" i="65"/>
  <c r="AE213" i="65"/>
  <c r="AF211" i="65"/>
  <c r="AB240" i="65"/>
  <c r="AE227" i="65"/>
  <c r="AC252" i="65"/>
  <c r="AF255" i="65"/>
  <c r="AF191" i="65"/>
  <c r="AB207" i="65"/>
  <c r="AN207" i="65" s="1"/>
  <c r="AC191" i="65"/>
  <c r="AE208" i="65"/>
  <c r="AB227" i="65"/>
  <c r="AE167" i="65"/>
  <c r="AB216" i="65"/>
  <c r="AD191" i="65"/>
  <c r="AB124" i="65"/>
  <c r="AH124" i="65" s="1"/>
  <c r="AN124" i="65" s="1"/>
  <c r="AB107" i="65"/>
  <c r="AH107" i="65" s="1"/>
  <c r="AF72" i="65"/>
  <c r="AB64" i="65"/>
  <c r="AH64" i="65" s="1"/>
  <c r="O54" i="66"/>
  <c r="K51" i="37"/>
  <c r="M52" i="66"/>
  <c r="I49" i="37"/>
  <c r="Q44" i="66"/>
  <c r="M44" i="37"/>
  <c r="P60" i="42"/>
  <c r="P43" i="66"/>
  <c r="L43" i="37"/>
  <c r="Q34" i="25"/>
  <c r="M53" i="37"/>
  <c r="AE68" i="65"/>
  <c r="AC129" i="65"/>
  <c r="AD114" i="65"/>
  <c r="AH104" i="65"/>
  <c r="AH92" i="65"/>
  <c r="AH89" i="65"/>
  <c r="AN89" i="65" s="1"/>
  <c r="AH90" i="65"/>
  <c r="AN90" i="65" s="1"/>
  <c r="AD134" i="65"/>
  <c r="AB60" i="65"/>
  <c r="AH60" i="65" s="1"/>
  <c r="AN60" i="65" s="1"/>
  <c r="AC110" i="65"/>
  <c r="L51" i="50"/>
  <c r="AC79" i="65"/>
  <c r="AF132" i="65"/>
  <c r="AC141" i="65"/>
  <c r="AC123" i="65"/>
  <c r="AD106" i="65"/>
  <c r="AP106" i="65" s="1"/>
  <c r="AB136" i="65"/>
  <c r="AE105" i="65"/>
  <c r="AB58" i="65"/>
  <c r="N51" i="66"/>
  <c r="N87" i="66" s="1"/>
  <c r="P89" i="66" s="1"/>
  <c r="N29" i="25"/>
  <c r="N53" i="50"/>
  <c r="Q175" i="50"/>
  <c r="Q169" i="50"/>
  <c r="N187" i="50"/>
  <c r="Q187" i="50" s="1"/>
  <c r="S187" i="50" s="1"/>
  <c r="N194" i="50"/>
  <c r="Q194" i="50" s="1"/>
  <c r="S194" i="50" s="1"/>
  <c r="Q181" i="50"/>
  <c r="Q163" i="50"/>
  <c r="M51" i="66"/>
  <c r="M87" i="66" s="1"/>
  <c r="O89" i="66" s="1"/>
  <c r="M29" i="25"/>
  <c r="AB87" i="65"/>
  <c r="AB135" i="65"/>
  <c r="AE125" i="65"/>
  <c r="AF138" i="65"/>
  <c r="AF107" i="65"/>
  <c r="AC136" i="65"/>
  <c r="AE104" i="65"/>
  <c r="AF93" i="65"/>
  <c r="AE101" i="65"/>
  <c r="AD102" i="65"/>
  <c r="AF92" i="65"/>
  <c r="AC95" i="65"/>
  <c r="AD56" i="65"/>
  <c r="O32" i="25"/>
  <c r="J49" i="50"/>
  <c r="M30" i="25"/>
  <c r="M104" i="25" s="1"/>
  <c r="K50" i="50"/>
  <c r="N51" i="42"/>
  <c r="Q56" i="66"/>
  <c r="M50" i="42"/>
  <c r="P55" i="66"/>
  <c r="K48" i="42"/>
  <c r="N53" i="66"/>
  <c r="O61" i="24"/>
  <c r="K57" i="24"/>
  <c r="J49" i="66"/>
  <c r="L58" i="24"/>
  <c r="K50" i="66"/>
  <c r="AB85" i="65"/>
  <c r="AD55" i="65"/>
  <c r="AB139" i="65"/>
  <c r="AF96" i="65"/>
  <c r="AD101" i="65"/>
  <c r="AE60" i="65"/>
  <c r="AD142" i="65"/>
  <c r="AF128" i="65"/>
  <c r="AR128" i="65" s="1"/>
  <c r="AB137" i="65"/>
  <c r="AB133" i="65"/>
  <c r="AE91" i="65"/>
  <c r="AB100" i="65"/>
  <c r="AC106" i="65"/>
  <c r="AO106" i="65" s="1"/>
  <c r="AC94" i="65"/>
  <c r="AE99" i="65"/>
  <c r="AD136" i="65"/>
  <c r="AB106" i="65"/>
  <c r="AN106" i="65" s="1"/>
  <c r="AF82" i="65"/>
  <c r="AF78" i="65"/>
  <c r="AF59" i="65"/>
  <c r="AC137" i="65"/>
  <c r="AD104" i="65"/>
  <c r="AF89" i="65"/>
  <c r="AB119" i="65"/>
  <c r="AN119" i="65" s="1"/>
  <c r="AB54" i="65"/>
  <c r="AF86" i="65"/>
  <c r="AR86" i="65" s="1"/>
  <c r="AC122" i="65"/>
  <c r="AE108" i="65"/>
  <c r="AC98" i="65"/>
  <c r="AE85" i="65"/>
  <c r="AQ85" i="65" s="1"/>
  <c r="AF52" i="65"/>
  <c r="AF109" i="65"/>
  <c r="AR109" i="65" s="1"/>
  <c r="AE120" i="65"/>
  <c r="AQ120" i="65" s="1"/>
  <c r="AD95" i="65"/>
  <c r="AD135" i="65"/>
  <c r="AD87" i="65"/>
  <c r="AF108" i="65"/>
  <c r="AB125" i="65"/>
  <c r="AE57" i="65"/>
  <c r="AC103" i="65"/>
  <c r="AO103" i="65" s="1"/>
  <c r="AC105" i="65"/>
  <c r="AD94" i="65"/>
  <c r="AF88" i="65"/>
  <c r="AD105" i="65"/>
  <c r="AC86" i="65"/>
  <c r="AE139" i="65"/>
  <c r="AB57" i="65"/>
  <c r="AD53" i="65"/>
  <c r="AE142" i="65"/>
  <c r="AC99" i="65"/>
  <c r="AD128" i="65"/>
  <c r="AP128" i="65" s="1"/>
  <c r="AE54" i="65"/>
  <c r="AB96" i="65"/>
  <c r="AC139" i="65"/>
  <c r="AC57" i="65"/>
  <c r="AE53" i="65"/>
  <c r="AE100" i="65"/>
  <c r="AD52" i="65"/>
  <c r="AE58" i="65"/>
  <c r="AB138" i="65"/>
  <c r="AB56" i="65"/>
  <c r="AD88" i="65"/>
  <c r="AC142" i="65"/>
  <c r="AE90" i="65"/>
  <c r="AC97" i="65"/>
  <c r="AE95" i="65"/>
  <c r="AB128" i="65"/>
  <c r="AN128" i="65" s="1"/>
  <c r="AF94" i="65"/>
  <c r="AB97" i="65"/>
  <c r="AD63" i="65"/>
  <c r="AB141" i="65"/>
  <c r="AH141" i="65" s="1"/>
  <c r="AF129" i="65"/>
  <c r="AB123" i="65"/>
  <c r="AH123" i="65" s="1"/>
  <c r="AE131" i="65"/>
  <c r="AF131" i="65"/>
  <c r="AB74" i="65"/>
  <c r="AH74" i="65" s="1"/>
  <c r="AN74" i="65" s="1"/>
  <c r="AF123" i="65"/>
  <c r="AD141" i="65"/>
  <c r="AB81" i="65"/>
  <c r="AH81" i="65" s="1"/>
  <c r="AN81" i="65" s="1"/>
  <c r="AD83" i="65"/>
  <c r="AD124" i="65"/>
  <c r="AE83" i="65"/>
  <c r="AC126" i="65"/>
  <c r="AB80" i="65"/>
  <c r="AH80" i="65" s="1"/>
  <c r="AN80" i="65" s="1"/>
  <c r="AB78" i="65"/>
  <c r="AH78" i="65" s="1"/>
  <c r="AD64" i="65"/>
  <c r="AE109" i="65"/>
  <c r="AQ109" i="65" s="1"/>
  <c r="AB118" i="65"/>
  <c r="AH118" i="65" s="1"/>
  <c r="AN118" i="65" s="1"/>
  <c r="AC115" i="65"/>
  <c r="AF77" i="65"/>
  <c r="AE81" i="65"/>
  <c r="AB67" i="65"/>
  <c r="AH67" i="65" s="1"/>
  <c r="AF124" i="65"/>
  <c r="AE110" i="65"/>
  <c r="AB84" i="65"/>
  <c r="AH84" i="65" s="1"/>
  <c r="AE78" i="65"/>
  <c r="AF70" i="65"/>
  <c r="AC60" i="65"/>
  <c r="AB114" i="65"/>
  <c r="AH114" i="65" s="1"/>
  <c r="AN114" i="65" s="1"/>
  <c r="AF81" i="65"/>
  <c r="AB132" i="65"/>
  <c r="AH132" i="65" s="1"/>
  <c r="AC67" i="65"/>
  <c r="AD62" i="65"/>
  <c r="AD71" i="65"/>
  <c r="AE77" i="65"/>
  <c r="AE123" i="65"/>
  <c r="AC59" i="65"/>
  <c r="AD123" i="65"/>
  <c r="AD61" i="65"/>
  <c r="AD127" i="65"/>
  <c r="AF66" i="65"/>
  <c r="AF83" i="65"/>
  <c r="AD79" i="65"/>
  <c r="AB76" i="65"/>
  <c r="AH76" i="65" s="1"/>
  <c r="AN76" i="65" s="1"/>
  <c r="AE132" i="65"/>
  <c r="AF75" i="65"/>
  <c r="AE64" i="65"/>
  <c r="AE69" i="65"/>
  <c r="AB69" i="65"/>
  <c r="AH69" i="65" s="1"/>
  <c r="AF116" i="65"/>
  <c r="AD76" i="65"/>
  <c r="AC78" i="65"/>
  <c r="AD69" i="65"/>
  <c r="AD116" i="65"/>
  <c r="AC80" i="65"/>
  <c r="AE71" i="65"/>
  <c r="AB66" i="65"/>
  <c r="AH66" i="65" s="1"/>
  <c r="AC75" i="65"/>
  <c r="AF117" i="65"/>
  <c r="AC64" i="65"/>
  <c r="AC130" i="65"/>
  <c r="AE96" i="65"/>
  <c r="AF105" i="65"/>
  <c r="AF56" i="65"/>
  <c r="AE122" i="65"/>
  <c r="AF101" i="65"/>
  <c r="AF87" i="65"/>
  <c r="AR87" i="65" s="1"/>
  <c r="AB99" i="65"/>
  <c r="AF68" i="65"/>
  <c r="AB140" i="65"/>
  <c r="AC71" i="65"/>
  <c r="AC140" i="65"/>
  <c r="AB82" i="65"/>
  <c r="AC69" i="65"/>
  <c r="AE138" i="65"/>
  <c r="AE107" i="65"/>
  <c r="AC109" i="65"/>
  <c r="AB103" i="65"/>
  <c r="AN103" i="65" s="1"/>
  <c r="AF54" i="65"/>
  <c r="AD97" i="65"/>
  <c r="AE119" i="65"/>
  <c r="AQ119" i="65" s="1"/>
  <c r="AB122" i="65"/>
  <c r="AE97" i="65"/>
  <c r="AB134" i="65"/>
  <c r="AE86" i="65"/>
  <c r="AQ86" i="65" s="1"/>
  <c r="AF134" i="65"/>
  <c r="AR134" i="65" s="1"/>
  <c r="AE72" i="65"/>
  <c r="AF63" i="65"/>
  <c r="AF141" i="65"/>
  <c r="AF113" i="65"/>
  <c r="AE130" i="65"/>
  <c r="AB71" i="65"/>
  <c r="AC124" i="65"/>
  <c r="AD77" i="65"/>
  <c r="AC84" i="65"/>
  <c r="AE136" i="65"/>
  <c r="AB55" i="65"/>
  <c r="AB91" i="65"/>
  <c r="AF58" i="65"/>
  <c r="AB98" i="65"/>
  <c r="AD59" i="65"/>
  <c r="AF91" i="65"/>
  <c r="AC53" i="65"/>
  <c r="AF125" i="65"/>
  <c r="AD115" i="65"/>
  <c r="AB113" i="65"/>
  <c r="AE56" i="65"/>
  <c r="AF102" i="65"/>
  <c r="AC119" i="65"/>
  <c r="AO119" i="65" s="1"/>
  <c r="AC88" i="65"/>
  <c r="AF121" i="65"/>
  <c r="AR121" i="65" s="1"/>
  <c r="AC92" i="65"/>
  <c r="AC121" i="65"/>
  <c r="AD120" i="65"/>
  <c r="AP120" i="65" s="1"/>
  <c r="AF136" i="65"/>
  <c r="AC90" i="65"/>
  <c r="AB121" i="65"/>
  <c r="AE134" i="65"/>
  <c r="AQ134" i="65" s="1"/>
  <c r="AB105" i="65"/>
  <c r="AE87" i="65"/>
  <c r="AQ87" i="65" s="1"/>
  <c r="AE59" i="65"/>
  <c r="AF142" i="65"/>
  <c r="AF60" i="65"/>
  <c r="AE129" i="65"/>
  <c r="AD68" i="65"/>
  <c r="AD80" i="65"/>
  <c r="AE82" i="65"/>
  <c r="AB79" i="65"/>
  <c r="AE118" i="65"/>
  <c r="AE111" i="65"/>
  <c r="AC89" i="65"/>
  <c r="AC55" i="65"/>
  <c r="AC135" i="65"/>
  <c r="AE133" i="65"/>
  <c r="AQ133" i="65" s="1"/>
  <c r="AD91" i="65"/>
  <c r="AD58" i="65"/>
  <c r="AF137" i="65"/>
  <c r="AC104" i="65"/>
  <c r="AF133" i="65"/>
  <c r="AR133" i="65" s="1"/>
  <c r="AF71" i="65"/>
  <c r="AE94" i="65"/>
  <c r="AF120" i="65"/>
  <c r="AR120" i="65" s="1"/>
  <c r="AB88" i="65"/>
  <c r="AF95" i="65"/>
  <c r="AF90" i="65"/>
  <c r="AD121" i="65"/>
  <c r="AB95" i="65"/>
  <c r="AE128" i="65"/>
  <c r="AQ128" i="65" s="1"/>
  <c r="AB63" i="65"/>
  <c r="AF127" i="65"/>
  <c r="AC74" i="65"/>
  <c r="AE84" i="65"/>
  <c r="AE117" i="65"/>
  <c r="AB116" i="65"/>
  <c r="AC65" i="65"/>
  <c r="AE112" i="65"/>
  <c r="AE124" i="65"/>
  <c r="AB70" i="65"/>
  <c r="AD75" i="65"/>
  <c r="AB108" i="65"/>
  <c r="AB110" i="65"/>
  <c r="AB62" i="65"/>
  <c r="AD133" i="65"/>
  <c r="AP133" i="65" s="1"/>
  <c r="AD85" i="65"/>
  <c r="AP85" i="65" s="1"/>
  <c r="AD139" i="65"/>
  <c r="AB117" i="65"/>
  <c r="AH117" i="65" s="1"/>
  <c r="AN117" i="65" s="1"/>
  <c r="AC138" i="65"/>
  <c r="AC52" i="65"/>
  <c r="AC101" i="65"/>
  <c r="AE137" i="65"/>
  <c r="AE135" i="65"/>
  <c r="AE89" i="65"/>
  <c r="AD93" i="65"/>
  <c r="AE73" i="65"/>
  <c r="AC108" i="65"/>
  <c r="AD100" i="65"/>
  <c r="AB93" i="65"/>
  <c r="AD73" i="65"/>
  <c r="AE102" i="65"/>
  <c r="AD89" i="65"/>
  <c r="AC87" i="65"/>
  <c r="AC133" i="65"/>
  <c r="AC85" i="65"/>
  <c r="AO85" i="65" s="1"/>
  <c r="AF98" i="65"/>
  <c r="AE55" i="65"/>
  <c r="AB53" i="65"/>
  <c r="AC93" i="65"/>
  <c r="AE106" i="65"/>
  <c r="AQ106" i="65" s="1"/>
  <c r="AF135" i="65"/>
  <c r="AR135" i="65" s="1"/>
  <c r="AC100" i="65"/>
  <c r="AC58" i="65"/>
  <c r="AD103" i="65"/>
  <c r="AP103" i="65" s="1"/>
  <c r="AB101" i="65"/>
  <c r="AD86" i="65"/>
  <c r="AP86" i="65" s="1"/>
  <c r="AD99" i="65"/>
  <c r="AF119" i="65"/>
  <c r="AR119" i="65" s="1"/>
  <c r="AC131" i="65"/>
  <c r="AB131" i="65"/>
  <c r="AE74" i="65"/>
  <c r="AF74" i="65"/>
  <c r="AD72" i="65"/>
  <c r="AE127" i="65"/>
  <c r="AC127" i="65"/>
  <c r="AE141" i="65"/>
  <c r="AD129" i="65"/>
  <c r="AE63" i="65"/>
  <c r="AC63" i="65"/>
  <c r="AD60" i="65"/>
  <c r="AC111" i="65"/>
  <c r="AB65" i="65"/>
  <c r="AD82" i="65"/>
  <c r="AD110" i="65"/>
  <c r="AD130" i="65"/>
  <c r="AE115" i="65"/>
  <c r="AE66" i="65"/>
  <c r="AD78" i="65"/>
  <c r="AC83" i="65"/>
  <c r="AE80" i="65"/>
  <c r="AB126" i="65"/>
  <c r="AF64" i="65"/>
  <c r="AD111" i="65"/>
  <c r="AF69" i="65"/>
  <c r="AF111" i="65"/>
  <c r="AC118" i="65"/>
  <c r="AF114" i="65"/>
  <c r="AC76" i="65"/>
  <c r="AE76" i="65"/>
  <c r="AF79" i="65"/>
  <c r="AD112" i="65"/>
  <c r="AF67" i="65"/>
  <c r="AD67" i="65"/>
  <c r="AF118" i="65"/>
  <c r="AF80" i="65"/>
  <c r="AC70" i="65"/>
  <c r="AF62" i="65"/>
  <c r="AC81" i="65"/>
  <c r="AC62" i="65"/>
  <c r="AB75" i="65"/>
  <c r="AC114" i="65"/>
  <c r="AE126" i="65"/>
  <c r="AE75" i="65"/>
  <c r="AE116" i="65"/>
  <c r="AB130" i="65"/>
  <c r="AC73" i="65"/>
  <c r="AF106" i="65"/>
  <c r="AR106" i="65" s="1"/>
  <c r="AD137" i="65"/>
  <c r="AD66" i="65"/>
  <c r="AF104" i="65"/>
  <c r="AC91" i="65"/>
  <c r="AE93" i="65"/>
  <c r="AD57" i="65"/>
  <c r="AD138" i="65"/>
  <c r="AD84" i="65"/>
  <c r="AB52" i="65"/>
  <c r="AE52" i="65"/>
  <c r="AF55" i="65"/>
  <c r="AF53" i="65"/>
  <c r="AF100" i="65"/>
  <c r="AF139" i="65"/>
  <c r="AD107" i="65"/>
  <c r="AE98" i="65"/>
  <c r="AB102" i="65"/>
  <c r="AC102" i="65"/>
  <c r="AC120" i="65"/>
  <c r="AO120" i="65" s="1"/>
  <c r="AC134" i="65"/>
  <c r="AC56" i="65"/>
  <c r="AE92" i="65"/>
  <c r="AB142" i="65"/>
  <c r="AB94" i="65"/>
  <c r="AB86" i="65"/>
  <c r="AD122" i="65"/>
  <c r="AD119" i="65"/>
  <c r="AP119" i="65" s="1"/>
  <c r="AD54" i="65"/>
  <c r="AF97" i="65"/>
  <c r="AC54" i="65"/>
  <c r="AB120" i="65"/>
  <c r="AN120" i="65" s="1"/>
  <c r="AE121" i="65"/>
  <c r="AQ121" i="65" s="1"/>
  <c r="AC128" i="65"/>
  <c r="AO128" i="65" s="1"/>
  <c r="AD74" i="65"/>
  <c r="AB129" i="65"/>
  <c r="AB127" i="65"/>
  <c r="AH127" i="65" s="1"/>
  <c r="AB72" i="65"/>
  <c r="AB61" i="65"/>
  <c r="AC61" i="65"/>
  <c r="AC72" i="65"/>
  <c r="AE61" i="65"/>
  <c r="AD108" i="65"/>
  <c r="AC68" i="65"/>
  <c r="AB68" i="65"/>
  <c r="AD131" i="65"/>
  <c r="AF115" i="65"/>
  <c r="AE113" i="65"/>
  <c r="AC107" i="65"/>
  <c r="AE114" i="65"/>
  <c r="AC82" i="65"/>
  <c r="AD126" i="65"/>
  <c r="AC113" i="65"/>
  <c r="AD113" i="65"/>
  <c r="AF84" i="65"/>
  <c r="AB109" i="65"/>
  <c r="AB83" i="65"/>
  <c r="AF130" i="65"/>
  <c r="AF112" i="65"/>
  <c r="AC112" i="65"/>
  <c r="AC132" i="65"/>
  <c r="AC116" i="65"/>
  <c r="AB115" i="65"/>
  <c r="AD109" i="65"/>
  <c r="AB112" i="65"/>
  <c r="AE70" i="65"/>
  <c r="AF126" i="65"/>
  <c r="AF76" i="65"/>
  <c r="AC117" i="65"/>
  <c r="AD132" i="65"/>
  <c r="AD81" i="65"/>
  <c r="AF110" i="65"/>
  <c r="AD140" i="65"/>
  <c r="AE62" i="65"/>
  <c r="AF73" i="65"/>
  <c r="AC66" i="65"/>
  <c r="AD65" i="65"/>
  <c r="AD117" i="65"/>
  <c r="AE67" i="65"/>
  <c r="AE140" i="65"/>
  <c r="AF65" i="65"/>
  <c r="AC77" i="65"/>
  <c r="AE79" i="65"/>
  <c r="AB77" i="65"/>
  <c r="AB73" i="65"/>
  <c r="L42" i="50"/>
  <c r="P45" i="24"/>
  <c r="O42" i="66"/>
  <c r="L40" i="42"/>
  <c r="O20" i="25"/>
  <c r="J41" i="65"/>
  <c r="L39" i="42"/>
  <c r="O41" i="66"/>
  <c r="Q155" i="50"/>
  <c r="Q145" i="50"/>
  <c r="Q139" i="50"/>
  <c r="Q152" i="50"/>
  <c r="Q157" i="50"/>
  <c r="Q148" i="50"/>
  <c r="Q153" i="50"/>
  <c r="Q149" i="50"/>
  <c r="Q156" i="50"/>
  <c r="Q138" i="50"/>
  <c r="Q140" i="50"/>
  <c r="Q151" i="50"/>
  <c r="Q150" i="50"/>
  <c r="Q154" i="50"/>
  <c r="Q158" i="50"/>
  <c r="Q146" i="50"/>
  <c r="Q144" i="50"/>
  <c r="Q147" i="50"/>
  <c r="P51" i="65"/>
  <c r="Z51" i="65"/>
  <c r="S51" i="65"/>
  <c r="R51" i="65"/>
  <c r="V51" i="65"/>
  <c r="T51" i="65"/>
  <c r="Q51" i="65"/>
  <c r="Y51" i="65"/>
  <c r="X51" i="65"/>
  <c r="P44" i="24"/>
  <c r="L41" i="50"/>
  <c r="N31" i="25"/>
  <c r="O19" i="25"/>
  <c r="N60" i="24"/>
  <c r="J47" i="42"/>
  <c r="P62" i="24"/>
  <c r="L49" i="42"/>
  <c r="O59" i="24"/>
  <c r="Q46" i="24"/>
  <c r="K42" i="65"/>
  <c r="M43" i="50"/>
  <c r="P21" i="25"/>
  <c r="M41" i="42"/>
  <c r="Q63" i="24"/>
  <c r="M52" i="37" s="1"/>
  <c r="M52" i="50"/>
  <c r="P33" i="25"/>
  <c r="K40" i="50"/>
  <c r="N18" i="25"/>
  <c r="K38" i="42"/>
  <c r="L43" i="65"/>
  <c r="N44" i="50"/>
  <c r="Q22" i="25"/>
  <c r="N42" i="42"/>
  <c r="K20" i="32"/>
  <c r="AJ276" i="65" l="1"/>
  <c r="AK276" i="65" s="1"/>
  <c r="AL276" i="65" s="1"/>
  <c r="AR276" i="65" s="1"/>
  <c r="AI375" i="65"/>
  <c r="AJ375" i="65" s="1"/>
  <c r="AP312" i="65"/>
  <c r="AQ312" i="65"/>
  <c r="AO289" i="65"/>
  <c r="AO308" i="65"/>
  <c r="AP378" i="65"/>
  <c r="AI323" i="65"/>
  <c r="AJ323" i="65" s="1"/>
  <c r="AK323" i="65" s="1"/>
  <c r="AL323" i="65" s="1"/>
  <c r="AR323" i="65" s="1"/>
  <c r="AQ289" i="65"/>
  <c r="AI309" i="65"/>
  <c r="AJ309" i="65" s="1"/>
  <c r="AK309" i="65" s="1"/>
  <c r="AL309" i="65" s="1"/>
  <c r="AR309" i="65" s="1"/>
  <c r="AI372" i="65"/>
  <c r="AJ372" i="65" s="1"/>
  <c r="AK372" i="65" s="1"/>
  <c r="AL372" i="65" s="1"/>
  <c r="AN349" i="65"/>
  <c r="AN290" i="65"/>
  <c r="AJ318" i="65"/>
  <c r="AK318" i="65" s="1"/>
  <c r="AN295" i="65"/>
  <c r="AO341" i="65"/>
  <c r="AN348" i="65"/>
  <c r="AN378" i="65"/>
  <c r="AN339" i="65"/>
  <c r="AK367" i="65"/>
  <c r="AL367" i="65" s="1"/>
  <c r="AR367" i="65" s="1"/>
  <c r="AN366" i="65"/>
  <c r="AQ295" i="65"/>
  <c r="AP341" i="65"/>
  <c r="AP274" i="65"/>
  <c r="AQ338" i="65"/>
  <c r="AQ294" i="65"/>
  <c r="AP360" i="65"/>
  <c r="AQ341" i="65"/>
  <c r="AR372" i="65"/>
  <c r="AI310" i="65"/>
  <c r="AJ310" i="65" s="1"/>
  <c r="AP310" i="65" s="1"/>
  <c r="AN359" i="65"/>
  <c r="AO282" i="65"/>
  <c r="AN282" i="65"/>
  <c r="AN368" i="65"/>
  <c r="AO274" i="65"/>
  <c r="AQ383" i="65"/>
  <c r="AN360" i="65"/>
  <c r="AO286" i="65"/>
  <c r="AN308" i="65"/>
  <c r="AP289" i="65"/>
  <c r="AO360" i="65"/>
  <c r="AJ324" i="65"/>
  <c r="AO324" i="65"/>
  <c r="AJ350" i="65"/>
  <c r="AK350" i="65" s="1"/>
  <c r="AO350" i="65"/>
  <c r="AJ359" i="65"/>
  <c r="AK359" i="65" s="1"/>
  <c r="AO359" i="65"/>
  <c r="AK342" i="65"/>
  <c r="AP342" i="65"/>
  <c r="AH345" i="65"/>
  <c r="AI345" i="65" s="1"/>
  <c r="AI351" i="65"/>
  <c r="AJ351" i="65" s="1"/>
  <c r="AK351" i="65" s="1"/>
  <c r="AH382" i="65"/>
  <c r="AI382" i="65" s="1"/>
  <c r="AH311" i="65"/>
  <c r="AI311" i="65" s="1"/>
  <c r="AN311" i="65"/>
  <c r="AP351" i="65"/>
  <c r="AL286" i="65"/>
  <c r="AR286" i="65" s="1"/>
  <c r="AK314" i="65"/>
  <c r="AL314" i="65" s="1"/>
  <c r="AP286" i="65"/>
  <c r="AO355" i="65"/>
  <c r="AI321" i="65"/>
  <c r="AJ321" i="65" s="1"/>
  <c r="AQ283" i="65"/>
  <c r="AL296" i="65"/>
  <c r="AO365" i="65"/>
  <c r="AQ276" i="65"/>
  <c r="AH373" i="65"/>
  <c r="AI373" i="65" s="1"/>
  <c r="AN373" i="65"/>
  <c r="AP339" i="65"/>
  <c r="AP338" i="65"/>
  <c r="AO276" i="65"/>
  <c r="AP297" i="65"/>
  <c r="AO363" i="65"/>
  <c r="AO383" i="65"/>
  <c r="AN322" i="65"/>
  <c r="AQ296" i="65"/>
  <c r="AQ282" i="65"/>
  <c r="AH356" i="65"/>
  <c r="AI356" i="65" s="1"/>
  <c r="AN356" i="65"/>
  <c r="AH352" i="65"/>
  <c r="AI352" i="65" s="1"/>
  <c r="AH278" i="65"/>
  <c r="AI278" i="65" s="1"/>
  <c r="AJ278" i="65" s="1"/>
  <c r="AK278" i="65" s="1"/>
  <c r="AI284" i="65"/>
  <c r="AJ284" i="65" s="1"/>
  <c r="AP372" i="65"/>
  <c r="AN285" i="65"/>
  <c r="AN310" i="65"/>
  <c r="AP293" i="65"/>
  <c r="AR365" i="65"/>
  <c r="AO278" i="65"/>
  <c r="AN293" i="65"/>
  <c r="AN309" i="65"/>
  <c r="AH292" i="65"/>
  <c r="AI292" i="65" s="1"/>
  <c r="AP355" i="65"/>
  <c r="AP291" i="65"/>
  <c r="AN277" i="65"/>
  <c r="AN323" i="65"/>
  <c r="AJ374" i="65"/>
  <c r="AK374" i="65" s="1"/>
  <c r="AL374" i="65" s="1"/>
  <c r="AR374" i="65" s="1"/>
  <c r="AO314" i="65"/>
  <c r="AP309" i="65"/>
  <c r="AN365" i="65"/>
  <c r="AN297" i="65"/>
  <c r="AP282" i="65"/>
  <c r="AO358" i="65"/>
  <c r="AP343" i="65"/>
  <c r="AO339" i="65"/>
  <c r="AO312" i="65"/>
  <c r="AQ308" i="65"/>
  <c r="AN363" i="65"/>
  <c r="AO342" i="65"/>
  <c r="AQ355" i="65"/>
  <c r="AH377" i="65"/>
  <c r="AI377" i="65" s="1"/>
  <c r="AQ349" i="65"/>
  <c r="AI364" i="65"/>
  <c r="AJ364" i="65" s="1"/>
  <c r="AP313" i="65"/>
  <c r="AQ368" i="65"/>
  <c r="AQ347" i="65"/>
  <c r="AP285" i="65"/>
  <c r="AN346" i="65"/>
  <c r="AO287" i="65"/>
  <c r="AJ322" i="65"/>
  <c r="AK322" i="65" s="1"/>
  <c r="AN288" i="65"/>
  <c r="AP278" i="65"/>
  <c r="AR296" i="65"/>
  <c r="AH357" i="65"/>
  <c r="AI357" i="65" s="1"/>
  <c r="AQ291" i="65"/>
  <c r="AQ293" i="65"/>
  <c r="AO277" i="65"/>
  <c r="AL365" i="65"/>
  <c r="AQ358" i="65"/>
  <c r="AP358" i="65"/>
  <c r="AP318" i="65"/>
  <c r="AO343" i="65"/>
  <c r="AP277" i="65"/>
  <c r="AO297" i="65"/>
  <c r="AO374" i="65"/>
  <c r="AO378" i="65"/>
  <c r="AO368" i="65"/>
  <c r="AP363" i="65"/>
  <c r="AI340" i="65"/>
  <c r="AJ340" i="65" s="1"/>
  <c r="AP359" i="65"/>
  <c r="AO318" i="65"/>
  <c r="AP294" i="65"/>
  <c r="AQ353" i="65"/>
  <c r="AQ285" i="65"/>
  <c r="AQ290" i="65"/>
  <c r="AP290" i="65"/>
  <c r="AK288" i="65"/>
  <c r="AL288" i="65" s="1"/>
  <c r="AR288" i="65" s="1"/>
  <c r="AH281" i="65"/>
  <c r="AI281" i="65" s="1"/>
  <c r="AH376" i="65"/>
  <c r="AI376" i="65" s="1"/>
  <c r="AJ376" i="65" s="1"/>
  <c r="AQ314" i="65"/>
  <c r="AH315" i="65"/>
  <c r="AI315" i="65" s="1"/>
  <c r="AH316" i="65"/>
  <c r="AI316" i="65" s="1"/>
  <c r="AN316" i="65"/>
  <c r="AP276" i="65"/>
  <c r="AQ286" i="65"/>
  <c r="AO372" i="65"/>
  <c r="AN324" i="65"/>
  <c r="AK274" i="65"/>
  <c r="AL274" i="65" s="1"/>
  <c r="AR274" i="65" s="1"/>
  <c r="AJ348" i="65"/>
  <c r="AK348" i="65" s="1"/>
  <c r="AN287" i="65"/>
  <c r="AO309" i="65"/>
  <c r="AN291" i="65"/>
  <c r="AH354" i="65"/>
  <c r="AI354" i="65" s="1"/>
  <c r="AN354" i="65"/>
  <c r="AN351" i="65"/>
  <c r="AH319" i="65"/>
  <c r="AI319" i="65" s="1"/>
  <c r="AR290" i="65"/>
  <c r="AO283" i="65"/>
  <c r="AH371" i="65"/>
  <c r="AI371" i="65" s="1"/>
  <c r="AP283" i="65"/>
  <c r="AQ297" i="65"/>
  <c r="AR314" i="65"/>
  <c r="AP314" i="65"/>
  <c r="AH344" i="65"/>
  <c r="AI344" i="65" s="1"/>
  <c r="AN355" i="65"/>
  <c r="AO323" i="65"/>
  <c r="AO340" i="65"/>
  <c r="AQ372" i="65"/>
  <c r="AN338" i="65"/>
  <c r="AN342" i="65"/>
  <c r="AK339" i="65"/>
  <c r="AL339" i="65" s="1"/>
  <c r="AR339" i="65" s="1"/>
  <c r="AP287" i="65"/>
  <c r="AN276" i="65"/>
  <c r="AN367" i="65"/>
  <c r="AP367" i="65"/>
  <c r="AN286" i="65"/>
  <c r="AN314" i="65"/>
  <c r="AP353" i="65"/>
  <c r="AQ288" i="65"/>
  <c r="AO349" i="65"/>
  <c r="AN358" i="65"/>
  <c r="AO348" i="65"/>
  <c r="AO293" i="65"/>
  <c r="AQ343" i="65"/>
  <c r="AO291" i="65"/>
  <c r="AP365" i="65"/>
  <c r="AI320" i="65"/>
  <c r="AJ320" i="65" s="1"/>
  <c r="AO285" i="65"/>
  <c r="AP347" i="65"/>
  <c r="AN321" i="65"/>
  <c r="AJ366" i="65"/>
  <c r="AK366" i="65" s="1"/>
  <c r="AN296" i="65"/>
  <c r="AN318" i="65"/>
  <c r="AO290" i="65"/>
  <c r="AI275" i="65"/>
  <c r="AJ275" i="65" s="1"/>
  <c r="AO338" i="65"/>
  <c r="AN313" i="65"/>
  <c r="AN347" i="65"/>
  <c r="AL360" i="65"/>
  <c r="AR360" i="65" s="1"/>
  <c r="AP308" i="65"/>
  <c r="AN341" i="65"/>
  <c r="AN289" i="65"/>
  <c r="AP296" i="65"/>
  <c r="AQ287" i="65"/>
  <c r="AO347" i="65"/>
  <c r="AQ309" i="65"/>
  <c r="AI279" i="65"/>
  <c r="AJ279" i="65" s="1"/>
  <c r="AI249" i="65"/>
  <c r="AO249" i="65" s="1"/>
  <c r="AN59" i="65"/>
  <c r="AI166" i="65"/>
  <c r="AO166" i="65" s="1"/>
  <c r="AI212" i="65"/>
  <c r="AO212" i="65" s="1"/>
  <c r="AH245" i="65"/>
  <c r="AI245" i="65" s="1"/>
  <c r="AN249" i="65"/>
  <c r="AN212" i="65"/>
  <c r="AI188" i="65"/>
  <c r="AO188" i="65" s="1"/>
  <c r="AN257" i="65"/>
  <c r="AN219" i="65"/>
  <c r="S60" i="42"/>
  <c r="U60" i="42" s="1"/>
  <c r="AH209" i="65"/>
  <c r="AI209" i="65" s="1"/>
  <c r="AO209" i="65" s="1"/>
  <c r="AI168" i="65"/>
  <c r="AJ168" i="65" s="1"/>
  <c r="AK168" i="65" s="1"/>
  <c r="B483" i="40"/>
  <c r="B201" i="65"/>
  <c r="AI215" i="65"/>
  <c r="AJ215" i="65" s="1"/>
  <c r="AK215" i="65" s="1"/>
  <c r="AI189" i="65"/>
  <c r="AJ189" i="65" s="1"/>
  <c r="AK189" i="65" s="1"/>
  <c r="AL189" i="65" s="1"/>
  <c r="AR189" i="65" s="1"/>
  <c r="AN188" i="65"/>
  <c r="AN215" i="65"/>
  <c r="AH229" i="65"/>
  <c r="AI229" i="65" s="1"/>
  <c r="AJ229" i="65" s="1"/>
  <c r="AK229" i="65" s="1"/>
  <c r="AL229" i="65" s="1"/>
  <c r="AR229" i="65" s="1"/>
  <c r="AH253" i="65"/>
  <c r="AI253" i="65" s="1"/>
  <c r="AJ253" i="65" s="1"/>
  <c r="AH169" i="65"/>
  <c r="AI169" i="65" s="1"/>
  <c r="AH246" i="65"/>
  <c r="AI246" i="65" s="1"/>
  <c r="AJ246" i="65" s="1"/>
  <c r="AI236" i="65"/>
  <c r="AJ236" i="65" s="1"/>
  <c r="AK236" i="65" s="1"/>
  <c r="AH214" i="65"/>
  <c r="AI214" i="65" s="1"/>
  <c r="AJ214" i="65" s="1"/>
  <c r="AK214" i="65" s="1"/>
  <c r="AH231" i="65"/>
  <c r="AI231" i="65" s="1"/>
  <c r="AJ231" i="65" s="1"/>
  <c r="AK231" i="65" s="1"/>
  <c r="AL231" i="65" s="1"/>
  <c r="AR231" i="65" s="1"/>
  <c r="AH228" i="65"/>
  <c r="AI228" i="65" s="1"/>
  <c r="AH254" i="65"/>
  <c r="AI254" i="65" s="1"/>
  <c r="AJ254" i="65" s="1"/>
  <c r="AK254" i="65" s="1"/>
  <c r="AL254" i="65" s="1"/>
  <c r="AR254" i="65" s="1"/>
  <c r="AN189" i="65"/>
  <c r="AH153" i="65"/>
  <c r="AI153" i="65" s="1"/>
  <c r="AJ153" i="65" s="1"/>
  <c r="AK153" i="65" s="1"/>
  <c r="AQ153" i="65" s="1"/>
  <c r="AH252" i="65"/>
  <c r="AI252" i="65" s="1"/>
  <c r="AJ252" i="65" s="1"/>
  <c r="AK252" i="65" s="1"/>
  <c r="AL252" i="65" s="1"/>
  <c r="AR252" i="65" s="1"/>
  <c r="AH213" i="65"/>
  <c r="AI213" i="65" s="1"/>
  <c r="AH162" i="65"/>
  <c r="AI162" i="65" s="1"/>
  <c r="AJ162" i="65" s="1"/>
  <c r="AK162" i="65" s="1"/>
  <c r="AH156" i="65"/>
  <c r="AI156" i="65" s="1"/>
  <c r="AJ156" i="65" s="1"/>
  <c r="AH158" i="65"/>
  <c r="AI158" i="65" s="1"/>
  <c r="AJ158" i="65" s="1"/>
  <c r="AK158" i="65" s="1"/>
  <c r="AL158" i="65" s="1"/>
  <c r="AR158" i="65" s="1"/>
  <c r="AN236" i="65"/>
  <c r="AI167" i="65"/>
  <c r="AJ167" i="65" s="1"/>
  <c r="AK167" i="65" s="1"/>
  <c r="AL167" i="65" s="1"/>
  <c r="AR167" i="65" s="1"/>
  <c r="AN166" i="65"/>
  <c r="AH160" i="65"/>
  <c r="AI160" i="65" s="1"/>
  <c r="AJ160" i="65" s="1"/>
  <c r="AH155" i="65"/>
  <c r="AI155" i="65" s="1"/>
  <c r="AJ155" i="65" s="1"/>
  <c r="AK155" i="65" s="1"/>
  <c r="AH266" i="65"/>
  <c r="AI266" i="65" s="1"/>
  <c r="AJ266" i="65" s="1"/>
  <c r="AK266" i="65" s="1"/>
  <c r="AH227" i="65"/>
  <c r="AI227" i="65" s="1"/>
  <c r="AJ227" i="65" s="1"/>
  <c r="AH240" i="65"/>
  <c r="AI240" i="65" s="1"/>
  <c r="AH230" i="65"/>
  <c r="AI230" i="65" s="1"/>
  <c r="AJ230" i="65" s="1"/>
  <c r="AH154" i="65"/>
  <c r="AI154" i="65" s="1"/>
  <c r="AJ154" i="65" s="1"/>
  <c r="AK154" i="65" s="1"/>
  <c r="AL154" i="65" s="1"/>
  <c r="AR154" i="65" s="1"/>
  <c r="AH211" i="65"/>
  <c r="AI211" i="65" s="1"/>
  <c r="AJ211" i="65" s="1"/>
  <c r="AK211" i="65" s="1"/>
  <c r="AL211" i="65" s="1"/>
  <c r="AR211" i="65" s="1"/>
  <c r="AH157" i="65"/>
  <c r="AI157" i="65" s="1"/>
  <c r="AH239" i="65"/>
  <c r="AI239" i="65" s="1"/>
  <c r="AJ239" i="65" s="1"/>
  <c r="AK239" i="65" s="1"/>
  <c r="AH194" i="65"/>
  <c r="AI194" i="65" s="1"/>
  <c r="AJ194" i="65" s="1"/>
  <c r="AK194" i="65" s="1"/>
  <c r="AL194" i="65" s="1"/>
  <c r="AR194" i="65" s="1"/>
  <c r="AH255" i="65"/>
  <c r="AI255" i="65" s="1"/>
  <c r="AH165" i="65"/>
  <c r="AI165" i="65" s="1"/>
  <c r="AH242" i="65"/>
  <c r="AI242" i="65" s="1"/>
  <c r="AH226" i="65"/>
  <c r="AI226" i="65" s="1"/>
  <c r="AH192" i="65"/>
  <c r="AI192" i="65" s="1"/>
  <c r="AJ192" i="65" s="1"/>
  <c r="AK192" i="65" s="1"/>
  <c r="AL192" i="65" s="1"/>
  <c r="AR192" i="65" s="1"/>
  <c r="AH247" i="65"/>
  <c r="AI247" i="65" s="1"/>
  <c r="AJ247" i="65" s="1"/>
  <c r="AK247" i="65" s="1"/>
  <c r="AH256" i="65"/>
  <c r="AI256" i="65" s="1"/>
  <c r="AJ256" i="65" s="1"/>
  <c r="AI235" i="65"/>
  <c r="AJ235" i="65" s="1"/>
  <c r="AK235" i="65" s="1"/>
  <c r="AI250" i="65"/>
  <c r="AJ250" i="65" s="1"/>
  <c r="AK250" i="65" s="1"/>
  <c r="AL250" i="65" s="1"/>
  <c r="AR250" i="65" s="1"/>
  <c r="AI161" i="65"/>
  <c r="AJ161" i="65" s="1"/>
  <c r="AI251" i="65"/>
  <c r="AJ251" i="65" s="1"/>
  <c r="AK251" i="65" s="1"/>
  <c r="AL251" i="65" s="1"/>
  <c r="AR251" i="65" s="1"/>
  <c r="AH216" i="65"/>
  <c r="AI216" i="65" s="1"/>
  <c r="AJ216" i="65" s="1"/>
  <c r="AK216" i="65" s="1"/>
  <c r="AL216" i="65" s="1"/>
  <c r="AR216" i="65" s="1"/>
  <c r="AH258" i="65"/>
  <c r="AI258" i="65" s="1"/>
  <c r="AH191" i="65"/>
  <c r="AI191" i="65" s="1"/>
  <c r="AJ191" i="65" s="1"/>
  <c r="AK191" i="65" s="1"/>
  <c r="AL191" i="65" s="1"/>
  <c r="AR191" i="65" s="1"/>
  <c r="AH233" i="65"/>
  <c r="AI233" i="65" s="1"/>
  <c r="AH232" i="65"/>
  <c r="AI232" i="65" s="1"/>
  <c r="AH241" i="65"/>
  <c r="AI241" i="65" s="1"/>
  <c r="AJ241" i="65" s="1"/>
  <c r="AK241" i="65" s="1"/>
  <c r="AL241" i="65" s="1"/>
  <c r="AR241" i="65" s="1"/>
  <c r="AH217" i="65"/>
  <c r="AI217" i="65" s="1"/>
  <c r="AH210" i="65"/>
  <c r="AI210" i="65" s="1"/>
  <c r="AJ210" i="65" s="1"/>
  <c r="AK210" i="65" s="1"/>
  <c r="AH164" i="65"/>
  <c r="AI164" i="65" s="1"/>
  <c r="AH238" i="65"/>
  <c r="AI238" i="65" s="1"/>
  <c r="AH220" i="65"/>
  <c r="AI220" i="65" s="1"/>
  <c r="AJ220" i="65" s="1"/>
  <c r="AK220" i="65" s="1"/>
  <c r="AL220" i="65" s="1"/>
  <c r="AR220" i="65" s="1"/>
  <c r="AH193" i="65"/>
  <c r="AI193" i="65" s="1"/>
  <c r="AJ193" i="65" s="1"/>
  <c r="AK193" i="65" s="1"/>
  <c r="AL193" i="65" s="1"/>
  <c r="AR193" i="65" s="1"/>
  <c r="AI163" i="65"/>
  <c r="AJ163" i="65" s="1"/>
  <c r="AK163" i="65" s="1"/>
  <c r="AL163" i="65" s="1"/>
  <c r="AR163" i="65" s="1"/>
  <c r="AI219" i="65"/>
  <c r="AJ219" i="65" s="1"/>
  <c r="AK219" i="65" s="1"/>
  <c r="AL219" i="65" s="1"/>
  <c r="AR219" i="65" s="1"/>
  <c r="AH152" i="65"/>
  <c r="AI152" i="65" s="1"/>
  <c r="AJ152" i="65" s="1"/>
  <c r="AP152" i="65" s="1"/>
  <c r="AH218" i="65"/>
  <c r="AI218" i="65" s="1"/>
  <c r="AJ218" i="65" s="1"/>
  <c r="AK218" i="65" s="1"/>
  <c r="AL218" i="65" s="1"/>
  <c r="AR218" i="65" s="1"/>
  <c r="AH159" i="65"/>
  <c r="AI159" i="65" s="1"/>
  <c r="AJ159" i="65" s="1"/>
  <c r="AH151" i="65"/>
  <c r="AI151" i="65" s="1"/>
  <c r="AH237" i="65"/>
  <c r="AI237" i="65" s="1"/>
  <c r="AJ237" i="65" s="1"/>
  <c r="AH248" i="65"/>
  <c r="AI248" i="65" s="1"/>
  <c r="AO248" i="65" s="1"/>
  <c r="AH208" i="65"/>
  <c r="AI208" i="65" s="1"/>
  <c r="AJ208" i="65" s="1"/>
  <c r="AK208" i="65" s="1"/>
  <c r="AL208" i="65" s="1"/>
  <c r="AR208" i="65" s="1"/>
  <c r="AH234" i="65"/>
  <c r="AI234" i="65" s="1"/>
  <c r="AI257" i="65"/>
  <c r="AJ257" i="65" s="1"/>
  <c r="AK257" i="65" s="1"/>
  <c r="AL257" i="65" s="1"/>
  <c r="AR257" i="65" s="1"/>
  <c r="AI190" i="65"/>
  <c r="AJ190" i="65" s="1"/>
  <c r="AK190" i="65" s="1"/>
  <c r="AN107" i="65"/>
  <c r="AI64" i="65"/>
  <c r="AJ64" i="65" s="1"/>
  <c r="AK64" i="65" s="1"/>
  <c r="AQ64" i="65" s="1"/>
  <c r="P54" i="66"/>
  <c r="L51" i="37"/>
  <c r="P42" i="66"/>
  <c r="L42" i="37"/>
  <c r="L50" i="50"/>
  <c r="K50" i="37"/>
  <c r="Q43" i="66"/>
  <c r="M43" i="37"/>
  <c r="N52" i="66"/>
  <c r="J49" i="37"/>
  <c r="P41" i="66"/>
  <c r="L41" i="37"/>
  <c r="AH121" i="65"/>
  <c r="AI121" i="65" s="1"/>
  <c r="AJ121" i="65" s="1"/>
  <c r="AP121" i="65" s="1"/>
  <c r="AH122" i="65"/>
  <c r="AI122" i="65" s="1"/>
  <c r="AJ122" i="65" s="1"/>
  <c r="AK122" i="65" s="1"/>
  <c r="AL122" i="65" s="1"/>
  <c r="AR122" i="65" s="1"/>
  <c r="AH133" i="65"/>
  <c r="AI133" i="65" s="1"/>
  <c r="AO133" i="65" s="1"/>
  <c r="AI104" i="65"/>
  <c r="AJ104" i="65" s="1"/>
  <c r="AK104" i="65" s="1"/>
  <c r="AL104" i="65" s="1"/>
  <c r="AR104" i="65" s="1"/>
  <c r="AN104" i="65"/>
  <c r="AH105" i="65"/>
  <c r="AI105" i="65" s="1"/>
  <c r="AJ105" i="65" s="1"/>
  <c r="AK105" i="65" s="1"/>
  <c r="AL105" i="65" s="1"/>
  <c r="AR105" i="65" s="1"/>
  <c r="AH134" i="65"/>
  <c r="AI134" i="65" s="1"/>
  <c r="AJ134" i="65" s="1"/>
  <c r="AP134" i="65" s="1"/>
  <c r="AH102" i="65"/>
  <c r="AI102" i="65" s="1"/>
  <c r="AJ102" i="65" s="1"/>
  <c r="AK102" i="65" s="1"/>
  <c r="AL102" i="65" s="1"/>
  <c r="AR102" i="65" s="1"/>
  <c r="AH52" i="65"/>
  <c r="AI52" i="65" s="1"/>
  <c r="AJ52" i="65" s="1"/>
  <c r="AK52" i="65" s="1"/>
  <c r="AL52" i="65" s="1"/>
  <c r="AR52" i="65" s="1"/>
  <c r="AH142" i="65"/>
  <c r="AI142" i="65" s="1"/>
  <c r="AJ142" i="65" s="1"/>
  <c r="AK142" i="65" s="1"/>
  <c r="AL142" i="65" s="1"/>
  <c r="AR142" i="65" s="1"/>
  <c r="AH91" i="65"/>
  <c r="AI91" i="65" s="1"/>
  <c r="AJ91" i="65" s="1"/>
  <c r="AK91" i="65" s="1"/>
  <c r="AL91" i="65" s="1"/>
  <c r="AR91" i="65" s="1"/>
  <c r="AH125" i="65"/>
  <c r="AH136" i="65"/>
  <c r="AI136" i="65" s="1"/>
  <c r="AJ136" i="65" s="1"/>
  <c r="AK136" i="65" s="1"/>
  <c r="AL136" i="65" s="1"/>
  <c r="AR136" i="65" s="1"/>
  <c r="AI92" i="65"/>
  <c r="AJ92" i="65" s="1"/>
  <c r="AH86" i="65"/>
  <c r="AI86" i="65" s="1"/>
  <c r="AO86" i="65" s="1"/>
  <c r="AO102" i="65"/>
  <c r="AH98" i="65"/>
  <c r="AI98" i="65" s="1"/>
  <c r="AJ98" i="65" s="1"/>
  <c r="AH55" i="65"/>
  <c r="AI55" i="65" s="1"/>
  <c r="AJ55" i="65" s="1"/>
  <c r="AK55" i="65" s="1"/>
  <c r="AL55" i="65" s="1"/>
  <c r="AR55" i="65" s="1"/>
  <c r="AH97" i="65"/>
  <c r="AI97" i="65" s="1"/>
  <c r="AJ97" i="65" s="1"/>
  <c r="AK97" i="65" s="1"/>
  <c r="AL97" i="65" s="1"/>
  <c r="AR97" i="65" s="1"/>
  <c r="AH56" i="65"/>
  <c r="AI56" i="65" s="1"/>
  <c r="AJ56" i="65" s="1"/>
  <c r="AK56" i="65" s="1"/>
  <c r="AL56" i="65" s="1"/>
  <c r="AR56" i="65" s="1"/>
  <c r="AH96" i="65"/>
  <c r="AI96" i="65" s="1"/>
  <c r="AH54" i="65"/>
  <c r="AI54" i="65" s="1"/>
  <c r="AJ54" i="65" s="1"/>
  <c r="AK54" i="65" s="1"/>
  <c r="AL54" i="65" s="1"/>
  <c r="AR54" i="65" s="1"/>
  <c r="AH137" i="65"/>
  <c r="AI137" i="65" s="1"/>
  <c r="AJ137" i="65" s="1"/>
  <c r="AH85" i="65"/>
  <c r="AN85" i="65" s="1"/>
  <c r="AH135" i="65"/>
  <c r="AN92" i="65"/>
  <c r="AH95" i="65"/>
  <c r="AI95" i="65" s="1"/>
  <c r="AJ95" i="65" s="1"/>
  <c r="AK95" i="65" s="1"/>
  <c r="AL95" i="65" s="1"/>
  <c r="AR95" i="65" s="1"/>
  <c r="AH88" i="65"/>
  <c r="AI88" i="65" s="1"/>
  <c r="AJ88" i="65" s="1"/>
  <c r="AK88" i="65" s="1"/>
  <c r="AH138" i="65"/>
  <c r="AI138" i="65" s="1"/>
  <c r="AJ138" i="65" s="1"/>
  <c r="AK138" i="65" s="1"/>
  <c r="AL138" i="65" s="1"/>
  <c r="AR138" i="65" s="1"/>
  <c r="AH100" i="65"/>
  <c r="AI100" i="65" s="1"/>
  <c r="AJ100" i="65" s="1"/>
  <c r="AK100" i="65" s="1"/>
  <c r="AL100" i="65" s="1"/>
  <c r="AR100" i="65" s="1"/>
  <c r="AH87" i="65"/>
  <c r="AI87" i="65" s="1"/>
  <c r="AJ87" i="65" s="1"/>
  <c r="AP87" i="65" s="1"/>
  <c r="AH58" i="65"/>
  <c r="AI58" i="65" s="1"/>
  <c r="AJ58" i="65" s="1"/>
  <c r="AK58" i="65" s="1"/>
  <c r="AL58" i="65" s="1"/>
  <c r="AR58" i="65" s="1"/>
  <c r="AH53" i="65"/>
  <c r="AI53" i="65" s="1"/>
  <c r="AJ53" i="65" s="1"/>
  <c r="AK53" i="65" s="1"/>
  <c r="AL53" i="65" s="1"/>
  <c r="AR53" i="65" s="1"/>
  <c r="AH94" i="65"/>
  <c r="AI94" i="65" s="1"/>
  <c r="AJ94" i="65" s="1"/>
  <c r="AK94" i="65" s="1"/>
  <c r="AH101" i="65"/>
  <c r="AI101" i="65" s="1"/>
  <c r="AJ101" i="65" s="1"/>
  <c r="AK101" i="65" s="1"/>
  <c r="AL101" i="65" s="1"/>
  <c r="AR101" i="65" s="1"/>
  <c r="AH93" i="65"/>
  <c r="AI93" i="65" s="1"/>
  <c r="AJ93" i="65" s="1"/>
  <c r="AK93" i="65" s="1"/>
  <c r="AL93" i="65" s="1"/>
  <c r="AR93" i="65" s="1"/>
  <c r="AH99" i="65"/>
  <c r="AI99" i="65" s="1"/>
  <c r="AJ99" i="65" s="1"/>
  <c r="AK99" i="65" s="1"/>
  <c r="AL99" i="65" s="1"/>
  <c r="AR99" i="65" s="1"/>
  <c r="AH57" i="65"/>
  <c r="AI57" i="65" s="1"/>
  <c r="AJ57" i="65" s="1"/>
  <c r="AK57" i="65" s="1"/>
  <c r="AL57" i="65" s="1"/>
  <c r="AR57" i="65" s="1"/>
  <c r="AH139" i="65"/>
  <c r="AI139" i="65" s="1"/>
  <c r="AJ139" i="65" s="1"/>
  <c r="AK139" i="65" s="1"/>
  <c r="AL139" i="65" s="1"/>
  <c r="AR139" i="65" s="1"/>
  <c r="AI107" i="65"/>
  <c r="AJ107" i="65" s="1"/>
  <c r="AK107" i="65" s="1"/>
  <c r="AL107" i="65" s="1"/>
  <c r="AR107" i="65" s="1"/>
  <c r="AI59" i="65"/>
  <c r="AJ59" i="65" s="1"/>
  <c r="AK59" i="65" s="1"/>
  <c r="AL59" i="65" s="1"/>
  <c r="AR59" i="65" s="1"/>
  <c r="AI90" i="65"/>
  <c r="AJ90" i="65" s="1"/>
  <c r="AI89" i="65"/>
  <c r="AJ89" i="65" s="1"/>
  <c r="AK89" i="65" s="1"/>
  <c r="AL89" i="65" s="1"/>
  <c r="AR89" i="65" s="1"/>
  <c r="AI141" i="65"/>
  <c r="AO141" i="65" s="1"/>
  <c r="AI123" i="65"/>
  <c r="AJ123" i="65" s="1"/>
  <c r="AP123" i="65" s="1"/>
  <c r="K49" i="66"/>
  <c r="K27" i="25"/>
  <c r="O51" i="66"/>
  <c r="O87" i="66" s="1"/>
  <c r="Q89" i="66" s="1"/>
  <c r="O29" i="25"/>
  <c r="L50" i="66"/>
  <c r="L28" i="25"/>
  <c r="AZ140" i="50"/>
  <c r="M42" i="50"/>
  <c r="P61" i="24"/>
  <c r="O31" i="25"/>
  <c r="M58" i="24"/>
  <c r="N50" i="42"/>
  <c r="Q55" i="66"/>
  <c r="M40" i="42"/>
  <c r="K41" i="65"/>
  <c r="L48" i="42"/>
  <c r="O53" i="66"/>
  <c r="P20" i="25"/>
  <c r="Q45" i="24"/>
  <c r="M39" i="42"/>
  <c r="AI60" i="65"/>
  <c r="AI84" i="65"/>
  <c r="AJ84" i="65" s="1"/>
  <c r="AI78" i="65"/>
  <c r="AO78" i="65" s="1"/>
  <c r="AI67" i="65"/>
  <c r="AO67" i="65" s="1"/>
  <c r="AI69" i="65"/>
  <c r="AJ69" i="65" s="1"/>
  <c r="AI80" i="65"/>
  <c r="AO80" i="65" s="1"/>
  <c r="AI66" i="65"/>
  <c r="AO66" i="65" s="1"/>
  <c r="AN141" i="65"/>
  <c r="AN69" i="65"/>
  <c r="AI111" i="65"/>
  <c r="AJ111" i="65" s="1"/>
  <c r="AK111" i="65" s="1"/>
  <c r="AL111" i="65" s="1"/>
  <c r="AR111" i="65" s="1"/>
  <c r="AI132" i="65"/>
  <c r="AJ132" i="65" s="1"/>
  <c r="AK132" i="65" s="1"/>
  <c r="AN64" i="65"/>
  <c r="AH115" i="65"/>
  <c r="AI115" i="65" s="1"/>
  <c r="AH61" i="65"/>
  <c r="AI61" i="65" s="1"/>
  <c r="AJ61" i="65" s="1"/>
  <c r="AH130" i="65"/>
  <c r="AI130" i="65" s="1"/>
  <c r="AH126" i="65"/>
  <c r="AH62" i="65"/>
  <c r="AI62" i="65" s="1"/>
  <c r="AJ62" i="65" s="1"/>
  <c r="AH108" i="65"/>
  <c r="AI108" i="65" s="1"/>
  <c r="AH113" i="65"/>
  <c r="AI113" i="65" s="1"/>
  <c r="AJ113" i="65" s="1"/>
  <c r="AK113" i="65" s="1"/>
  <c r="AL113" i="65" s="1"/>
  <c r="AR113" i="65" s="1"/>
  <c r="AH72" i="65"/>
  <c r="AI72" i="65" s="1"/>
  <c r="AH75" i="65"/>
  <c r="AI75" i="65" s="1"/>
  <c r="AH65" i="65"/>
  <c r="AI65" i="65" s="1"/>
  <c r="AJ65" i="65" s="1"/>
  <c r="AK65" i="65" s="1"/>
  <c r="AH131" i="65"/>
  <c r="AI131" i="65" s="1"/>
  <c r="AJ131" i="65" s="1"/>
  <c r="AK131" i="65" s="1"/>
  <c r="AH116" i="65"/>
  <c r="AI116" i="65" s="1"/>
  <c r="AJ116" i="65" s="1"/>
  <c r="AH63" i="65"/>
  <c r="AI63" i="65" s="1"/>
  <c r="AJ63" i="65" s="1"/>
  <c r="AH79" i="65"/>
  <c r="AI79" i="65" s="1"/>
  <c r="AI76" i="65"/>
  <c r="AJ76" i="65" s="1"/>
  <c r="AH73" i="65"/>
  <c r="AI73" i="65" s="1"/>
  <c r="AJ73" i="65" s="1"/>
  <c r="AK73" i="65" s="1"/>
  <c r="AL73" i="65" s="1"/>
  <c r="AR73" i="65" s="1"/>
  <c r="AI117" i="65"/>
  <c r="AJ117" i="65" s="1"/>
  <c r="AK117" i="65" s="1"/>
  <c r="AL117" i="65" s="1"/>
  <c r="AR117" i="65" s="1"/>
  <c r="AH112" i="65"/>
  <c r="AI112" i="65" s="1"/>
  <c r="AJ112" i="65" s="1"/>
  <c r="AK112" i="65" s="1"/>
  <c r="AL112" i="65" s="1"/>
  <c r="AR112" i="65" s="1"/>
  <c r="AH83" i="65"/>
  <c r="AI83" i="65" s="1"/>
  <c r="AJ83" i="65" s="1"/>
  <c r="AH68" i="65"/>
  <c r="AI68" i="65" s="1"/>
  <c r="AJ68" i="65" s="1"/>
  <c r="AK68" i="65" s="1"/>
  <c r="AN127" i="65"/>
  <c r="AI127" i="65"/>
  <c r="AJ127" i="65" s="1"/>
  <c r="AI124" i="65"/>
  <c r="AJ124" i="65" s="1"/>
  <c r="AH70" i="65"/>
  <c r="AI70" i="65" s="1"/>
  <c r="AJ70" i="65" s="1"/>
  <c r="AN67" i="65"/>
  <c r="AI74" i="65"/>
  <c r="AJ74" i="65" s="1"/>
  <c r="AK74" i="65" s="1"/>
  <c r="AL74" i="65" s="1"/>
  <c r="AR74" i="65" s="1"/>
  <c r="AH71" i="65"/>
  <c r="AI71" i="65" s="1"/>
  <c r="AJ71" i="65" s="1"/>
  <c r="AI114" i="65"/>
  <c r="AJ114" i="65" s="1"/>
  <c r="AH140" i="65"/>
  <c r="AI140" i="65" s="1"/>
  <c r="AJ140" i="65" s="1"/>
  <c r="AN123" i="65"/>
  <c r="AH77" i="65"/>
  <c r="AI77" i="65" s="1"/>
  <c r="AJ77" i="65" s="1"/>
  <c r="AK77" i="65" s="1"/>
  <c r="AH109" i="65"/>
  <c r="AI109" i="65" s="1"/>
  <c r="AJ109" i="65" s="1"/>
  <c r="AP109" i="65" s="1"/>
  <c r="AH129" i="65"/>
  <c r="AI129" i="65" s="1"/>
  <c r="AH110" i="65"/>
  <c r="AI110" i="65" s="1"/>
  <c r="AN66" i="65"/>
  <c r="AN84" i="65"/>
  <c r="AI118" i="65"/>
  <c r="AJ118" i="65" s="1"/>
  <c r="AI81" i="65"/>
  <c r="AJ81" i="65" s="1"/>
  <c r="AK81" i="65" s="1"/>
  <c r="AN132" i="65"/>
  <c r="AH82" i="65"/>
  <c r="AI82" i="65" s="1"/>
  <c r="AJ82" i="65" s="1"/>
  <c r="AK82" i="65" s="1"/>
  <c r="AL82" i="65" s="1"/>
  <c r="AR82" i="65" s="1"/>
  <c r="AN78" i="65"/>
  <c r="P19" i="25"/>
  <c r="Q44" i="24"/>
  <c r="M41" i="50"/>
  <c r="AZ139" i="50"/>
  <c r="AB51" i="65"/>
  <c r="AH51" i="65" s="1"/>
  <c r="O60" i="24"/>
  <c r="K47" i="42"/>
  <c r="N30" i="25"/>
  <c r="N104" i="25" s="1"/>
  <c r="K49" i="50"/>
  <c r="M49" i="42"/>
  <c r="P32" i="25"/>
  <c r="Q62" i="24"/>
  <c r="M51" i="50"/>
  <c r="L40" i="50"/>
  <c r="O18" i="25"/>
  <c r="L38" i="42"/>
  <c r="N52" i="50"/>
  <c r="Q33" i="25"/>
  <c r="P59" i="24"/>
  <c r="Q61" i="24"/>
  <c r="M50" i="37" s="1"/>
  <c r="L57" i="24"/>
  <c r="N58" i="24"/>
  <c r="L42" i="65"/>
  <c r="N41" i="42"/>
  <c r="N43" i="50"/>
  <c r="Q21" i="25"/>
  <c r="AP366" i="65" l="1"/>
  <c r="AQ323" i="65"/>
  <c r="AP322" i="65"/>
  <c r="AK310" i="65"/>
  <c r="AL310" i="65" s="1"/>
  <c r="AR310" i="65" s="1"/>
  <c r="AO351" i="65"/>
  <c r="AP323" i="65"/>
  <c r="AN292" i="65"/>
  <c r="AO321" i="65"/>
  <c r="AL318" i="65"/>
  <c r="AR318" i="65" s="1"/>
  <c r="AQ318" i="65"/>
  <c r="AK375" i="65"/>
  <c r="AP375" i="65"/>
  <c r="AQ367" i="65"/>
  <c r="AP350" i="65"/>
  <c r="AO364" i="65"/>
  <c r="AO310" i="65"/>
  <c r="AP374" i="65"/>
  <c r="AO375" i="65"/>
  <c r="AO320" i="65"/>
  <c r="AN278" i="65"/>
  <c r="AK279" i="65"/>
  <c r="AP279" i="65"/>
  <c r="AJ371" i="65"/>
  <c r="AO371" i="65"/>
  <c r="AJ319" i="65"/>
  <c r="AO319" i="65"/>
  <c r="AN315" i="65"/>
  <c r="AN281" i="65"/>
  <c r="AJ357" i="65"/>
  <c r="AO357" i="65"/>
  <c r="AK364" i="65"/>
  <c r="AP364" i="65"/>
  <c r="AJ377" i="65"/>
  <c r="AO377" i="65"/>
  <c r="AO275" i="65"/>
  <c r="AK284" i="65"/>
  <c r="AP284" i="65"/>
  <c r="AN352" i="65"/>
  <c r="AO376" i="65"/>
  <c r="AN382" i="65"/>
  <c r="AO279" i="65"/>
  <c r="AJ345" i="65"/>
  <c r="AO345" i="65"/>
  <c r="AK275" i="65"/>
  <c r="AP275" i="65"/>
  <c r="AN344" i="65"/>
  <c r="AL348" i="65"/>
  <c r="AR348" i="65" s="1"/>
  <c r="AQ348" i="65"/>
  <c r="AJ315" i="65"/>
  <c r="AO315" i="65"/>
  <c r="AJ281" i="65"/>
  <c r="AO281" i="65"/>
  <c r="AL322" i="65"/>
  <c r="AR322" i="65" s="1"/>
  <c r="AQ322" i="65"/>
  <c r="AJ352" i="65"/>
  <c r="AO352" i="65"/>
  <c r="AJ382" i="65"/>
  <c r="AO382" i="65"/>
  <c r="AQ374" i="65"/>
  <c r="AL342" i="65"/>
  <c r="AR342" i="65" s="1"/>
  <c r="AQ342" i="65"/>
  <c r="AL350" i="65"/>
  <c r="AR350" i="65" s="1"/>
  <c r="AQ350" i="65"/>
  <c r="AJ344" i="65"/>
  <c r="AO344" i="65"/>
  <c r="AJ316" i="65"/>
  <c r="AO316" i="65"/>
  <c r="AN376" i="65"/>
  <c r="AK340" i="65"/>
  <c r="AP340" i="65"/>
  <c r="AQ339" i="65"/>
  <c r="AJ292" i="65"/>
  <c r="AO292" i="65"/>
  <c r="AP348" i="65"/>
  <c r="AO284" i="65"/>
  <c r="AL351" i="65"/>
  <c r="AR351" i="65" s="1"/>
  <c r="AQ351" i="65"/>
  <c r="M122" i="66"/>
  <c r="O124" i="66" s="1"/>
  <c r="AL366" i="65"/>
  <c r="AR366" i="65" s="1"/>
  <c r="AQ366" i="65"/>
  <c r="AK320" i="65"/>
  <c r="AP320" i="65"/>
  <c r="AN371" i="65"/>
  <c r="AN319" i="65"/>
  <c r="AJ354" i="65"/>
  <c r="AO354" i="65"/>
  <c r="AQ274" i="65"/>
  <c r="AK376" i="65"/>
  <c r="AP376" i="65"/>
  <c r="AN357" i="65"/>
  <c r="AN377" i="65"/>
  <c r="AL278" i="65"/>
  <c r="AR278" i="65" s="1"/>
  <c r="AQ278" i="65"/>
  <c r="AJ356" i="65"/>
  <c r="AO356" i="65"/>
  <c r="AJ373" i="65"/>
  <c r="AO373" i="65"/>
  <c r="AK321" i="65"/>
  <c r="AP321" i="65"/>
  <c r="AJ311" i="65"/>
  <c r="AO311" i="65"/>
  <c r="AN345" i="65"/>
  <c r="AQ310" i="65"/>
  <c r="AL359" i="65"/>
  <c r="AR359" i="65" s="1"/>
  <c r="AQ359" i="65"/>
  <c r="AK324" i="65"/>
  <c r="AP324" i="65"/>
  <c r="H391" i="65"/>
  <c r="I391" i="65"/>
  <c r="AO230" i="65"/>
  <c r="AO155" i="65"/>
  <c r="AP231" i="65"/>
  <c r="AO253" i="65"/>
  <c r="AJ249" i="65"/>
  <c r="AK249" i="65" s="1"/>
  <c r="AL249" i="65" s="1"/>
  <c r="AR249" i="65" s="1"/>
  <c r="AO189" i="65"/>
  <c r="AO156" i="65"/>
  <c r="AJ166" i="65"/>
  <c r="AK166" i="65" s="1"/>
  <c r="AL166" i="65" s="1"/>
  <c r="AR166" i="65" s="1"/>
  <c r="AJ212" i="65"/>
  <c r="AK212" i="65" s="1"/>
  <c r="AQ212" i="65" s="1"/>
  <c r="AO214" i="65"/>
  <c r="AO256" i="65"/>
  <c r="AP214" i="65"/>
  <c r="AJ188" i="65"/>
  <c r="AP188" i="65" s="1"/>
  <c r="AQ254" i="65"/>
  <c r="AO254" i="65"/>
  <c r="AO246" i="65"/>
  <c r="AO215" i="65"/>
  <c r="AP254" i="65"/>
  <c r="AO231" i="65"/>
  <c r="AO153" i="65"/>
  <c r="AO162" i="65"/>
  <c r="AQ154" i="65"/>
  <c r="AQ231" i="65"/>
  <c r="AP252" i="65"/>
  <c r="AQ163" i="65"/>
  <c r="AP247" i="65"/>
  <c r="AQ218" i="65"/>
  <c r="AJ245" i="65"/>
  <c r="AP245" i="65" s="1"/>
  <c r="AO245" i="65"/>
  <c r="AQ247" i="65"/>
  <c r="AL247" i="65"/>
  <c r="AR247" i="65" s="1"/>
  <c r="AN231" i="65"/>
  <c r="AN245" i="65"/>
  <c r="AP246" i="65"/>
  <c r="AK246" i="65"/>
  <c r="AQ246" i="65" s="1"/>
  <c r="AO193" i="65"/>
  <c r="AN208" i="65"/>
  <c r="AO168" i="65"/>
  <c r="AO151" i="65"/>
  <c r="AP194" i="65"/>
  <c r="AN213" i="65"/>
  <c r="AN228" i="65"/>
  <c r="AN253" i="65"/>
  <c r="AP189" i="65"/>
  <c r="AN227" i="65"/>
  <c r="AJ209" i="65"/>
  <c r="AK209" i="65" s="1"/>
  <c r="AL209" i="65" s="1"/>
  <c r="AR209" i="65" s="1"/>
  <c r="AP162" i="65"/>
  <c r="AN218" i="65"/>
  <c r="AN164" i="65"/>
  <c r="AN162" i="65"/>
  <c r="B484" i="40"/>
  <c r="B202" i="65"/>
  <c r="AN209" i="65"/>
  <c r="AQ250" i="65"/>
  <c r="AO154" i="65"/>
  <c r="AN159" i="65"/>
  <c r="AN220" i="65"/>
  <c r="AN242" i="65"/>
  <c r="AP220" i="65"/>
  <c r="AN254" i="65"/>
  <c r="AP168" i="65"/>
  <c r="AN169" i="65"/>
  <c r="AQ211" i="65"/>
  <c r="AN234" i="65"/>
  <c r="AJ248" i="65"/>
  <c r="AK248" i="65" s="1"/>
  <c r="AL248" i="65" s="1"/>
  <c r="AR248" i="65" s="1"/>
  <c r="AP208" i="65"/>
  <c r="AQ208" i="65"/>
  <c r="AO152" i="65"/>
  <c r="AN232" i="65"/>
  <c r="AN258" i="65"/>
  <c r="AN211" i="65"/>
  <c r="AO219" i="65"/>
  <c r="AN240" i="65"/>
  <c r="AN266" i="65"/>
  <c r="AO239" i="65"/>
  <c r="AO266" i="65"/>
  <c r="AP218" i="65"/>
  <c r="AN248" i="65"/>
  <c r="AN151" i="65"/>
  <c r="AN152" i="65"/>
  <c r="AN193" i="65"/>
  <c r="AP191" i="65"/>
  <c r="AQ191" i="65"/>
  <c r="AP215" i="65"/>
  <c r="AP250" i="65"/>
  <c r="AN191" i="65"/>
  <c r="AN256" i="65"/>
  <c r="AO211" i="65"/>
  <c r="AN165" i="65"/>
  <c r="AO167" i="65"/>
  <c r="AN155" i="65"/>
  <c r="AP219" i="65"/>
  <c r="AP216" i="65"/>
  <c r="AO159" i="65"/>
  <c r="AL190" i="65"/>
  <c r="AR190" i="65" s="1"/>
  <c r="AQ190" i="65"/>
  <c r="AL210" i="65"/>
  <c r="AR210" i="65" s="1"/>
  <c r="AQ210" i="65"/>
  <c r="AP190" i="65"/>
  <c r="AL215" i="65"/>
  <c r="AR215" i="65" s="1"/>
  <c r="AQ215" i="65"/>
  <c r="AL236" i="65"/>
  <c r="AR236" i="65" s="1"/>
  <c r="AQ236" i="65"/>
  <c r="AJ234" i="65"/>
  <c r="AO234" i="65"/>
  <c r="AN237" i="65"/>
  <c r="AK159" i="65"/>
  <c r="AP159" i="65"/>
  <c r="AO257" i="65"/>
  <c r="AO210" i="65"/>
  <c r="AN210" i="65"/>
  <c r="AN241" i="65"/>
  <c r="AJ258" i="65"/>
  <c r="AO258" i="65"/>
  <c r="AO252" i="65"/>
  <c r="AK256" i="65"/>
  <c r="AP256" i="65"/>
  <c r="AN247" i="65"/>
  <c r="AP229" i="65"/>
  <c r="AJ242" i="65"/>
  <c r="AO242" i="65"/>
  <c r="AO161" i="65"/>
  <c r="AJ165" i="65"/>
  <c r="AO165" i="65"/>
  <c r="AN255" i="65"/>
  <c r="AN194" i="65"/>
  <c r="AN157" i="65"/>
  <c r="AP193" i="65"/>
  <c r="AO216" i="65"/>
  <c r="AJ240" i="65"/>
  <c r="AO240" i="65"/>
  <c r="AL266" i="65"/>
  <c r="AR266" i="65" s="1"/>
  <c r="AQ266" i="65"/>
  <c r="AO250" i="65"/>
  <c r="AL155" i="65"/>
  <c r="AR155" i="65" s="1"/>
  <c r="AQ155" i="65"/>
  <c r="AP167" i="65"/>
  <c r="AO220" i="65"/>
  <c r="AN158" i="65"/>
  <c r="AO237" i="65"/>
  <c r="AJ213" i="65"/>
  <c r="AO213" i="65"/>
  <c r="AN252" i="65"/>
  <c r="AQ220" i="65"/>
  <c r="AP154" i="65"/>
  <c r="AJ228" i="65"/>
  <c r="AO228" i="65"/>
  <c r="AO160" i="65"/>
  <c r="AJ169" i="65"/>
  <c r="AO169" i="65"/>
  <c r="AK253" i="65"/>
  <c r="AP253" i="65"/>
  <c r="AP155" i="65"/>
  <c r="AN229" i="65"/>
  <c r="AK237" i="65"/>
  <c r="AP237" i="65"/>
  <c r="AL235" i="65"/>
  <c r="AR235" i="65" s="1"/>
  <c r="AQ235" i="65"/>
  <c r="AO247" i="65"/>
  <c r="AJ157" i="65"/>
  <c r="AO157" i="65"/>
  <c r="AO190" i="65"/>
  <c r="AJ238" i="65"/>
  <c r="AO238" i="65"/>
  <c r="AJ217" i="65"/>
  <c r="AO217" i="65"/>
  <c r="AO233" i="65"/>
  <c r="AJ233" i="65"/>
  <c r="AP235" i="65"/>
  <c r="AO236" i="65"/>
  <c r="AK161" i="65"/>
  <c r="AP161" i="65"/>
  <c r="AJ226" i="65"/>
  <c r="AP226" i="65" s="1"/>
  <c r="AO226" i="65"/>
  <c r="AL239" i="65"/>
  <c r="AR239" i="65" s="1"/>
  <c r="AQ239" i="65"/>
  <c r="AQ252" i="65"/>
  <c r="AP241" i="65"/>
  <c r="AQ193" i="65"/>
  <c r="AK230" i="65"/>
  <c r="AP230" i="65"/>
  <c r="AK160" i="65"/>
  <c r="AP160" i="65"/>
  <c r="AO241" i="65"/>
  <c r="AK156" i="65"/>
  <c r="AP156" i="65"/>
  <c r="AP239" i="65"/>
  <c r="AQ189" i="65"/>
  <c r="AQ158" i="65"/>
  <c r="AL168" i="65"/>
  <c r="AR168" i="65" s="1"/>
  <c r="AQ168" i="65"/>
  <c r="AO208" i="65"/>
  <c r="AL214" i="65"/>
  <c r="AR214" i="65" s="1"/>
  <c r="AQ214" i="65"/>
  <c r="AP210" i="65"/>
  <c r="AP257" i="65"/>
  <c r="AN246" i="65"/>
  <c r="AO235" i="65"/>
  <c r="AJ255" i="65"/>
  <c r="AO255" i="65"/>
  <c r="AQ241" i="65"/>
  <c r="AQ216" i="65"/>
  <c r="AO163" i="65"/>
  <c r="AN238" i="65"/>
  <c r="AJ164" i="65"/>
  <c r="AO164" i="65"/>
  <c r="AN217" i="65"/>
  <c r="AO158" i="65"/>
  <c r="AJ232" i="65"/>
  <c r="AO232" i="65"/>
  <c r="AN233" i="65"/>
  <c r="AQ219" i="65"/>
  <c r="AN216" i="65"/>
  <c r="AO192" i="65"/>
  <c r="AN192" i="65"/>
  <c r="AN226" i="65"/>
  <c r="AP236" i="65"/>
  <c r="AO251" i="65"/>
  <c r="AP158" i="65"/>
  <c r="AN239" i="65"/>
  <c r="AQ229" i="65"/>
  <c r="AO229" i="65"/>
  <c r="AN154" i="65"/>
  <c r="AQ251" i="65"/>
  <c r="AN230" i="65"/>
  <c r="AQ192" i="65"/>
  <c r="AK227" i="65"/>
  <c r="AQ227" i="65" s="1"/>
  <c r="AP227" i="65"/>
  <c r="AP211" i="65"/>
  <c r="AN160" i="65"/>
  <c r="AN156" i="65"/>
  <c r="AL162" i="65"/>
  <c r="AR162" i="65" s="1"/>
  <c r="AQ162" i="65"/>
  <c r="AQ194" i="65"/>
  <c r="AN153" i="65"/>
  <c r="AP192" i="65"/>
  <c r="AP163" i="65"/>
  <c r="AO227" i="65"/>
  <c r="AP153" i="65"/>
  <c r="AO218" i="65"/>
  <c r="AN214" i="65"/>
  <c r="AO194" i="65"/>
  <c r="AQ167" i="65"/>
  <c r="AP251" i="65"/>
  <c r="AQ257" i="65"/>
  <c r="AP266" i="65"/>
  <c r="AO191" i="65"/>
  <c r="AP64" i="65"/>
  <c r="AO64" i="65"/>
  <c r="AO88" i="65"/>
  <c r="Q41" i="66"/>
  <c r="M41" i="37"/>
  <c r="O52" i="66"/>
  <c r="K49" i="37"/>
  <c r="Q54" i="66"/>
  <c r="M51" i="37"/>
  <c r="Q42" i="66"/>
  <c r="M42" i="37"/>
  <c r="P53" i="66"/>
  <c r="L50" i="37"/>
  <c r="AI125" i="65"/>
  <c r="AO125" i="65" s="1"/>
  <c r="AQ102" i="65"/>
  <c r="AQ55" i="65"/>
  <c r="AP102" i="65"/>
  <c r="AO136" i="65"/>
  <c r="AQ91" i="65"/>
  <c r="AP91" i="65"/>
  <c r="AO91" i="65"/>
  <c r="AQ142" i="65"/>
  <c r="AN136" i="65"/>
  <c r="AP142" i="65"/>
  <c r="AO142" i="65"/>
  <c r="AP97" i="65"/>
  <c r="AQ104" i="65"/>
  <c r="AN121" i="65"/>
  <c r="AQ105" i="65"/>
  <c r="AQ122" i="65"/>
  <c r="AQ138" i="65"/>
  <c r="AQ94" i="65"/>
  <c r="AL94" i="65"/>
  <c r="AR94" i="65" s="1"/>
  <c r="AN54" i="65"/>
  <c r="AN125" i="65"/>
  <c r="AN122" i="65"/>
  <c r="AO104" i="65"/>
  <c r="AO101" i="65"/>
  <c r="AN101" i="65"/>
  <c r="AP54" i="65"/>
  <c r="AQ56" i="65"/>
  <c r="AQ52" i="65"/>
  <c r="AP136" i="65"/>
  <c r="AN134" i="65"/>
  <c r="AN105" i="65"/>
  <c r="AP122" i="65"/>
  <c r="AN133" i="65"/>
  <c r="AO121" i="65"/>
  <c r="AO122" i="65"/>
  <c r="AQ54" i="65"/>
  <c r="AN135" i="65"/>
  <c r="AI135" i="65"/>
  <c r="AP137" i="65"/>
  <c r="AK137" i="65"/>
  <c r="AP105" i="65"/>
  <c r="AQ136" i="65"/>
  <c r="AO105" i="65"/>
  <c r="AP104" i="65"/>
  <c r="AO134" i="65"/>
  <c r="AN139" i="65"/>
  <c r="AP93" i="65"/>
  <c r="AO97" i="65"/>
  <c r="AP52" i="65"/>
  <c r="AN142" i="65"/>
  <c r="AO95" i="65"/>
  <c r="AQ97" i="65"/>
  <c r="AP139" i="65"/>
  <c r="AN93" i="65"/>
  <c r="AP56" i="65"/>
  <c r="AO89" i="65"/>
  <c r="AN96" i="65"/>
  <c r="AN97" i="65"/>
  <c r="AO92" i="65"/>
  <c r="AO52" i="65"/>
  <c r="AN52" i="65"/>
  <c r="AN57" i="65"/>
  <c r="AO59" i="65"/>
  <c r="AO107" i="65"/>
  <c r="AN87" i="65"/>
  <c r="AQ53" i="65"/>
  <c r="AO53" i="65"/>
  <c r="AN95" i="65"/>
  <c r="AN137" i="65"/>
  <c r="AO98" i="65"/>
  <c r="AJ96" i="65"/>
  <c r="AO96" i="65"/>
  <c r="AN56" i="65"/>
  <c r="AN98" i="65"/>
  <c r="AO90" i="65"/>
  <c r="AO138" i="65"/>
  <c r="AP99" i="65"/>
  <c r="AN86" i="65"/>
  <c r="AO139" i="65"/>
  <c r="AQ59" i="65"/>
  <c r="AQ89" i="65"/>
  <c r="AP140" i="65"/>
  <c r="AK140" i="65"/>
  <c r="AP61" i="65"/>
  <c r="AK61" i="65"/>
  <c r="AJ141" i="65"/>
  <c r="AK141" i="65" s="1"/>
  <c r="AQ141" i="65" s="1"/>
  <c r="AK90" i="65"/>
  <c r="AP90" i="65"/>
  <c r="AQ57" i="65"/>
  <c r="AO57" i="65"/>
  <c r="AQ107" i="65"/>
  <c r="AL88" i="65"/>
  <c r="AR88" i="65" s="1"/>
  <c r="AQ88" i="65"/>
  <c r="AO100" i="65"/>
  <c r="AO137" i="65"/>
  <c r="AO55" i="65"/>
  <c r="AO94" i="65"/>
  <c r="AP94" i="65"/>
  <c r="AP100" i="65"/>
  <c r="AP138" i="65"/>
  <c r="AO108" i="65"/>
  <c r="AJ108" i="65"/>
  <c r="AO60" i="65"/>
  <c r="AJ60" i="65"/>
  <c r="AQ99" i="65"/>
  <c r="AQ58" i="65"/>
  <c r="AN99" i="65"/>
  <c r="AO87" i="65"/>
  <c r="AN94" i="65"/>
  <c r="AN53" i="65"/>
  <c r="AN58" i="65"/>
  <c r="AQ101" i="65"/>
  <c r="AN100" i="65"/>
  <c r="AP53" i="65"/>
  <c r="AN138" i="65"/>
  <c r="AN88" i="65"/>
  <c r="AO56" i="65"/>
  <c r="AP101" i="65"/>
  <c r="AQ100" i="65"/>
  <c r="AN55" i="65"/>
  <c r="AP58" i="65"/>
  <c r="AO93" i="65"/>
  <c r="AP57" i="65"/>
  <c r="AQ93" i="65"/>
  <c r="AK92" i="65"/>
  <c r="AP92" i="65"/>
  <c r="AP95" i="65"/>
  <c r="AQ139" i="65"/>
  <c r="AP88" i="65"/>
  <c r="AN91" i="65"/>
  <c r="AP89" i="65"/>
  <c r="AN102" i="65"/>
  <c r="AK98" i="65"/>
  <c r="AP98" i="65"/>
  <c r="AO58" i="65"/>
  <c r="AO54" i="65"/>
  <c r="AP55" i="65"/>
  <c r="AJ125" i="65"/>
  <c r="AO99" i="65"/>
  <c r="AQ95" i="65"/>
  <c r="AP59" i="65"/>
  <c r="AP107" i="65"/>
  <c r="AO123" i="65"/>
  <c r="L41" i="65"/>
  <c r="P51" i="66"/>
  <c r="P29" i="25"/>
  <c r="N50" i="66"/>
  <c r="N28" i="25"/>
  <c r="L49" i="66"/>
  <c r="L27" i="25"/>
  <c r="M50" i="66"/>
  <c r="M28" i="25"/>
  <c r="M48" i="42"/>
  <c r="P31" i="25"/>
  <c r="M50" i="50"/>
  <c r="Q19" i="25"/>
  <c r="Q20" i="25"/>
  <c r="N48" i="42"/>
  <c r="Q53" i="66"/>
  <c r="N42" i="50"/>
  <c r="N39" i="42"/>
  <c r="N40" i="42"/>
  <c r="AJ67" i="65"/>
  <c r="AK67" i="65" s="1"/>
  <c r="AL67" i="65" s="1"/>
  <c r="AR67" i="65" s="1"/>
  <c r="AO111" i="65"/>
  <c r="AO84" i="65"/>
  <c r="AP111" i="65"/>
  <c r="AO62" i="65"/>
  <c r="AL64" i="65"/>
  <c r="AR64" i="65" s="1"/>
  <c r="AJ78" i="65"/>
  <c r="AK78" i="65" s="1"/>
  <c r="AL78" i="65" s="1"/>
  <c r="AR78" i="65" s="1"/>
  <c r="AO61" i="65"/>
  <c r="AO73" i="65"/>
  <c r="AN71" i="65"/>
  <c r="AO83" i="65"/>
  <c r="AP65" i="65"/>
  <c r="AQ74" i="65"/>
  <c r="AN140" i="65"/>
  <c r="AK84" i="65"/>
  <c r="AQ84" i="65" s="1"/>
  <c r="AP84" i="65"/>
  <c r="AO124" i="65"/>
  <c r="AO68" i="65"/>
  <c r="AJ66" i="65"/>
  <c r="AK66" i="65" s="1"/>
  <c r="AL66" i="65" s="1"/>
  <c r="AR66" i="65" s="1"/>
  <c r="AO132" i="65"/>
  <c r="AN110" i="65"/>
  <c r="AO69" i="65"/>
  <c r="AO113" i="65"/>
  <c r="AK123" i="65"/>
  <c r="AQ123" i="65" s="1"/>
  <c r="AQ113" i="65"/>
  <c r="AO76" i="65"/>
  <c r="AN83" i="65"/>
  <c r="AK69" i="65"/>
  <c r="AP69" i="65"/>
  <c r="AO112" i="65"/>
  <c r="AJ80" i="65"/>
  <c r="AP112" i="65"/>
  <c r="AP132" i="65"/>
  <c r="AO116" i="65"/>
  <c r="AN108" i="65"/>
  <c r="AO74" i="65"/>
  <c r="AN129" i="65"/>
  <c r="AN70" i="65"/>
  <c r="AO71" i="65"/>
  <c r="AN79" i="65"/>
  <c r="AN72" i="65"/>
  <c r="AP68" i="65"/>
  <c r="AN61" i="65"/>
  <c r="AQ73" i="65"/>
  <c r="AO70" i="65"/>
  <c r="AL132" i="65"/>
  <c r="AR132" i="65" s="1"/>
  <c r="AQ132" i="65"/>
  <c r="AQ82" i="65"/>
  <c r="AN82" i="65"/>
  <c r="AN112" i="65"/>
  <c r="AN73" i="65"/>
  <c r="AN63" i="65"/>
  <c r="AN75" i="65"/>
  <c r="AP113" i="65"/>
  <c r="AL77" i="65"/>
  <c r="AR77" i="65" s="1"/>
  <c r="AQ77" i="65"/>
  <c r="AK127" i="65"/>
  <c r="AP127" i="65"/>
  <c r="AL131" i="65"/>
  <c r="AR131" i="65" s="1"/>
  <c r="AQ131" i="65"/>
  <c r="AO127" i="65"/>
  <c r="AI126" i="65"/>
  <c r="AO130" i="65"/>
  <c r="AJ130" i="65"/>
  <c r="AK118" i="65"/>
  <c r="AP118" i="65"/>
  <c r="AO118" i="65"/>
  <c r="AO109" i="65"/>
  <c r="AK63" i="65"/>
  <c r="AP63" i="65"/>
  <c r="AO72" i="65"/>
  <c r="AJ72" i="65"/>
  <c r="AO140" i="65"/>
  <c r="AO63" i="65"/>
  <c r="AN130" i="65"/>
  <c r="AP81" i="65"/>
  <c r="AQ112" i="65"/>
  <c r="AO81" i="65"/>
  <c r="AJ129" i="65"/>
  <c r="AO129" i="65"/>
  <c r="AO77" i="65"/>
  <c r="AP82" i="65"/>
  <c r="AK114" i="65"/>
  <c r="AP114" i="65"/>
  <c r="AK71" i="65"/>
  <c r="AP71" i="65"/>
  <c r="AQ117" i="65"/>
  <c r="AK124" i="65"/>
  <c r="AP124" i="65"/>
  <c r="AN68" i="65"/>
  <c r="AK83" i="65"/>
  <c r="AP83" i="65"/>
  <c r="AO117" i="65"/>
  <c r="AK76" i="65"/>
  <c r="AP76" i="65"/>
  <c r="AJ79" i="65"/>
  <c r="AO79" i="65"/>
  <c r="AN116" i="65"/>
  <c r="AP73" i="65"/>
  <c r="AJ75" i="65"/>
  <c r="AO75" i="65"/>
  <c r="AP131" i="65"/>
  <c r="AP117" i="65"/>
  <c r="AN113" i="65"/>
  <c r="AN62" i="65"/>
  <c r="AO82" i="65"/>
  <c r="AL65" i="65"/>
  <c r="AR65" i="65" s="1"/>
  <c r="AQ65" i="65"/>
  <c r="AJ115" i="65"/>
  <c r="AO115" i="65"/>
  <c r="AJ110" i="65"/>
  <c r="AO110" i="65"/>
  <c r="AP70" i="65"/>
  <c r="AK70" i="65"/>
  <c r="AL81" i="65"/>
  <c r="AR81" i="65" s="1"/>
  <c r="AQ81" i="65"/>
  <c r="AN109" i="65"/>
  <c r="AN77" i="65"/>
  <c r="AP77" i="65"/>
  <c r="AO131" i="65"/>
  <c r="AL68" i="65"/>
  <c r="AR68" i="65" s="1"/>
  <c r="AQ68" i="65"/>
  <c r="AQ111" i="65"/>
  <c r="AK116" i="65"/>
  <c r="AP116" i="65"/>
  <c r="AN131" i="65"/>
  <c r="AN65" i="65"/>
  <c r="AO65" i="65"/>
  <c r="AK62" i="65"/>
  <c r="AP62" i="65"/>
  <c r="AN126" i="65"/>
  <c r="AO114" i="65"/>
  <c r="AP74" i="65"/>
  <c r="AN115" i="65"/>
  <c r="N41" i="50"/>
  <c r="N49" i="42"/>
  <c r="N51" i="50"/>
  <c r="Q32" i="25"/>
  <c r="L47" i="42"/>
  <c r="P60" i="24"/>
  <c r="L49" i="50"/>
  <c r="O30" i="25"/>
  <c r="O104" i="25" s="1"/>
  <c r="Q106" i="25" s="1"/>
  <c r="M57" i="24"/>
  <c r="Q59" i="24"/>
  <c r="Q29" i="25" s="1"/>
  <c r="O58" i="24"/>
  <c r="N50" i="50"/>
  <c r="Q31" i="25"/>
  <c r="M40" i="50"/>
  <c r="P18" i="25"/>
  <c r="M38" i="42"/>
  <c r="AD51" i="65"/>
  <c r="AE51" i="65"/>
  <c r="AC51" i="65"/>
  <c r="AI51" i="65" s="1"/>
  <c r="N134" i="25" s="1"/>
  <c r="AF51" i="65"/>
  <c r="M28" i="32"/>
  <c r="L27" i="32"/>
  <c r="K26" i="32"/>
  <c r="J25" i="32"/>
  <c r="I24" i="32"/>
  <c r="H23" i="32"/>
  <c r="AL375" i="65" l="1"/>
  <c r="AR375" i="65" s="1"/>
  <c r="AQ375" i="65"/>
  <c r="AL212" i="65"/>
  <c r="AR212" i="65" s="1"/>
  <c r="AK311" i="65"/>
  <c r="AP311" i="65"/>
  <c r="AK373" i="65"/>
  <c r="AP373" i="65"/>
  <c r="AL376" i="65"/>
  <c r="AR376" i="65" s="1"/>
  <c r="AQ376" i="65"/>
  <c r="AK292" i="65"/>
  <c r="AP292" i="65"/>
  <c r="AK382" i="65"/>
  <c r="AP382" i="65"/>
  <c r="AK315" i="65"/>
  <c r="AP315" i="65"/>
  <c r="AK377" i="65"/>
  <c r="AP377" i="65"/>
  <c r="AK357" i="65"/>
  <c r="AP357" i="65"/>
  <c r="AK319" i="65"/>
  <c r="AP319" i="65"/>
  <c r="AL279" i="65"/>
  <c r="AR279" i="65" s="1"/>
  <c r="AQ279" i="65"/>
  <c r="AK344" i="65"/>
  <c r="AP344" i="65"/>
  <c r="AL275" i="65"/>
  <c r="AR275" i="65" s="1"/>
  <c r="AQ275" i="65"/>
  <c r="AL284" i="65"/>
  <c r="AR284" i="65" s="1"/>
  <c r="AQ284" i="65"/>
  <c r="AL324" i="65"/>
  <c r="AR324" i="65" s="1"/>
  <c r="AQ324" i="65"/>
  <c r="AL321" i="65"/>
  <c r="AR321" i="65" s="1"/>
  <c r="AQ321" i="65"/>
  <c r="AK356" i="65"/>
  <c r="AP356" i="65"/>
  <c r="AK316" i="65"/>
  <c r="AP316" i="65"/>
  <c r="AK352" i="65"/>
  <c r="AP352" i="65"/>
  <c r="AK281" i="65"/>
  <c r="AP281" i="65"/>
  <c r="AL364" i="65"/>
  <c r="AR364" i="65" s="1"/>
  <c r="AQ364" i="65"/>
  <c r="AK371" i="65"/>
  <c r="AP371" i="65"/>
  <c r="AK354" i="65"/>
  <c r="AP354" i="65"/>
  <c r="AL320" i="65"/>
  <c r="AR320" i="65" s="1"/>
  <c r="AQ320" i="65"/>
  <c r="AL340" i="65"/>
  <c r="AR340" i="65" s="1"/>
  <c r="AQ340" i="65"/>
  <c r="J391" i="65"/>
  <c r="AK345" i="65"/>
  <c r="AP345" i="65"/>
  <c r="AP249" i="65"/>
  <c r="AQ249" i="65"/>
  <c r="AQ166" i="65"/>
  <c r="AP166" i="65"/>
  <c r="AP212" i="65"/>
  <c r="AQ248" i="65"/>
  <c r="AP209" i="65"/>
  <c r="AQ209" i="65"/>
  <c r="AP248" i="65"/>
  <c r="B485" i="40"/>
  <c r="B203" i="65"/>
  <c r="AL160" i="65"/>
  <c r="AR160" i="65" s="1"/>
  <c r="AQ160" i="65"/>
  <c r="AK228" i="65"/>
  <c r="AP228" i="65"/>
  <c r="AK240" i="65"/>
  <c r="AP240" i="65"/>
  <c r="AK232" i="65"/>
  <c r="AP232" i="65"/>
  <c r="AK164" i="65"/>
  <c r="AP164" i="65"/>
  <c r="AK255" i="65"/>
  <c r="AP255" i="65"/>
  <c r="AL156" i="65"/>
  <c r="AR156" i="65" s="1"/>
  <c r="AQ156" i="65"/>
  <c r="AK217" i="65"/>
  <c r="AP217" i="65"/>
  <c r="AK169" i="65"/>
  <c r="AP169" i="65"/>
  <c r="AK213" i="65"/>
  <c r="AP213" i="65"/>
  <c r="AK258" i="65"/>
  <c r="AP258" i="65"/>
  <c r="AL230" i="65"/>
  <c r="AR230" i="65" s="1"/>
  <c r="AQ230" i="65"/>
  <c r="AK233" i="65"/>
  <c r="AP233" i="65"/>
  <c r="AK157" i="65"/>
  <c r="AP157" i="65"/>
  <c r="AK242" i="65"/>
  <c r="AP242" i="65"/>
  <c r="AL256" i="65"/>
  <c r="AR256" i="65" s="1"/>
  <c r="AQ256" i="65"/>
  <c r="AK234" i="65"/>
  <c r="AP234" i="65"/>
  <c r="AL161" i="65"/>
  <c r="AR161" i="65" s="1"/>
  <c r="AQ161" i="65"/>
  <c r="AK238" i="65"/>
  <c r="AP238" i="65"/>
  <c r="AL237" i="65"/>
  <c r="AR237" i="65" s="1"/>
  <c r="AQ237" i="65"/>
  <c r="AL253" i="65"/>
  <c r="AR253" i="65" s="1"/>
  <c r="AQ253" i="65"/>
  <c r="AK165" i="65"/>
  <c r="AP165" i="65"/>
  <c r="AL159" i="65"/>
  <c r="AR159" i="65" s="1"/>
  <c r="AQ159" i="65"/>
  <c r="AL84" i="65"/>
  <c r="AR84" i="65" s="1"/>
  <c r="P52" i="66"/>
  <c r="L49" i="37"/>
  <c r="AL141" i="65"/>
  <c r="AR141" i="65" s="1"/>
  <c r="AP141" i="65"/>
  <c r="AJ135" i="65"/>
  <c r="AO135" i="65"/>
  <c r="AL137" i="65"/>
  <c r="AR137" i="65" s="1"/>
  <c r="AQ137" i="65"/>
  <c r="AL98" i="65"/>
  <c r="AR98" i="65" s="1"/>
  <c r="AQ98" i="65"/>
  <c r="AL92" i="65"/>
  <c r="AR92" i="65" s="1"/>
  <c r="AQ92" i="65"/>
  <c r="AL61" i="65"/>
  <c r="AR61" i="65" s="1"/>
  <c r="AQ61" i="65"/>
  <c r="AK60" i="65"/>
  <c r="AP60" i="65"/>
  <c r="AQ62" i="65"/>
  <c r="AL62" i="65"/>
  <c r="AR62" i="65" s="1"/>
  <c r="AL90" i="65"/>
  <c r="AR90" i="65" s="1"/>
  <c r="AQ90" i="65"/>
  <c r="AL140" i="65"/>
  <c r="AR140" i="65" s="1"/>
  <c r="AQ140" i="65"/>
  <c r="AK96" i="65"/>
  <c r="AP96" i="65"/>
  <c r="AK125" i="65"/>
  <c r="AP125" i="65"/>
  <c r="AK108" i="65"/>
  <c r="AP108" i="65"/>
  <c r="M49" i="66"/>
  <c r="M93" i="66" s="1"/>
  <c r="O95" i="66" s="1"/>
  <c r="M27" i="25"/>
  <c r="O50" i="66"/>
  <c r="O28" i="25"/>
  <c r="AL123" i="65"/>
  <c r="AR123" i="65" s="1"/>
  <c r="AP66" i="65"/>
  <c r="AP67" i="65"/>
  <c r="Q51" i="66"/>
  <c r="AQ67" i="65"/>
  <c r="AQ66" i="65"/>
  <c r="AQ78" i="65"/>
  <c r="AP78" i="65"/>
  <c r="AL69" i="65"/>
  <c r="AR69" i="65" s="1"/>
  <c r="AQ69" i="65"/>
  <c r="AK80" i="65"/>
  <c r="AP80" i="65"/>
  <c r="AK115" i="65"/>
  <c r="AP115" i="65"/>
  <c r="AK79" i="65"/>
  <c r="AP79" i="65"/>
  <c r="AL124" i="65"/>
  <c r="AR124" i="65" s="1"/>
  <c r="AQ124" i="65"/>
  <c r="AL116" i="65"/>
  <c r="AR116" i="65" s="1"/>
  <c r="AQ116" i="65"/>
  <c r="AL83" i="65"/>
  <c r="AR83" i="65" s="1"/>
  <c r="AQ83" i="65"/>
  <c r="AQ114" i="65"/>
  <c r="AL114" i="65"/>
  <c r="AR114" i="65" s="1"/>
  <c r="AK129" i="65"/>
  <c r="AP129" i="65"/>
  <c r="AL63" i="65"/>
  <c r="AR63" i="65" s="1"/>
  <c r="AQ63" i="65"/>
  <c r="AQ118" i="65"/>
  <c r="AL118" i="65"/>
  <c r="AR118" i="65" s="1"/>
  <c r="AJ126" i="65"/>
  <c r="AO126" i="65"/>
  <c r="AK110" i="65"/>
  <c r="AP110" i="65"/>
  <c r="AL76" i="65"/>
  <c r="AR76" i="65" s="1"/>
  <c r="AQ76" i="65"/>
  <c r="AK72" i="65"/>
  <c r="AP72" i="65"/>
  <c r="AK130" i="65"/>
  <c r="AP130" i="65"/>
  <c r="AL127" i="65"/>
  <c r="AR127" i="65" s="1"/>
  <c r="AQ127" i="65"/>
  <c r="AL70" i="65"/>
  <c r="AR70" i="65" s="1"/>
  <c r="AQ70" i="65"/>
  <c r="AK75" i="65"/>
  <c r="AP75" i="65"/>
  <c r="AL71" i="65"/>
  <c r="AR71" i="65" s="1"/>
  <c r="AQ71" i="65"/>
  <c r="AJ51" i="65"/>
  <c r="O134" i="25" s="1"/>
  <c r="M49" i="50"/>
  <c r="M47" i="42"/>
  <c r="P30" i="25"/>
  <c r="P104" i="25" s="1"/>
  <c r="Q60" i="24"/>
  <c r="N40" i="50"/>
  <c r="Q18" i="25"/>
  <c r="N38" i="42"/>
  <c r="P58" i="24"/>
  <c r="N57" i="24"/>
  <c r="J389" i="65" l="1"/>
  <c r="AL354" i="65"/>
  <c r="AR354" i="65" s="1"/>
  <c r="AQ354" i="65"/>
  <c r="AL352" i="65"/>
  <c r="AR352" i="65" s="1"/>
  <c r="AQ352" i="65"/>
  <c r="AL356" i="65"/>
  <c r="AR356" i="65" s="1"/>
  <c r="AQ356" i="65"/>
  <c r="AL345" i="65"/>
  <c r="AR345" i="65" s="1"/>
  <c r="AQ345" i="65"/>
  <c r="AL357" i="65"/>
  <c r="AR357" i="65" s="1"/>
  <c r="AQ357" i="65"/>
  <c r="AL315" i="65"/>
  <c r="AR315" i="65" s="1"/>
  <c r="AQ315" i="65"/>
  <c r="AL292" i="65"/>
  <c r="AR292" i="65" s="1"/>
  <c r="AQ292" i="65"/>
  <c r="AL373" i="65"/>
  <c r="AR373" i="65" s="1"/>
  <c r="AQ373" i="65"/>
  <c r="AL371" i="65"/>
  <c r="AR371" i="65" s="1"/>
  <c r="AQ371" i="65"/>
  <c r="AL281" i="65"/>
  <c r="AR281" i="65" s="1"/>
  <c r="AQ281" i="65"/>
  <c r="AL316" i="65"/>
  <c r="AR316" i="65" s="1"/>
  <c r="L390" i="65" s="1"/>
  <c r="AQ316" i="65"/>
  <c r="AL344" i="65"/>
  <c r="AR344" i="65" s="1"/>
  <c r="AQ344" i="65"/>
  <c r="AL319" i="65"/>
  <c r="AR319" i="65" s="1"/>
  <c r="AQ319" i="65"/>
  <c r="AL377" i="65"/>
  <c r="AR377" i="65" s="1"/>
  <c r="AQ377" i="65"/>
  <c r="AL382" i="65"/>
  <c r="AR382" i="65" s="1"/>
  <c r="AQ382" i="65"/>
  <c r="AL311" i="65"/>
  <c r="AR311" i="65" s="1"/>
  <c r="AQ311" i="65"/>
  <c r="B486" i="40"/>
  <c r="B204" i="65"/>
  <c r="AL232" i="65"/>
  <c r="AR232" i="65" s="1"/>
  <c r="AQ232" i="65"/>
  <c r="AL238" i="65"/>
  <c r="AR238" i="65" s="1"/>
  <c r="AQ238" i="65"/>
  <c r="AL165" i="65"/>
  <c r="AR165" i="65" s="1"/>
  <c r="AQ165" i="65"/>
  <c r="AL157" i="65"/>
  <c r="AR157" i="65" s="1"/>
  <c r="AQ157" i="65"/>
  <c r="AL213" i="65"/>
  <c r="AR213" i="65" s="1"/>
  <c r="AQ213" i="65"/>
  <c r="AL217" i="65"/>
  <c r="AR217" i="65" s="1"/>
  <c r="AQ217" i="65"/>
  <c r="AL255" i="65"/>
  <c r="AR255" i="65" s="1"/>
  <c r="AQ255" i="65"/>
  <c r="AL228" i="65"/>
  <c r="AR228" i="65" s="1"/>
  <c r="AQ228" i="65"/>
  <c r="AL234" i="65"/>
  <c r="AR234" i="65" s="1"/>
  <c r="AQ234" i="65"/>
  <c r="AL242" i="65"/>
  <c r="AR242" i="65" s="1"/>
  <c r="AQ242" i="65"/>
  <c r="AL233" i="65"/>
  <c r="AR233" i="65" s="1"/>
  <c r="AQ233" i="65"/>
  <c r="AL258" i="65"/>
  <c r="AR258" i="65" s="1"/>
  <c r="AQ258" i="65"/>
  <c r="AL169" i="65"/>
  <c r="AR169" i="65" s="1"/>
  <c r="AQ169" i="65"/>
  <c r="AL164" i="65"/>
  <c r="AR164" i="65" s="1"/>
  <c r="AQ164" i="65"/>
  <c r="AL240" i="65"/>
  <c r="AR240" i="65" s="1"/>
  <c r="AQ240" i="65"/>
  <c r="Q52" i="66"/>
  <c r="M49" i="37"/>
  <c r="AK51" i="65"/>
  <c r="AK135" i="65"/>
  <c r="AQ135" i="65" s="1"/>
  <c r="AP135" i="65"/>
  <c r="AQ110" i="65"/>
  <c r="AL110" i="65"/>
  <c r="AR110" i="65" s="1"/>
  <c r="AL108" i="65"/>
  <c r="AR108" i="65" s="1"/>
  <c r="AQ108" i="65"/>
  <c r="AL96" i="65"/>
  <c r="AR96" i="65" s="1"/>
  <c r="AQ96" i="65"/>
  <c r="AL60" i="65"/>
  <c r="AR60" i="65" s="1"/>
  <c r="AQ60" i="65"/>
  <c r="AL125" i="65"/>
  <c r="AR125" i="65" s="1"/>
  <c r="AQ125" i="65"/>
  <c r="N49" i="66"/>
  <c r="N93" i="66" s="1"/>
  <c r="P95" i="66" s="1"/>
  <c r="N27" i="25"/>
  <c r="P50" i="66"/>
  <c r="P28" i="25"/>
  <c r="AL80" i="65"/>
  <c r="AR80" i="65" s="1"/>
  <c r="AQ80" i="65"/>
  <c r="AL130" i="65"/>
  <c r="AR130" i="65" s="1"/>
  <c r="AQ130" i="65"/>
  <c r="AL79" i="65"/>
  <c r="AR79" i="65" s="1"/>
  <c r="AQ79" i="65"/>
  <c r="AK126" i="65"/>
  <c r="AP126" i="65"/>
  <c r="AL75" i="65"/>
  <c r="AR75" i="65" s="1"/>
  <c r="AQ75" i="65"/>
  <c r="AL72" i="65"/>
  <c r="AR72" i="65" s="1"/>
  <c r="AQ72" i="65"/>
  <c r="AL129" i="65"/>
  <c r="AR129" i="65" s="1"/>
  <c r="AQ129" i="65"/>
  <c r="AL115" i="65"/>
  <c r="AR115" i="65" s="1"/>
  <c r="AQ115" i="65"/>
  <c r="AN51" i="65"/>
  <c r="N47" i="42"/>
  <c r="Q30" i="25"/>
  <c r="N49" i="50"/>
  <c r="O57" i="24"/>
  <c r="Q58" i="24"/>
  <c r="Q28" i="25" s="1"/>
  <c r="F13" i="40"/>
  <c r="G13" i="40"/>
  <c r="H13" i="40"/>
  <c r="I13" i="40"/>
  <c r="J13" i="40"/>
  <c r="K13" i="40"/>
  <c r="L13" i="40"/>
  <c r="M13" i="40"/>
  <c r="N13" i="40"/>
  <c r="O13" i="40"/>
  <c r="P13" i="40"/>
  <c r="Q13" i="40"/>
  <c r="R13" i="40"/>
  <c r="S13" i="40"/>
  <c r="T13" i="40"/>
  <c r="U13" i="40"/>
  <c r="V13" i="40"/>
  <c r="W13" i="40"/>
  <c r="X13" i="40"/>
  <c r="Y13" i="40"/>
  <c r="Z13" i="40"/>
  <c r="AA13" i="40"/>
  <c r="AB13" i="40"/>
  <c r="AC13" i="40"/>
  <c r="AD13" i="40"/>
  <c r="AE13" i="40"/>
  <c r="AF13" i="40"/>
  <c r="AG13" i="40"/>
  <c r="AH13" i="40"/>
  <c r="AI13" i="40"/>
  <c r="AJ13" i="40"/>
  <c r="AK13" i="40"/>
  <c r="AL13" i="40"/>
  <c r="AM13" i="40"/>
  <c r="AN13" i="40"/>
  <c r="AO13" i="40"/>
  <c r="AP13" i="40"/>
  <c r="AQ13" i="40"/>
  <c r="AR13" i="40"/>
  <c r="AS13" i="40"/>
  <c r="AT13" i="40"/>
  <c r="AU13" i="40"/>
  <c r="AV13" i="40"/>
  <c r="AW13" i="40"/>
  <c r="AX13" i="40"/>
  <c r="AY13" i="40"/>
  <c r="AZ13" i="40"/>
  <c r="BA13" i="40"/>
  <c r="BB13" i="40"/>
  <c r="BC13" i="40"/>
  <c r="BD13" i="40"/>
  <c r="BE13" i="40"/>
  <c r="BF13" i="40"/>
  <c r="BG13" i="40"/>
  <c r="BH13" i="40"/>
  <c r="BI13" i="40"/>
  <c r="BJ13" i="40"/>
  <c r="BK13" i="40"/>
  <c r="BL13" i="40"/>
  <c r="BM13" i="40"/>
  <c r="BN13" i="40"/>
  <c r="BO13" i="40"/>
  <c r="BP13" i="40"/>
  <c r="BQ13" i="40"/>
  <c r="BR13" i="40"/>
  <c r="BS13" i="40"/>
  <c r="BT13" i="40"/>
  <c r="BU13" i="40"/>
  <c r="BV13" i="40"/>
  <c r="BW13" i="40"/>
  <c r="BX13" i="40"/>
  <c r="BY13" i="40"/>
  <c r="BZ13" i="40"/>
  <c r="CA13" i="40"/>
  <c r="CB13" i="40"/>
  <c r="E13" i="40"/>
  <c r="F759" i="40"/>
  <c r="F760" i="40"/>
  <c r="F761" i="40"/>
  <c r="F762" i="40"/>
  <c r="F763" i="40"/>
  <c r="F764" i="40"/>
  <c r="F765" i="40"/>
  <c r="F766" i="40"/>
  <c r="F767" i="40"/>
  <c r="F768" i="40"/>
  <c r="F769" i="40"/>
  <c r="F770" i="40"/>
  <c r="F771" i="40"/>
  <c r="F772" i="40"/>
  <c r="F773" i="40"/>
  <c r="F774" i="40"/>
  <c r="F775" i="40"/>
  <c r="F776" i="40"/>
  <c r="F777" i="40"/>
  <c r="F778" i="40"/>
  <c r="F779" i="40"/>
  <c r="F780" i="40"/>
  <c r="F781" i="40"/>
  <c r="F782" i="40"/>
  <c r="F783" i="40"/>
  <c r="F784" i="40"/>
  <c r="F785" i="40"/>
  <c r="F786" i="40"/>
  <c r="F787" i="40"/>
  <c r="F788" i="40"/>
  <c r="F789" i="40"/>
  <c r="F790" i="40"/>
  <c r="F791" i="40"/>
  <c r="F792" i="40"/>
  <c r="F793" i="40"/>
  <c r="F794" i="40"/>
  <c r="F795" i="40"/>
  <c r="F796" i="40"/>
  <c r="F797" i="40"/>
  <c r="F798" i="40"/>
  <c r="F799" i="40"/>
  <c r="F800" i="40"/>
  <c r="F801" i="40"/>
  <c r="F802" i="40"/>
  <c r="F803" i="40"/>
  <c r="F804" i="40"/>
  <c r="F805" i="40"/>
  <c r="F806" i="40"/>
  <c r="F807" i="40"/>
  <c r="F808" i="40"/>
  <c r="F809" i="40"/>
  <c r="F810" i="40"/>
  <c r="F811" i="40"/>
  <c r="F812" i="40"/>
  <c r="F813" i="40"/>
  <c r="F814" i="40"/>
  <c r="F815" i="40"/>
  <c r="F816" i="40"/>
  <c r="F817" i="40"/>
  <c r="F818" i="40"/>
  <c r="F819" i="40"/>
  <c r="F820" i="40"/>
  <c r="F821" i="40"/>
  <c r="F822" i="40"/>
  <c r="F823" i="40"/>
  <c r="F824" i="40"/>
  <c r="F825" i="40"/>
  <c r="F826" i="40"/>
  <c r="F827" i="40"/>
  <c r="F828" i="40"/>
  <c r="F829" i="40"/>
  <c r="F830" i="40"/>
  <c r="F831" i="40"/>
  <c r="F832" i="40"/>
  <c r="F833" i="40"/>
  <c r="F834" i="40"/>
  <c r="F835" i="40"/>
  <c r="F836" i="40"/>
  <c r="F837" i="40"/>
  <c r="F838" i="40"/>
  <c r="F839" i="40"/>
  <c r="F840" i="40"/>
  <c r="F841" i="40"/>
  <c r="F842" i="40"/>
  <c r="F843" i="40"/>
  <c r="F844" i="40"/>
  <c r="F845" i="40"/>
  <c r="F846" i="40"/>
  <c r="F847" i="40"/>
  <c r="F848" i="40"/>
  <c r="F849" i="40"/>
  <c r="F850" i="40"/>
  <c r="F851" i="40"/>
  <c r="F852" i="40"/>
  <c r="F853" i="40"/>
  <c r="F854" i="40"/>
  <c r="F855" i="40"/>
  <c r="F856" i="40"/>
  <c r="F857" i="40"/>
  <c r="F858" i="40"/>
  <c r="F859" i="40"/>
  <c r="F860" i="40"/>
  <c r="F861" i="40"/>
  <c r="F862" i="40"/>
  <c r="F863" i="40"/>
  <c r="F864" i="40"/>
  <c r="F865" i="40"/>
  <c r="F866" i="40"/>
  <c r="F867" i="40"/>
  <c r="F868" i="40"/>
  <c r="F869" i="40"/>
  <c r="F870" i="40"/>
  <c r="F871" i="40"/>
  <c r="F872" i="40"/>
  <c r="F873" i="40"/>
  <c r="F874" i="40"/>
  <c r="F875" i="40"/>
  <c r="F876" i="40"/>
  <c r="F877" i="40"/>
  <c r="F878" i="40"/>
  <c r="F879" i="40"/>
  <c r="F880" i="40"/>
  <c r="F881" i="40"/>
  <c r="F882" i="40"/>
  <c r="F883" i="40"/>
  <c r="F884" i="40"/>
  <c r="F885" i="40"/>
  <c r="F886" i="40"/>
  <c r="F887" i="40"/>
  <c r="F888" i="40"/>
  <c r="F889" i="40"/>
  <c r="F890" i="40"/>
  <c r="F891" i="40"/>
  <c r="F892" i="40"/>
  <c r="F893" i="40"/>
  <c r="F894" i="40"/>
  <c r="F895" i="40"/>
  <c r="F896" i="40"/>
  <c r="F897" i="40"/>
  <c r="F898" i="40"/>
  <c r="F899" i="40"/>
  <c r="F900" i="40"/>
  <c r="F901" i="40"/>
  <c r="F902" i="40"/>
  <c r="F903" i="40"/>
  <c r="F904" i="40"/>
  <c r="F905" i="40"/>
  <c r="F906" i="40"/>
  <c r="F907" i="40"/>
  <c r="F908" i="40"/>
  <c r="F909" i="40"/>
  <c r="F910" i="40"/>
  <c r="F911" i="40"/>
  <c r="F912" i="40"/>
  <c r="F913" i="40"/>
  <c r="F914" i="40"/>
  <c r="F915" i="40"/>
  <c r="F916" i="40"/>
  <c r="F917" i="40"/>
  <c r="F918" i="40"/>
  <c r="F919" i="40"/>
  <c r="F920" i="40"/>
  <c r="F921" i="40"/>
  <c r="F922" i="40"/>
  <c r="F923" i="40"/>
  <c r="F924" i="40"/>
  <c r="F925" i="40"/>
  <c r="F926" i="40"/>
  <c r="F927" i="40"/>
  <c r="F928" i="40"/>
  <c r="F929" i="40"/>
  <c r="F930" i="40"/>
  <c r="F931" i="40"/>
  <c r="F932" i="40"/>
  <c r="F933" i="40"/>
  <c r="F934" i="40"/>
  <c r="F935" i="40"/>
  <c r="F936" i="40"/>
  <c r="F937" i="40"/>
  <c r="F938" i="40"/>
  <c r="F939" i="40"/>
  <c r="F940" i="40"/>
  <c r="F941" i="40"/>
  <c r="F942" i="40"/>
  <c r="F943" i="40"/>
  <c r="F944" i="40"/>
  <c r="F945" i="40"/>
  <c r="F946" i="40"/>
  <c r="F947" i="40"/>
  <c r="F948" i="40"/>
  <c r="F949" i="40"/>
  <c r="F950" i="40"/>
  <c r="F951" i="40"/>
  <c r="F952" i="40"/>
  <c r="F953" i="40"/>
  <c r="F954" i="40"/>
  <c r="F955" i="40"/>
  <c r="F956" i="40"/>
  <c r="F957" i="40"/>
  <c r="F958" i="40"/>
  <c r="F959" i="40"/>
  <c r="F960" i="40"/>
  <c r="F961" i="40"/>
  <c r="F962" i="40"/>
  <c r="F963" i="40"/>
  <c r="F964" i="40"/>
  <c r="F965" i="40"/>
  <c r="F966" i="40"/>
  <c r="F967" i="40"/>
  <c r="F968" i="40"/>
  <c r="F969" i="40"/>
  <c r="F970" i="40"/>
  <c r="F971" i="40"/>
  <c r="F972" i="40"/>
  <c r="F973" i="40"/>
  <c r="F974" i="40"/>
  <c r="F975" i="40"/>
  <c r="F976" i="40"/>
  <c r="F977" i="40"/>
  <c r="F978" i="40"/>
  <c r="F979" i="40"/>
  <c r="F980" i="40"/>
  <c r="F981" i="40"/>
  <c r="F982" i="40"/>
  <c r="F983" i="40"/>
  <c r="F984" i="40"/>
  <c r="F985" i="40"/>
  <c r="F986" i="40"/>
  <c r="F987" i="40"/>
  <c r="F988" i="40"/>
  <c r="F989" i="40"/>
  <c r="F990" i="40"/>
  <c r="F991" i="40"/>
  <c r="F992" i="40"/>
  <c r="F993" i="40"/>
  <c r="F994" i="40"/>
  <c r="F995" i="40"/>
  <c r="F996" i="40"/>
  <c r="F997" i="40"/>
  <c r="F998" i="40"/>
  <c r="F999" i="40"/>
  <c r="F1000" i="40"/>
  <c r="F1001" i="40"/>
  <c r="F1002" i="40"/>
  <c r="F1003" i="40"/>
  <c r="F1004" i="40"/>
  <c r="F1005" i="40"/>
  <c r="F1006" i="40"/>
  <c r="F1007" i="40"/>
  <c r="F1008" i="40"/>
  <c r="F1009" i="40"/>
  <c r="F1010" i="40"/>
  <c r="F1011" i="40"/>
  <c r="F1012" i="40"/>
  <c r="F1013" i="40"/>
  <c r="F1014" i="40"/>
  <c r="F1015" i="40"/>
  <c r="F1016" i="40"/>
  <c r="F1017" i="40"/>
  <c r="F1018" i="40"/>
  <c r="F1019" i="40"/>
  <c r="F1020" i="40"/>
  <c r="F1021" i="40"/>
  <c r="F1022" i="40"/>
  <c r="F1023" i="40"/>
  <c r="F1024" i="40"/>
  <c r="F1025" i="40"/>
  <c r="F1026" i="40"/>
  <c r="F1027" i="40"/>
  <c r="F1028" i="40"/>
  <c r="F1029" i="40"/>
  <c r="F1030" i="40"/>
  <c r="F1031" i="40"/>
  <c r="F1032" i="40"/>
  <c r="F1033" i="40"/>
  <c r="F1034" i="40"/>
  <c r="F1035" i="40"/>
  <c r="F1036" i="40"/>
  <c r="F1037" i="40"/>
  <c r="F1038" i="40"/>
  <c r="F1039" i="40"/>
  <c r="F1040" i="40"/>
  <c r="F1041" i="40"/>
  <c r="F1042" i="40"/>
  <c r="F1043" i="40"/>
  <c r="F1044" i="40"/>
  <c r="F1045" i="40"/>
  <c r="F1046" i="40"/>
  <c r="F1047" i="40"/>
  <c r="F1048" i="40"/>
  <c r="F1049" i="40"/>
  <c r="F1050" i="40"/>
  <c r="F1051" i="40"/>
  <c r="F1052" i="40"/>
  <c r="F1053" i="40"/>
  <c r="F1054" i="40"/>
  <c r="F1055" i="40"/>
  <c r="F1056" i="40"/>
  <c r="F1057" i="40"/>
  <c r="F1058" i="40"/>
  <c r="F1059" i="40"/>
  <c r="F1060" i="40"/>
  <c r="F1061" i="40"/>
  <c r="F1062" i="40"/>
  <c r="F1063" i="40"/>
  <c r="F1064" i="40"/>
  <c r="F1065" i="40"/>
  <c r="F1066" i="40"/>
  <c r="F1067" i="40"/>
  <c r="F1068" i="40"/>
  <c r="F1069" i="40"/>
  <c r="F1070" i="40"/>
  <c r="F1071" i="40"/>
  <c r="F1072" i="40"/>
  <c r="F758" i="40"/>
  <c r="B62" i="50"/>
  <c r="F62" i="50"/>
  <c r="H62" i="50"/>
  <c r="I62" i="50"/>
  <c r="J62" i="50"/>
  <c r="K62" i="50"/>
  <c r="B63" i="50"/>
  <c r="F63" i="50"/>
  <c r="H63" i="50"/>
  <c r="I63" i="50"/>
  <c r="J63" i="50"/>
  <c r="K63" i="50"/>
  <c r="B64" i="50"/>
  <c r="F64" i="50"/>
  <c r="H64" i="50"/>
  <c r="I64" i="50"/>
  <c r="J64" i="50"/>
  <c r="K64" i="50"/>
  <c r="B65" i="50"/>
  <c r="F65" i="50"/>
  <c r="H65" i="50"/>
  <c r="I65" i="50"/>
  <c r="J65" i="50"/>
  <c r="K65" i="50"/>
  <c r="B66" i="50"/>
  <c r="F66" i="50"/>
  <c r="H66" i="50"/>
  <c r="I66" i="50"/>
  <c r="J66" i="50"/>
  <c r="K66" i="50"/>
  <c r="B67" i="50"/>
  <c r="F67" i="50"/>
  <c r="H67" i="50"/>
  <c r="I67" i="50"/>
  <c r="J67" i="50"/>
  <c r="K67" i="50"/>
  <c r="B68" i="50"/>
  <c r="F68" i="50"/>
  <c r="H68" i="50"/>
  <c r="I68" i="50"/>
  <c r="J68" i="50"/>
  <c r="K68" i="50"/>
  <c r="B69" i="50"/>
  <c r="F69" i="50"/>
  <c r="H69" i="50"/>
  <c r="I69" i="50"/>
  <c r="J69" i="50"/>
  <c r="K69" i="50"/>
  <c r="B70" i="50"/>
  <c r="F70" i="50"/>
  <c r="H70" i="50"/>
  <c r="I70" i="50"/>
  <c r="J70" i="50"/>
  <c r="K70" i="50"/>
  <c r="B71" i="50"/>
  <c r="F71" i="50"/>
  <c r="H71" i="50"/>
  <c r="I71" i="50"/>
  <c r="J71" i="50"/>
  <c r="K71" i="50"/>
  <c r="B72" i="50"/>
  <c r="F72" i="50"/>
  <c r="H72" i="50"/>
  <c r="I72" i="50"/>
  <c r="J72" i="50"/>
  <c r="K72" i="50"/>
  <c r="B73" i="50"/>
  <c r="F73" i="50"/>
  <c r="H73" i="50"/>
  <c r="I73" i="50"/>
  <c r="J73" i="50"/>
  <c r="K73" i="50"/>
  <c r="B74" i="50"/>
  <c r="F74" i="50"/>
  <c r="H74" i="50"/>
  <c r="I74" i="50"/>
  <c r="J74" i="50"/>
  <c r="K74" i="50"/>
  <c r="B75" i="50"/>
  <c r="F75" i="50"/>
  <c r="H75" i="50"/>
  <c r="I75" i="50"/>
  <c r="J75" i="50"/>
  <c r="K75" i="50"/>
  <c r="B76" i="50"/>
  <c r="F76" i="50"/>
  <c r="H76" i="50"/>
  <c r="I76" i="50"/>
  <c r="J76" i="50"/>
  <c r="K76" i="50"/>
  <c r="B77" i="50"/>
  <c r="F77" i="50"/>
  <c r="H77" i="50"/>
  <c r="I77" i="50"/>
  <c r="J77" i="50"/>
  <c r="K77" i="50"/>
  <c r="B78" i="50"/>
  <c r="F78" i="50"/>
  <c r="H78" i="50"/>
  <c r="I78" i="50"/>
  <c r="J78" i="50"/>
  <c r="K78" i="50"/>
  <c r="B79" i="50"/>
  <c r="F79" i="50"/>
  <c r="H79" i="50"/>
  <c r="I79" i="50"/>
  <c r="J79" i="50"/>
  <c r="K79" i="50"/>
  <c r="B80" i="50"/>
  <c r="F80" i="50"/>
  <c r="H80" i="50"/>
  <c r="I80" i="50"/>
  <c r="J80" i="50"/>
  <c r="K80" i="50"/>
  <c r="B81" i="50"/>
  <c r="F81" i="50"/>
  <c r="H81" i="50"/>
  <c r="I81" i="50"/>
  <c r="J81" i="50"/>
  <c r="K81" i="50"/>
  <c r="B82" i="50"/>
  <c r="F82" i="50"/>
  <c r="H82" i="50"/>
  <c r="I82" i="50"/>
  <c r="J82" i="50"/>
  <c r="K82" i="50"/>
  <c r="B83" i="50"/>
  <c r="F83" i="50"/>
  <c r="H83" i="50"/>
  <c r="I83" i="50"/>
  <c r="J83" i="50"/>
  <c r="K83" i="50"/>
  <c r="B84" i="50"/>
  <c r="F84" i="50"/>
  <c r="H84" i="50"/>
  <c r="I84" i="50"/>
  <c r="J84" i="50"/>
  <c r="K84" i="50"/>
  <c r="B85" i="50"/>
  <c r="F85" i="50"/>
  <c r="H85" i="50"/>
  <c r="I85" i="50"/>
  <c r="J85" i="50"/>
  <c r="K85" i="50"/>
  <c r="B86" i="50"/>
  <c r="F86" i="50"/>
  <c r="H86" i="50"/>
  <c r="I86" i="50"/>
  <c r="J86" i="50"/>
  <c r="K86" i="50"/>
  <c r="B87" i="50"/>
  <c r="F87" i="50"/>
  <c r="H87" i="50"/>
  <c r="I87" i="50"/>
  <c r="J87" i="50"/>
  <c r="K87" i="50"/>
  <c r="B88" i="50"/>
  <c r="F88" i="50"/>
  <c r="H88" i="50"/>
  <c r="I88" i="50"/>
  <c r="J88" i="50"/>
  <c r="K88" i="50"/>
  <c r="B89" i="50"/>
  <c r="F89" i="50"/>
  <c r="H89" i="50"/>
  <c r="I89" i="50"/>
  <c r="J89" i="50"/>
  <c r="K89" i="50"/>
  <c r="B90" i="50"/>
  <c r="F90" i="50"/>
  <c r="H90" i="50"/>
  <c r="I90" i="50"/>
  <c r="J90" i="50"/>
  <c r="K90" i="50"/>
  <c r="B91" i="50"/>
  <c r="F91" i="50"/>
  <c r="H91" i="50"/>
  <c r="I91" i="50"/>
  <c r="J91" i="50"/>
  <c r="K91" i="50"/>
  <c r="B92" i="50"/>
  <c r="F92" i="50"/>
  <c r="H92" i="50"/>
  <c r="I92" i="50"/>
  <c r="J92" i="50"/>
  <c r="K92" i="50"/>
  <c r="B93" i="50"/>
  <c r="F93" i="50"/>
  <c r="H93" i="50"/>
  <c r="I93" i="50"/>
  <c r="J93" i="50"/>
  <c r="K93" i="50"/>
  <c r="B94" i="50"/>
  <c r="F94" i="50"/>
  <c r="H94" i="50"/>
  <c r="I94" i="50"/>
  <c r="J94" i="50"/>
  <c r="K94" i="50"/>
  <c r="B95" i="50"/>
  <c r="F95" i="50"/>
  <c r="H95" i="50"/>
  <c r="I95" i="50"/>
  <c r="J95" i="50"/>
  <c r="K95" i="50"/>
  <c r="B96" i="50"/>
  <c r="F96" i="50"/>
  <c r="H96" i="50"/>
  <c r="I96" i="50"/>
  <c r="J96" i="50"/>
  <c r="K96" i="50"/>
  <c r="B97" i="50"/>
  <c r="F97" i="50"/>
  <c r="H97" i="50"/>
  <c r="I97" i="50"/>
  <c r="J97" i="50"/>
  <c r="K97" i="50"/>
  <c r="B98" i="50"/>
  <c r="F98" i="50"/>
  <c r="H98" i="50"/>
  <c r="I98" i="50"/>
  <c r="J98" i="50"/>
  <c r="K98" i="50"/>
  <c r="B99" i="50"/>
  <c r="F99" i="50"/>
  <c r="H99" i="50"/>
  <c r="I99" i="50"/>
  <c r="J99" i="50"/>
  <c r="K99" i="50"/>
  <c r="B100" i="50"/>
  <c r="F100" i="50"/>
  <c r="H100" i="50"/>
  <c r="I100" i="50"/>
  <c r="J100" i="50"/>
  <c r="K100" i="50"/>
  <c r="B101" i="50"/>
  <c r="F101" i="50"/>
  <c r="H101" i="50"/>
  <c r="I101" i="50"/>
  <c r="J101" i="50"/>
  <c r="K101" i="50"/>
  <c r="B102" i="50"/>
  <c r="F102" i="50"/>
  <c r="H102" i="50"/>
  <c r="I102" i="50"/>
  <c r="J102" i="50"/>
  <c r="K102" i="50"/>
  <c r="B103" i="50"/>
  <c r="F103" i="50"/>
  <c r="H103" i="50"/>
  <c r="I103" i="50"/>
  <c r="J103" i="50"/>
  <c r="K103" i="50"/>
  <c r="B104" i="50"/>
  <c r="F104" i="50"/>
  <c r="H104" i="50"/>
  <c r="I104" i="50"/>
  <c r="J104" i="50"/>
  <c r="K104" i="50"/>
  <c r="B105" i="50"/>
  <c r="F105" i="50"/>
  <c r="H105" i="50"/>
  <c r="I105" i="50"/>
  <c r="J105" i="50"/>
  <c r="K105" i="50"/>
  <c r="B106" i="50"/>
  <c r="F106" i="50"/>
  <c r="H106" i="50"/>
  <c r="I106" i="50"/>
  <c r="J106" i="50"/>
  <c r="K106" i="50"/>
  <c r="B107" i="50"/>
  <c r="F107" i="50"/>
  <c r="H107" i="50"/>
  <c r="I107" i="50"/>
  <c r="J107" i="50"/>
  <c r="K107" i="50"/>
  <c r="B108" i="50"/>
  <c r="F108" i="50"/>
  <c r="H108" i="50"/>
  <c r="I108" i="50"/>
  <c r="J108" i="50"/>
  <c r="K108" i="50"/>
  <c r="B109" i="50"/>
  <c r="F109" i="50"/>
  <c r="H109" i="50"/>
  <c r="I109" i="50"/>
  <c r="J109" i="50"/>
  <c r="K109" i="50"/>
  <c r="B110" i="50"/>
  <c r="F110" i="50"/>
  <c r="H110" i="50"/>
  <c r="I110" i="50"/>
  <c r="J110" i="50"/>
  <c r="K110" i="50"/>
  <c r="B111" i="50"/>
  <c r="F111" i="50"/>
  <c r="H111" i="50"/>
  <c r="I111" i="50"/>
  <c r="J111" i="50"/>
  <c r="K111" i="50"/>
  <c r="B112" i="50"/>
  <c r="F112" i="50"/>
  <c r="H112" i="50"/>
  <c r="I112" i="50"/>
  <c r="J112" i="50"/>
  <c r="K112" i="50"/>
  <c r="B113" i="50"/>
  <c r="F113" i="50"/>
  <c r="H113" i="50"/>
  <c r="I113" i="50"/>
  <c r="J113" i="50"/>
  <c r="K113" i="50"/>
  <c r="B114" i="50"/>
  <c r="F114" i="50"/>
  <c r="H114" i="50"/>
  <c r="I114" i="50"/>
  <c r="J114" i="50"/>
  <c r="K114" i="50"/>
  <c r="B115" i="50"/>
  <c r="F115" i="50"/>
  <c r="H115" i="50"/>
  <c r="AT115" i="50" s="1"/>
  <c r="I115" i="50"/>
  <c r="J115" i="50"/>
  <c r="K115" i="50"/>
  <c r="B116" i="50"/>
  <c r="F116" i="50"/>
  <c r="H116" i="50"/>
  <c r="AT116" i="50" s="1"/>
  <c r="I116" i="50"/>
  <c r="J116" i="50"/>
  <c r="K116" i="50"/>
  <c r="B117" i="50"/>
  <c r="F117" i="50"/>
  <c r="H117" i="50"/>
  <c r="AT117" i="50" s="1"/>
  <c r="I117" i="50"/>
  <c r="J117" i="50"/>
  <c r="K117" i="50"/>
  <c r="B118" i="50"/>
  <c r="F118" i="50"/>
  <c r="H118" i="50"/>
  <c r="AT118" i="50" s="1"/>
  <c r="I118" i="50"/>
  <c r="J118" i="50"/>
  <c r="K118" i="50"/>
  <c r="B119" i="50"/>
  <c r="F119" i="50"/>
  <c r="H119" i="50"/>
  <c r="AT119" i="50" s="1"/>
  <c r="I119" i="50"/>
  <c r="J119" i="50"/>
  <c r="K119" i="50"/>
  <c r="B120" i="50"/>
  <c r="F120" i="50"/>
  <c r="H120" i="50"/>
  <c r="AT120" i="50" s="1"/>
  <c r="I120" i="50"/>
  <c r="J120" i="50"/>
  <c r="K120" i="50"/>
  <c r="B121" i="50"/>
  <c r="F121" i="50"/>
  <c r="H121" i="50"/>
  <c r="AT121" i="50" s="1"/>
  <c r="I121" i="50"/>
  <c r="J121" i="50"/>
  <c r="K121" i="50"/>
  <c r="B122" i="50"/>
  <c r="F122" i="50"/>
  <c r="H122" i="50"/>
  <c r="AT122" i="50" s="1"/>
  <c r="I122" i="50"/>
  <c r="J122" i="50"/>
  <c r="K122" i="50"/>
  <c r="B123" i="50"/>
  <c r="F123" i="50"/>
  <c r="H123" i="50"/>
  <c r="AT123" i="50" s="1"/>
  <c r="I123" i="50"/>
  <c r="J123" i="50"/>
  <c r="K123" i="50"/>
  <c r="B124" i="50"/>
  <c r="F124" i="50"/>
  <c r="H124" i="50"/>
  <c r="AT124" i="50" s="1"/>
  <c r="I124" i="50"/>
  <c r="J124" i="50"/>
  <c r="K124" i="50"/>
  <c r="B125" i="50"/>
  <c r="F125" i="50"/>
  <c r="H125" i="50"/>
  <c r="AT125" i="50" s="1"/>
  <c r="I125" i="50"/>
  <c r="J125" i="50"/>
  <c r="K125" i="50"/>
  <c r="B126" i="50"/>
  <c r="F126" i="50"/>
  <c r="H126" i="50"/>
  <c r="AT126" i="50" s="1"/>
  <c r="I126" i="50"/>
  <c r="J126" i="50"/>
  <c r="K126" i="50"/>
  <c r="B127" i="50"/>
  <c r="F127" i="50"/>
  <c r="H127" i="50"/>
  <c r="AT127" i="50" s="1"/>
  <c r="I127" i="50"/>
  <c r="J127" i="50"/>
  <c r="K127" i="50"/>
  <c r="B128" i="50"/>
  <c r="F128" i="50"/>
  <c r="H128" i="50"/>
  <c r="AT128" i="50" s="1"/>
  <c r="I128" i="50"/>
  <c r="J128" i="50"/>
  <c r="K128" i="50"/>
  <c r="B129" i="50"/>
  <c r="F129" i="50"/>
  <c r="H129" i="50"/>
  <c r="AT129" i="50" s="1"/>
  <c r="I129" i="50"/>
  <c r="J129" i="50"/>
  <c r="K129" i="50"/>
  <c r="B130" i="50"/>
  <c r="F130" i="50"/>
  <c r="H130" i="50"/>
  <c r="AT130" i="50" s="1"/>
  <c r="I130" i="50"/>
  <c r="J130" i="50"/>
  <c r="K130" i="50"/>
  <c r="B131" i="50"/>
  <c r="F131" i="50"/>
  <c r="H131" i="50"/>
  <c r="AT131" i="50" s="1"/>
  <c r="I131" i="50"/>
  <c r="J131" i="50"/>
  <c r="K131" i="50"/>
  <c r="B132" i="50"/>
  <c r="F132" i="50"/>
  <c r="H132" i="50"/>
  <c r="AT132" i="50" s="1"/>
  <c r="I132" i="50"/>
  <c r="J132" i="50"/>
  <c r="K132" i="50"/>
  <c r="B133" i="50"/>
  <c r="F133" i="50"/>
  <c r="H133" i="50"/>
  <c r="I133" i="50"/>
  <c r="J133" i="50"/>
  <c r="K133" i="50"/>
  <c r="B134" i="50"/>
  <c r="F134" i="50"/>
  <c r="H134" i="50"/>
  <c r="I134" i="50"/>
  <c r="J134" i="50"/>
  <c r="K134" i="50"/>
  <c r="B135" i="50"/>
  <c r="F135" i="50"/>
  <c r="H135" i="50"/>
  <c r="I135" i="50"/>
  <c r="J135" i="50"/>
  <c r="K135" i="50"/>
  <c r="B136" i="50"/>
  <c r="F136" i="50"/>
  <c r="H136" i="50"/>
  <c r="I136" i="50"/>
  <c r="J136" i="50"/>
  <c r="K136" i="50"/>
  <c r="B137" i="50"/>
  <c r="F137" i="50"/>
  <c r="H137" i="50"/>
  <c r="I137" i="50"/>
  <c r="J137" i="50"/>
  <c r="K137" i="50"/>
  <c r="H61" i="50"/>
  <c r="I61" i="50"/>
  <c r="J61" i="50"/>
  <c r="K61" i="50"/>
  <c r="F61" i="50"/>
  <c r="B61" i="50"/>
  <c r="J218" i="50"/>
  <c r="J219" i="50"/>
  <c r="J220" i="50"/>
  <c r="J221" i="50"/>
  <c r="J222" i="50"/>
  <c r="J223" i="50"/>
  <c r="J224" i="50"/>
  <c r="J225" i="50"/>
  <c r="J226" i="50"/>
  <c r="J227" i="50"/>
  <c r="J228" i="50"/>
  <c r="J229" i="50"/>
  <c r="J230" i="50"/>
  <c r="J231" i="50"/>
  <c r="J232" i="50"/>
  <c r="J233" i="50"/>
  <c r="J234" i="50"/>
  <c r="J235" i="50"/>
  <c r="J236" i="50"/>
  <c r="J237" i="50"/>
  <c r="J238" i="50"/>
  <c r="J239" i="50"/>
  <c r="J240" i="50"/>
  <c r="J241" i="50"/>
  <c r="J242" i="50"/>
  <c r="J243" i="50"/>
  <c r="J244" i="50"/>
  <c r="J245" i="50"/>
  <c r="J246" i="50"/>
  <c r="J247" i="50"/>
  <c r="J248" i="50"/>
  <c r="J249" i="50"/>
  <c r="J250" i="50"/>
  <c r="CG13" i="40"/>
  <c r="CF13" i="40"/>
  <c r="CE13" i="40"/>
  <c r="CD13" i="40"/>
  <c r="J217" i="50"/>
  <c r="M217" i="50" s="1"/>
  <c r="P217" i="50" s="1"/>
  <c r="K389" i="65" l="1"/>
  <c r="L389" i="65"/>
  <c r="P134" i="25"/>
  <c r="K390" i="65"/>
  <c r="AN132" i="50"/>
  <c r="AN130" i="50"/>
  <c r="AN128" i="50"/>
  <c r="AN126" i="50"/>
  <c r="AN124" i="50"/>
  <c r="AN122" i="50"/>
  <c r="AN120" i="50"/>
  <c r="AN118" i="50"/>
  <c r="AN116" i="50"/>
  <c r="T114" i="50"/>
  <c r="AR92" i="50"/>
  <c r="AR86" i="50"/>
  <c r="AR80" i="50"/>
  <c r="P61" i="50"/>
  <c r="Q61" i="50"/>
  <c r="B487" i="40"/>
  <c r="B205" i="65"/>
  <c r="AT137" i="50"/>
  <c r="AU137" i="50"/>
  <c r="AO136" i="50"/>
  <c r="AN136" i="50"/>
  <c r="AT135" i="50"/>
  <c r="AU135" i="50"/>
  <c r="AO134" i="50"/>
  <c r="AN134" i="50"/>
  <c r="AT133" i="50"/>
  <c r="AU133" i="50"/>
  <c r="AQ74" i="50"/>
  <c r="AR74" i="50"/>
  <c r="AQ68" i="50"/>
  <c r="AR68" i="50"/>
  <c r="AR62" i="50"/>
  <c r="AQ62" i="50"/>
  <c r="AN137" i="50"/>
  <c r="AO137" i="50"/>
  <c r="AT136" i="50"/>
  <c r="AU136" i="50"/>
  <c r="AN135" i="50"/>
  <c r="AO135" i="50"/>
  <c r="AT134" i="50"/>
  <c r="AU134" i="50"/>
  <c r="AN133" i="50"/>
  <c r="AO133" i="50"/>
  <c r="AP133" i="50"/>
  <c r="AQ133" i="50" s="1"/>
  <c r="AR133" i="50" s="1"/>
  <c r="AN131" i="50"/>
  <c r="AN129" i="50"/>
  <c r="AN127" i="50"/>
  <c r="AO127" i="50"/>
  <c r="AP127" i="50" s="1"/>
  <c r="AQ127" i="50" s="1"/>
  <c r="AR127" i="50" s="1"/>
  <c r="AN125" i="50"/>
  <c r="AN123" i="50"/>
  <c r="AO121" i="50"/>
  <c r="AP121" i="50" s="1"/>
  <c r="AQ121" i="50" s="1"/>
  <c r="AR121" i="50" s="1"/>
  <c r="AN121" i="50"/>
  <c r="AN119" i="50"/>
  <c r="AN117" i="50"/>
  <c r="AO115" i="50"/>
  <c r="AP115" i="50" s="1"/>
  <c r="AQ115" i="50" s="1"/>
  <c r="AR115" i="50" s="1"/>
  <c r="AN115" i="50"/>
  <c r="P67" i="50"/>
  <c r="AL51" i="65"/>
  <c r="Q134" i="25" s="1"/>
  <c r="T243" i="50"/>
  <c r="M243" i="50"/>
  <c r="P243" i="50" s="1"/>
  <c r="N243" i="50"/>
  <c r="T239" i="50"/>
  <c r="M239" i="50"/>
  <c r="P239" i="50" s="1"/>
  <c r="N239" i="50"/>
  <c r="N235" i="50"/>
  <c r="T235" i="50"/>
  <c r="M235" i="50"/>
  <c r="P235" i="50" s="1"/>
  <c r="T231" i="50"/>
  <c r="M231" i="50"/>
  <c r="P231" i="50" s="1"/>
  <c r="N231" i="50"/>
  <c r="T227" i="50"/>
  <c r="M227" i="50"/>
  <c r="P227" i="50" s="1"/>
  <c r="N227" i="50"/>
  <c r="M223" i="50"/>
  <c r="P223" i="50" s="1"/>
  <c r="N223" i="50"/>
  <c r="T223" i="50"/>
  <c r="X219" i="50"/>
  <c r="AC219" i="50"/>
  <c r="M219" i="50"/>
  <c r="T219" i="50"/>
  <c r="Y219" i="50"/>
  <c r="AD219" i="50"/>
  <c r="N219" i="50"/>
  <c r="V219" i="50"/>
  <c r="Z219" i="50"/>
  <c r="AE219" i="50"/>
  <c r="P219" i="50"/>
  <c r="Q219" i="50" s="1"/>
  <c r="S219" i="50" s="1"/>
  <c r="W219" i="50"/>
  <c r="AB219" i="50"/>
  <c r="AF219" i="50"/>
  <c r="N217" i="50"/>
  <c r="Q217" i="50" s="1"/>
  <c r="S217" i="50" s="1"/>
  <c r="T217" i="50"/>
  <c r="M246" i="50"/>
  <c r="T246" i="50"/>
  <c r="N246" i="50"/>
  <c r="Q246" i="50" s="1"/>
  <c r="S246" i="50" s="1"/>
  <c r="P246" i="50"/>
  <c r="M242" i="50"/>
  <c r="T242" i="50"/>
  <c r="Y242" i="50"/>
  <c r="AD242" i="50"/>
  <c r="N242" i="50"/>
  <c r="V242" i="50"/>
  <c r="Z242" i="50"/>
  <c r="AE242" i="50"/>
  <c r="P242" i="50"/>
  <c r="Q242" i="50" s="1"/>
  <c r="S242" i="50" s="1"/>
  <c r="W242" i="50"/>
  <c r="AB242" i="50"/>
  <c r="AF242" i="50"/>
  <c r="X242" i="50"/>
  <c r="AC242" i="50"/>
  <c r="AR238" i="50"/>
  <c r="M238" i="50"/>
  <c r="P238" i="50" s="1"/>
  <c r="Z238" i="50"/>
  <c r="N238" i="50"/>
  <c r="AF238" i="50"/>
  <c r="T238" i="50"/>
  <c r="AQ238" i="50"/>
  <c r="N234" i="50"/>
  <c r="T234" i="50"/>
  <c r="M234" i="50"/>
  <c r="P234" i="50" s="1"/>
  <c r="T230" i="50"/>
  <c r="M230" i="50"/>
  <c r="P230" i="50" s="1"/>
  <c r="N230" i="50"/>
  <c r="T226" i="50"/>
  <c r="M226" i="50"/>
  <c r="P226" i="50" s="1"/>
  <c r="N226" i="50"/>
  <c r="N222" i="50"/>
  <c r="T222" i="50"/>
  <c r="M222" i="50"/>
  <c r="P222" i="50" s="1"/>
  <c r="M218" i="50"/>
  <c r="P218" i="50" s="1"/>
  <c r="N218" i="50"/>
  <c r="T218" i="50"/>
  <c r="N247" i="50"/>
  <c r="V247" i="50"/>
  <c r="Z247" i="50"/>
  <c r="AE247" i="50"/>
  <c r="P247" i="50"/>
  <c r="W247" i="50"/>
  <c r="AB247" i="50"/>
  <c r="AF247" i="50"/>
  <c r="Q247" i="50"/>
  <c r="S247" i="50" s="1"/>
  <c r="X247" i="50"/>
  <c r="AC247" i="50"/>
  <c r="M247" i="50"/>
  <c r="T247" i="50"/>
  <c r="Y247" i="50"/>
  <c r="AD247" i="50"/>
  <c r="M249" i="50"/>
  <c r="T249" i="50"/>
  <c r="N249" i="50"/>
  <c r="Q249" i="50" s="1"/>
  <c r="S249" i="50" s="1"/>
  <c r="P249" i="50"/>
  <c r="P245" i="50"/>
  <c r="M245" i="50"/>
  <c r="T245" i="50"/>
  <c r="N245" i="50"/>
  <c r="Q245" i="50" s="1"/>
  <c r="S245" i="50" s="1"/>
  <c r="N241" i="50"/>
  <c r="T241" i="50"/>
  <c r="M241" i="50"/>
  <c r="P241" i="50" s="1"/>
  <c r="T237" i="50"/>
  <c r="M237" i="50"/>
  <c r="P237" i="50" s="1"/>
  <c r="N237" i="50"/>
  <c r="M233" i="50"/>
  <c r="P233" i="50" s="1"/>
  <c r="N233" i="50"/>
  <c r="T233" i="50"/>
  <c r="T229" i="50"/>
  <c r="M229" i="50"/>
  <c r="P229" i="50" s="1"/>
  <c r="N229" i="50"/>
  <c r="M225" i="50"/>
  <c r="P225" i="50" s="1"/>
  <c r="N225" i="50"/>
  <c r="T225" i="50"/>
  <c r="T221" i="50"/>
  <c r="M221" i="50"/>
  <c r="P221" i="50" s="1"/>
  <c r="N221" i="50"/>
  <c r="M250" i="50"/>
  <c r="T250" i="50"/>
  <c r="N250" i="50"/>
  <c r="Q250" i="50" s="1"/>
  <c r="S250" i="50" s="1"/>
  <c r="P250" i="50"/>
  <c r="M248" i="50"/>
  <c r="T248" i="50"/>
  <c r="N248" i="50"/>
  <c r="Q248" i="50" s="1"/>
  <c r="S248" i="50" s="1"/>
  <c r="P248" i="50"/>
  <c r="N244" i="50"/>
  <c r="Q244" i="50" s="1"/>
  <c r="S244" i="50" s="1"/>
  <c r="P244" i="50"/>
  <c r="M244" i="50"/>
  <c r="T244" i="50"/>
  <c r="N240" i="50"/>
  <c r="T240" i="50"/>
  <c r="M240" i="50"/>
  <c r="P240" i="50" s="1"/>
  <c r="T236" i="50"/>
  <c r="M236" i="50"/>
  <c r="P236" i="50" s="1"/>
  <c r="N236" i="50"/>
  <c r="M232" i="50"/>
  <c r="P232" i="50" s="1"/>
  <c r="N232" i="50"/>
  <c r="T232" i="50"/>
  <c r="T228" i="50"/>
  <c r="M228" i="50"/>
  <c r="P228" i="50" s="1"/>
  <c r="N228" i="50"/>
  <c r="M224" i="50"/>
  <c r="P224" i="50" s="1"/>
  <c r="N224" i="50"/>
  <c r="T224" i="50"/>
  <c r="T220" i="50"/>
  <c r="M220" i="50"/>
  <c r="P220" i="50" s="1"/>
  <c r="N220" i="50"/>
  <c r="O49" i="66"/>
  <c r="O93" i="66" s="1"/>
  <c r="Q95" i="66" s="1"/>
  <c r="O27" i="25"/>
  <c r="Q50" i="66"/>
  <c r="AL126" i="65"/>
  <c r="AR126" i="65" s="1"/>
  <c r="AQ126" i="65"/>
  <c r="P136" i="50"/>
  <c r="S136" i="50" s="1"/>
  <c r="Q136" i="50"/>
  <c r="Q134" i="50"/>
  <c r="P134" i="50"/>
  <c r="S134" i="50" s="1"/>
  <c r="P132" i="50"/>
  <c r="S132" i="50" s="1"/>
  <c r="Q130" i="50"/>
  <c r="P130" i="50"/>
  <c r="S130" i="50" s="1"/>
  <c r="Q128" i="50"/>
  <c r="P128" i="50"/>
  <c r="S128" i="50" s="1"/>
  <c r="Q126" i="50"/>
  <c r="P126" i="50"/>
  <c r="S126" i="50" s="1"/>
  <c r="Q122" i="50"/>
  <c r="P122" i="50"/>
  <c r="S122" i="50" s="1"/>
  <c r="Q120" i="50"/>
  <c r="P120" i="50"/>
  <c r="S120" i="50" s="1"/>
  <c r="Q118" i="50"/>
  <c r="P118" i="50"/>
  <c r="S118" i="50" s="1"/>
  <c r="Q116" i="50"/>
  <c r="P116" i="50"/>
  <c r="S116" i="50" s="1"/>
  <c r="Q114" i="50"/>
  <c r="P114" i="50"/>
  <c r="S114" i="50" s="1"/>
  <c r="Q112" i="50"/>
  <c r="P112" i="50"/>
  <c r="S112" i="50" s="1"/>
  <c r="Q110" i="50"/>
  <c r="P110" i="50"/>
  <c r="S110" i="50" s="1"/>
  <c r="Q108" i="50"/>
  <c r="P108" i="50"/>
  <c r="S108" i="50" s="1"/>
  <c r="Q106" i="50"/>
  <c r="P106" i="50"/>
  <c r="S106" i="50" s="1"/>
  <c r="Q104" i="50"/>
  <c r="P104" i="50"/>
  <c r="S104" i="50" s="1"/>
  <c r="Q102" i="50"/>
  <c r="P102" i="50"/>
  <c r="S102" i="50" s="1"/>
  <c r="Q100" i="50"/>
  <c r="P100" i="50"/>
  <c r="S100" i="50" s="1"/>
  <c r="Q98" i="50"/>
  <c r="P98" i="50"/>
  <c r="S98" i="50" s="1"/>
  <c r="P96" i="50"/>
  <c r="P94" i="50"/>
  <c r="P92" i="50"/>
  <c r="P90" i="50"/>
  <c r="P88" i="50"/>
  <c r="P86" i="50"/>
  <c r="P84" i="50"/>
  <c r="P82" i="50"/>
  <c r="P80" i="50"/>
  <c r="Q137" i="50"/>
  <c r="P137" i="50"/>
  <c r="S137" i="50" s="1"/>
  <c r="Q135" i="50"/>
  <c r="P135" i="50"/>
  <c r="S135" i="50" s="1"/>
  <c r="P133" i="50"/>
  <c r="S133" i="50" s="1"/>
  <c r="Q129" i="50"/>
  <c r="P129" i="50"/>
  <c r="S129" i="50" s="1"/>
  <c r="P127" i="50"/>
  <c r="P125" i="50"/>
  <c r="S125" i="50" s="1"/>
  <c r="Q123" i="50"/>
  <c r="P123" i="50"/>
  <c r="S123" i="50" s="1"/>
  <c r="P121" i="50"/>
  <c r="Q119" i="50"/>
  <c r="P119" i="50"/>
  <c r="S119" i="50" s="1"/>
  <c r="Q117" i="50"/>
  <c r="P117" i="50"/>
  <c r="S117" i="50" s="1"/>
  <c r="P115" i="50"/>
  <c r="Q113" i="50"/>
  <c r="P113" i="50"/>
  <c r="Q111" i="50"/>
  <c r="P111" i="50"/>
  <c r="S111" i="50" s="1"/>
  <c r="P109" i="50"/>
  <c r="S109" i="50" s="1"/>
  <c r="AN109" i="50" s="1"/>
  <c r="AO109" i="50" s="1"/>
  <c r="AP109" i="50" s="1"/>
  <c r="AQ109" i="50" s="1"/>
  <c r="AR109" i="50" s="1"/>
  <c r="Q107" i="50"/>
  <c r="P107" i="50"/>
  <c r="S107" i="50" s="1"/>
  <c r="Q105" i="50"/>
  <c r="P105" i="50"/>
  <c r="S105" i="50" s="1"/>
  <c r="P103" i="50"/>
  <c r="S103" i="50" s="1"/>
  <c r="AN103" i="50" s="1"/>
  <c r="AO103" i="50" s="1"/>
  <c r="AP103" i="50" s="1"/>
  <c r="AQ103" i="50" s="1"/>
  <c r="AR103" i="50" s="1"/>
  <c r="Q101" i="50"/>
  <c r="P101" i="50"/>
  <c r="S101" i="50" s="1"/>
  <c r="Q99" i="50"/>
  <c r="P99" i="50"/>
  <c r="S99" i="50" s="1"/>
  <c r="P97" i="50"/>
  <c r="S97" i="50" s="1"/>
  <c r="AN97" i="50" s="1"/>
  <c r="AO97" i="50" s="1"/>
  <c r="AP97" i="50" s="1"/>
  <c r="AQ97" i="50" s="1"/>
  <c r="AR97" i="50" s="1"/>
  <c r="P95" i="50"/>
  <c r="P93" i="50"/>
  <c r="P91" i="50"/>
  <c r="P89" i="50"/>
  <c r="P87" i="50"/>
  <c r="P85" i="50"/>
  <c r="P83" i="50"/>
  <c r="P81" i="50"/>
  <c r="P79" i="50"/>
  <c r="M61" i="50"/>
  <c r="N61" i="50"/>
  <c r="T61" i="50"/>
  <c r="W137" i="50"/>
  <c r="AB137" i="50"/>
  <c r="M137" i="50"/>
  <c r="AC137" i="50"/>
  <c r="N137" i="50"/>
  <c r="T137" i="50"/>
  <c r="V137" i="50"/>
  <c r="M135" i="50"/>
  <c r="N135" i="50"/>
  <c r="T135" i="50"/>
  <c r="AB135" i="50"/>
  <c r="V135" i="50"/>
  <c r="AC135" i="50"/>
  <c r="W135" i="50"/>
  <c r="M133" i="50"/>
  <c r="N133" i="50"/>
  <c r="T133" i="50"/>
  <c r="T131" i="50"/>
  <c r="M131" i="50"/>
  <c r="P131" i="50" s="1"/>
  <c r="S131" i="50" s="1"/>
  <c r="N131" i="50"/>
  <c r="V129" i="50"/>
  <c r="AB129" i="50"/>
  <c r="M129" i="50"/>
  <c r="N129" i="50"/>
  <c r="T129" i="50"/>
  <c r="V127" i="50"/>
  <c r="AB127" i="50"/>
  <c r="M127" i="50"/>
  <c r="N127" i="50"/>
  <c r="T127" i="50"/>
  <c r="M125" i="50"/>
  <c r="N125" i="50"/>
  <c r="Q125" i="50" s="1"/>
  <c r="T125" i="50"/>
  <c r="V123" i="50"/>
  <c r="AB123" i="50"/>
  <c r="M123" i="50"/>
  <c r="N123" i="50"/>
  <c r="T123" i="50"/>
  <c r="M121" i="50"/>
  <c r="AC121" i="50"/>
  <c r="N121" i="50"/>
  <c r="T121" i="50"/>
  <c r="X121" i="50" s="1"/>
  <c r="AD121" i="50"/>
  <c r="V121" i="50"/>
  <c r="AE121" i="50"/>
  <c r="AB121" i="50"/>
  <c r="W121" i="50"/>
  <c r="N119" i="50"/>
  <c r="T119" i="50"/>
  <c r="V119" i="50"/>
  <c r="AB119" i="50"/>
  <c r="M119" i="50"/>
  <c r="N117" i="50"/>
  <c r="T117" i="50"/>
  <c r="V117" i="50"/>
  <c r="AB117" i="50"/>
  <c r="M117" i="50"/>
  <c r="V115" i="50"/>
  <c r="AB115" i="50"/>
  <c r="M115" i="50"/>
  <c r="N115" i="50"/>
  <c r="T115" i="50"/>
  <c r="AE115" i="50" s="1"/>
  <c r="M113" i="50"/>
  <c r="T113" i="50"/>
  <c r="N113" i="50"/>
  <c r="M111" i="50"/>
  <c r="N111" i="50"/>
  <c r="T111" i="50"/>
  <c r="M109" i="50"/>
  <c r="N109" i="50"/>
  <c r="T109" i="50"/>
  <c r="W109" i="50" s="1"/>
  <c r="M107" i="50"/>
  <c r="N107" i="50"/>
  <c r="T107" i="50"/>
  <c r="M105" i="50"/>
  <c r="N105" i="50"/>
  <c r="T105" i="50"/>
  <c r="M103" i="50"/>
  <c r="N103" i="50"/>
  <c r="T103" i="50"/>
  <c r="V103" i="50" s="1"/>
  <c r="N101" i="50"/>
  <c r="T101" i="50"/>
  <c r="M101" i="50"/>
  <c r="M99" i="50"/>
  <c r="N99" i="50"/>
  <c r="T99" i="50"/>
  <c r="AC97" i="50"/>
  <c r="M97" i="50"/>
  <c r="N97" i="50"/>
  <c r="T97" i="50"/>
  <c r="W97" i="50" s="1"/>
  <c r="AB97" i="50"/>
  <c r="V97" i="50"/>
  <c r="M95" i="50"/>
  <c r="N95" i="50"/>
  <c r="Q95" i="50" s="1"/>
  <c r="T95" i="50"/>
  <c r="M93" i="50"/>
  <c r="N93" i="50"/>
  <c r="Q93" i="50" s="1"/>
  <c r="T93" i="50"/>
  <c r="N91" i="50"/>
  <c r="Q91" i="50" s="1"/>
  <c r="T91" i="50"/>
  <c r="M91" i="50"/>
  <c r="N89" i="50"/>
  <c r="Q89" i="50" s="1"/>
  <c r="T89" i="50"/>
  <c r="M89" i="50"/>
  <c r="M87" i="50"/>
  <c r="N87" i="50"/>
  <c r="Q87" i="50" s="1"/>
  <c r="T87" i="50"/>
  <c r="N85" i="50"/>
  <c r="Q85" i="50" s="1"/>
  <c r="T85" i="50"/>
  <c r="M85" i="50"/>
  <c r="N83" i="50"/>
  <c r="Q83" i="50" s="1"/>
  <c r="T83" i="50"/>
  <c r="M83" i="50"/>
  <c r="N81" i="50"/>
  <c r="Q81" i="50" s="1"/>
  <c r="M81" i="50"/>
  <c r="T81" i="50"/>
  <c r="M79" i="50"/>
  <c r="N79" i="50"/>
  <c r="Q79" i="50" s="1"/>
  <c r="T79" i="50"/>
  <c r="M77" i="50"/>
  <c r="P77" i="50" s="1"/>
  <c r="T77" i="50"/>
  <c r="N77" i="50"/>
  <c r="M75" i="50"/>
  <c r="P75" i="50" s="1"/>
  <c r="T75" i="50"/>
  <c r="N75" i="50"/>
  <c r="M73" i="50"/>
  <c r="P73" i="50" s="1"/>
  <c r="N73" i="50"/>
  <c r="T73" i="50"/>
  <c r="M71" i="50"/>
  <c r="P71" i="50" s="1"/>
  <c r="T71" i="50"/>
  <c r="N71" i="50"/>
  <c r="T69" i="50"/>
  <c r="M69" i="50"/>
  <c r="P69" i="50" s="1"/>
  <c r="N69" i="50"/>
  <c r="M67" i="50"/>
  <c r="T67" i="50"/>
  <c r="N67" i="50"/>
  <c r="T65" i="50"/>
  <c r="M65" i="50"/>
  <c r="P65" i="50" s="1"/>
  <c r="N65" i="50"/>
  <c r="N63" i="50"/>
  <c r="T63" i="50"/>
  <c r="M63" i="50"/>
  <c r="P63" i="50" s="1"/>
  <c r="N136" i="50"/>
  <c r="T136" i="50"/>
  <c r="V136" i="50"/>
  <c r="AB136" i="50"/>
  <c r="W136" i="50"/>
  <c r="AC136" i="50"/>
  <c r="M136" i="50"/>
  <c r="M134" i="50"/>
  <c r="AB134" i="50"/>
  <c r="N134" i="50"/>
  <c r="T134" i="50"/>
  <c r="V134" i="50"/>
  <c r="N132" i="50"/>
  <c r="Q132" i="50" s="1"/>
  <c r="T132" i="50"/>
  <c r="M132" i="50"/>
  <c r="M130" i="50"/>
  <c r="N130" i="50"/>
  <c r="T130" i="50"/>
  <c r="V130" i="50"/>
  <c r="AB130" i="50"/>
  <c r="N128" i="50"/>
  <c r="T128" i="50"/>
  <c r="AB128" i="50"/>
  <c r="V128" i="50"/>
  <c r="M128" i="50"/>
  <c r="M126" i="50"/>
  <c r="N126" i="50"/>
  <c r="T126" i="50"/>
  <c r="T124" i="50"/>
  <c r="M124" i="50"/>
  <c r="P124" i="50" s="1"/>
  <c r="S124" i="50" s="1"/>
  <c r="N124" i="50"/>
  <c r="V122" i="50"/>
  <c r="AB122" i="50"/>
  <c r="M122" i="50"/>
  <c r="T122" i="50"/>
  <c r="N122" i="50"/>
  <c r="V120" i="50"/>
  <c r="AB120" i="50"/>
  <c r="M120" i="50"/>
  <c r="N120" i="50"/>
  <c r="T120" i="50"/>
  <c r="V118" i="50"/>
  <c r="AB118" i="50"/>
  <c r="T118" i="50"/>
  <c r="M118" i="50"/>
  <c r="N118" i="50"/>
  <c r="AB116" i="50"/>
  <c r="M116" i="50"/>
  <c r="N116" i="50"/>
  <c r="T116" i="50"/>
  <c r="V116" i="50"/>
  <c r="M114" i="50"/>
  <c r="N114" i="50"/>
  <c r="M112" i="50"/>
  <c r="N112" i="50"/>
  <c r="T112" i="50"/>
  <c r="M110" i="50"/>
  <c r="N110" i="50"/>
  <c r="T110" i="50"/>
  <c r="N108" i="50"/>
  <c r="T108" i="50"/>
  <c r="M108" i="50"/>
  <c r="M106" i="50"/>
  <c r="T106" i="50"/>
  <c r="N106" i="50"/>
  <c r="M104" i="50"/>
  <c r="N104" i="50"/>
  <c r="T104" i="50"/>
  <c r="N102" i="50"/>
  <c r="T102" i="50"/>
  <c r="M102" i="50"/>
  <c r="M100" i="50"/>
  <c r="N100" i="50"/>
  <c r="T100" i="50"/>
  <c r="M98" i="50"/>
  <c r="N98" i="50"/>
  <c r="T98" i="50"/>
  <c r="M96" i="50"/>
  <c r="N96" i="50"/>
  <c r="Q96" i="50" s="1"/>
  <c r="T96" i="50"/>
  <c r="N94" i="50"/>
  <c r="Q94" i="50" s="1"/>
  <c r="T94" i="50"/>
  <c r="M94" i="50"/>
  <c r="N92" i="50"/>
  <c r="Q92" i="50" s="1"/>
  <c r="T92" i="50"/>
  <c r="M92" i="50"/>
  <c r="M90" i="50"/>
  <c r="N90" i="50"/>
  <c r="Q90" i="50" s="1"/>
  <c r="T90" i="50"/>
  <c r="M88" i="50"/>
  <c r="T88" i="50"/>
  <c r="N88" i="50"/>
  <c r="Q88" i="50" s="1"/>
  <c r="M86" i="50"/>
  <c r="N86" i="50"/>
  <c r="Q86" i="50" s="1"/>
  <c r="T86" i="50"/>
  <c r="M84" i="50"/>
  <c r="N84" i="50"/>
  <c r="Q84" i="50" s="1"/>
  <c r="T84" i="50"/>
  <c r="M82" i="50"/>
  <c r="N82" i="50"/>
  <c r="Q82" i="50" s="1"/>
  <c r="T82" i="50"/>
  <c r="M80" i="50"/>
  <c r="N80" i="50"/>
  <c r="Q80" i="50" s="1"/>
  <c r="T80" i="50"/>
  <c r="N78" i="50"/>
  <c r="M78" i="50"/>
  <c r="P78" i="50" s="1"/>
  <c r="T78" i="50"/>
  <c r="M76" i="50"/>
  <c r="P76" i="50" s="1"/>
  <c r="T76" i="50"/>
  <c r="N76" i="50"/>
  <c r="M74" i="50"/>
  <c r="P74" i="50" s="1"/>
  <c r="N74" i="50"/>
  <c r="T74" i="50"/>
  <c r="N72" i="50"/>
  <c r="M72" i="50"/>
  <c r="P72" i="50" s="1"/>
  <c r="T72" i="50"/>
  <c r="M70" i="50"/>
  <c r="P70" i="50" s="1"/>
  <c r="T70" i="50"/>
  <c r="N70" i="50"/>
  <c r="M68" i="50"/>
  <c r="P68" i="50" s="1"/>
  <c r="N68" i="50"/>
  <c r="T68" i="50"/>
  <c r="M66" i="50"/>
  <c r="P66" i="50" s="1"/>
  <c r="T66" i="50"/>
  <c r="N66" i="50"/>
  <c r="T64" i="50"/>
  <c r="M64" i="50"/>
  <c r="P64" i="50" s="1"/>
  <c r="N64" i="50"/>
  <c r="M62" i="50"/>
  <c r="P62" i="50" s="1"/>
  <c r="T62" i="50"/>
  <c r="N62" i="50"/>
  <c r="AO51" i="65"/>
  <c r="I388" i="65" s="1"/>
  <c r="P57" i="24"/>
  <c r="Q224" i="50" l="1"/>
  <c r="S224" i="50" s="1"/>
  <c r="B488" i="40"/>
  <c r="B206" i="65"/>
  <c r="AL247" i="50"/>
  <c r="AN242" i="50"/>
  <c r="AO242" i="50" s="1"/>
  <c r="AP242" i="50" s="1"/>
  <c r="AQ242" i="50" s="1"/>
  <c r="AR242" i="50" s="1"/>
  <c r="AN219" i="50"/>
  <c r="AO219" i="50" s="1"/>
  <c r="AP219" i="50" s="1"/>
  <c r="AQ219" i="50" s="1"/>
  <c r="AR219" i="50" s="1"/>
  <c r="AN247" i="50"/>
  <c r="AO247" i="50" s="1"/>
  <c r="AP247" i="50" s="1"/>
  <c r="AQ247" i="50" s="1"/>
  <c r="AR247" i="50" s="1"/>
  <c r="Q226" i="50"/>
  <c r="S226" i="50" s="1"/>
  <c r="Q237" i="50"/>
  <c r="S237" i="50" s="1"/>
  <c r="Q239" i="50"/>
  <c r="S239" i="50" s="1"/>
  <c r="Q241" i="50"/>
  <c r="S241" i="50" s="1"/>
  <c r="AH247" i="50"/>
  <c r="Q238" i="50"/>
  <c r="S238" i="50" s="1"/>
  <c r="Q240" i="50"/>
  <c r="S240" i="50" s="1"/>
  <c r="AL238" i="50"/>
  <c r="Q220" i="50"/>
  <c r="S220" i="50" s="1"/>
  <c r="Q225" i="50"/>
  <c r="S225" i="50" s="1"/>
  <c r="Q221" i="50"/>
  <c r="S221" i="50" s="1"/>
  <c r="Q218" i="50"/>
  <c r="S218" i="50" s="1"/>
  <c r="AL242" i="50"/>
  <c r="AK219" i="50"/>
  <c r="AJ219" i="50"/>
  <c r="Q223" i="50"/>
  <c r="S223" i="50" s="1"/>
  <c r="Q227" i="50"/>
  <c r="S227" i="50" s="1"/>
  <c r="Q243" i="50"/>
  <c r="S243" i="50" s="1"/>
  <c r="Q222" i="50"/>
  <c r="S222" i="50" s="1"/>
  <c r="AH242" i="50"/>
  <c r="AI219" i="50"/>
  <c r="Q235" i="50"/>
  <c r="S235" i="50" s="1"/>
  <c r="AH219" i="50"/>
  <c r="Q228" i="50"/>
  <c r="S228" i="50" s="1"/>
  <c r="Q229" i="50"/>
  <c r="S229" i="50" s="1"/>
  <c r="Q233" i="50"/>
  <c r="S233" i="50" s="1"/>
  <c r="Q236" i="50"/>
  <c r="S236" i="50" s="1"/>
  <c r="Q234" i="50"/>
  <c r="S234" i="50" s="1"/>
  <c r="AK242" i="50"/>
  <c r="Q232" i="50"/>
  <c r="S232" i="50" s="1"/>
  <c r="AK247" i="50"/>
  <c r="AJ247" i="50"/>
  <c r="AI247" i="50"/>
  <c r="Q230" i="50"/>
  <c r="S230" i="50" s="1"/>
  <c r="AJ242" i="50"/>
  <c r="AI242" i="50"/>
  <c r="AL219" i="50"/>
  <c r="Q231" i="50"/>
  <c r="S231" i="50" s="1"/>
  <c r="S79" i="50"/>
  <c r="AN79" i="50" s="1"/>
  <c r="AO79" i="50" s="1"/>
  <c r="AP79" i="50" s="1"/>
  <c r="AQ79" i="50" s="1"/>
  <c r="AR79" i="50" s="1"/>
  <c r="S87" i="50"/>
  <c r="S95" i="50"/>
  <c r="S115" i="50"/>
  <c r="S127" i="50"/>
  <c r="S86" i="50"/>
  <c r="S94" i="50"/>
  <c r="P49" i="66"/>
  <c r="P27" i="25"/>
  <c r="S81" i="50"/>
  <c r="S89" i="50"/>
  <c r="S80" i="50"/>
  <c r="S88" i="50"/>
  <c r="S96" i="50"/>
  <c r="S83" i="50"/>
  <c r="S91" i="50"/>
  <c r="AN91" i="50" s="1"/>
  <c r="AO91" i="50" s="1"/>
  <c r="AP91" i="50" s="1"/>
  <c r="AQ91" i="50" s="1"/>
  <c r="AR91" i="50" s="1"/>
  <c r="S113" i="50"/>
  <c r="S82" i="50"/>
  <c r="S90" i="50"/>
  <c r="S85" i="50"/>
  <c r="AN85" i="50" s="1"/>
  <c r="AO85" i="50" s="1"/>
  <c r="AP85" i="50" s="1"/>
  <c r="AQ85" i="50" s="1"/>
  <c r="AR85" i="50" s="1"/>
  <c r="S93" i="50"/>
  <c r="S121" i="50"/>
  <c r="S84" i="50"/>
  <c r="S92" i="50"/>
  <c r="Q121" i="50"/>
  <c r="Q133" i="50"/>
  <c r="Q109" i="50"/>
  <c r="Q127" i="50"/>
  <c r="Q115" i="50"/>
  <c r="Q103" i="50"/>
  <c r="Q97" i="50"/>
  <c r="AC103" i="50"/>
  <c r="Y121" i="50"/>
  <c r="AK121" i="50" s="1"/>
  <c r="AB109" i="50"/>
  <c r="Q71" i="50"/>
  <c r="S71" i="50" s="1"/>
  <c r="Q72" i="50"/>
  <c r="S72" i="50" s="1"/>
  <c r="Q76" i="50"/>
  <c r="S76" i="50" s="1"/>
  <c r="Q77" i="50"/>
  <c r="S77" i="50" s="1"/>
  <c r="W103" i="50"/>
  <c r="V109" i="50"/>
  <c r="AC109" i="50"/>
  <c r="AI109" i="50" s="1"/>
  <c r="AD115" i="50"/>
  <c r="Q70" i="50"/>
  <c r="S70" i="50" s="1"/>
  <c r="Q78" i="50"/>
  <c r="S78" i="50" s="1"/>
  <c r="Q75" i="50"/>
  <c r="S75" i="50" s="1"/>
  <c r="AB103" i="50"/>
  <c r="AH103" i="50" s="1"/>
  <c r="AD109" i="50"/>
  <c r="X109" i="50"/>
  <c r="Y115" i="50"/>
  <c r="AK115" i="50" s="1"/>
  <c r="AC115" i="50"/>
  <c r="W115" i="50"/>
  <c r="Q74" i="50"/>
  <c r="S74" i="50" s="1"/>
  <c r="X115" i="50"/>
  <c r="Q73" i="50"/>
  <c r="S73" i="50" s="1"/>
  <c r="AN73" i="50" s="1"/>
  <c r="AO73" i="50" s="1"/>
  <c r="AP73" i="50" s="1"/>
  <c r="AQ73" i="50" s="1"/>
  <c r="AR73" i="50" s="1"/>
  <c r="Q68" i="50"/>
  <c r="S68" i="50" s="1"/>
  <c r="Q131" i="50"/>
  <c r="Q66" i="50"/>
  <c r="S66" i="50" s="1"/>
  <c r="Q63" i="50"/>
  <c r="S63" i="50" s="1"/>
  <c r="Q65" i="50"/>
  <c r="S65" i="50" s="1"/>
  <c r="Q67" i="50"/>
  <c r="S67" i="50" s="1"/>
  <c r="AN67" i="50" s="1"/>
  <c r="AO67" i="50" s="1"/>
  <c r="AP67" i="50" s="1"/>
  <c r="AQ67" i="50" s="1"/>
  <c r="AR67" i="50" s="1"/>
  <c r="S61" i="50"/>
  <c r="Q64" i="50"/>
  <c r="S64" i="50" s="1"/>
  <c r="Q62" i="50"/>
  <c r="S62" i="50" s="1"/>
  <c r="Q124" i="50"/>
  <c r="Q69" i="50"/>
  <c r="S69" i="50" s="1"/>
  <c r="AH134" i="50"/>
  <c r="AJ121" i="50"/>
  <c r="AH120" i="50"/>
  <c r="AI97" i="50"/>
  <c r="AI136" i="50"/>
  <c r="AH115" i="50"/>
  <c r="AH127" i="50"/>
  <c r="AI137" i="50"/>
  <c r="AH117" i="50"/>
  <c r="AH137" i="50"/>
  <c r="AH116" i="50"/>
  <c r="AH128" i="50"/>
  <c r="AH118" i="50"/>
  <c r="AH136" i="50"/>
  <c r="AH122" i="50"/>
  <c r="AH130" i="50"/>
  <c r="AI121" i="50"/>
  <c r="AH123" i="50"/>
  <c r="AI135" i="50"/>
  <c r="AH97" i="50"/>
  <c r="AH119" i="50"/>
  <c r="AH129" i="50"/>
  <c r="AH121" i="50"/>
  <c r="AH135" i="50"/>
  <c r="AP51" i="65"/>
  <c r="J388" i="65" s="1"/>
  <c r="Q57" i="24"/>
  <c r="Q27" i="25" s="1"/>
  <c r="E1058" i="40"/>
  <c r="E1059" i="40"/>
  <c r="E1060" i="40"/>
  <c r="E1061" i="40"/>
  <c r="E1062" i="40"/>
  <c r="E1063" i="40"/>
  <c r="E1064" i="40"/>
  <c r="E1065" i="40"/>
  <c r="E1066" i="40"/>
  <c r="E1067" i="40"/>
  <c r="E1068" i="40"/>
  <c r="E1069" i="40"/>
  <c r="E1070" i="40"/>
  <c r="E1071" i="40"/>
  <c r="G515" i="37"/>
  <c r="G516" i="37"/>
  <c r="H517" i="37"/>
  <c r="L517" i="37"/>
  <c r="B518" i="37"/>
  <c r="I518" i="37"/>
  <c r="B519" i="37"/>
  <c r="I519" i="37"/>
  <c r="B520" i="37"/>
  <c r="I520" i="37"/>
  <c r="G521" i="37"/>
  <c r="B523" i="37"/>
  <c r="I523" i="37"/>
  <c r="H525" i="37"/>
  <c r="L525" i="37"/>
  <c r="G526" i="37"/>
  <c r="B528" i="37"/>
  <c r="I528" i="37"/>
  <c r="H529" i="37"/>
  <c r="L529" i="37"/>
  <c r="H530" i="37"/>
  <c r="L530" i="37"/>
  <c r="H531" i="37"/>
  <c r="L531" i="37"/>
  <c r="H532" i="37"/>
  <c r="L532" i="37"/>
  <c r="F784" i="37"/>
  <c r="B539" i="37"/>
  <c r="I539" i="37"/>
  <c r="B540" i="37"/>
  <c r="I540" i="37"/>
  <c r="B541" i="37"/>
  <c r="I541" i="37"/>
  <c r="B542" i="37"/>
  <c r="I542" i="37"/>
  <c r="B543" i="37"/>
  <c r="I543" i="37"/>
  <c r="B544" i="37"/>
  <c r="I544" i="37"/>
  <c r="B545" i="37"/>
  <c r="I545" i="37"/>
  <c r="B546" i="37"/>
  <c r="I546" i="37"/>
  <c r="L547" i="37"/>
  <c r="B556" i="37"/>
  <c r="B309" i="37"/>
  <c r="G309" i="37"/>
  <c r="H309" i="37"/>
  <c r="I309" i="37"/>
  <c r="L309" i="37"/>
  <c r="G380" i="37"/>
  <c r="B381" i="37"/>
  <c r="B382" i="37"/>
  <c r="J137" i="37"/>
  <c r="L389" i="37"/>
  <c r="L390" i="37"/>
  <c r="I392" i="37"/>
  <c r="G393" i="37"/>
  <c r="G394" i="37"/>
  <c r="H398" i="37"/>
  <c r="H399" i="37"/>
  <c r="G400" i="37"/>
  <c r="B401" i="37"/>
  <c r="I408" i="37"/>
  <c r="G409" i="37"/>
  <c r="H411" i="37"/>
  <c r="L413" i="37"/>
  <c r="H415" i="37"/>
  <c r="H417" i="37"/>
  <c r="L419" i="37"/>
  <c r="H421" i="37"/>
  <c r="G422" i="37"/>
  <c r="I423" i="37"/>
  <c r="H425" i="37"/>
  <c r="L427" i="37"/>
  <c r="H428" i="37"/>
  <c r="H429" i="37"/>
  <c r="B430" i="37"/>
  <c r="L431" i="37"/>
  <c r="I432" i="37"/>
  <c r="B433" i="37"/>
  <c r="H434" i="37"/>
  <c r="I435" i="37"/>
  <c r="H436" i="37"/>
  <c r="L436" i="37"/>
  <c r="G437" i="37"/>
  <c r="B443" i="37"/>
  <c r="I443" i="37"/>
  <c r="G444" i="37"/>
  <c r="G445" i="37"/>
  <c r="G446" i="37"/>
  <c r="B451" i="37"/>
  <c r="I451" i="37"/>
  <c r="G452" i="37"/>
  <c r="G453" i="37"/>
  <c r="G454" i="37"/>
  <c r="H456" i="37"/>
  <c r="L456" i="37"/>
  <c r="H457" i="37"/>
  <c r="L457" i="37"/>
  <c r="H458" i="37"/>
  <c r="L458" i="37"/>
  <c r="G459" i="37"/>
  <c r="B460" i="37"/>
  <c r="I460" i="37"/>
  <c r="B461" i="37"/>
  <c r="I461" i="37"/>
  <c r="B462" i="37"/>
  <c r="I462" i="37"/>
  <c r="B463" i="37"/>
  <c r="I463" i="37"/>
  <c r="B464" i="37"/>
  <c r="I464" i="37"/>
  <c r="H465" i="37"/>
  <c r="L465" i="37"/>
  <c r="H466" i="37"/>
  <c r="L466" i="37"/>
  <c r="G467" i="37"/>
  <c r="G468" i="37"/>
  <c r="G469" i="37"/>
  <c r="G470" i="37"/>
  <c r="I470" i="37"/>
  <c r="B471" i="37"/>
  <c r="G471" i="37"/>
  <c r="H471" i="37"/>
  <c r="I471" i="37"/>
  <c r="L471" i="37"/>
  <c r="B472" i="37"/>
  <c r="G472" i="37"/>
  <c r="H472" i="37"/>
  <c r="I472" i="37"/>
  <c r="L472" i="37"/>
  <c r="B473" i="37"/>
  <c r="G473" i="37"/>
  <c r="H473" i="37"/>
  <c r="I473" i="37"/>
  <c r="L473" i="37"/>
  <c r="B474" i="37"/>
  <c r="G474" i="37"/>
  <c r="H474" i="37"/>
  <c r="I474" i="37"/>
  <c r="L474" i="37"/>
  <c r="B475" i="37"/>
  <c r="G475" i="37"/>
  <c r="H475" i="37"/>
  <c r="I475" i="37"/>
  <c r="L475" i="37"/>
  <c r="B476" i="37"/>
  <c r="G476" i="37"/>
  <c r="H476" i="37"/>
  <c r="I476" i="37"/>
  <c r="L476" i="37"/>
  <c r="B477" i="37"/>
  <c r="G477" i="37"/>
  <c r="H477" i="37"/>
  <c r="I477" i="37"/>
  <c r="L477" i="37"/>
  <c r="B478" i="37"/>
  <c r="G478" i="37"/>
  <c r="H478" i="37"/>
  <c r="I478" i="37"/>
  <c r="L478" i="37"/>
  <c r="B479" i="37"/>
  <c r="G479" i="37"/>
  <c r="H479" i="37"/>
  <c r="I479" i="37"/>
  <c r="L479" i="37"/>
  <c r="B480" i="37"/>
  <c r="G480" i="37"/>
  <c r="H480" i="37"/>
  <c r="I480" i="37"/>
  <c r="L480" i="37"/>
  <c r="B481" i="37"/>
  <c r="G481" i="37"/>
  <c r="H481" i="37"/>
  <c r="I481" i="37"/>
  <c r="L481" i="37"/>
  <c r="B482" i="37"/>
  <c r="G482" i="37"/>
  <c r="H482" i="37"/>
  <c r="I482" i="37"/>
  <c r="L482" i="37"/>
  <c r="B483" i="37"/>
  <c r="G483" i="37"/>
  <c r="H483" i="37"/>
  <c r="I483" i="37"/>
  <c r="L483" i="37"/>
  <c r="B484" i="37"/>
  <c r="G484" i="37"/>
  <c r="H484" i="37"/>
  <c r="I484" i="37"/>
  <c r="L484" i="37"/>
  <c r="B485" i="37"/>
  <c r="G485" i="37"/>
  <c r="H485" i="37"/>
  <c r="I485" i="37"/>
  <c r="L485" i="37"/>
  <c r="B486" i="37"/>
  <c r="G486" i="37"/>
  <c r="H486" i="37"/>
  <c r="I486" i="37"/>
  <c r="L486" i="37"/>
  <c r="B487" i="37"/>
  <c r="G487" i="37"/>
  <c r="H487" i="37"/>
  <c r="I487" i="37"/>
  <c r="L487" i="37"/>
  <c r="B488" i="37"/>
  <c r="G488" i="37"/>
  <c r="H488" i="37"/>
  <c r="I488" i="37"/>
  <c r="L488" i="37"/>
  <c r="B489" i="37"/>
  <c r="G489" i="37"/>
  <c r="H489" i="37"/>
  <c r="I489" i="37"/>
  <c r="L489" i="37"/>
  <c r="B490" i="37"/>
  <c r="G490" i="37"/>
  <c r="H490" i="37"/>
  <c r="I490" i="37"/>
  <c r="L490" i="37"/>
  <c r="B491" i="37"/>
  <c r="G491" i="37"/>
  <c r="H491" i="37"/>
  <c r="I491" i="37"/>
  <c r="L491" i="37"/>
  <c r="B492" i="37"/>
  <c r="G492" i="37"/>
  <c r="H492" i="37"/>
  <c r="I492" i="37"/>
  <c r="L492" i="37"/>
  <c r="B493" i="37"/>
  <c r="G493" i="37"/>
  <c r="H493" i="37"/>
  <c r="I493" i="37"/>
  <c r="L493" i="37"/>
  <c r="B494" i="37"/>
  <c r="G494" i="37"/>
  <c r="H494" i="37"/>
  <c r="I494" i="37"/>
  <c r="L494" i="37"/>
  <c r="B495" i="37"/>
  <c r="G495" i="37"/>
  <c r="H495" i="37"/>
  <c r="I495" i="37"/>
  <c r="L495" i="37"/>
  <c r="B496" i="37"/>
  <c r="G496" i="37"/>
  <c r="H496" i="37"/>
  <c r="I496" i="37"/>
  <c r="L496" i="37"/>
  <c r="B497" i="37"/>
  <c r="G497" i="37"/>
  <c r="H497" i="37"/>
  <c r="I497" i="37"/>
  <c r="L497" i="37"/>
  <c r="B498" i="37"/>
  <c r="G498" i="37"/>
  <c r="H498" i="37"/>
  <c r="I498" i="37"/>
  <c r="L498" i="37"/>
  <c r="B499" i="37"/>
  <c r="G499" i="37"/>
  <c r="H499" i="37"/>
  <c r="I499" i="37"/>
  <c r="L499" i="37"/>
  <c r="B500" i="37"/>
  <c r="G500" i="37"/>
  <c r="H500" i="37"/>
  <c r="I500" i="37"/>
  <c r="L500" i="37"/>
  <c r="B501" i="37"/>
  <c r="G501" i="37"/>
  <c r="H501" i="37"/>
  <c r="I501" i="37"/>
  <c r="L501" i="37"/>
  <c r="B502" i="37"/>
  <c r="G502" i="37"/>
  <c r="H502" i="37"/>
  <c r="I502" i="37"/>
  <c r="L502" i="37"/>
  <c r="B503" i="37"/>
  <c r="G503" i="37"/>
  <c r="H503" i="37"/>
  <c r="I503" i="37"/>
  <c r="L503" i="37"/>
  <c r="B504" i="37"/>
  <c r="G504" i="37"/>
  <c r="H504" i="37"/>
  <c r="I504" i="37"/>
  <c r="L504" i="37"/>
  <c r="B505" i="37"/>
  <c r="G505" i="37"/>
  <c r="H505" i="37"/>
  <c r="I505" i="37"/>
  <c r="L505" i="37"/>
  <c r="B506" i="37"/>
  <c r="G506" i="37"/>
  <c r="H506" i="37"/>
  <c r="I506" i="37"/>
  <c r="L506" i="37"/>
  <c r="B507" i="37"/>
  <c r="G507" i="37"/>
  <c r="H507" i="37"/>
  <c r="I507" i="37"/>
  <c r="L507" i="37"/>
  <c r="B508" i="37"/>
  <c r="G508" i="37"/>
  <c r="H508" i="37"/>
  <c r="I508" i="37"/>
  <c r="L508" i="37"/>
  <c r="B509" i="37"/>
  <c r="G509" i="37"/>
  <c r="H509" i="37"/>
  <c r="I509" i="37"/>
  <c r="L509" i="37"/>
  <c r="B510" i="37"/>
  <c r="G510" i="37"/>
  <c r="H510" i="37"/>
  <c r="I510" i="37"/>
  <c r="L510" i="37"/>
  <c r="H511" i="37"/>
  <c r="L511" i="37"/>
  <c r="G512" i="37"/>
  <c r="G513" i="37"/>
  <c r="G514" i="37"/>
  <c r="B555" i="37"/>
  <c r="AJ115" i="50" l="1"/>
  <c r="AN61" i="50"/>
  <c r="AO61" i="50" s="1"/>
  <c r="AP61" i="50" s="1"/>
  <c r="AQ61" i="50" s="1"/>
  <c r="AR61" i="50" s="1"/>
  <c r="B489" i="40"/>
  <c r="B207" i="65"/>
  <c r="H547" i="37"/>
  <c r="H795" i="37"/>
  <c r="AI103" i="50"/>
  <c r="AI115" i="50"/>
  <c r="AH109" i="50"/>
  <c r="AZ121" i="50"/>
  <c r="AJ109" i="50"/>
  <c r="V91" i="50"/>
  <c r="AB91" i="50"/>
  <c r="Q49" i="66"/>
  <c r="AR51" i="65"/>
  <c r="L388" i="65" s="1"/>
  <c r="AQ51" i="65"/>
  <c r="K388" i="65" s="1"/>
  <c r="K265" i="37"/>
  <c r="J265" i="37"/>
  <c r="J761" i="37" s="1"/>
  <c r="K263" i="37"/>
  <c r="J263" i="37"/>
  <c r="J759" i="37" s="1"/>
  <c r="K259" i="37"/>
  <c r="K507" i="37" s="1"/>
  <c r="N507" i="37" s="1"/>
  <c r="J259" i="37"/>
  <c r="K255" i="37"/>
  <c r="K503" i="37" s="1"/>
  <c r="J255" i="37"/>
  <c r="K253" i="37"/>
  <c r="J253" i="37"/>
  <c r="J501" i="37" s="1"/>
  <c r="P501" i="37" s="1"/>
  <c r="K251" i="37"/>
  <c r="K499" i="37" s="1"/>
  <c r="J251" i="37"/>
  <c r="F745" i="37"/>
  <c r="K249" i="37"/>
  <c r="J249" i="37"/>
  <c r="F495" i="37"/>
  <c r="K247" i="37"/>
  <c r="J247" i="37"/>
  <c r="F493" i="37"/>
  <c r="K245" i="37"/>
  <c r="J245" i="37"/>
  <c r="F491" i="37"/>
  <c r="K243" i="37"/>
  <c r="J243" i="37"/>
  <c r="F489" i="37"/>
  <c r="K241" i="37"/>
  <c r="J241" i="37"/>
  <c r="F487" i="37"/>
  <c r="K239" i="37"/>
  <c r="J239" i="37"/>
  <c r="F485" i="37"/>
  <c r="K237" i="37"/>
  <c r="J237" i="37"/>
  <c r="F483" i="37"/>
  <c r="K235" i="37"/>
  <c r="J235" i="37"/>
  <c r="F479" i="37"/>
  <c r="K231" i="37"/>
  <c r="J231" i="37"/>
  <c r="F477" i="37"/>
  <c r="K229" i="37"/>
  <c r="J229" i="37"/>
  <c r="K221" i="37"/>
  <c r="J221" i="37"/>
  <c r="K217" i="37"/>
  <c r="J217" i="37"/>
  <c r="K215" i="37"/>
  <c r="J215" i="37"/>
  <c r="K213" i="37"/>
  <c r="J213" i="37"/>
  <c r="K211" i="37"/>
  <c r="J211" i="37"/>
  <c r="K209" i="37"/>
  <c r="J209" i="37"/>
  <c r="F455" i="37"/>
  <c r="K207" i="37"/>
  <c r="J207" i="37"/>
  <c r="K205" i="37"/>
  <c r="J205" i="37"/>
  <c r="K266" i="37"/>
  <c r="J266" i="37"/>
  <c r="J762" i="37" s="1"/>
  <c r="K264" i="37"/>
  <c r="J264" i="37"/>
  <c r="J760" i="37" s="1"/>
  <c r="K262" i="37"/>
  <c r="K510" i="37" s="1"/>
  <c r="N510" i="37" s="1"/>
  <c r="J262" i="37"/>
  <c r="K260" i="37"/>
  <c r="K508" i="37" s="1"/>
  <c r="N508" i="37" s="1"/>
  <c r="J260" i="37"/>
  <c r="K258" i="37"/>
  <c r="K506" i="37" s="1"/>
  <c r="J258" i="37"/>
  <c r="K256" i="37"/>
  <c r="K504" i="37" s="1"/>
  <c r="N504" i="37" s="1"/>
  <c r="J256" i="37"/>
  <c r="K254" i="37"/>
  <c r="K502" i="37" s="1"/>
  <c r="N502" i="37" s="1"/>
  <c r="J254" i="37"/>
  <c r="K252" i="37"/>
  <c r="K500" i="37" s="1"/>
  <c r="J252" i="37"/>
  <c r="F746" i="37"/>
  <c r="K250" i="37"/>
  <c r="J250" i="37"/>
  <c r="F496" i="37"/>
  <c r="K248" i="37"/>
  <c r="J248" i="37"/>
  <c r="F494" i="37"/>
  <c r="K246" i="37"/>
  <c r="J246" i="37"/>
  <c r="F492" i="37"/>
  <c r="K244" i="37"/>
  <c r="J244" i="37"/>
  <c r="F490" i="37"/>
  <c r="K242" i="37"/>
  <c r="J242" i="37"/>
  <c r="F488" i="37"/>
  <c r="K240" i="37"/>
  <c r="J240" i="37"/>
  <c r="F486" i="37"/>
  <c r="K238" i="37"/>
  <c r="J238" i="37"/>
  <c r="F484" i="37"/>
  <c r="K236" i="37"/>
  <c r="J236" i="37"/>
  <c r="F482" i="37"/>
  <c r="K234" i="37"/>
  <c r="J234" i="37"/>
  <c r="F480" i="37"/>
  <c r="K232" i="37"/>
  <c r="J232" i="37"/>
  <c r="F478" i="37"/>
  <c r="K230" i="37"/>
  <c r="J230" i="37"/>
  <c r="F476" i="37"/>
  <c r="K228" i="37"/>
  <c r="J228" i="37"/>
  <c r="F474" i="37"/>
  <c r="K226" i="37"/>
  <c r="J226" i="37"/>
  <c r="F472" i="37"/>
  <c r="K224" i="37"/>
  <c r="J224" i="37"/>
  <c r="K222" i="37"/>
  <c r="J222" i="37"/>
  <c r="K220" i="37"/>
  <c r="J220" i="37"/>
  <c r="K218" i="37"/>
  <c r="J218" i="37"/>
  <c r="K216" i="37"/>
  <c r="J216" i="37"/>
  <c r="K214" i="37"/>
  <c r="J214" i="37"/>
  <c r="K212" i="37"/>
  <c r="J212" i="37"/>
  <c r="K210" i="37"/>
  <c r="J210" i="37"/>
  <c r="K208" i="37"/>
  <c r="J208" i="37"/>
  <c r="K206" i="37"/>
  <c r="J206" i="37"/>
  <c r="K204" i="37"/>
  <c r="J204" i="37"/>
  <c r="F450" i="37"/>
  <c r="K202" i="37"/>
  <c r="J202" i="37"/>
  <c r="F448" i="37"/>
  <c r="K200" i="37"/>
  <c r="J200" i="37"/>
  <c r="K198" i="37"/>
  <c r="J198" i="37"/>
  <c r="K196" i="37"/>
  <c r="J196" i="37"/>
  <c r="F442" i="37"/>
  <c r="K194" i="37"/>
  <c r="J194" i="37"/>
  <c r="F440" i="37"/>
  <c r="K192" i="37"/>
  <c r="J192" i="37"/>
  <c r="F438" i="37"/>
  <c r="K190" i="37"/>
  <c r="J190" i="37"/>
  <c r="F684" i="37"/>
  <c r="K188" i="37"/>
  <c r="J188" i="37"/>
  <c r="K186" i="37"/>
  <c r="J186" i="37"/>
  <c r="K184" i="37"/>
  <c r="J184" i="37"/>
  <c r="K182" i="37"/>
  <c r="J182" i="37"/>
  <c r="K180" i="37"/>
  <c r="J180" i="37"/>
  <c r="K178" i="37"/>
  <c r="J178" i="37"/>
  <c r="F424" i="37"/>
  <c r="K176" i="37"/>
  <c r="J176" i="37"/>
  <c r="K174" i="37"/>
  <c r="J174" i="37"/>
  <c r="F420" i="37"/>
  <c r="K172" i="37"/>
  <c r="J172" i="37"/>
  <c r="K170" i="37"/>
  <c r="J170" i="37"/>
  <c r="F416" i="37"/>
  <c r="K168" i="37"/>
  <c r="J168" i="37"/>
  <c r="F414" i="37"/>
  <c r="K166" i="37"/>
  <c r="J166" i="37"/>
  <c r="K164" i="37"/>
  <c r="J164" i="37"/>
  <c r="F410" i="37"/>
  <c r="K162" i="37"/>
  <c r="J162" i="37"/>
  <c r="K160" i="37"/>
  <c r="J160" i="37"/>
  <c r="K158" i="37"/>
  <c r="J158" i="37"/>
  <c r="K156" i="37"/>
  <c r="J156" i="37"/>
  <c r="K154" i="37"/>
  <c r="J154" i="37"/>
  <c r="K152" i="37"/>
  <c r="J152" i="37"/>
  <c r="K150" i="37"/>
  <c r="J150" i="37"/>
  <c r="K148" i="37"/>
  <c r="J148" i="37"/>
  <c r="K146" i="37"/>
  <c r="J146" i="37"/>
  <c r="K144" i="37"/>
  <c r="J144" i="37"/>
  <c r="K142" i="37"/>
  <c r="J142" i="37"/>
  <c r="J638" i="37" s="1"/>
  <c r="K140" i="37"/>
  <c r="J140" i="37"/>
  <c r="K138" i="37"/>
  <c r="J138" i="37"/>
  <c r="K136" i="37"/>
  <c r="J136" i="37"/>
  <c r="K134" i="37"/>
  <c r="J134" i="37"/>
  <c r="K132" i="37"/>
  <c r="J132" i="37"/>
  <c r="K130" i="37"/>
  <c r="J130" i="37"/>
  <c r="F376" i="37"/>
  <c r="K128" i="37"/>
  <c r="J128" i="37"/>
  <c r="K126" i="37"/>
  <c r="J126" i="37"/>
  <c r="K124" i="37"/>
  <c r="J124" i="37"/>
  <c r="K122" i="37"/>
  <c r="J122" i="37"/>
  <c r="K120" i="37"/>
  <c r="J120" i="37"/>
  <c r="K118" i="37"/>
  <c r="J118" i="37"/>
  <c r="K116" i="37"/>
  <c r="J116" i="37"/>
  <c r="K114" i="37"/>
  <c r="J114" i="37"/>
  <c r="K112" i="37"/>
  <c r="J112" i="37"/>
  <c r="K110" i="37"/>
  <c r="J110" i="37"/>
  <c r="K108" i="37"/>
  <c r="J108" i="37"/>
  <c r="K106" i="37"/>
  <c r="J106" i="37"/>
  <c r="K104" i="37"/>
  <c r="J104" i="37"/>
  <c r="F350" i="37"/>
  <c r="K102" i="37"/>
  <c r="J102" i="37"/>
  <c r="K100" i="37"/>
  <c r="J100" i="37"/>
  <c r="K98" i="37"/>
  <c r="J98" i="37"/>
  <c r="K96" i="37"/>
  <c r="J96" i="37"/>
  <c r="K94" i="37"/>
  <c r="J94" i="37"/>
  <c r="K92" i="37"/>
  <c r="J92" i="37"/>
  <c r="K90" i="37"/>
  <c r="J90" i="37"/>
  <c r="K88" i="37"/>
  <c r="J88" i="37"/>
  <c r="K86" i="37"/>
  <c r="J86" i="37"/>
  <c r="K84" i="37"/>
  <c r="J84" i="37"/>
  <c r="K82" i="37"/>
  <c r="J82" i="37"/>
  <c r="K80" i="37"/>
  <c r="J80" i="37"/>
  <c r="K78" i="37"/>
  <c r="J78" i="37"/>
  <c r="K76" i="37"/>
  <c r="J76" i="37"/>
  <c r="K74" i="37"/>
  <c r="J74" i="37"/>
  <c r="K72" i="37"/>
  <c r="J72" i="37"/>
  <c r="K70" i="37"/>
  <c r="J70" i="37"/>
  <c r="K68" i="37"/>
  <c r="J68" i="37"/>
  <c r="K66" i="37"/>
  <c r="J66" i="37"/>
  <c r="K64" i="37"/>
  <c r="J64" i="37"/>
  <c r="F558" i="37"/>
  <c r="K62" i="37"/>
  <c r="J62" i="37"/>
  <c r="K60" i="37"/>
  <c r="J60" i="37"/>
  <c r="K301" i="37"/>
  <c r="K549" i="37" s="1"/>
  <c r="J301" i="37"/>
  <c r="J549" i="37" s="1"/>
  <c r="K299" i="37"/>
  <c r="J299" i="37"/>
  <c r="K297" i="37"/>
  <c r="J297" i="37"/>
  <c r="K295" i="37"/>
  <c r="J295" i="37"/>
  <c r="K293" i="37"/>
  <c r="J293" i="37"/>
  <c r="K291" i="37"/>
  <c r="J291" i="37"/>
  <c r="J539" i="37" s="1"/>
  <c r="F537" i="37"/>
  <c r="K289" i="37"/>
  <c r="J289" i="37"/>
  <c r="F535" i="37"/>
  <c r="K287" i="37"/>
  <c r="J287" i="37"/>
  <c r="K284" i="37"/>
  <c r="K780" i="37" s="1"/>
  <c r="J284" i="37"/>
  <c r="J780" i="37" s="1"/>
  <c r="K282" i="37"/>
  <c r="K778" i="37" s="1"/>
  <c r="J282" i="37"/>
  <c r="J778" i="37" s="1"/>
  <c r="K280" i="37"/>
  <c r="J280" i="37"/>
  <c r="J776" i="37" s="1"/>
  <c r="K278" i="37"/>
  <c r="J278" i="37"/>
  <c r="J774" i="37" s="1"/>
  <c r="K275" i="37"/>
  <c r="J275" i="37"/>
  <c r="J771" i="37" s="1"/>
  <c r="K274" i="37"/>
  <c r="K770" i="37" s="1"/>
  <c r="J274" i="37"/>
  <c r="J522" i="37" s="1"/>
  <c r="K272" i="37"/>
  <c r="J272" i="37"/>
  <c r="J768" i="37" s="1"/>
  <c r="K270" i="37"/>
  <c r="J270" i="37"/>
  <c r="J766" i="37" s="1"/>
  <c r="K267" i="37"/>
  <c r="J267" i="37"/>
  <c r="J763" i="37" s="1"/>
  <c r="B758" i="37"/>
  <c r="B750" i="37"/>
  <c r="B742" i="37"/>
  <c r="B734" i="37"/>
  <c r="B726" i="37"/>
  <c r="B792" i="37"/>
  <c r="B788" i="37"/>
  <c r="H780" i="37"/>
  <c r="I771" i="37"/>
  <c r="B766" i="37"/>
  <c r="K59" i="37"/>
  <c r="J59" i="37"/>
  <c r="K261" i="37"/>
  <c r="K509" i="37" s="1"/>
  <c r="N509" i="37" s="1"/>
  <c r="J261" i="37"/>
  <c r="K257" i="37"/>
  <c r="K505" i="37" s="1"/>
  <c r="J257" i="37"/>
  <c r="F481" i="37"/>
  <c r="K233" i="37"/>
  <c r="J233" i="37"/>
  <c r="F475" i="37"/>
  <c r="K227" i="37"/>
  <c r="J227" i="37"/>
  <c r="F473" i="37"/>
  <c r="K225" i="37"/>
  <c r="J225" i="37"/>
  <c r="F471" i="37"/>
  <c r="K223" i="37"/>
  <c r="J223" i="37"/>
  <c r="K219" i="37"/>
  <c r="J219" i="37"/>
  <c r="K203" i="37"/>
  <c r="J203" i="37"/>
  <c r="F449" i="37"/>
  <c r="K201" i="37"/>
  <c r="J201" i="37"/>
  <c r="F447" i="37"/>
  <c r="K199" i="37"/>
  <c r="J199" i="37"/>
  <c r="K197" i="37"/>
  <c r="J197" i="37"/>
  <c r="K195" i="37"/>
  <c r="J195" i="37"/>
  <c r="F441" i="37"/>
  <c r="K193" i="37"/>
  <c r="J193" i="37"/>
  <c r="F439" i="37"/>
  <c r="K191" i="37"/>
  <c r="J191" i="37"/>
  <c r="K189" i="37"/>
  <c r="J189" i="37"/>
  <c r="K187" i="37"/>
  <c r="J187" i="37"/>
  <c r="K185" i="37"/>
  <c r="J185" i="37"/>
  <c r="F431" i="37"/>
  <c r="K183" i="37"/>
  <c r="J183" i="37"/>
  <c r="K181" i="37"/>
  <c r="J181" i="37"/>
  <c r="F427" i="37"/>
  <c r="K179" i="37"/>
  <c r="J179" i="37"/>
  <c r="K177" i="37"/>
  <c r="J177" i="37"/>
  <c r="K175" i="37"/>
  <c r="J175" i="37"/>
  <c r="K173" i="37"/>
  <c r="J173" i="37"/>
  <c r="K171" i="37"/>
  <c r="J171" i="37"/>
  <c r="K169" i="37"/>
  <c r="J169" i="37"/>
  <c r="K167" i="37"/>
  <c r="J167" i="37"/>
  <c r="K165" i="37"/>
  <c r="J165" i="37"/>
  <c r="K163" i="37"/>
  <c r="J163" i="37"/>
  <c r="K161" i="37"/>
  <c r="J161" i="37"/>
  <c r="K159" i="37"/>
  <c r="J159" i="37"/>
  <c r="K157" i="37"/>
  <c r="J157" i="37"/>
  <c r="K155" i="37"/>
  <c r="J155" i="37"/>
  <c r="K153" i="37"/>
  <c r="J153" i="37"/>
  <c r="K151" i="37"/>
  <c r="J151" i="37"/>
  <c r="K149" i="37"/>
  <c r="J149" i="37"/>
  <c r="F395" i="37"/>
  <c r="K147" i="37"/>
  <c r="J147" i="37"/>
  <c r="K145" i="37"/>
  <c r="J145" i="37"/>
  <c r="K143" i="37"/>
  <c r="J143" i="37"/>
  <c r="K141" i="37"/>
  <c r="J141" i="37"/>
  <c r="K139" i="37"/>
  <c r="J139" i="37"/>
  <c r="K137" i="37"/>
  <c r="K135" i="37"/>
  <c r="J135" i="37"/>
  <c r="K133" i="37"/>
  <c r="J133" i="37"/>
  <c r="K131" i="37"/>
  <c r="J131" i="37"/>
  <c r="K129" i="37"/>
  <c r="J129" i="37"/>
  <c r="K127" i="37"/>
  <c r="J127" i="37"/>
  <c r="K125" i="37"/>
  <c r="J125" i="37"/>
  <c r="K123" i="37"/>
  <c r="J123" i="37"/>
  <c r="K121" i="37"/>
  <c r="J121" i="37"/>
  <c r="K119" i="37"/>
  <c r="J119" i="37"/>
  <c r="K117" i="37"/>
  <c r="J117" i="37"/>
  <c r="K115" i="37"/>
  <c r="J115" i="37"/>
  <c r="K113" i="37"/>
  <c r="J113" i="37"/>
  <c r="K111" i="37"/>
  <c r="J111" i="37"/>
  <c r="K109" i="37"/>
  <c r="J109" i="37"/>
  <c r="K107" i="37"/>
  <c r="J107" i="37"/>
  <c r="F601" i="37"/>
  <c r="K105" i="37"/>
  <c r="J105" i="37"/>
  <c r="K103" i="37"/>
  <c r="J103" i="37"/>
  <c r="K101" i="37"/>
  <c r="J101" i="37"/>
  <c r="K99" i="37"/>
  <c r="J99" i="37"/>
  <c r="K97" i="37"/>
  <c r="J97" i="37"/>
  <c r="K95" i="37"/>
  <c r="J95" i="37"/>
  <c r="K93" i="37"/>
  <c r="J93" i="37"/>
  <c r="K91" i="37"/>
  <c r="J91" i="37"/>
  <c r="K89" i="37"/>
  <c r="J89" i="37"/>
  <c r="K87" i="37"/>
  <c r="J87" i="37"/>
  <c r="K85" i="37"/>
  <c r="J85" i="37"/>
  <c r="K83" i="37"/>
  <c r="J83" i="37"/>
  <c r="K81" i="37"/>
  <c r="J81" i="37"/>
  <c r="K79" i="37"/>
  <c r="J79" i="37"/>
  <c r="K77" i="37"/>
  <c r="J77" i="37"/>
  <c r="K75" i="37"/>
  <c r="J75" i="37"/>
  <c r="J571" i="37" s="1"/>
  <c r="K73" i="37"/>
  <c r="J73" i="37"/>
  <c r="K71" i="37"/>
  <c r="J71" i="37"/>
  <c r="K69" i="37"/>
  <c r="J69" i="37"/>
  <c r="K67" i="37"/>
  <c r="J67" i="37"/>
  <c r="K65" i="37"/>
  <c r="J65" i="37"/>
  <c r="K63" i="37"/>
  <c r="J63" i="37"/>
  <c r="K61" i="37"/>
  <c r="K309" i="37" s="1"/>
  <c r="N309" i="37" s="1"/>
  <c r="J61" i="37"/>
  <c r="J309" i="37" s="1"/>
  <c r="K300" i="37"/>
  <c r="K548" i="37" s="1"/>
  <c r="J300" i="37"/>
  <c r="K298" i="37"/>
  <c r="J298" i="37"/>
  <c r="K296" i="37"/>
  <c r="J296" i="37"/>
  <c r="J544" i="37" s="1"/>
  <c r="K294" i="37"/>
  <c r="J294" i="37"/>
  <c r="K292" i="37"/>
  <c r="J292" i="37"/>
  <c r="F538" i="37"/>
  <c r="K290" i="37"/>
  <c r="J290" i="37"/>
  <c r="F536" i="37"/>
  <c r="K288" i="37"/>
  <c r="J288" i="37"/>
  <c r="F534" i="37"/>
  <c r="K286" i="37"/>
  <c r="J286" i="37"/>
  <c r="F533" i="37"/>
  <c r="K285" i="37"/>
  <c r="K781" i="37" s="1"/>
  <c r="J285" i="37"/>
  <c r="J533" i="37" s="1"/>
  <c r="K283" i="37"/>
  <c r="K779" i="37" s="1"/>
  <c r="J283" i="37"/>
  <c r="J779" i="37" s="1"/>
  <c r="K281" i="37"/>
  <c r="K777" i="37" s="1"/>
  <c r="J281" i="37"/>
  <c r="J777" i="37" s="1"/>
  <c r="K279" i="37"/>
  <c r="K527" i="37" s="1"/>
  <c r="J279" i="37"/>
  <c r="J775" i="37" s="1"/>
  <c r="K277" i="37"/>
  <c r="J277" i="37"/>
  <c r="J773" i="37" s="1"/>
  <c r="K276" i="37"/>
  <c r="K772" i="37" s="1"/>
  <c r="J276" i="37"/>
  <c r="J524" i="37" s="1"/>
  <c r="K273" i="37"/>
  <c r="J273" i="37"/>
  <c r="J521" i="37" s="1"/>
  <c r="P521" i="37" s="1"/>
  <c r="K271" i="37"/>
  <c r="J271" i="37"/>
  <c r="J767" i="37" s="1"/>
  <c r="K269" i="37"/>
  <c r="J269" i="37"/>
  <c r="J517" i="37" s="1"/>
  <c r="K268" i="37"/>
  <c r="K516" i="37" s="1"/>
  <c r="J268" i="37"/>
  <c r="B753" i="37"/>
  <c r="B745" i="37"/>
  <c r="B737" i="37"/>
  <c r="B729" i="37"/>
  <c r="B721" i="37"/>
  <c r="B790" i="37"/>
  <c r="F786" i="37"/>
  <c r="F782" i="37"/>
  <c r="I776" i="37"/>
  <c r="B768" i="37"/>
  <c r="F307" i="37"/>
  <c r="L537" i="37"/>
  <c r="L785" i="37"/>
  <c r="I536" i="37"/>
  <c r="I784" i="37"/>
  <c r="G361" i="37"/>
  <c r="G609" i="37"/>
  <c r="L549" i="37"/>
  <c r="L797" i="37"/>
  <c r="G549" i="37"/>
  <c r="G797" i="37"/>
  <c r="L548" i="37"/>
  <c r="L796" i="37"/>
  <c r="I547" i="37"/>
  <c r="I795" i="37"/>
  <c r="B547" i="37"/>
  <c r="B795" i="37"/>
  <c r="H546" i="37"/>
  <c r="H794" i="37"/>
  <c r="G545" i="37"/>
  <c r="G793" i="37"/>
  <c r="L544" i="37"/>
  <c r="L792" i="37"/>
  <c r="G544" i="37"/>
  <c r="G792" i="37"/>
  <c r="L543" i="37"/>
  <c r="L791" i="37"/>
  <c r="F543" i="37"/>
  <c r="F791" i="37"/>
  <c r="H541" i="37"/>
  <c r="H789" i="37"/>
  <c r="G540" i="37"/>
  <c r="G788" i="37"/>
  <c r="L539" i="37"/>
  <c r="L787" i="37"/>
  <c r="G539" i="37"/>
  <c r="G787" i="37"/>
  <c r="L538" i="37"/>
  <c r="L786" i="37"/>
  <c r="I537" i="37"/>
  <c r="I785" i="37"/>
  <c r="B537" i="37"/>
  <c r="B785" i="37"/>
  <c r="H536" i="37"/>
  <c r="H784" i="37"/>
  <c r="G535" i="37"/>
  <c r="G783" i="37"/>
  <c r="L534" i="37"/>
  <c r="L782" i="37"/>
  <c r="I532" i="37"/>
  <c r="I780" i="37"/>
  <c r="B532" i="37"/>
  <c r="B780" i="37"/>
  <c r="G530" i="37"/>
  <c r="G778" i="37"/>
  <c r="G529" i="37"/>
  <c r="G777" i="37"/>
  <c r="L528" i="37"/>
  <c r="L776" i="37"/>
  <c r="F776" i="37"/>
  <c r="I527" i="37"/>
  <c r="I775" i="37"/>
  <c r="B527" i="37"/>
  <c r="B775" i="37"/>
  <c r="H526" i="37"/>
  <c r="H774" i="37"/>
  <c r="G525" i="37"/>
  <c r="G773" i="37"/>
  <c r="L524" i="37"/>
  <c r="L772" i="37"/>
  <c r="G524" i="37"/>
  <c r="G772" i="37"/>
  <c r="L523" i="37"/>
  <c r="L771" i="37"/>
  <c r="G523" i="37"/>
  <c r="G771" i="37"/>
  <c r="L522" i="37"/>
  <c r="L770" i="37"/>
  <c r="G522" i="37"/>
  <c r="G770" i="37"/>
  <c r="L521" i="37"/>
  <c r="L769" i="37"/>
  <c r="L520" i="37"/>
  <c r="L768" i="37"/>
  <c r="G520" i="37"/>
  <c r="G768" i="37"/>
  <c r="L519" i="37"/>
  <c r="L767" i="37"/>
  <c r="G519" i="37"/>
  <c r="G767" i="37"/>
  <c r="L518" i="37"/>
  <c r="L766" i="37"/>
  <c r="G518" i="37"/>
  <c r="G766" i="37"/>
  <c r="G517" i="37"/>
  <c r="G765" i="37"/>
  <c r="L516" i="37"/>
  <c r="L764" i="37"/>
  <c r="L515" i="37"/>
  <c r="L763" i="37"/>
  <c r="F763" i="37"/>
  <c r="I757" i="37"/>
  <c r="I754" i="37"/>
  <c r="I751" i="37"/>
  <c r="I749" i="37"/>
  <c r="I746" i="37"/>
  <c r="I743" i="37"/>
  <c r="I741" i="37"/>
  <c r="I738" i="37"/>
  <c r="I735" i="37"/>
  <c r="I733" i="37"/>
  <c r="I730" i="37"/>
  <c r="I727" i="37"/>
  <c r="I725" i="37"/>
  <c r="I722" i="37"/>
  <c r="I719" i="37"/>
  <c r="H704" i="37"/>
  <c r="I691" i="37"/>
  <c r="F664" i="37"/>
  <c r="F797" i="37"/>
  <c r="I793" i="37"/>
  <c r="I791" i="37"/>
  <c r="I789" i="37"/>
  <c r="I787" i="37"/>
  <c r="L779" i="37"/>
  <c r="L777" i="37"/>
  <c r="B776" i="37"/>
  <c r="G774" i="37"/>
  <c r="B771" i="37"/>
  <c r="G769" i="37"/>
  <c r="I767" i="37"/>
  <c r="L765" i="37"/>
  <c r="G764" i="37"/>
  <c r="G762" i="37"/>
  <c r="G760" i="37"/>
  <c r="L512" i="37"/>
  <c r="L760" i="37"/>
  <c r="I511" i="37"/>
  <c r="I759" i="37"/>
  <c r="H549" i="37"/>
  <c r="H797" i="37"/>
  <c r="G548" i="37"/>
  <c r="G796" i="37"/>
  <c r="F795" i="37"/>
  <c r="H545" i="37"/>
  <c r="H793" i="37"/>
  <c r="H544" i="37"/>
  <c r="H792" i="37"/>
  <c r="G543" i="37"/>
  <c r="G791" i="37"/>
  <c r="L542" i="37"/>
  <c r="L790" i="37"/>
  <c r="F542" i="37"/>
  <c r="F790" i="37"/>
  <c r="H540" i="37"/>
  <c r="H788" i="37"/>
  <c r="H539" i="37"/>
  <c r="H787" i="37"/>
  <c r="G538" i="37"/>
  <c r="G786" i="37"/>
  <c r="B536" i="37"/>
  <c r="B784" i="37"/>
  <c r="H535" i="37"/>
  <c r="H783" i="37"/>
  <c r="G534" i="37"/>
  <c r="G782" i="37"/>
  <c r="L533" i="37"/>
  <c r="L781" i="37"/>
  <c r="G533" i="37"/>
  <c r="G781" i="37"/>
  <c r="F532" i="37"/>
  <c r="F780" i="37"/>
  <c r="I531" i="37"/>
  <c r="I779" i="37"/>
  <c r="B531" i="37"/>
  <c r="B779" i="37"/>
  <c r="G528" i="37"/>
  <c r="G776" i="37"/>
  <c r="L527" i="37"/>
  <c r="L775" i="37"/>
  <c r="I526" i="37"/>
  <c r="I774" i="37"/>
  <c r="H524" i="37"/>
  <c r="H772" i="37"/>
  <c r="H523" i="37"/>
  <c r="H771" i="37"/>
  <c r="H522" i="37"/>
  <c r="H770" i="37"/>
  <c r="H521" i="37"/>
  <c r="H769" i="37"/>
  <c r="H520" i="37"/>
  <c r="H768" i="37"/>
  <c r="H519" i="37"/>
  <c r="H767" i="37"/>
  <c r="H518" i="37"/>
  <c r="H766" i="37"/>
  <c r="B755" i="37"/>
  <c r="B747" i="37"/>
  <c r="B731" i="37"/>
  <c r="G693" i="37"/>
  <c r="L795" i="37"/>
  <c r="H778" i="37"/>
  <c r="I548" i="37"/>
  <c r="I796" i="37"/>
  <c r="B548" i="37"/>
  <c r="B796" i="37"/>
  <c r="G546" i="37"/>
  <c r="G794" i="37"/>
  <c r="L545" i="37"/>
  <c r="L793" i="37"/>
  <c r="F545" i="37"/>
  <c r="F793" i="37"/>
  <c r="F544" i="37"/>
  <c r="F792" i="37"/>
  <c r="H542" i="37"/>
  <c r="H790" i="37"/>
  <c r="G541" i="37"/>
  <c r="G789" i="37"/>
  <c r="L540" i="37"/>
  <c r="L788" i="37"/>
  <c r="F540" i="37"/>
  <c r="F788" i="37"/>
  <c r="F539" i="37"/>
  <c r="F787" i="37"/>
  <c r="I538" i="37"/>
  <c r="I786" i="37"/>
  <c r="B538" i="37"/>
  <c r="B786" i="37"/>
  <c r="H537" i="37"/>
  <c r="H785" i="37"/>
  <c r="G536" i="37"/>
  <c r="G784" i="37"/>
  <c r="L535" i="37"/>
  <c r="L783" i="37"/>
  <c r="I534" i="37"/>
  <c r="I782" i="37"/>
  <c r="B534" i="37"/>
  <c r="B782" i="37"/>
  <c r="I533" i="37"/>
  <c r="I781" i="37"/>
  <c r="B533" i="37"/>
  <c r="B781" i="37"/>
  <c r="G531" i="37"/>
  <c r="G779" i="37"/>
  <c r="F530" i="37"/>
  <c r="F778" i="37"/>
  <c r="F529" i="37"/>
  <c r="F777" i="37"/>
  <c r="H527" i="37"/>
  <c r="H775" i="37"/>
  <c r="F773" i="37"/>
  <c r="F771" i="37"/>
  <c r="F769" i="37"/>
  <c r="F768" i="37"/>
  <c r="F767" i="37"/>
  <c r="F766" i="37"/>
  <c r="F765" i="37"/>
  <c r="F764" i="37"/>
  <c r="I515" i="37"/>
  <c r="I763" i="37"/>
  <c r="B515" i="37"/>
  <c r="B763" i="37"/>
  <c r="B757" i="37"/>
  <c r="B754" i="37"/>
  <c r="B751" i="37"/>
  <c r="B749" i="37"/>
  <c r="B746" i="37"/>
  <c r="B743" i="37"/>
  <c r="B741" i="37"/>
  <c r="B738" i="37"/>
  <c r="B735" i="37"/>
  <c r="B733" i="37"/>
  <c r="B730" i="37"/>
  <c r="B727" i="37"/>
  <c r="B725" i="37"/>
  <c r="B722" i="37"/>
  <c r="B719" i="37"/>
  <c r="B699" i="37"/>
  <c r="F679" i="37"/>
  <c r="H646" i="37"/>
  <c r="B793" i="37"/>
  <c r="B791" i="37"/>
  <c r="B789" i="37"/>
  <c r="B787" i="37"/>
  <c r="F785" i="37"/>
  <c r="F783" i="37"/>
  <c r="F781" i="37"/>
  <c r="H779" i="37"/>
  <c r="H777" i="37"/>
  <c r="L773" i="37"/>
  <c r="F772" i="37"/>
  <c r="B767" i="37"/>
  <c r="H765" i="37"/>
  <c r="L759" i="37"/>
  <c r="H514" i="37"/>
  <c r="H762" i="37"/>
  <c r="F760" i="37"/>
  <c r="B511" i="37"/>
  <c r="B759" i="37"/>
  <c r="B526" i="37"/>
  <c r="B774" i="37"/>
  <c r="H516" i="37"/>
  <c r="H764" i="37"/>
  <c r="B739" i="37"/>
  <c r="B723" i="37"/>
  <c r="H706" i="37"/>
  <c r="F672" i="37"/>
  <c r="B794" i="37"/>
  <c r="L513" i="37"/>
  <c r="L761" i="37"/>
  <c r="F761" i="37"/>
  <c r="I512" i="37"/>
  <c r="I760" i="37"/>
  <c r="B512" i="37"/>
  <c r="B760" i="37"/>
  <c r="L514" i="37"/>
  <c r="L762" i="37"/>
  <c r="F762" i="37"/>
  <c r="I513" i="37"/>
  <c r="I761" i="37"/>
  <c r="B513" i="37"/>
  <c r="B761" i="37"/>
  <c r="H512" i="37"/>
  <c r="H760" i="37"/>
  <c r="G511" i="37"/>
  <c r="G759" i="37"/>
  <c r="I514" i="37"/>
  <c r="I762" i="37"/>
  <c r="B514" i="37"/>
  <c r="B762" i="37"/>
  <c r="H513" i="37"/>
  <c r="H761" i="37"/>
  <c r="F759" i="37"/>
  <c r="I549" i="37"/>
  <c r="I797" i="37"/>
  <c r="B549" i="37"/>
  <c r="B797" i="37"/>
  <c r="H548" i="37"/>
  <c r="H796" i="37"/>
  <c r="G547" i="37"/>
  <c r="G795" i="37"/>
  <c r="L546" i="37"/>
  <c r="L794" i="37"/>
  <c r="F794" i="37"/>
  <c r="H543" i="37"/>
  <c r="H791" i="37"/>
  <c r="G542" i="37"/>
  <c r="G790" i="37"/>
  <c r="L541" i="37"/>
  <c r="L789" i="37"/>
  <c r="F541" i="37"/>
  <c r="F789" i="37"/>
  <c r="H538" i="37"/>
  <c r="H786" i="37"/>
  <c r="G537" i="37"/>
  <c r="G785" i="37"/>
  <c r="L536" i="37"/>
  <c r="L784" i="37"/>
  <c r="I535" i="37"/>
  <c r="I783" i="37"/>
  <c r="B535" i="37"/>
  <c r="B783" i="37"/>
  <c r="H534" i="37"/>
  <c r="H782" i="37"/>
  <c r="H533" i="37"/>
  <c r="H781" i="37"/>
  <c r="G532" i="37"/>
  <c r="G780" i="37"/>
  <c r="F531" i="37"/>
  <c r="F779" i="37"/>
  <c r="I530" i="37"/>
  <c r="I778" i="37"/>
  <c r="B530" i="37"/>
  <c r="B778" i="37"/>
  <c r="I529" i="37"/>
  <c r="I777" i="37"/>
  <c r="B529" i="37"/>
  <c r="B777" i="37"/>
  <c r="H528" i="37"/>
  <c r="H776" i="37"/>
  <c r="G527" i="37"/>
  <c r="G775" i="37"/>
  <c r="L526" i="37"/>
  <c r="L774" i="37"/>
  <c r="F774" i="37"/>
  <c r="I525" i="37"/>
  <c r="I773" i="37"/>
  <c r="B525" i="37"/>
  <c r="B773" i="37"/>
  <c r="I524" i="37"/>
  <c r="I772" i="37"/>
  <c r="B524" i="37"/>
  <c r="B772" i="37"/>
  <c r="I522" i="37"/>
  <c r="I770" i="37"/>
  <c r="B522" i="37"/>
  <c r="B770" i="37"/>
  <c r="I521" i="37"/>
  <c r="I769" i="37"/>
  <c r="B521" i="37"/>
  <c r="B769" i="37"/>
  <c r="I517" i="37"/>
  <c r="I765" i="37"/>
  <c r="B517" i="37"/>
  <c r="B765" i="37"/>
  <c r="I516" i="37"/>
  <c r="I764" i="37"/>
  <c r="B516" i="37"/>
  <c r="B764" i="37"/>
  <c r="H515" i="37"/>
  <c r="H763" i="37"/>
  <c r="I758" i="37"/>
  <c r="I755" i="37"/>
  <c r="I753" i="37"/>
  <c r="I750" i="37"/>
  <c r="I747" i="37"/>
  <c r="I745" i="37"/>
  <c r="I742" i="37"/>
  <c r="I739" i="37"/>
  <c r="I737" i="37"/>
  <c r="I734" i="37"/>
  <c r="I731" i="37"/>
  <c r="I729" i="37"/>
  <c r="I726" i="37"/>
  <c r="I723" i="37"/>
  <c r="I721" i="37"/>
  <c r="B710" i="37"/>
  <c r="F695" i="37"/>
  <c r="L675" i="37"/>
  <c r="L638" i="37"/>
  <c r="F796" i="37"/>
  <c r="I794" i="37"/>
  <c r="I792" i="37"/>
  <c r="I790" i="37"/>
  <c r="I788" i="37"/>
  <c r="L780" i="37"/>
  <c r="L778" i="37"/>
  <c r="F775" i="37"/>
  <c r="H773" i="37"/>
  <c r="F770" i="37"/>
  <c r="I768" i="37"/>
  <c r="I766" i="37"/>
  <c r="G763" i="37"/>
  <c r="G761" i="37"/>
  <c r="H759" i="37"/>
  <c r="L401" i="37"/>
  <c r="L649" i="37"/>
  <c r="I400" i="37"/>
  <c r="I648" i="37"/>
  <c r="G398" i="37"/>
  <c r="G646" i="37"/>
  <c r="L397" i="37"/>
  <c r="L645" i="37"/>
  <c r="I396" i="37"/>
  <c r="I644" i="37"/>
  <c r="H395" i="37"/>
  <c r="H643" i="37"/>
  <c r="L393" i="37"/>
  <c r="L641" i="37"/>
  <c r="B392" i="37"/>
  <c r="B640" i="37"/>
  <c r="H390" i="37"/>
  <c r="H638" i="37"/>
  <c r="F388" i="37"/>
  <c r="F636" i="37"/>
  <c r="H386" i="37"/>
  <c r="H634" i="37"/>
  <c r="F384" i="37"/>
  <c r="F632" i="37"/>
  <c r="B383" i="37"/>
  <c r="B631" i="37"/>
  <c r="G381" i="37"/>
  <c r="G629" i="37"/>
  <c r="I379" i="37"/>
  <c r="I627" i="37"/>
  <c r="H378" i="37"/>
  <c r="H626" i="37"/>
  <c r="L376" i="37"/>
  <c r="L624" i="37"/>
  <c r="B375" i="37"/>
  <c r="B623" i="37"/>
  <c r="F372" i="37"/>
  <c r="F620" i="37"/>
  <c r="I371" i="37"/>
  <c r="I619" i="37"/>
  <c r="L368" i="37"/>
  <c r="L616" i="37"/>
  <c r="B367" i="37"/>
  <c r="B615" i="37"/>
  <c r="H366" i="37"/>
  <c r="H614" i="37"/>
  <c r="L364" i="37"/>
  <c r="L612" i="37"/>
  <c r="B363" i="37"/>
  <c r="B611" i="37"/>
  <c r="F360" i="37"/>
  <c r="F608" i="37"/>
  <c r="H358" i="37"/>
  <c r="H606" i="37"/>
  <c r="L356" i="37"/>
  <c r="L604" i="37"/>
  <c r="B355" i="37"/>
  <c r="B603" i="37"/>
  <c r="G353" i="37"/>
  <c r="G601" i="37"/>
  <c r="F352" i="37"/>
  <c r="F600" i="37"/>
  <c r="B351" i="37"/>
  <c r="B599" i="37"/>
  <c r="F348" i="37"/>
  <c r="F596" i="37"/>
  <c r="B347" i="37"/>
  <c r="B595" i="37"/>
  <c r="F344" i="37"/>
  <c r="F592" i="37"/>
  <c r="I343" i="37"/>
  <c r="I591" i="37"/>
  <c r="L340" i="37"/>
  <c r="L588" i="37"/>
  <c r="I339" i="37"/>
  <c r="I587" i="37"/>
  <c r="H338" i="37"/>
  <c r="H586" i="37"/>
  <c r="G337" i="37"/>
  <c r="G585" i="37"/>
  <c r="L336" i="37"/>
  <c r="L584" i="37"/>
  <c r="I335" i="37"/>
  <c r="I583" i="37"/>
  <c r="H334" i="37"/>
  <c r="H582" i="37"/>
  <c r="G333" i="37"/>
  <c r="G581" i="37"/>
  <c r="F332" i="37"/>
  <c r="F580" i="37"/>
  <c r="I331" i="37"/>
  <c r="I579" i="37"/>
  <c r="F328" i="37"/>
  <c r="F576" i="37"/>
  <c r="B327" i="37"/>
  <c r="B575" i="37"/>
  <c r="L324" i="37"/>
  <c r="L572" i="37"/>
  <c r="F323" i="37"/>
  <c r="F571" i="37"/>
  <c r="H321" i="37"/>
  <c r="H569" i="37"/>
  <c r="F319" i="37"/>
  <c r="F567" i="37"/>
  <c r="H317" i="37"/>
  <c r="H565" i="37"/>
  <c r="G316" i="37"/>
  <c r="G564" i="37"/>
  <c r="L315" i="37"/>
  <c r="L563" i="37"/>
  <c r="I314" i="37"/>
  <c r="I562" i="37"/>
  <c r="F311" i="37"/>
  <c r="F559" i="37"/>
  <c r="I756" i="37"/>
  <c r="I752" i="37"/>
  <c r="I748" i="37"/>
  <c r="I740" i="37"/>
  <c r="I736" i="37"/>
  <c r="I732" i="37"/>
  <c r="I728" i="37"/>
  <c r="I720" i="37"/>
  <c r="L713" i="37"/>
  <c r="B712" i="37"/>
  <c r="F697" i="37"/>
  <c r="L470" i="37"/>
  <c r="L718" i="37"/>
  <c r="F470" i="37"/>
  <c r="F718" i="37"/>
  <c r="I469" i="37"/>
  <c r="I717" i="37"/>
  <c r="B469" i="37"/>
  <c r="B717" i="37"/>
  <c r="H468" i="37"/>
  <c r="H716" i="37"/>
  <c r="F466" i="37"/>
  <c r="F714" i="37"/>
  <c r="I465" i="37"/>
  <c r="I713" i="37"/>
  <c r="B465" i="37"/>
  <c r="B713" i="37"/>
  <c r="H464" i="37"/>
  <c r="H712" i="37"/>
  <c r="G463" i="37"/>
  <c r="G711" i="37"/>
  <c r="L462" i="37"/>
  <c r="L710" i="37"/>
  <c r="F462" i="37"/>
  <c r="F710" i="37"/>
  <c r="H460" i="37"/>
  <c r="H708" i="37"/>
  <c r="F458" i="37"/>
  <c r="F706" i="37"/>
  <c r="I457" i="37"/>
  <c r="I705" i="37"/>
  <c r="B457" i="37"/>
  <c r="B705" i="37"/>
  <c r="G455" i="37"/>
  <c r="G703" i="37"/>
  <c r="L454" i="37"/>
  <c r="L702" i="37"/>
  <c r="F454" i="37"/>
  <c r="F702" i="37"/>
  <c r="I453" i="37"/>
  <c r="I701" i="37"/>
  <c r="B453" i="37"/>
  <c r="B701" i="37"/>
  <c r="H452" i="37"/>
  <c r="H700" i="37"/>
  <c r="G451" i="37"/>
  <c r="G699" i="37"/>
  <c r="L450" i="37"/>
  <c r="L698" i="37"/>
  <c r="I449" i="37"/>
  <c r="I697" i="37"/>
  <c r="B449" i="37"/>
  <c r="B697" i="37"/>
  <c r="H448" i="37"/>
  <c r="H696" i="37"/>
  <c r="G447" i="37"/>
  <c r="G695" i="37"/>
  <c r="L446" i="37"/>
  <c r="L694" i="37"/>
  <c r="F446" i="37"/>
  <c r="F694" i="37"/>
  <c r="I445" i="37"/>
  <c r="I693" i="37"/>
  <c r="B445" i="37"/>
  <c r="B693" i="37"/>
  <c r="H444" i="37"/>
  <c r="H692" i="37"/>
  <c r="G443" i="37"/>
  <c r="G691" i="37"/>
  <c r="L442" i="37"/>
  <c r="L690" i="37"/>
  <c r="I441" i="37"/>
  <c r="I689" i="37"/>
  <c r="B441" i="37"/>
  <c r="B689" i="37"/>
  <c r="H440" i="37"/>
  <c r="H688" i="37"/>
  <c r="G439" i="37"/>
  <c r="G687" i="37"/>
  <c r="L438" i="37"/>
  <c r="L686" i="37"/>
  <c r="I437" i="37"/>
  <c r="I685" i="37"/>
  <c r="B437" i="37"/>
  <c r="B685" i="37"/>
  <c r="G435" i="37"/>
  <c r="G683" i="37"/>
  <c r="L434" i="37"/>
  <c r="L682" i="37"/>
  <c r="F434" i="37"/>
  <c r="F682" i="37"/>
  <c r="I433" i="37"/>
  <c r="I681" i="37"/>
  <c r="H432" i="37"/>
  <c r="H680" i="37"/>
  <c r="G431" i="37"/>
  <c r="G679" i="37"/>
  <c r="L430" i="37"/>
  <c r="L678" i="37"/>
  <c r="F430" i="37"/>
  <c r="F678" i="37"/>
  <c r="I429" i="37"/>
  <c r="I677" i="37"/>
  <c r="B429" i="37"/>
  <c r="B677" i="37"/>
  <c r="G427" i="37"/>
  <c r="G675" i="37"/>
  <c r="L426" i="37"/>
  <c r="L674" i="37"/>
  <c r="F426" i="37"/>
  <c r="F674" i="37"/>
  <c r="I425" i="37"/>
  <c r="I673" i="37"/>
  <c r="B425" i="37"/>
  <c r="B673" i="37"/>
  <c r="H424" i="37"/>
  <c r="H672" i="37"/>
  <c r="G423" i="37"/>
  <c r="G671" i="37"/>
  <c r="L422" i="37"/>
  <c r="L670" i="37"/>
  <c r="F422" i="37"/>
  <c r="F670" i="37"/>
  <c r="I421" i="37"/>
  <c r="I669" i="37"/>
  <c r="B421" i="37"/>
  <c r="B669" i="37"/>
  <c r="H420" i="37"/>
  <c r="H668" i="37"/>
  <c r="G419" i="37"/>
  <c r="G667" i="37"/>
  <c r="L418" i="37"/>
  <c r="L666" i="37"/>
  <c r="F418" i="37"/>
  <c r="F666" i="37"/>
  <c r="I417" i="37"/>
  <c r="I665" i="37"/>
  <c r="B417" i="37"/>
  <c r="B665" i="37"/>
  <c r="H416" i="37"/>
  <c r="H664" i="37"/>
  <c r="G415" i="37"/>
  <c r="G663" i="37"/>
  <c r="L414" i="37"/>
  <c r="L662" i="37"/>
  <c r="I413" i="37"/>
  <c r="I661" i="37"/>
  <c r="B413" i="37"/>
  <c r="B661" i="37"/>
  <c r="H412" i="37"/>
  <c r="H660" i="37"/>
  <c r="G411" i="37"/>
  <c r="G659" i="37"/>
  <c r="L410" i="37"/>
  <c r="L658" i="37"/>
  <c r="I409" i="37"/>
  <c r="I657" i="37"/>
  <c r="B409" i="37"/>
  <c r="B657" i="37"/>
  <c r="H408" i="37"/>
  <c r="H656" i="37"/>
  <c r="G407" i="37"/>
  <c r="G655" i="37"/>
  <c r="L406" i="37"/>
  <c r="L654" i="37"/>
  <c r="F406" i="37"/>
  <c r="F654" i="37"/>
  <c r="I405" i="37"/>
  <c r="I653" i="37"/>
  <c r="B405" i="37"/>
  <c r="B653" i="37"/>
  <c r="H404" i="37"/>
  <c r="H652" i="37"/>
  <c r="G403" i="37"/>
  <c r="G651" i="37"/>
  <c r="L402" i="37"/>
  <c r="L650" i="37"/>
  <c r="F402" i="37"/>
  <c r="F650" i="37"/>
  <c r="I401" i="37"/>
  <c r="I649" i="37"/>
  <c r="H400" i="37"/>
  <c r="H648" i="37"/>
  <c r="G399" i="37"/>
  <c r="G647" i="37"/>
  <c r="L398" i="37"/>
  <c r="L646" i="37"/>
  <c r="F398" i="37"/>
  <c r="F646" i="37"/>
  <c r="I397" i="37"/>
  <c r="I645" i="37"/>
  <c r="B397" i="37"/>
  <c r="B645" i="37"/>
  <c r="H396" i="37"/>
  <c r="H644" i="37"/>
  <c r="G395" i="37"/>
  <c r="G643" i="37"/>
  <c r="L394" i="37"/>
  <c r="L642" i="37"/>
  <c r="F394" i="37"/>
  <c r="F642" i="37"/>
  <c r="I393" i="37"/>
  <c r="I641" i="37"/>
  <c r="B393" i="37"/>
  <c r="B641" i="37"/>
  <c r="H392" i="37"/>
  <c r="H640" i="37"/>
  <c r="G391" i="37"/>
  <c r="G639" i="37"/>
  <c r="G390" i="37"/>
  <c r="G638" i="37"/>
  <c r="F389" i="37"/>
  <c r="F637" i="37"/>
  <c r="I388" i="37"/>
  <c r="I636" i="37"/>
  <c r="B388" i="37"/>
  <c r="B636" i="37"/>
  <c r="H387" i="37"/>
  <c r="H635" i="37"/>
  <c r="G386" i="37"/>
  <c r="G634" i="37"/>
  <c r="L385" i="37"/>
  <c r="L633" i="37"/>
  <c r="F385" i="37"/>
  <c r="F633" i="37"/>
  <c r="I384" i="37"/>
  <c r="I632" i="37"/>
  <c r="B384" i="37"/>
  <c r="B632" i="37"/>
  <c r="H383" i="37"/>
  <c r="H631" i="37"/>
  <c r="G382" i="37"/>
  <c r="G630" i="37"/>
  <c r="L381" i="37"/>
  <c r="L629" i="37"/>
  <c r="F381" i="37"/>
  <c r="F629" i="37"/>
  <c r="I380" i="37"/>
  <c r="I628" i="37"/>
  <c r="B380" i="37"/>
  <c r="B628" i="37"/>
  <c r="H379" i="37"/>
  <c r="H627" i="37"/>
  <c r="G378" i="37"/>
  <c r="G626" i="37"/>
  <c r="L377" i="37"/>
  <c r="L625" i="37"/>
  <c r="F377" i="37"/>
  <c r="F625" i="37"/>
  <c r="I376" i="37"/>
  <c r="I624" i="37"/>
  <c r="B376" i="37"/>
  <c r="B624" i="37"/>
  <c r="H375" i="37"/>
  <c r="H623" i="37"/>
  <c r="G374" i="37"/>
  <c r="G622" i="37"/>
  <c r="L373" i="37"/>
  <c r="L621" i="37"/>
  <c r="F373" i="37"/>
  <c r="F621" i="37"/>
  <c r="I372" i="37"/>
  <c r="I620" i="37"/>
  <c r="B372" i="37"/>
  <c r="B620" i="37"/>
  <c r="H371" i="37"/>
  <c r="H619" i="37"/>
  <c r="G370" i="37"/>
  <c r="G618" i="37"/>
  <c r="L369" i="37"/>
  <c r="L617" i="37"/>
  <c r="F369" i="37"/>
  <c r="F617" i="37"/>
  <c r="I368" i="37"/>
  <c r="I616" i="37"/>
  <c r="B368" i="37"/>
  <c r="B616" i="37"/>
  <c r="H367" i="37"/>
  <c r="H615" i="37"/>
  <c r="G366" i="37"/>
  <c r="G614" i="37"/>
  <c r="L365" i="37"/>
  <c r="L613" i="37"/>
  <c r="F365" i="37"/>
  <c r="F613" i="37"/>
  <c r="I364" i="37"/>
  <c r="I612" i="37"/>
  <c r="B364" i="37"/>
  <c r="B612" i="37"/>
  <c r="H363" i="37"/>
  <c r="H611" i="37"/>
  <c r="G362" i="37"/>
  <c r="G610" i="37"/>
  <c r="L361" i="37"/>
  <c r="L609" i="37"/>
  <c r="F361" i="37"/>
  <c r="F609" i="37"/>
  <c r="I360" i="37"/>
  <c r="I608" i="37"/>
  <c r="B360" i="37"/>
  <c r="B608" i="37"/>
  <c r="H359" i="37"/>
  <c r="H607" i="37"/>
  <c r="G358" i="37"/>
  <c r="G606" i="37"/>
  <c r="L357" i="37"/>
  <c r="L605" i="37"/>
  <c r="F357" i="37"/>
  <c r="F605" i="37"/>
  <c r="I356" i="37"/>
  <c r="I604" i="37"/>
  <c r="B356" i="37"/>
  <c r="B604" i="37"/>
  <c r="H355" i="37"/>
  <c r="H603" i="37"/>
  <c r="G354" i="37"/>
  <c r="G602" i="37"/>
  <c r="L353" i="37"/>
  <c r="L601" i="37"/>
  <c r="I352" i="37"/>
  <c r="I600" i="37"/>
  <c r="B352" i="37"/>
  <c r="B600" i="37"/>
  <c r="H351" i="37"/>
  <c r="H599" i="37"/>
  <c r="G350" i="37"/>
  <c r="G598" i="37"/>
  <c r="L349" i="37"/>
  <c r="L597" i="37"/>
  <c r="F349" i="37"/>
  <c r="F597" i="37"/>
  <c r="I348" i="37"/>
  <c r="I596" i="37"/>
  <c r="B348" i="37"/>
  <c r="B596" i="37"/>
  <c r="H347" i="37"/>
  <c r="H595" i="37"/>
  <c r="G346" i="37"/>
  <c r="G594" i="37"/>
  <c r="L345" i="37"/>
  <c r="L593" i="37"/>
  <c r="F345" i="37"/>
  <c r="F593" i="37"/>
  <c r="I344" i="37"/>
  <c r="I592" i="37"/>
  <c r="B344" i="37"/>
  <c r="B592" i="37"/>
  <c r="H343" i="37"/>
  <c r="H591" i="37"/>
  <c r="G342" i="37"/>
  <c r="G590" i="37"/>
  <c r="L341" i="37"/>
  <c r="L589" i="37"/>
  <c r="F341" i="37"/>
  <c r="F589" i="37"/>
  <c r="I340" i="37"/>
  <c r="I588" i="37"/>
  <c r="B340" i="37"/>
  <c r="B588" i="37"/>
  <c r="H339" i="37"/>
  <c r="H587" i="37"/>
  <c r="G338" i="37"/>
  <c r="G586" i="37"/>
  <c r="L337" i="37"/>
  <c r="L585" i="37"/>
  <c r="F337" i="37"/>
  <c r="F585" i="37"/>
  <c r="I336" i="37"/>
  <c r="I584" i="37"/>
  <c r="B336" i="37"/>
  <c r="B584" i="37"/>
  <c r="H335" i="37"/>
  <c r="H583" i="37"/>
  <c r="G334" i="37"/>
  <c r="G582" i="37"/>
  <c r="L333" i="37"/>
  <c r="L581" i="37"/>
  <c r="F333" i="37"/>
  <c r="F581" i="37"/>
  <c r="I332" i="37"/>
  <c r="I580" i="37"/>
  <c r="B332" i="37"/>
  <c r="B580" i="37"/>
  <c r="H331" i="37"/>
  <c r="H579" i="37"/>
  <c r="G330" i="37"/>
  <c r="G578" i="37"/>
  <c r="L329" i="37"/>
  <c r="L577" i="37"/>
  <c r="F329" i="37"/>
  <c r="F577" i="37"/>
  <c r="I328" i="37"/>
  <c r="I576" i="37"/>
  <c r="B328" i="37"/>
  <c r="B576" i="37"/>
  <c r="H327" i="37"/>
  <c r="H575" i="37"/>
  <c r="G326" i="37"/>
  <c r="G574" i="37"/>
  <c r="L325" i="37"/>
  <c r="L573" i="37"/>
  <c r="F325" i="37"/>
  <c r="F573" i="37"/>
  <c r="I324" i="37"/>
  <c r="I572" i="37"/>
  <c r="B324" i="37"/>
  <c r="B572" i="37"/>
  <c r="I323" i="37"/>
  <c r="I571" i="37"/>
  <c r="B323" i="37"/>
  <c r="B571" i="37"/>
  <c r="H322" i="37"/>
  <c r="H570" i="37"/>
  <c r="G321" i="37"/>
  <c r="G569" i="37"/>
  <c r="L320" i="37"/>
  <c r="L568" i="37"/>
  <c r="F320" i="37"/>
  <c r="F568" i="37"/>
  <c r="I319" i="37"/>
  <c r="I567" i="37"/>
  <c r="B319" i="37"/>
  <c r="B567" i="37"/>
  <c r="H318" i="37"/>
  <c r="H566" i="37"/>
  <c r="G317" i="37"/>
  <c r="G565" i="37"/>
  <c r="L316" i="37"/>
  <c r="L564" i="37"/>
  <c r="F316" i="37"/>
  <c r="F564" i="37"/>
  <c r="I315" i="37"/>
  <c r="I563" i="37"/>
  <c r="B315" i="37"/>
  <c r="B563" i="37"/>
  <c r="H314" i="37"/>
  <c r="H562" i="37"/>
  <c r="G313" i="37"/>
  <c r="G561" i="37"/>
  <c r="L312" i="37"/>
  <c r="L560" i="37"/>
  <c r="F312" i="37"/>
  <c r="F560" i="37"/>
  <c r="I311" i="37"/>
  <c r="I559" i="37"/>
  <c r="B311" i="37"/>
  <c r="B559" i="37"/>
  <c r="H310" i="37"/>
  <c r="H558" i="37"/>
  <c r="L758" i="37"/>
  <c r="H758" i="37"/>
  <c r="L757" i="37"/>
  <c r="H757" i="37"/>
  <c r="L756" i="37"/>
  <c r="H756" i="37"/>
  <c r="L755" i="37"/>
  <c r="H755" i="37"/>
  <c r="L754" i="37"/>
  <c r="H754" i="37"/>
  <c r="L753" i="37"/>
  <c r="H753" i="37"/>
  <c r="L752" i="37"/>
  <c r="H752" i="37"/>
  <c r="L751" i="37"/>
  <c r="H751" i="37"/>
  <c r="L750" i="37"/>
  <c r="H750" i="37"/>
  <c r="L749" i="37"/>
  <c r="H749" i="37"/>
  <c r="L748" i="37"/>
  <c r="H748" i="37"/>
  <c r="L747" i="37"/>
  <c r="H747" i="37"/>
  <c r="L746" i="37"/>
  <c r="H746" i="37"/>
  <c r="L745" i="37"/>
  <c r="H745" i="37"/>
  <c r="L744" i="37"/>
  <c r="H744" i="37"/>
  <c r="L743" i="37"/>
  <c r="H743" i="37"/>
  <c r="L742" i="37"/>
  <c r="H742" i="37"/>
  <c r="L741" i="37"/>
  <c r="H741" i="37"/>
  <c r="L740" i="37"/>
  <c r="H740" i="37"/>
  <c r="L739" i="37"/>
  <c r="H739" i="37"/>
  <c r="L738" i="37"/>
  <c r="H738" i="37"/>
  <c r="L737" i="37"/>
  <c r="H737" i="37"/>
  <c r="L736" i="37"/>
  <c r="H736" i="37"/>
  <c r="L735" i="37"/>
  <c r="H735" i="37"/>
  <c r="L734" i="37"/>
  <c r="H734" i="37"/>
  <c r="L733" i="37"/>
  <c r="H733" i="37"/>
  <c r="L732" i="37"/>
  <c r="H732" i="37"/>
  <c r="L731" i="37"/>
  <c r="H731" i="37"/>
  <c r="L730" i="37"/>
  <c r="H730" i="37"/>
  <c r="L729" i="37"/>
  <c r="H729" i="37"/>
  <c r="L728" i="37"/>
  <c r="H728" i="37"/>
  <c r="L727" i="37"/>
  <c r="H727" i="37"/>
  <c r="L726" i="37"/>
  <c r="H726" i="37"/>
  <c r="L725" i="37"/>
  <c r="H725" i="37"/>
  <c r="L724" i="37"/>
  <c r="H724" i="37"/>
  <c r="L723" i="37"/>
  <c r="H723" i="37"/>
  <c r="L722" i="37"/>
  <c r="H722" i="37"/>
  <c r="L721" i="37"/>
  <c r="H721" i="37"/>
  <c r="L720" i="37"/>
  <c r="H720" i="37"/>
  <c r="L719" i="37"/>
  <c r="H719" i="37"/>
  <c r="G717" i="37"/>
  <c r="G715" i="37"/>
  <c r="H713" i="37"/>
  <c r="I711" i="37"/>
  <c r="I709" i="37"/>
  <c r="L705" i="37"/>
  <c r="G702" i="37"/>
  <c r="G700" i="37"/>
  <c r="B691" i="37"/>
  <c r="F689" i="37"/>
  <c r="F687" i="37"/>
  <c r="G685" i="37"/>
  <c r="I683" i="37"/>
  <c r="B681" i="37"/>
  <c r="F675" i="37"/>
  <c r="H673" i="37"/>
  <c r="G670" i="37"/>
  <c r="F668" i="37"/>
  <c r="H663" i="37"/>
  <c r="I656" i="37"/>
  <c r="B649" i="37"/>
  <c r="G641" i="37"/>
  <c r="L637" i="37"/>
  <c r="B630" i="37"/>
  <c r="L469" i="37"/>
  <c r="L717" i="37"/>
  <c r="I468" i="37"/>
  <c r="I716" i="37"/>
  <c r="L461" i="37"/>
  <c r="L709" i="37"/>
  <c r="H459" i="37"/>
  <c r="H707" i="37"/>
  <c r="I456" i="37"/>
  <c r="I704" i="37"/>
  <c r="B452" i="37"/>
  <c r="B700" i="37"/>
  <c r="L449" i="37"/>
  <c r="L697" i="37"/>
  <c r="B448" i="37"/>
  <c r="B696" i="37"/>
  <c r="H447" i="37"/>
  <c r="H695" i="37"/>
  <c r="L445" i="37"/>
  <c r="L693" i="37"/>
  <c r="I444" i="37"/>
  <c r="I692" i="37"/>
  <c r="H443" i="37"/>
  <c r="H691" i="37"/>
  <c r="G442" i="37"/>
  <c r="G690" i="37"/>
  <c r="L441" i="37"/>
  <c r="L689" i="37"/>
  <c r="I440" i="37"/>
  <c r="I688" i="37"/>
  <c r="H439" i="37"/>
  <c r="H687" i="37"/>
  <c r="G438" i="37"/>
  <c r="G686" i="37"/>
  <c r="L437" i="37"/>
  <c r="L685" i="37"/>
  <c r="H435" i="37"/>
  <c r="H683" i="37"/>
  <c r="G434" i="37"/>
  <c r="G682" i="37"/>
  <c r="F433" i="37"/>
  <c r="F681" i="37"/>
  <c r="B432" i="37"/>
  <c r="B680" i="37"/>
  <c r="F429" i="37"/>
  <c r="F677" i="37"/>
  <c r="I428" i="37"/>
  <c r="I676" i="37"/>
  <c r="G426" i="37"/>
  <c r="G674" i="37"/>
  <c r="F421" i="37"/>
  <c r="F669" i="37"/>
  <c r="B408" i="37"/>
  <c r="B656" i="37"/>
  <c r="G406" i="37"/>
  <c r="G654" i="37"/>
  <c r="L405" i="37"/>
  <c r="L653" i="37"/>
  <c r="I404" i="37"/>
  <c r="I652" i="37"/>
  <c r="B396" i="37"/>
  <c r="B644" i="37"/>
  <c r="G389" i="37"/>
  <c r="G637" i="37"/>
  <c r="I387" i="37"/>
  <c r="I635" i="37"/>
  <c r="L384" i="37"/>
  <c r="L632" i="37"/>
  <c r="H382" i="37"/>
  <c r="H630" i="37"/>
  <c r="F380" i="37"/>
  <c r="F628" i="37"/>
  <c r="B379" i="37"/>
  <c r="B627" i="37"/>
  <c r="G377" i="37"/>
  <c r="G625" i="37"/>
  <c r="G373" i="37"/>
  <c r="G621" i="37"/>
  <c r="B371" i="37"/>
  <c r="B619" i="37"/>
  <c r="G369" i="37"/>
  <c r="G617" i="37"/>
  <c r="I367" i="37"/>
  <c r="I615" i="37"/>
  <c r="F364" i="37"/>
  <c r="F612" i="37"/>
  <c r="I363" i="37"/>
  <c r="I611" i="37"/>
  <c r="H362" i="37"/>
  <c r="H610" i="37"/>
  <c r="L360" i="37"/>
  <c r="L608" i="37"/>
  <c r="I359" i="37"/>
  <c r="I607" i="37"/>
  <c r="G357" i="37"/>
  <c r="G605" i="37"/>
  <c r="F356" i="37"/>
  <c r="F604" i="37"/>
  <c r="I355" i="37"/>
  <c r="I603" i="37"/>
  <c r="H354" i="37"/>
  <c r="H602" i="37"/>
  <c r="L352" i="37"/>
  <c r="L600" i="37"/>
  <c r="I351" i="37"/>
  <c r="I599" i="37"/>
  <c r="H350" i="37"/>
  <c r="H598" i="37"/>
  <c r="G349" i="37"/>
  <c r="G597" i="37"/>
  <c r="L348" i="37"/>
  <c r="L596" i="37"/>
  <c r="I347" i="37"/>
  <c r="I595" i="37"/>
  <c r="H346" i="37"/>
  <c r="H594" i="37"/>
  <c r="G345" i="37"/>
  <c r="G593" i="37"/>
  <c r="L344" i="37"/>
  <c r="L592" i="37"/>
  <c r="B343" i="37"/>
  <c r="B591" i="37"/>
  <c r="H342" i="37"/>
  <c r="H590" i="37"/>
  <c r="G341" i="37"/>
  <c r="G589" i="37"/>
  <c r="F340" i="37"/>
  <c r="F588" i="37"/>
  <c r="B339" i="37"/>
  <c r="B587" i="37"/>
  <c r="F336" i="37"/>
  <c r="F584" i="37"/>
  <c r="B335" i="37"/>
  <c r="B583" i="37"/>
  <c r="L332" i="37"/>
  <c r="L580" i="37"/>
  <c r="B331" i="37"/>
  <c r="B579" i="37"/>
  <c r="H330" i="37"/>
  <c r="H578" i="37"/>
  <c r="G329" i="37"/>
  <c r="G577" i="37"/>
  <c r="L328" i="37"/>
  <c r="L576" i="37"/>
  <c r="I327" i="37"/>
  <c r="I575" i="37"/>
  <c r="H326" i="37"/>
  <c r="H574" i="37"/>
  <c r="G325" i="37"/>
  <c r="G573" i="37"/>
  <c r="F324" i="37"/>
  <c r="F572" i="37"/>
  <c r="B322" i="37"/>
  <c r="B570" i="37"/>
  <c r="G320" i="37"/>
  <c r="G568" i="37"/>
  <c r="I318" i="37"/>
  <c r="I566" i="37"/>
  <c r="H313" i="37"/>
  <c r="H561" i="37"/>
  <c r="L311" i="37"/>
  <c r="L559" i="37"/>
  <c r="I310" i="37"/>
  <c r="I558" i="37"/>
  <c r="B756" i="37"/>
  <c r="B752" i="37"/>
  <c r="B748" i="37"/>
  <c r="I744" i="37"/>
  <c r="B736" i="37"/>
  <c r="B732" i="37"/>
  <c r="I724" i="37"/>
  <c r="B708" i="37"/>
  <c r="L661" i="37"/>
  <c r="H659" i="37"/>
  <c r="G642" i="37"/>
  <c r="B470" i="37"/>
  <c r="B718" i="37"/>
  <c r="H469" i="37"/>
  <c r="H717" i="37"/>
  <c r="L467" i="37"/>
  <c r="L715" i="37"/>
  <c r="F467" i="37"/>
  <c r="F715" i="37"/>
  <c r="I466" i="37"/>
  <c r="I714" i="37"/>
  <c r="B466" i="37"/>
  <c r="B714" i="37"/>
  <c r="G464" i="37"/>
  <c r="G712" i="37"/>
  <c r="L463" i="37"/>
  <c r="L711" i="37"/>
  <c r="F463" i="37"/>
  <c r="F711" i="37"/>
  <c r="H461" i="37"/>
  <c r="H709" i="37"/>
  <c r="G460" i="37"/>
  <c r="G708" i="37"/>
  <c r="L459" i="37"/>
  <c r="L707" i="37"/>
  <c r="F459" i="37"/>
  <c r="F707" i="37"/>
  <c r="I458" i="37"/>
  <c r="I706" i="37"/>
  <c r="B458" i="37"/>
  <c r="B706" i="37"/>
  <c r="G456" i="37"/>
  <c r="G704" i="37"/>
  <c r="L455" i="37"/>
  <c r="L703" i="37"/>
  <c r="I454" i="37"/>
  <c r="I702" i="37"/>
  <c r="B454" i="37"/>
  <c r="B702" i="37"/>
  <c r="H453" i="37"/>
  <c r="H701" i="37"/>
  <c r="L451" i="37"/>
  <c r="L699" i="37"/>
  <c r="F451" i="37"/>
  <c r="F699" i="37"/>
  <c r="I450" i="37"/>
  <c r="I698" i="37"/>
  <c r="B450" i="37"/>
  <c r="B698" i="37"/>
  <c r="H449" i="37"/>
  <c r="H697" i="37"/>
  <c r="G448" i="37"/>
  <c r="G696" i="37"/>
  <c r="L447" i="37"/>
  <c r="L695" i="37"/>
  <c r="I446" i="37"/>
  <c r="I694" i="37"/>
  <c r="B446" i="37"/>
  <c r="B694" i="37"/>
  <c r="H445" i="37"/>
  <c r="H693" i="37"/>
  <c r="L443" i="37"/>
  <c r="L691" i="37"/>
  <c r="F443" i="37"/>
  <c r="F691" i="37"/>
  <c r="I442" i="37"/>
  <c r="I690" i="37"/>
  <c r="B442" i="37"/>
  <c r="B690" i="37"/>
  <c r="H441" i="37"/>
  <c r="H689" i="37"/>
  <c r="G440" i="37"/>
  <c r="G688" i="37"/>
  <c r="L439" i="37"/>
  <c r="L687" i="37"/>
  <c r="I438" i="37"/>
  <c r="I686" i="37"/>
  <c r="B438" i="37"/>
  <c r="B686" i="37"/>
  <c r="H437" i="37"/>
  <c r="H685" i="37"/>
  <c r="G436" i="37"/>
  <c r="G684" i="37"/>
  <c r="L435" i="37"/>
  <c r="L683" i="37"/>
  <c r="F435" i="37"/>
  <c r="F683" i="37"/>
  <c r="I434" i="37"/>
  <c r="I682" i="37"/>
  <c r="B434" i="37"/>
  <c r="B682" i="37"/>
  <c r="H433" i="37"/>
  <c r="H681" i="37"/>
  <c r="G432" i="37"/>
  <c r="G680" i="37"/>
  <c r="I430" i="37"/>
  <c r="I678" i="37"/>
  <c r="G428" i="37"/>
  <c r="G676" i="37"/>
  <c r="I426" i="37"/>
  <c r="I674" i="37"/>
  <c r="B426" i="37"/>
  <c r="B674" i="37"/>
  <c r="G424" i="37"/>
  <c r="G672" i="37"/>
  <c r="L423" i="37"/>
  <c r="L671" i="37"/>
  <c r="F423" i="37"/>
  <c r="F671" i="37"/>
  <c r="I422" i="37"/>
  <c r="I670" i="37"/>
  <c r="B422" i="37"/>
  <c r="B670" i="37"/>
  <c r="G420" i="37"/>
  <c r="G668" i="37"/>
  <c r="F419" i="37"/>
  <c r="F667" i="37"/>
  <c r="I418" i="37"/>
  <c r="I666" i="37"/>
  <c r="B418" i="37"/>
  <c r="B666" i="37"/>
  <c r="G416" i="37"/>
  <c r="G664" i="37"/>
  <c r="L415" i="37"/>
  <c r="L663" i="37"/>
  <c r="F415" i="37"/>
  <c r="F663" i="37"/>
  <c r="I414" i="37"/>
  <c r="I662" i="37"/>
  <c r="B414" i="37"/>
  <c r="B662" i="37"/>
  <c r="H413" i="37"/>
  <c r="H661" i="37"/>
  <c r="G412" i="37"/>
  <c r="G660" i="37"/>
  <c r="L411" i="37"/>
  <c r="L659" i="37"/>
  <c r="F411" i="37"/>
  <c r="F659" i="37"/>
  <c r="I410" i="37"/>
  <c r="I658" i="37"/>
  <c r="B410" i="37"/>
  <c r="B658" i="37"/>
  <c r="H409" i="37"/>
  <c r="H657" i="37"/>
  <c r="G408" i="37"/>
  <c r="G656" i="37"/>
  <c r="L407" i="37"/>
  <c r="L655" i="37"/>
  <c r="F407" i="37"/>
  <c r="F655" i="37"/>
  <c r="I406" i="37"/>
  <c r="I654" i="37"/>
  <c r="B406" i="37"/>
  <c r="B654" i="37"/>
  <c r="H405" i="37"/>
  <c r="H653" i="37"/>
  <c r="G404" i="37"/>
  <c r="G652" i="37"/>
  <c r="L403" i="37"/>
  <c r="L651" i="37"/>
  <c r="F403" i="37"/>
  <c r="F651" i="37"/>
  <c r="I402" i="37"/>
  <c r="I650" i="37"/>
  <c r="B402" i="37"/>
  <c r="B650" i="37"/>
  <c r="H401" i="37"/>
  <c r="H649" i="37"/>
  <c r="L399" i="37"/>
  <c r="L647" i="37"/>
  <c r="F399" i="37"/>
  <c r="F647" i="37"/>
  <c r="I398" i="37"/>
  <c r="I646" i="37"/>
  <c r="B398" i="37"/>
  <c r="B646" i="37"/>
  <c r="H397" i="37"/>
  <c r="H645" i="37"/>
  <c r="G396" i="37"/>
  <c r="G644" i="37"/>
  <c r="L395" i="37"/>
  <c r="L643" i="37"/>
  <c r="I394" i="37"/>
  <c r="I642" i="37"/>
  <c r="B394" i="37"/>
  <c r="B642" i="37"/>
  <c r="H393" i="37"/>
  <c r="H641" i="37"/>
  <c r="G392" i="37"/>
  <c r="G640" i="37"/>
  <c r="L391" i="37"/>
  <c r="L639" i="37"/>
  <c r="F391" i="37"/>
  <c r="F639" i="37"/>
  <c r="F390" i="37"/>
  <c r="F638" i="37"/>
  <c r="I389" i="37"/>
  <c r="I637" i="37"/>
  <c r="B389" i="37"/>
  <c r="B637" i="37"/>
  <c r="H388" i="37"/>
  <c r="H636" i="37"/>
  <c r="G387" i="37"/>
  <c r="G635" i="37"/>
  <c r="L386" i="37"/>
  <c r="L634" i="37"/>
  <c r="F386" i="37"/>
  <c r="F634" i="37"/>
  <c r="I385" i="37"/>
  <c r="I633" i="37"/>
  <c r="B385" i="37"/>
  <c r="B633" i="37"/>
  <c r="H384" i="37"/>
  <c r="H632" i="37"/>
  <c r="G383" i="37"/>
  <c r="G631" i="37"/>
  <c r="L382" i="37"/>
  <c r="L630" i="37"/>
  <c r="F382" i="37"/>
  <c r="F630" i="37"/>
  <c r="I381" i="37"/>
  <c r="I629" i="37"/>
  <c r="H380" i="37"/>
  <c r="H628" i="37"/>
  <c r="G379" i="37"/>
  <c r="G627" i="37"/>
  <c r="L378" i="37"/>
  <c r="L626" i="37"/>
  <c r="F378" i="37"/>
  <c r="F626" i="37"/>
  <c r="I377" i="37"/>
  <c r="I625" i="37"/>
  <c r="B377" i="37"/>
  <c r="B625" i="37"/>
  <c r="H376" i="37"/>
  <c r="H624" i="37"/>
  <c r="G375" i="37"/>
  <c r="G623" i="37"/>
  <c r="L374" i="37"/>
  <c r="L622" i="37"/>
  <c r="F374" i="37"/>
  <c r="F622" i="37"/>
  <c r="I373" i="37"/>
  <c r="I621" i="37"/>
  <c r="B373" i="37"/>
  <c r="B621" i="37"/>
  <c r="H372" i="37"/>
  <c r="H620" i="37"/>
  <c r="G371" i="37"/>
  <c r="G619" i="37"/>
  <c r="L370" i="37"/>
  <c r="L618" i="37"/>
  <c r="F370" i="37"/>
  <c r="F618" i="37"/>
  <c r="I369" i="37"/>
  <c r="I617" i="37"/>
  <c r="B369" i="37"/>
  <c r="B617" i="37"/>
  <c r="H368" i="37"/>
  <c r="H616" i="37"/>
  <c r="G367" i="37"/>
  <c r="G615" i="37"/>
  <c r="L366" i="37"/>
  <c r="L614" i="37"/>
  <c r="F366" i="37"/>
  <c r="F614" i="37"/>
  <c r="I365" i="37"/>
  <c r="I613" i="37"/>
  <c r="B365" i="37"/>
  <c r="B613" i="37"/>
  <c r="H364" i="37"/>
  <c r="H612" i="37"/>
  <c r="G363" i="37"/>
  <c r="G611" i="37"/>
  <c r="L362" i="37"/>
  <c r="L610" i="37"/>
  <c r="F362" i="37"/>
  <c r="F610" i="37"/>
  <c r="I361" i="37"/>
  <c r="I609" i="37"/>
  <c r="B361" i="37"/>
  <c r="B609" i="37"/>
  <c r="H360" i="37"/>
  <c r="H608" i="37"/>
  <c r="G359" i="37"/>
  <c r="G607" i="37"/>
  <c r="L358" i="37"/>
  <c r="L606" i="37"/>
  <c r="F358" i="37"/>
  <c r="F606" i="37"/>
  <c r="I357" i="37"/>
  <c r="I605" i="37"/>
  <c r="B357" i="37"/>
  <c r="B605" i="37"/>
  <c r="H356" i="37"/>
  <c r="H604" i="37"/>
  <c r="G355" i="37"/>
  <c r="G603" i="37"/>
  <c r="L354" i="37"/>
  <c r="L602" i="37"/>
  <c r="F354" i="37"/>
  <c r="F602" i="37"/>
  <c r="I353" i="37"/>
  <c r="I601" i="37"/>
  <c r="B353" i="37"/>
  <c r="B601" i="37"/>
  <c r="H352" i="37"/>
  <c r="H600" i="37"/>
  <c r="G351" i="37"/>
  <c r="G599" i="37"/>
  <c r="L350" i="37"/>
  <c r="L598" i="37"/>
  <c r="I349" i="37"/>
  <c r="I597" i="37"/>
  <c r="B349" i="37"/>
  <c r="B597" i="37"/>
  <c r="H348" i="37"/>
  <c r="H596" i="37"/>
  <c r="G347" i="37"/>
  <c r="G595" i="37"/>
  <c r="L346" i="37"/>
  <c r="L594" i="37"/>
  <c r="F346" i="37"/>
  <c r="F594" i="37"/>
  <c r="I345" i="37"/>
  <c r="I593" i="37"/>
  <c r="B345" i="37"/>
  <c r="B593" i="37"/>
  <c r="H344" i="37"/>
  <c r="H592" i="37"/>
  <c r="G343" i="37"/>
  <c r="G591" i="37"/>
  <c r="L342" i="37"/>
  <c r="L590" i="37"/>
  <c r="F342" i="37"/>
  <c r="F590" i="37"/>
  <c r="I341" i="37"/>
  <c r="I589" i="37"/>
  <c r="B341" i="37"/>
  <c r="B589" i="37"/>
  <c r="H340" i="37"/>
  <c r="H588" i="37"/>
  <c r="G339" i="37"/>
  <c r="G587" i="37"/>
  <c r="L338" i="37"/>
  <c r="L586" i="37"/>
  <c r="F338" i="37"/>
  <c r="F586" i="37"/>
  <c r="I337" i="37"/>
  <c r="I585" i="37"/>
  <c r="B337" i="37"/>
  <c r="B585" i="37"/>
  <c r="H336" i="37"/>
  <c r="H584" i="37"/>
  <c r="G335" i="37"/>
  <c r="G583" i="37"/>
  <c r="L334" i="37"/>
  <c r="L582" i="37"/>
  <c r="F334" i="37"/>
  <c r="F582" i="37"/>
  <c r="I333" i="37"/>
  <c r="I581" i="37"/>
  <c r="B333" i="37"/>
  <c r="B581" i="37"/>
  <c r="H332" i="37"/>
  <c r="H580" i="37"/>
  <c r="G331" i="37"/>
  <c r="G579" i="37"/>
  <c r="L330" i="37"/>
  <c r="L578" i="37"/>
  <c r="F330" i="37"/>
  <c r="F578" i="37"/>
  <c r="I329" i="37"/>
  <c r="I577" i="37"/>
  <c r="B329" i="37"/>
  <c r="B577" i="37"/>
  <c r="H328" i="37"/>
  <c r="H576" i="37"/>
  <c r="G327" i="37"/>
  <c r="G575" i="37"/>
  <c r="L326" i="37"/>
  <c r="L574" i="37"/>
  <c r="F326" i="37"/>
  <c r="F574" i="37"/>
  <c r="I325" i="37"/>
  <c r="I573" i="37"/>
  <c r="B325" i="37"/>
  <c r="B573" i="37"/>
  <c r="H324" i="37"/>
  <c r="H572" i="37"/>
  <c r="H323" i="37"/>
  <c r="H571" i="37"/>
  <c r="G322" i="37"/>
  <c r="G570" i="37"/>
  <c r="L321" i="37"/>
  <c r="L569" i="37"/>
  <c r="F321" i="37"/>
  <c r="F569" i="37"/>
  <c r="I320" i="37"/>
  <c r="I568" i="37"/>
  <c r="B320" i="37"/>
  <c r="B568" i="37"/>
  <c r="H319" i="37"/>
  <c r="H567" i="37"/>
  <c r="G318" i="37"/>
  <c r="G566" i="37"/>
  <c r="L317" i="37"/>
  <c r="L565" i="37"/>
  <c r="F317" i="37"/>
  <c r="F565" i="37"/>
  <c r="I316" i="37"/>
  <c r="I564" i="37"/>
  <c r="B316" i="37"/>
  <c r="B564" i="37"/>
  <c r="H315" i="37"/>
  <c r="H563" i="37"/>
  <c r="G314" i="37"/>
  <c r="G562" i="37"/>
  <c r="L313" i="37"/>
  <c r="L561" i="37"/>
  <c r="F313" i="37"/>
  <c r="F561" i="37"/>
  <c r="I312" i="37"/>
  <c r="I560" i="37"/>
  <c r="B312" i="37"/>
  <c r="B560" i="37"/>
  <c r="H311" i="37"/>
  <c r="H559" i="37"/>
  <c r="G310" i="37"/>
  <c r="G558" i="37"/>
  <c r="G758" i="37"/>
  <c r="G757" i="37"/>
  <c r="G756" i="37"/>
  <c r="G755" i="37"/>
  <c r="G754" i="37"/>
  <c r="G753" i="37"/>
  <c r="G752" i="37"/>
  <c r="G751" i="37"/>
  <c r="G750" i="37"/>
  <c r="G749" i="37"/>
  <c r="G748" i="37"/>
  <c r="G747" i="37"/>
  <c r="G746" i="37"/>
  <c r="G745" i="37"/>
  <c r="G744" i="37"/>
  <c r="G743" i="37"/>
  <c r="G742" i="37"/>
  <c r="G741" i="37"/>
  <c r="G740" i="37"/>
  <c r="G739" i="37"/>
  <c r="G738" i="37"/>
  <c r="G737" i="37"/>
  <c r="G736" i="37"/>
  <c r="G735" i="37"/>
  <c r="G734" i="37"/>
  <c r="G733" i="37"/>
  <c r="G732" i="37"/>
  <c r="G731" i="37"/>
  <c r="G730" i="37"/>
  <c r="G729" i="37"/>
  <c r="G728" i="37"/>
  <c r="G727" i="37"/>
  <c r="G726" i="37"/>
  <c r="G725" i="37"/>
  <c r="G724" i="37"/>
  <c r="G723" i="37"/>
  <c r="G722" i="37"/>
  <c r="G721" i="37"/>
  <c r="G720" i="37"/>
  <c r="G719" i="37"/>
  <c r="I718" i="37"/>
  <c r="L714" i="37"/>
  <c r="B711" i="37"/>
  <c r="B709" i="37"/>
  <c r="G707" i="37"/>
  <c r="H705" i="37"/>
  <c r="F698" i="37"/>
  <c r="F696" i="37"/>
  <c r="G694" i="37"/>
  <c r="G692" i="37"/>
  <c r="L684" i="37"/>
  <c r="I680" i="37"/>
  <c r="B678" i="37"/>
  <c r="H676" i="37"/>
  <c r="I671" i="37"/>
  <c r="L667" i="37"/>
  <c r="H665" i="37"/>
  <c r="F658" i="37"/>
  <c r="G648" i="37"/>
  <c r="I640" i="37"/>
  <c r="B629" i="37"/>
  <c r="F624" i="37"/>
  <c r="F598" i="37"/>
  <c r="F469" i="37"/>
  <c r="F717" i="37"/>
  <c r="B468" i="37"/>
  <c r="B716" i="37"/>
  <c r="H467" i="37"/>
  <c r="H715" i="37"/>
  <c r="G466" i="37"/>
  <c r="G714" i="37"/>
  <c r="F465" i="37"/>
  <c r="F713" i="37"/>
  <c r="H463" i="37"/>
  <c r="H711" i="37"/>
  <c r="G462" i="37"/>
  <c r="G710" i="37"/>
  <c r="F461" i="37"/>
  <c r="F709" i="37"/>
  <c r="G458" i="37"/>
  <c r="G706" i="37"/>
  <c r="F457" i="37"/>
  <c r="F705" i="37"/>
  <c r="B456" i="37"/>
  <c r="B704" i="37"/>
  <c r="H455" i="37"/>
  <c r="H703" i="37"/>
  <c r="L453" i="37"/>
  <c r="L701" i="37"/>
  <c r="F453" i="37"/>
  <c r="F701" i="37"/>
  <c r="I452" i="37"/>
  <c r="I700" i="37"/>
  <c r="H451" i="37"/>
  <c r="H699" i="37"/>
  <c r="G450" i="37"/>
  <c r="G698" i="37"/>
  <c r="I448" i="37"/>
  <c r="I696" i="37"/>
  <c r="F445" i="37"/>
  <c r="F693" i="37"/>
  <c r="B444" i="37"/>
  <c r="B692" i="37"/>
  <c r="B440" i="37"/>
  <c r="B688" i="37"/>
  <c r="F437" i="37"/>
  <c r="F685" i="37"/>
  <c r="I436" i="37"/>
  <c r="I684" i="37"/>
  <c r="B436" i="37"/>
  <c r="B684" i="37"/>
  <c r="L433" i="37"/>
  <c r="L681" i="37"/>
  <c r="H431" i="37"/>
  <c r="H679" i="37"/>
  <c r="G430" i="37"/>
  <c r="G678" i="37"/>
  <c r="L429" i="37"/>
  <c r="L677" i="37"/>
  <c r="B428" i="37"/>
  <c r="B676" i="37"/>
  <c r="H427" i="37"/>
  <c r="H675" i="37"/>
  <c r="L425" i="37"/>
  <c r="L673" i="37"/>
  <c r="F425" i="37"/>
  <c r="F673" i="37"/>
  <c r="I424" i="37"/>
  <c r="I672" i="37"/>
  <c r="B424" i="37"/>
  <c r="B672" i="37"/>
  <c r="H423" i="37"/>
  <c r="H671" i="37"/>
  <c r="L421" i="37"/>
  <c r="L669" i="37"/>
  <c r="I420" i="37"/>
  <c r="I668" i="37"/>
  <c r="B420" i="37"/>
  <c r="B668" i="37"/>
  <c r="H419" i="37"/>
  <c r="H667" i="37"/>
  <c r="G418" i="37"/>
  <c r="G666" i="37"/>
  <c r="L417" i="37"/>
  <c r="L665" i="37"/>
  <c r="F417" i="37"/>
  <c r="F665" i="37"/>
  <c r="I416" i="37"/>
  <c r="I664" i="37"/>
  <c r="B416" i="37"/>
  <c r="B664" i="37"/>
  <c r="G414" i="37"/>
  <c r="G662" i="37"/>
  <c r="F413" i="37"/>
  <c r="F661" i="37"/>
  <c r="I412" i="37"/>
  <c r="I660" i="37"/>
  <c r="B412" i="37"/>
  <c r="B660" i="37"/>
  <c r="G410" i="37"/>
  <c r="G658" i="37"/>
  <c r="L409" i="37"/>
  <c r="L657" i="37"/>
  <c r="F409" i="37"/>
  <c r="F657" i="37"/>
  <c r="H407" i="37"/>
  <c r="H655" i="37"/>
  <c r="F405" i="37"/>
  <c r="F653" i="37"/>
  <c r="B404" i="37"/>
  <c r="B652" i="37"/>
  <c r="H403" i="37"/>
  <c r="H651" i="37"/>
  <c r="G402" i="37"/>
  <c r="G650" i="37"/>
  <c r="F401" i="37"/>
  <c r="F649" i="37"/>
  <c r="B400" i="37"/>
  <c r="B648" i="37"/>
  <c r="F397" i="37"/>
  <c r="F645" i="37"/>
  <c r="F393" i="37"/>
  <c r="F641" i="37"/>
  <c r="H391" i="37"/>
  <c r="H639" i="37"/>
  <c r="L388" i="37"/>
  <c r="L636" i="37"/>
  <c r="B387" i="37"/>
  <c r="B635" i="37"/>
  <c r="G385" i="37"/>
  <c r="G633" i="37"/>
  <c r="I383" i="37"/>
  <c r="I631" i="37"/>
  <c r="L380" i="37"/>
  <c r="L628" i="37"/>
  <c r="I375" i="37"/>
  <c r="I623" i="37"/>
  <c r="H374" i="37"/>
  <c r="H622" i="37"/>
  <c r="L372" i="37"/>
  <c r="L620" i="37"/>
  <c r="H370" i="37"/>
  <c r="H618" i="37"/>
  <c r="F368" i="37"/>
  <c r="F616" i="37"/>
  <c r="G365" i="37"/>
  <c r="G613" i="37"/>
  <c r="B359" i="37"/>
  <c r="B607" i="37"/>
  <c r="I322" i="37"/>
  <c r="I570" i="37"/>
  <c r="L319" i="37"/>
  <c r="L567" i="37"/>
  <c r="B318" i="37"/>
  <c r="B566" i="37"/>
  <c r="F315" i="37"/>
  <c r="F563" i="37"/>
  <c r="B314" i="37"/>
  <c r="B562" i="37"/>
  <c r="G312" i="37"/>
  <c r="G560" i="37"/>
  <c r="B310" i="37"/>
  <c r="B558" i="37"/>
  <c r="B744" i="37"/>
  <c r="B740" i="37"/>
  <c r="B728" i="37"/>
  <c r="B724" i="37"/>
  <c r="B720" i="37"/>
  <c r="H470" i="37"/>
  <c r="H718" i="37"/>
  <c r="L468" i="37"/>
  <c r="L716" i="37"/>
  <c r="F468" i="37"/>
  <c r="F716" i="37"/>
  <c r="I467" i="37"/>
  <c r="I715" i="37"/>
  <c r="B467" i="37"/>
  <c r="B715" i="37"/>
  <c r="G465" i="37"/>
  <c r="G713" i="37"/>
  <c r="L464" i="37"/>
  <c r="L712" i="37"/>
  <c r="F464" i="37"/>
  <c r="F712" i="37"/>
  <c r="H462" i="37"/>
  <c r="H710" i="37"/>
  <c r="G461" i="37"/>
  <c r="G709" i="37"/>
  <c r="L460" i="37"/>
  <c r="L708" i="37"/>
  <c r="F460" i="37"/>
  <c r="F708" i="37"/>
  <c r="I459" i="37"/>
  <c r="I707" i="37"/>
  <c r="B459" i="37"/>
  <c r="B707" i="37"/>
  <c r="G457" i="37"/>
  <c r="G705" i="37"/>
  <c r="F456" i="37"/>
  <c r="F704" i="37"/>
  <c r="I455" i="37"/>
  <c r="I703" i="37"/>
  <c r="B455" i="37"/>
  <c r="B703" i="37"/>
  <c r="H454" i="37"/>
  <c r="H702" i="37"/>
  <c r="L452" i="37"/>
  <c r="L700" i="37"/>
  <c r="F452" i="37"/>
  <c r="F700" i="37"/>
  <c r="H450" i="37"/>
  <c r="H698" i="37"/>
  <c r="G449" i="37"/>
  <c r="G697" i="37"/>
  <c r="L448" i="37"/>
  <c r="L696" i="37"/>
  <c r="I447" i="37"/>
  <c r="I695" i="37"/>
  <c r="B447" i="37"/>
  <c r="B695" i="37"/>
  <c r="H446" i="37"/>
  <c r="H694" i="37"/>
  <c r="L444" i="37"/>
  <c r="L692" i="37"/>
  <c r="F444" i="37"/>
  <c r="F692" i="37"/>
  <c r="H442" i="37"/>
  <c r="H690" i="37"/>
  <c r="G441" i="37"/>
  <c r="G689" i="37"/>
  <c r="L440" i="37"/>
  <c r="L688" i="37"/>
  <c r="I439" i="37"/>
  <c r="I687" i="37"/>
  <c r="B439" i="37"/>
  <c r="B687" i="37"/>
  <c r="H438" i="37"/>
  <c r="H686" i="37"/>
  <c r="B435" i="37"/>
  <c r="B683" i="37"/>
  <c r="G433" i="37"/>
  <c r="G681" i="37"/>
  <c r="L432" i="37"/>
  <c r="L680" i="37"/>
  <c r="F432" i="37"/>
  <c r="F680" i="37"/>
  <c r="I431" i="37"/>
  <c r="I679" i="37"/>
  <c r="B431" i="37"/>
  <c r="B679" i="37"/>
  <c r="H430" i="37"/>
  <c r="H678" i="37"/>
  <c r="G429" i="37"/>
  <c r="G677" i="37"/>
  <c r="L428" i="37"/>
  <c r="L676" i="37"/>
  <c r="F428" i="37"/>
  <c r="F676" i="37"/>
  <c r="I427" i="37"/>
  <c r="I675" i="37"/>
  <c r="B427" i="37"/>
  <c r="B675" i="37"/>
  <c r="H426" i="37"/>
  <c r="H674" i="37"/>
  <c r="G425" i="37"/>
  <c r="G673" i="37"/>
  <c r="L424" i="37"/>
  <c r="L672" i="37"/>
  <c r="B423" i="37"/>
  <c r="B671" i="37"/>
  <c r="H422" i="37"/>
  <c r="H670" i="37"/>
  <c r="G421" i="37"/>
  <c r="G669" i="37"/>
  <c r="L420" i="37"/>
  <c r="L668" i="37"/>
  <c r="I419" i="37"/>
  <c r="I667" i="37"/>
  <c r="B419" i="37"/>
  <c r="B667" i="37"/>
  <c r="H418" i="37"/>
  <c r="H666" i="37"/>
  <c r="G417" i="37"/>
  <c r="G665" i="37"/>
  <c r="L416" i="37"/>
  <c r="L664" i="37"/>
  <c r="I415" i="37"/>
  <c r="I663" i="37"/>
  <c r="B415" i="37"/>
  <c r="B663" i="37"/>
  <c r="H414" i="37"/>
  <c r="H662" i="37"/>
  <c r="G413" i="37"/>
  <c r="G661" i="37"/>
  <c r="L412" i="37"/>
  <c r="L660" i="37"/>
  <c r="F412" i="37"/>
  <c r="F660" i="37"/>
  <c r="I411" i="37"/>
  <c r="I659" i="37"/>
  <c r="B411" i="37"/>
  <c r="B659" i="37"/>
  <c r="H410" i="37"/>
  <c r="H658" i="37"/>
  <c r="L408" i="37"/>
  <c r="L656" i="37"/>
  <c r="F408" i="37"/>
  <c r="F656" i="37"/>
  <c r="I407" i="37"/>
  <c r="I655" i="37"/>
  <c r="B407" i="37"/>
  <c r="B655" i="37"/>
  <c r="H406" i="37"/>
  <c r="H654" i="37"/>
  <c r="G405" i="37"/>
  <c r="G653" i="37"/>
  <c r="L404" i="37"/>
  <c r="L652" i="37"/>
  <c r="F404" i="37"/>
  <c r="F652" i="37"/>
  <c r="I403" i="37"/>
  <c r="I651" i="37"/>
  <c r="B403" i="37"/>
  <c r="B651" i="37"/>
  <c r="H402" i="37"/>
  <c r="H650" i="37"/>
  <c r="G401" i="37"/>
  <c r="G649" i="37"/>
  <c r="L400" i="37"/>
  <c r="L648" i="37"/>
  <c r="F400" i="37"/>
  <c r="F648" i="37"/>
  <c r="I399" i="37"/>
  <c r="I647" i="37"/>
  <c r="B399" i="37"/>
  <c r="B647" i="37"/>
  <c r="G397" i="37"/>
  <c r="G645" i="37"/>
  <c r="L396" i="37"/>
  <c r="L644" i="37"/>
  <c r="F396" i="37"/>
  <c r="F644" i="37"/>
  <c r="I395" i="37"/>
  <c r="I643" i="37"/>
  <c r="B395" i="37"/>
  <c r="B643" i="37"/>
  <c r="H394" i="37"/>
  <c r="H642" i="37"/>
  <c r="L392" i="37"/>
  <c r="L640" i="37"/>
  <c r="F392" i="37"/>
  <c r="F640" i="37"/>
  <c r="I391" i="37"/>
  <c r="I639" i="37"/>
  <c r="B391" i="37"/>
  <c r="B639" i="37"/>
  <c r="I390" i="37"/>
  <c r="I638" i="37"/>
  <c r="B390" i="37"/>
  <c r="B638" i="37"/>
  <c r="H389" i="37"/>
  <c r="H637" i="37"/>
  <c r="G388" i="37"/>
  <c r="G636" i="37"/>
  <c r="L387" i="37"/>
  <c r="L635" i="37"/>
  <c r="F387" i="37"/>
  <c r="F635" i="37"/>
  <c r="I386" i="37"/>
  <c r="I634" i="37"/>
  <c r="B386" i="37"/>
  <c r="B634" i="37"/>
  <c r="H385" i="37"/>
  <c r="H633" i="37"/>
  <c r="G384" i="37"/>
  <c r="G632" i="37"/>
  <c r="L383" i="37"/>
  <c r="L631" i="37"/>
  <c r="F383" i="37"/>
  <c r="F631" i="37"/>
  <c r="I382" i="37"/>
  <c r="I630" i="37"/>
  <c r="H381" i="37"/>
  <c r="H629" i="37"/>
  <c r="L379" i="37"/>
  <c r="L627" i="37"/>
  <c r="F379" i="37"/>
  <c r="F627" i="37"/>
  <c r="I378" i="37"/>
  <c r="I626" i="37"/>
  <c r="B378" i="37"/>
  <c r="B626" i="37"/>
  <c r="H377" i="37"/>
  <c r="H625" i="37"/>
  <c r="G376" i="37"/>
  <c r="G624" i="37"/>
  <c r="L375" i="37"/>
  <c r="L623" i="37"/>
  <c r="F375" i="37"/>
  <c r="F623" i="37"/>
  <c r="I374" i="37"/>
  <c r="I622" i="37"/>
  <c r="B374" i="37"/>
  <c r="B622" i="37"/>
  <c r="H373" i="37"/>
  <c r="H621" i="37"/>
  <c r="G372" i="37"/>
  <c r="G620" i="37"/>
  <c r="L371" i="37"/>
  <c r="L619" i="37"/>
  <c r="F371" i="37"/>
  <c r="F619" i="37"/>
  <c r="I370" i="37"/>
  <c r="I618" i="37"/>
  <c r="B370" i="37"/>
  <c r="B618" i="37"/>
  <c r="H369" i="37"/>
  <c r="H617" i="37"/>
  <c r="G368" i="37"/>
  <c r="G616" i="37"/>
  <c r="L367" i="37"/>
  <c r="L615" i="37"/>
  <c r="F367" i="37"/>
  <c r="F615" i="37"/>
  <c r="I366" i="37"/>
  <c r="I614" i="37"/>
  <c r="B366" i="37"/>
  <c r="B614" i="37"/>
  <c r="H365" i="37"/>
  <c r="H613" i="37"/>
  <c r="G364" i="37"/>
  <c r="G612" i="37"/>
  <c r="L363" i="37"/>
  <c r="L611" i="37"/>
  <c r="F363" i="37"/>
  <c r="F611" i="37"/>
  <c r="I362" i="37"/>
  <c r="I610" i="37"/>
  <c r="B362" i="37"/>
  <c r="B610" i="37"/>
  <c r="H361" i="37"/>
  <c r="H609" i="37"/>
  <c r="G360" i="37"/>
  <c r="G608" i="37"/>
  <c r="L359" i="37"/>
  <c r="L607" i="37"/>
  <c r="F359" i="37"/>
  <c r="F607" i="37"/>
  <c r="I358" i="37"/>
  <c r="I606" i="37"/>
  <c r="B358" i="37"/>
  <c r="B606" i="37"/>
  <c r="H357" i="37"/>
  <c r="H605" i="37"/>
  <c r="G356" i="37"/>
  <c r="G604" i="37"/>
  <c r="L355" i="37"/>
  <c r="L603" i="37"/>
  <c r="F355" i="37"/>
  <c r="F603" i="37"/>
  <c r="I354" i="37"/>
  <c r="I602" i="37"/>
  <c r="B354" i="37"/>
  <c r="B602" i="37"/>
  <c r="H353" i="37"/>
  <c r="H601" i="37"/>
  <c r="G352" i="37"/>
  <c r="G600" i="37"/>
  <c r="L351" i="37"/>
  <c r="L599" i="37"/>
  <c r="F351" i="37"/>
  <c r="F599" i="37"/>
  <c r="I350" i="37"/>
  <c r="I598" i="37"/>
  <c r="B350" i="37"/>
  <c r="B598" i="37"/>
  <c r="H349" i="37"/>
  <c r="H597" i="37"/>
  <c r="G348" i="37"/>
  <c r="G596" i="37"/>
  <c r="L347" i="37"/>
  <c r="L595" i="37"/>
  <c r="F347" i="37"/>
  <c r="F595" i="37"/>
  <c r="I346" i="37"/>
  <c r="I594" i="37"/>
  <c r="B346" i="37"/>
  <c r="B594" i="37"/>
  <c r="H345" i="37"/>
  <c r="H593" i="37"/>
  <c r="G344" i="37"/>
  <c r="G592" i="37"/>
  <c r="L343" i="37"/>
  <c r="L591" i="37"/>
  <c r="F343" i="37"/>
  <c r="F591" i="37"/>
  <c r="I342" i="37"/>
  <c r="I590" i="37"/>
  <c r="B342" i="37"/>
  <c r="B590" i="37"/>
  <c r="H341" i="37"/>
  <c r="H589" i="37"/>
  <c r="G340" i="37"/>
  <c r="G588" i="37"/>
  <c r="L339" i="37"/>
  <c r="L587" i="37"/>
  <c r="F339" i="37"/>
  <c r="F587" i="37"/>
  <c r="I338" i="37"/>
  <c r="I586" i="37"/>
  <c r="B338" i="37"/>
  <c r="B586" i="37"/>
  <c r="H337" i="37"/>
  <c r="H585" i="37"/>
  <c r="G336" i="37"/>
  <c r="G584" i="37"/>
  <c r="L335" i="37"/>
  <c r="L583" i="37"/>
  <c r="F335" i="37"/>
  <c r="F583" i="37"/>
  <c r="I334" i="37"/>
  <c r="I582" i="37"/>
  <c r="B334" i="37"/>
  <c r="B582" i="37"/>
  <c r="H333" i="37"/>
  <c r="H581" i="37"/>
  <c r="G332" i="37"/>
  <c r="G580" i="37"/>
  <c r="L331" i="37"/>
  <c r="L579" i="37"/>
  <c r="F331" i="37"/>
  <c r="F579" i="37"/>
  <c r="I330" i="37"/>
  <c r="I578" i="37"/>
  <c r="B330" i="37"/>
  <c r="B578" i="37"/>
  <c r="H329" i="37"/>
  <c r="H577" i="37"/>
  <c r="G328" i="37"/>
  <c r="G576" i="37"/>
  <c r="L327" i="37"/>
  <c r="L575" i="37"/>
  <c r="F327" i="37"/>
  <c r="F575" i="37"/>
  <c r="I326" i="37"/>
  <c r="I574" i="37"/>
  <c r="B326" i="37"/>
  <c r="B574" i="37"/>
  <c r="H325" i="37"/>
  <c r="H573" i="37"/>
  <c r="G324" i="37"/>
  <c r="G572" i="37"/>
  <c r="L323" i="37"/>
  <c r="L571" i="37"/>
  <c r="G323" i="37"/>
  <c r="G571" i="37"/>
  <c r="L322" i="37"/>
  <c r="L570" i="37"/>
  <c r="F322" i="37"/>
  <c r="F570" i="37"/>
  <c r="I321" i="37"/>
  <c r="I569" i="37"/>
  <c r="B321" i="37"/>
  <c r="B569" i="37"/>
  <c r="H320" i="37"/>
  <c r="H568" i="37"/>
  <c r="G319" i="37"/>
  <c r="G567" i="37"/>
  <c r="L318" i="37"/>
  <c r="L566" i="37"/>
  <c r="F318" i="37"/>
  <c r="F566" i="37"/>
  <c r="I317" i="37"/>
  <c r="I565" i="37"/>
  <c r="B317" i="37"/>
  <c r="B565" i="37"/>
  <c r="H316" i="37"/>
  <c r="H564" i="37"/>
  <c r="G315" i="37"/>
  <c r="G563" i="37"/>
  <c r="L314" i="37"/>
  <c r="L562" i="37"/>
  <c r="F314" i="37"/>
  <c r="F562" i="37"/>
  <c r="I313" i="37"/>
  <c r="I561" i="37"/>
  <c r="B313" i="37"/>
  <c r="B561" i="37"/>
  <c r="H312" i="37"/>
  <c r="H560" i="37"/>
  <c r="G311" i="37"/>
  <c r="G559" i="37"/>
  <c r="L310" i="37"/>
  <c r="L558" i="37"/>
  <c r="F758" i="37"/>
  <c r="F757" i="37"/>
  <c r="F756" i="37"/>
  <c r="F755" i="37"/>
  <c r="F754" i="37"/>
  <c r="F753" i="37"/>
  <c r="F752" i="37"/>
  <c r="F751" i="37"/>
  <c r="F750" i="37"/>
  <c r="F749" i="37"/>
  <c r="F748" i="37"/>
  <c r="F747" i="37"/>
  <c r="F744" i="37"/>
  <c r="F743" i="37"/>
  <c r="F742" i="37"/>
  <c r="F741" i="37"/>
  <c r="F740" i="37"/>
  <c r="F739" i="37"/>
  <c r="F738" i="37"/>
  <c r="F737" i="37"/>
  <c r="F736" i="37"/>
  <c r="F735" i="37"/>
  <c r="F734" i="37"/>
  <c r="F733" i="37"/>
  <c r="F732" i="37"/>
  <c r="F731" i="37"/>
  <c r="F730" i="37"/>
  <c r="F729" i="37"/>
  <c r="F728" i="37"/>
  <c r="F727" i="37"/>
  <c r="F726" i="37"/>
  <c r="F725" i="37"/>
  <c r="F724" i="37"/>
  <c r="F723" i="37"/>
  <c r="F722" i="37"/>
  <c r="F721" i="37"/>
  <c r="F720" i="37"/>
  <c r="F719" i="37"/>
  <c r="G718" i="37"/>
  <c r="G716" i="37"/>
  <c r="H714" i="37"/>
  <c r="I712" i="37"/>
  <c r="I710" i="37"/>
  <c r="I708" i="37"/>
  <c r="L706" i="37"/>
  <c r="L704" i="37"/>
  <c r="F703" i="37"/>
  <c r="G701" i="37"/>
  <c r="I699" i="37"/>
  <c r="F690" i="37"/>
  <c r="F688" i="37"/>
  <c r="F686" i="37"/>
  <c r="H684" i="37"/>
  <c r="H682" i="37"/>
  <c r="L679" i="37"/>
  <c r="H677" i="37"/>
  <c r="H669" i="37"/>
  <c r="F662" i="37"/>
  <c r="G657" i="37"/>
  <c r="H647" i="37"/>
  <c r="F643" i="37"/>
  <c r="G628" i="37"/>
  <c r="F516" i="37"/>
  <c r="F518" i="37"/>
  <c r="F547" i="37"/>
  <c r="B307" i="37"/>
  <c r="F524" i="37"/>
  <c r="F515" i="37"/>
  <c r="F511" i="37"/>
  <c r="F505" i="37"/>
  <c r="F526" i="37"/>
  <c r="B557" i="37"/>
  <c r="B308" i="37"/>
  <c r="F525" i="37"/>
  <c r="F498" i="37"/>
  <c r="F353" i="37"/>
  <c r="F512" i="37"/>
  <c r="F506" i="37"/>
  <c r="F528" i="37"/>
  <c r="F527" i="37"/>
  <c r="F522" i="37"/>
  <c r="F521" i="37"/>
  <c r="F520" i="37"/>
  <c r="F519" i="37"/>
  <c r="F517" i="37"/>
  <c r="F514" i="37"/>
  <c r="F513" i="37"/>
  <c r="F508" i="37"/>
  <c r="F507" i="37"/>
  <c r="F499" i="37"/>
  <c r="F436" i="37"/>
  <c r="F548" i="37"/>
  <c r="F523" i="37"/>
  <c r="F502" i="37"/>
  <c r="F501" i="37"/>
  <c r="F497" i="37"/>
  <c r="F310" i="37"/>
  <c r="F549" i="37"/>
  <c r="F546" i="37"/>
  <c r="F510" i="37"/>
  <c r="F509" i="37"/>
  <c r="F504" i="37"/>
  <c r="F503" i="37"/>
  <c r="F500" i="37"/>
  <c r="F309" i="37"/>
  <c r="B490" i="40" l="1"/>
  <c r="B208" i="65"/>
  <c r="K796" i="37"/>
  <c r="J797" i="37"/>
  <c r="N797" i="37" s="1"/>
  <c r="R797" i="37" s="1"/>
  <c r="J781" i="37"/>
  <c r="N781" i="37" s="1"/>
  <c r="T781" i="37" s="1"/>
  <c r="K758" i="37"/>
  <c r="K522" i="37"/>
  <c r="N522" i="37" s="1"/>
  <c r="J749" i="37"/>
  <c r="N749" i="37" s="1"/>
  <c r="T749" i="37" s="1"/>
  <c r="K756" i="37"/>
  <c r="K747" i="37"/>
  <c r="K751" i="37"/>
  <c r="AH91" i="50"/>
  <c r="K752" i="37"/>
  <c r="J390" i="37"/>
  <c r="T390" i="37" s="1"/>
  <c r="V571" i="37"/>
  <c r="J520" i="37"/>
  <c r="AH520" i="37" s="1"/>
  <c r="N761" i="37"/>
  <c r="T761" i="37" s="1"/>
  <c r="N780" i="37"/>
  <c r="S780" i="37" s="1"/>
  <c r="K754" i="37"/>
  <c r="K750" i="37"/>
  <c r="K757" i="37"/>
  <c r="K797" i="37"/>
  <c r="AB524" i="37"/>
  <c r="N778" i="37"/>
  <c r="P778" i="37" s="1"/>
  <c r="V778" i="37" s="1"/>
  <c r="N762" i="37"/>
  <c r="J787" i="37"/>
  <c r="N787" i="37" s="1"/>
  <c r="J323" i="37"/>
  <c r="Z323" i="37" s="1"/>
  <c r="K755" i="37"/>
  <c r="J518" i="37"/>
  <c r="P518" i="37" s="1"/>
  <c r="J523" i="37"/>
  <c r="N775" i="37"/>
  <c r="T775" i="37" s="1"/>
  <c r="K748" i="37"/>
  <c r="N759" i="37"/>
  <c r="T759" i="37" s="1"/>
  <c r="N760" i="37"/>
  <c r="K753" i="37"/>
  <c r="J770" i="37"/>
  <c r="N770" i="37" s="1"/>
  <c r="V524" i="37"/>
  <c r="K524" i="37"/>
  <c r="N524" i="37" s="1"/>
  <c r="N516" i="37"/>
  <c r="J529" i="37"/>
  <c r="V529" i="37" s="1"/>
  <c r="J792" i="37"/>
  <c r="N792" i="37" s="1"/>
  <c r="R792" i="37" s="1"/>
  <c r="K775" i="37"/>
  <c r="N773" i="37"/>
  <c r="R773" i="37" s="1"/>
  <c r="N776" i="37"/>
  <c r="N774" i="37"/>
  <c r="J765" i="37"/>
  <c r="J519" i="37"/>
  <c r="P519" i="37" s="1"/>
  <c r="J769" i="37"/>
  <c r="N769" i="37" s="1"/>
  <c r="Z777" i="37"/>
  <c r="P544" i="37"/>
  <c r="AA524" i="37"/>
  <c r="U524" i="37"/>
  <c r="AH517" i="37"/>
  <c r="N767" i="37"/>
  <c r="P767" i="37" s="1"/>
  <c r="J772" i="37"/>
  <c r="Z772" i="37" s="1"/>
  <c r="AH524" i="37"/>
  <c r="N527" i="37"/>
  <c r="N548" i="37"/>
  <c r="N766" i="37"/>
  <c r="T766" i="37" s="1"/>
  <c r="N768" i="37"/>
  <c r="P539" i="37"/>
  <c r="P549" i="37"/>
  <c r="P309" i="37"/>
  <c r="U309" i="37"/>
  <c r="AE309" i="37"/>
  <c r="AA309" i="37"/>
  <c r="AB309" i="37"/>
  <c r="R309" i="37"/>
  <c r="Z309" i="37"/>
  <c r="V309" i="37"/>
  <c r="AF309" i="37"/>
  <c r="X309" i="37"/>
  <c r="AG309" i="37"/>
  <c r="Y309" i="37"/>
  <c r="AH309" i="37"/>
  <c r="S309" i="37"/>
  <c r="T309" i="37"/>
  <c r="AD309" i="37"/>
  <c r="N571" i="37"/>
  <c r="S571" i="37"/>
  <c r="N771" i="37"/>
  <c r="N763" i="37"/>
  <c r="T763" i="37" s="1"/>
  <c r="AG524" i="37"/>
  <c r="N638" i="37"/>
  <c r="K764" i="37"/>
  <c r="P524" i="37"/>
  <c r="P533" i="37"/>
  <c r="P522" i="37"/>
  <c r="Q571" i="37"/>
  <c r="P571" i="37"/>
  <c r="Y638" i="37"/>
  <c r="X571" i="37"/>
  <c r="S771" i="37"/>
  <c r="Z771" i="37"/>
  <c r="N779" i="37"/>
  <c r="T777" i="37"/>
  <c r="N777" i="37"/>
  <c r="Q777" i="37" s="1"/>
  <c r="AA517" i="37"/>
  <c r="P517" i="37"/>
  <c r="K534" i="37"/>
  <c r="K782" i="37"/>
  <c r="K545" i="37"/>
  <c r="N545" i="37" s="1"/>
  <c r="K793" i="37"/>
  <c r="K537" i="37"/>
  <c r="N537" i="37" s="1"/>
  <c r="K785" i="37"/>
  <c r="K541" i="37"/>
  <c r="K789" i="37"/>
  <c r="K535" i="37"/>
  <c r="N535" i="37" s="1"/>
  <c r="K783" i="37"/>
  <c r="K526" i="37"/>
  <c r="K774" i="37"/>
  <c r="K523" i="37"/>
  <c r="N523" i="37" s="1"/>
  <c r="K771" i="37"/>
  <c r="J534" i="37"/>
  <c r="P534" i="37" s="1"/>
  <c r="J782" i="37"/>
  <c r="N782" i="37" s="1"/>
  <c r="J535" i="37"/>
  <c r="P535" i="37" s="1"/>
  <c r="J783" i="37"/>
  <c r="K538" i="37"/>
  <c r="N538" i="37" s="1"/>
  <c r="K786" i="37"/>
  <c r="K542" i="37"/>
  <c r="K790" i="37"/>
  <c r="K539" i="37"/>
  <c r="N539" i="37" s="1"/>
  <c r="K787" i="37"/>
  <c r="V517" i="37"/>
  <c r="AG517" i="37"/>
  <c r="J543" i="37"/>
  <c r="P543" i="37" s="1"/>
  <c r="J791" i="37"/>
  <c r="N791" i="37" s="1"/>
  <c r="W571" i="37"/>
  <c r="K515" i="37"/>
  <c r="N515" i="37" s="1"/>
  <c r="K763" i="37"/>
  <c r="Y768" i="37"/>
  <c r="T768" i="37"/>
  <c r="J538" i="37"/>
  <c r="Z538" i="37" s="1"/>
  <c r="J786" i="37"/>
  <c r="N786" i="37" s="1"/>
  <c r="J537" i="37"/>
  <c r="P537" i="37" s="1"/>
  <c r="J785" i="37"/>
  <c r="N785" i="37" s="1"/>
  <c r="J541" i="37"/>
  <c r="P541" i="37" s="1"/>
  <c r="J789" i="37"/>
  <c r="N789" i="37" s="1"/>
  <c r="K543" i="37"/>
  <c r="N543" i="37" s="1"/>
  <c r="K791" i="37"/>
  <c r="K540" i="37"/>
  <c r="K788" i="37"/>
  <c r="U517" i="37"/>
  <c r="AB517" i="37"/>
  <c r="J545" i="37"/>
  <c r="P545" i="37" s="1"/>
  <c r="J793" i="37"/>
  <c r="N793" i="37" s="1"/>
  <c r="J546" i="37"/>
  <c r="P546" i="37" s="1"/>
  <c r="J794" i="37"/>
  <c r="N794" i="37" s="1"/>
  <c r="J547" i="37"/>
  <c r="P547" i="37" s="1"/>
  <c r="J795" i="37"/>
  <c r="N795" i="37" s="1"/>
  <c r="K546" i="37"/>
  <c r="N546" i="37" s="1"/>
  <c r="K794" i="37"/>
  <c r="K511" i="37"/>
  <c r="N511" i="37" s="1"/>
  <c r="K759" i="37"/>
  <c r="K514" i="37"/>
  <c r="N514" i="37" s="1"/>
  <c r="K762" i="37"/>
  <c r="K513" i="37"/>
  <c r="K761" i="37"/>
  <c r="K517" i="37"/>
  <c r="K765" i="37"/>
  <c r="K518" i="37"/>
  <c r="K766" i="37"/>
  <c r="K519" i="37"/>
  <c r="N519" i="37" s="1"/>
  <c r="K767" i="37"/>
  <c r="K520" i="37"/>
  <c r="N520" i="37" s="1"/>
  <c r="K768" i="37"/>
  <c r="K521" i="37"/>
  <c r="K769" i="37"/>
  <c r="K525" i="37"/>
  <c r="K773" i="37"/>
  <c r="K547" i="37"/>
  <c r="K795" i="37"/>
  <c r="T771" i="37"/>
  <c r="Y771" i="37"/>
  <c r="J516" i="37"/>
  <c r="P516" i="37" s="1"/>
  <c r="J764" i="37"/>
  <c r="N764" i="37" s="1"/>
  <c r="J540" i="37"/>
  <c r="P540" i="37" s="1"/>
  <c r="J788" i="37"/>
  <c r="N788" i="37" s="1"/>
  <c r="J536" i="37"/>
  <c r="P536" i="37" s="1"/>
  <c r="J784" i="37"/>
  <c r="J542" i="37"/>
  <c r="P542" i="37" s="1"/>
  <c r="J790" i="37"/>
  <c r="N790" i="37" s="1"/>
  <c r="K544" i="37"/>
  <c r="N544" i="37" s="1"/>
  <c r="K792" i="37"/>
  <c r="K536" i="37"/>
  <c r="K784" i="37"/>
  <c r="J548" i="37"/>
  <c r="P548" i="37" s="1"/>
  <c r="J796" i="37"/>
  <c r="N796" i="37" s="1"/>
  <c r="S768" i="37"/>
  <c r="Z768" i="37"/>
  <c r="K512" i="37"/>
  <c r="N512" i="37" s="1"/>
  <c r="K760" i="37"/>
  <c r="K528" i="37"/>
  <c r="N528" i="37" s="1"/>
  <c r="K776" i="37"/>
  <c r="J314" i="37"/>
  <c r="Y314" i="37" s="1"/>
  <c r="J562" i="37"/>
  <c r="N562" i="37" s="1"/>
  <c r="J376" i="37"/>
  <c r="J624" i="37"/>
  <c r="J514" i="37"/>
  <c r="P514" i="37" s="1"/>
  <c r="K351" i="37"/>
  <c r="K599" i="37"/>
  <c r="K424" i="37"/>
  <c r="K672" i="37"/>
  <c r="J472" i="37"/>
  <c r="AG472" i="37" s="1"/>
  <c r="J720" i="37"/>
  <c r="N720" i="37" s="1"/>
  <c r="K427" i="37"/>
  <c r="N427" i="37" s="1"/>
  <c r="K675" i="37"/>
  <c r="K530" i="37"/>
  <c r="K372" i="37"/>
  <c r="N372" i="37" s="1"/>
  <c r="K620" i="37"/>
  <c r="J457" i="37"/>
  <c r="AA457" i="37" s="1"/>
  <c r="J705" i="37"/>
  <c r="K322" i="37"/>
  <c r="K570" i="37"/>
  <c r="K383" i="37"/>
  <c r="K631" i="37"/>
  <c r="K447" i="37"/>
  <c r="N447" i="37" s="1"/>
  <c r="K695" i="37"/>
  <c r="K475" i="37"/>
  <c r="N475" i="37" s="1"/>
  <c r="K723" i="37"/>
  <c r="K378" i="37"/>
  <c r="N378" i="37" s="1"/>
  <c r="K626" i="37"/>
  <c r="J496" i="37"/>
  <c r="P496" i="37" s="1"/>
  <c r="J744" i="37"/>
  <c r="N744" i="37" s="1"/>
  <c r="J357" i="37"/>
  <c r="U357" i="37" s="1"/>
  <c r="J605" i="37"/>
  <c r="N605" i="37" s="1"/>
  <c r="J465" i="37"/>
  <c r="P465" i="37" s="1"/>
  <c r="J713" i="37"/>
  <c r="N713" i="37" s="1"/>
  <c r="J446" i="37"/>
  <c r="Z446" i="37" s="1"/>
  <c r="J694" i="37"/>
  <c r="N694" i="37" s="1"/>
  <c r="K477" i="37"/>
  <c r="N477" i="37" s="1"/>
  <c r="K725" i="37"/>
  <c r="J458" i="37"/>
  <c r="AH458" i="37" s="1"/>
  <c r="J706" i="37"/>
  <c r="J358" i="37"/>
  <c r="P358" i="37" s="1"/>
  <c r="J606" i="37"/>
  <c r="K479" i="37"/>
  <c r="K727" i="37"/>
  <c r="J483" i="37"/>
  <c r="P483" i="37" s="1"/>
  <c r="J731" i="37"/>
  <c r="N731" i="37" s="1"/>
  <c r="J508" i="37"/>
  <c r="P508" i="37" s="1"/>
  <c r="J756" i="37"/>
  <c r="N756" i="37" s="1"/>
  <c r="J455" i="37"/>
  <c r="R455" i="37" s="1"/>
  <c r="J703" i="37"/>
  <c r="K336" i="37"/>
  <c r="K584" i="37"/>
  <c r="K409" i="37"/>
  <c r="N409" i="37" s="1"/>
  <c r="K657" i="37"/>
  <c r="J425" i="37"/>
  <c r="P425" i="37" s="1"/>
  <c r="J673" i="37"/>
  <c r="N673" i="37" s="1"/>
  <c r="K316" i="37"/>
  <c r="N316" i="37" s="1"/>
  <c r="K564" i="37"/>
  <c r="K339" i="37"/>
  <c r="K587" i="37"/>
  <c r="K376" i="37"/>
  <c r="N376" i="37" s="1"/>
  <c r="K624" i="37"/>
  <c r="K395" i="37"/>
  <c r="K643" i="37"/>
  <c r="K412" i="37"/>
  <c r="K660" i="37"/>
  <c r="K429" i="37"/>
  <c r="K677" i="37"/>
  <c r="K444" i="37"/>
  <c r="N444" i="37" s="1"/>
  <c r="K692" i="37"/>
  <c r="K461" i="37"/>
  <c r="K709" i="37"/>
  <c r="K476" i="37"/>
  <c r="N476" i="37" s="1"/>
  <c r="K724" i="37"/>
  <c r="K489" i="37"/>
  <c r="N489" i="37" s="1"/>
  <c r="K737" i="37"/>
  <c r="K332" i="37"/>
  <c r="N332" i="37" s="1"/>
  <c r="K580" i="37"/>
  <c r="K417" i="37"/>
  <c r="K665" i="37"/>
  <c r="K478" i="37"/>
  <c r="K726" i="37"/>
  <c r="K327" i="37"/>
  <c r="K575" i="37"/>
  <c r="K349" i="37"/>
  <c r="N349" i="37" s="1"/>
  <c r="K597" i="37"/>
  <c r="K371" i="37"/>
  <c r="N371" i="37" s="1"/>
  <c r="K619" i="37"/>
  <c r="K387" i="37"/>
  <c r="K635" i="37"/>
  <c r="K407" i="37"/>
  <c r="K655" i="37"/>
  <c r="K433" i="37"/>
  <c r="N433" i="37" s="1"/>
  <c r="K681" i="37"/>
  <c r="K452" i="37"/>
  <c r="K700" i="37"/>
  <c r="K469" i="37"/>
  <c r="K717" i="37"/>
  <c r="J479" i="37"/>
  <c r="AH479" i="37" s="1"/>
  <c r="J727" i="37"/>
  <c r="N727" i="37" s="1"/>
  <c r="K337" i="37"/>
  <c r="N337" i="37" s="1"/>
  <c r="K585" i="37"/>
  <c r="K361" i="37"/>
  <c r="N361" i="37" s="1"/>
  <c r="K609" i="37"/>
  <c r="K390" i="37"/>
  <c r="K638" i="37"/>
  <c r="K442" i="37"/>
  <c r="N442" i="37" s="1"/>
  <c r="K690" i="37"/>
  <c r="K473" i="37"/>
  <c r="K721" i="37"/>
  <c r="J436" i="37"/>
  <c r="AG436" i="37" s="1"/>
  <c r="J684" i="37"/>
  <c r="N684" i="37" s="1"/>
  <c r="J415" i="37"/>
  <c r="P415" i="37" s="1"/>
  <c r="J663" i="37"/>
  <c r="N663" i="37" s="1"/>
  <c r="J528" i="37"/>
  <c r="P528" i="37" s="1"/>
  <c r="J396" i="37"/>
  <c r="P396" i="37" s="1"/>
  <c r="J644" i="37"/>
  <c r="J474" i="37"/>
  <c r="V474" i="37" s="1"/>
  <c r="J722" i="37"/>
  <c r="J461" i="37"/>
  <c r="AE461" i="37" s="1"/>
  <c r="J709" i="37"/>
  <c r="N709" i="37" s="1"/>
  <c r="J360" i="37"/>
  <c r="J608" i="37"/>
  <c r="R608" i="37" s="1"/>
  <c r="J532" i="37"/>
  <c r="P532" i="37" s="1"/>
  <c r="J318" i="37"/>
  <c r="AH318" i="37" s="1"/>
  <c r="J566" i="37"/>
  <c r="Z566" i="37" s="1"/>
  <c r="J439" i="37"/>
  <c r="P439" i="37" s="1"/>
  <c r="J687" i="37"/>
  <c r="N687" i="37" s="1"/>
  <c r="J531" i="37"/>
  <c r="P531" i="37" s="1"/>
  <c r="J340" i="37"/>
  <c r="P340" i="37" s="1"/>
  <c r="J588" i="37"/>
  <c r="Q588" i="37" s="1"/>
  <c r="J486" i="37"/>
  <c r="P486" i="37" s="1"/>
  <c r="J734" i="37"/>
  <c r="N734" i="37" s="1"/>
  <c r="J315" i="37"/>
  <c r="AD315" i="37" s="1"/>
  <c r="J563" i="37"/>
  <c r="J441" i="37"/>
  <c r="J689" i="37"/>
  <c r="N689" i="37" s="1"/>
  <c r="J380" i="37"/>
  <c r="AD380" i="37" s="1"/>
  <c r="J628" i="37"/>
  <c r="P628" i="37" s="1"/>
  <c r="J459" i="37"/>
  <c r="R459" i="37" s="1"/>
  <c r="J707" i="37"/>
  <c r="N707" i="37" s="1"/>
  <c r="J411" i="37"/>
  <c r="AA411" i="37" s="1"/>
  <c r="J659" i="37"/>
  <c r="Z659" i="37" s="1"/>
  <c r="J447" i="37"/>
  <c r="P447" i="37" s="1"/>
  <c r="J695" i="37"/>
  <c r="N695" i="37" s="1"/>
  <c r="J384" i="37"/>
  <c r="AE384" i="37" s="1"/>
  <c r="J632" i="37"/>
  <c r="P632" i="37" s="1"/>
  <c r="J330" i="37"/>
  <c r="P330" i="37" s="1"/>
  <c r="J578" i="37"/>
  <c r="N578" i="37" s="1"/>
  <c r="K533" i="37"/>
  <c r="K331" i="37"/>
  <c r="K579" i="37"/>
  <c r="K389" i="37"/>
  <c r="K637" i="37"/>
  <c r="K420" i="37"/>
  <c r="K668" i="37"/>
  <c r="K454" i="37"/>
  <c r="K702" i="37"/>
  <c r="K311" i="37"/>
  <c r="K559" i="37"/>
  <c r="K348" i="37"/>
  <c r="K596" i="37"/>
  <c r="K451" i="37"/>
  <c r="K699" i="37"/>
  <c r="K328" i="37"/>
  <c r="N328" i="37" s="1"/>
  <c r="K576" i="37"/>
  <c r="K342" i="37"/>
  <c r="N342" i="37" s="1"/>
  <c r="K590" i="37"/>
  <c r="K388" i="37"/>
  <c r="N388" i="37" s="1"/>
  <c r="K636" i="37"/>
  <c r="K419" i="37"/>
  <c r="K667" i="37"/>
  <c r="J471" i="37"/>
  <c r="U471" i="37" s="1"/>
  <c r="J719" i="37"/>
  <c r="N719" i="37" s="1"/>
  <c r="J485" i="37"/>
  <c r="AH485" i="37" s="1"/>
  <c r="J733" i="37"/>
  <c r="N733" i="37" s="1"/>
  <c r="K410" i="37"/>
  <c r="K658" i="37"/>
  <c r="K468" i="37"/>
  <c r="N468" i="37" s="1"/>
  <c r="K716" i="37"/>
  <c r="K403" i="37"/>
  <c r="N403" i="37" s="1"/>
  <c r="K651" i="37"/>
  <c r="K465" i="37"/>
  <c r="K713" i="37"/>
  <c r="K492" i="37"/>
  <c r="N492" i="37" s="1"/>
  <c r="K740" i="37"/>
  <c r="K360" i="37"/>
  <c r="N360" i="37" s="1"/>
  <c r="K608" i="37"/>
  <c r="K431" i="37"/>
  <c r="N431" i="37" s="1"/>
  <c r="K679" i="37"/>
  <c r="J469" i="37"/>
  <c r="AF469" i="37" s="1"/>
  <c r="J717" i="37"/>
  <c r="N717" i="37" s="1"/>
  <c r="J510" i="37"/>
  <c r="J758" i="37"/>
  <c r="J352" i="37"/>
  <c r="Y352" i="37" s="1"/>
  <c r="J600" i="37"/>
  <c r="N600" i="37" s="1"/>
  <c r="K425" i="37"/>
  <c r="N425" i="37" s="1"/>
  <c r="K673" i="37"/>
  <c r="S722" i="37"/>
  <c r="P638" i="37"/>
  <c r="V638" i="37"/>
  <c r="Q638" i="37"/>
  <c r="W638" i="37"/>
  <c r="R638" i="37"/>
  <c r="S638" i="37"/>
  <c r="X638" i="37"/>
  <c r="Z638" i="37"/>
  <c r="J445" i="37"/>
  <c r="U445" i="37" s="1"/>
  <c r="J693" i="37"/>
  <c r="N693" i="37" s="1"/>
  <c r="J373" i="37"/>
  <c r="AD373" i="37" s="1"/>
  <c r="J621" i="37"/>
  <c r="J398" i="37"/>
  <c r="AF398" i="37" s="1"/>
  <c r="J646" i="37"/>
  <c r="N646" i="37" s="1"/>
  <c r="J466" i="37"/>
  <c r="U466" i="37" s="1"/>
  <c r="J714" i="37"/>
  <c r="N714" i="37" s="1"/>
  <c r="J383" i="37"/>
  <c r="J631" i="37"/>
  <c r="N631" i="37" s="1"/>
  <c r="J476" i="37"/>
  <c r="AB476" i="37" s="1"/>
  <c r="J724" i="37"/>
  <c r="N724" i="37" s="1"/>
  <c r="J349" i="37"/>
  <c r="U349" i="37" s="1"/>
  <c r="J597" i="37"/>
  <c r="J416" i="37"/>
  <c r="AD416" i="37" s="1"/>
  <c r="J664" i="37"/>
  <c r="S664" i="37" s="1"/>
  <c r="J467" i="37"/>
  <c r="AA467" i="37" s="1"/>
  <c r="J715" i="37"/>
  <c r="N715" i="37" s="1"/>
  <c r="J490" i="37"/>
  <c r="P490" i="37" s="1"/>
  <c r="J738" i="37"/>
  <c r="N738" i="37" s="1"/>
  <c r="J440" i="37"/>
  <c r="J688" i="37"/>
  <c r="J327" i="37"/>
  <c r="AG327" i="37" s="1"/>
  <c r="J575" i="37"/>
  <c r="N575" i="37" s="1"/>
  <c r="J427" i="37"/>
  <c r="AD427" i="37" s="1"/>
  <c r="J675" i="37"/>
  <c r="N675" i="37" s="1"/>
  <c r="J418" i="37"/>
  <c r="AD418" i="37" s="1"/>
  <c r="J666" i="37"/>
  <c r="J452" i="37"/>
  <c r="AF452" i="37" s="1"/>
  <c r="J700" i="37"/>
  <c r="J319" i="37"/>
  <c r="P319" i="37" s="1"/>
  <c r="J567" i="37"/>
  <c r="N567" i="37" s="1"/>
  <c r="J331" i="37"/>
  <c r="AH331" i="37" s="1"/>
  <c r="J579" i="37"/>
  <c r="N579" i="37" s="1"/>
  <c r="J316" i="37"/>
  <c r="T316" i="37" s="1"/>
  <c r="J564" i="37"/>
  <c r="N564" i="37" s="1"/>
  <c r="K443" i="37"/>
  <c r="K691" i="37"/>
  <c r="K315" i="37"/>
  <c r="N315" i="37" s="1"/>
  <c r="K563" i="37"/>
  <c r="K359" i="37"/>
  <c r="N359" i="37" s="1"/>
  <c r="K607" i="37"/>
  <c r="K421" i="37"/>
  <c r="K669" i="37"/>
  <c r="K458" i="37"/>
  <c r="K706" i="37"/>
  <c r="K494" i="37"/>
  <c r="K742" i="37"/>
  <c r="K391" i="37"/>
  <c r="K639" i="37"/>
  <c r="K464" i="37"/>
  <c r="K712" i="37"/>
  <c r="K319" i="37"/>
  <c r="N319" i="37" s="1"/>
  <c r="K567" i="37"/>
  <c r="K346" i="37"/>
  <c r="N346" i="37" s="1"/>
  <c r="K594" i="37"/>
  <c r="J402" i="37"/>
  <c r="S402" i="37" s="1"/>
  <c r="J650" i="37"/>
  <c r="N650" i="37" s="1"/>
  <c r="K485" i="37"/>
  <c r="N485" i="37" s="1"/>
  <c r="K733" i="37"/>
  <c r="J498" i="37"/>
  <c r="P498" i="37" s="1"/>
  <c r="J746" i="37"/>
  <c r="N746" i="37" s="1"/>
  <c r="J394" i="37"/>
  <c r="AA394" i="37" s="1"/>
  <c r="J642" i="37"/>
  <c r="W642" i="37" s="1"/>
  <c r="J497" i="37"/>
  <c r="P497" i="37" s="1"/>
  <c r="J745" i="37"/>
  <c r="N745" i="37" s="1"/>
  <c r="J410" i="37"/>
  <c r="R410" i="37" s="1"/>
  <c r="J658" i="37"/>
  <c r="N658" i="37" s="1"/>
  <c r="J342" i="37"/>
  <c r="J590" i="37"/>
  <c r="N590" i="37" s="1"/>
  <c r="J500" i="37"/>
  <c r="P500" i="37" s="1"/>
  <c r="J748" i="37"/>
  <c r="N748" i="37" s="1"/>
  <c r="J333" i="37"/>
  <c r="J581" i="37"/>
  <c r="N581" i="37" s="1"/>
  <c r="J489" i="37"/>
  <c r="P489" i="37" s="1"/>
  <c r="J737" i="37"/>
  <c r="N737" i="37" s="1"/>
  <c r="J487" i="37"/>
  <c r="P487" i="37" s="1"/>
  <c r="J735" i="37"/>
  <c r="N735" i="37" s="1"/>
  <c r="J456" i="37"/>
  <c r="AH456" i="37" s="1"/>
  <c r="J704" i="37"/>
  <c r="N704" i="37" s="1"/>
  <c r="J354" i="37"/>
  <c r="AB354" i="37" s="1"/>
  <c r="J602" i="37"/>
  <c r="N602" i="37" s="1"/>
  <c r="J312" i="37"/>
  <c r="AE312" i="37" s="1"/>
  <c r="J560" i="37"/>
  <c r="N560" i="37" s="1"/>
  <c r="J478" i="37"/>
  <c r="J726" i="37"/>
  <c r="J387" i="37"/>
  <c r="Z387" i="37" s="1"/>
  <c r="J635" i="37"/>
  <c r="K471" i="37"/>
  <c r="K719" i="37"/>
  <c r="J348" i="37"/>
  <c r="AB348" i="37" s="1"/>
  <c r="J596" i="37"/>
  <c r="N596" i="37" s="1"/>
  <c r="J407" i="37"/>
  <c r="AB407" i="37" s="1"/>
  <c r="J655" i="37"/>
  <c r="N655" i="37" s="1"/>
  <c r="J506" i="37"/>
  <c r="P506" i="37" s="1"/>
  <c r="J754" i="37"/>
  <c r="N754" i="37" s="1"/>
  <c r="J337" i="37"/>
  <c r="P337" i="37" s="1"/>
  <c r="J585" i="37"/>
  <c r="N585" i="37" s="1"/>
  <c r="J473" i="37"/>
  <c r="AA473" i="37" s="1"/>
  <c r="J721" i="37"/>
  <c r="N721" i="37" s="1"/>
  <c r="J448" i="37"/>
  <c r="AA448" i="37" s="1"/>
  <c r="J696" i="37"/>
  <c r="N696" i="37" s="1"/>
  <c r="J409" i="37"/>
  <c r="P409" i="37" s="1"/>
  <c r="J657" i="37"/>
  <c r="N657" i="37" s="1"/>
  <c r="J482" i="37"/>
  <c r="AB482" i="37" s="1"/>
  <c r="J730" i="37"/>
  <c r="N730" i="37" s="1"/>
  <c r="J382" i="37"/>
  <c r="V382" i="37" s="1"/>
  <c r="J630" i="37"/>
  <c r="J434" i="37"/>
  <c r="J682" i="37"/>
  <c r="J338" i="37"/>
  <c r="T338" i="37" s="1"/>
  <c r="J586" i="37"/>
  <c r="J449" i="37"/>
  <c r="P449" i="37" s="1"/>
  <c r="J697" i="37"/>
  <c r="N697" i="37" s="1"/>
  <c r="J374" i="37"/>
  <c r="X374" i="37" s="1"/>
  <c r="J622" i="37"/>
  <c r="R622" i="37" s="1"/>
  <c r="J430" i="37"/>
  <c r="AH430" i="37" s="1"/>
  <c r="J678" i="37"/>
  <c r="N678" i="37" s="1"/>
  <c r="J493" i="37"/>
  <c r="P493" i="37" s="1"/>
  <c r="J741" i="37"/>
  <c r="N741" i="37" s="1"/>
  <c r="J419" i="37"/>
  <c r="AB419" i="37" s="1"/>
  <c r="J667" i="37"/>
  <c r="N667" i="37" s="1"/>
  <c r="K463" i="37"/>
  <c r="K711" i="37"/>
  <c r="J468" i="37"/>
  <c r="P468" i="37" s="1"/>
  <c r="J716" i="37"/>
  <c r="N716" i="37" s="1"/>
  <c r="J359" i="37"/>
  <c r="J607" i="37"/>
  <c r="N607" i="37" s="1"/>
  <c r="J429" i="37"/>
  <c r="AF429" i="37" s="1"/>
  <c r="J677" i="37"/>
  <c r="N677" i="37" s="1"/>
  <c r="J379" i="37"/>
  <c r="P379" i="37" s="1"/>
  <c r="J627" i="37"/>
  <c r="N627" i="37" s="1"/>
  <c r="K405" i="37"/>
  <c r="K653" i="37"/>
  <c r="J395" i="37"/>
  <c r="AE395" i="37" s="1"/>
  <c r="J643" i="37"/>
  <c r="R643" i="37" s="1"/>
  <c r="J480" i="37"/>
  <c r="P480" i="37" s="1"/>
  <c r="J728" i="37"/>
  <c r="N728" i="37" s="1"/>
  <c r="J464" i="37"/>
  <c r="Y464" i="37" s="1"/>
  <c r="J712" i="37"/>
  <c r="N712" i="37" s="1"/>
  <c r="K531" i="37"/>
  <c r="K320" i="37"/>
  <c r="K568" i="37"/>
  <c r="K343" i="37"/>
  <c r="K591" i="37"/>
  <c r="K365" i="37"/>
  <c r="N365" i="37" s="1"/>
  <c r="K613" i="37"/>
  <c r="K381" i="37"/>
  <c r="K629" i="37"/>
  <c r="K397" i="37"/>
  <c r="K645" i="37"/>
  <c r="K415" i="37"/>
  <c r="N415" i="37" s="1"/>
  <c r="K663" i="37"/>
  <c r="K422" i="37"/>
  <c r="K670" i="37"/>
  <c r="K426" i="37"/>
  <c r="K674" i="37"/>
  <c r="K445" i="37"/>
  <c r="N445" i="37" s="1"/>
  <c r="K693" i="37"/>
  <c r="J463" i="37"/>
  <c r="AA463" i="37" s="1"/>
  <c r="J711" i="37"/>
  <c r="N711" i="37" s="1"/>
  <c r="K481" i="37"/>
  <c r="K729" i="37"/>
  <c r="K326" i="37"/>
  <c r="K574" i="37"/>
  <c r="K366" i="37"/>
  <c r="N366" i="37" s="1"/>
  <c r="K614" i="37"/>
  <c r="K392" i="37"/>
  <c r="K640" i="37"/>
  <c r="K432" i="37"/>
  <c r="K680" i="37"/>
  <c r="K495" i="37"/>
  <c r="N495" i="37" s="1"/>
  <c r="K743" i="37"/>
  <c r="K323" i="37"/>
  <c r="K571" i="37"/>
  <c r="K330" i="37"/>
  <c r="K578" i="37"/>
  <c r="K340" i="37"/>
  <c r="K588" i="37"/>
  <c r="K350" i="37"/>
  <c r="N350" i="37" s="1"/>
  <c r="K598" i="37"/>
  <c r="K364" i="37"/>
  <c r="N364" i="37" s="1"/>
  <c r="K612" i="37"/>
  <c r="K380" i="37"/>
  <c r="K628" i="37"/>
  <c r="K400" i="37"/>
  <c r="K648" i="37"/>
  <c r="K413" i="37"/>
  <c r="N413" i="37" s="1"/>
  <c r="K661" i="37"/>
  <c r="K434" i="37"/>
  <c r="K682" i="37"/>
  <c r="K448" i="37"/>
  <c r="K696" i="37"/>
  <c r="K462" i="37"/>
  <c r="N462" i="37" s="1"/>
  <c r="K710" i="37"/>
  <c r="K480" i="37"/>
  <c r="K728" i="37"/>
  <c r="K493" i="37"/>
  <c r="K741" i="37"/>
  <c r="K386" i="37"/>
  <c r="N386" i="37" s="1"/>
  <c r="K634" i="37"/>
  <c r="K436" i="37"/>
  <c r="K684" i="37"/>
  <c r="K491" i="37"/>
  <c r="N491" i="37" s="1"/>
  <c r="K739" i="37"/>
  <c r="K313" i="37"/>
  <c r="K561" i="37"/>
  <c r="K333" i="37"/>
  <c r="K581" i="37"/>
  <c r="K355" i="37"/>
  <c r="N355" i="37" s="1"/>
  <c r="K603" i="37"/>
  <c r="K375" i="37"/>
  <c r="N375" i="37" s="1"/>
  <c r="K623" i="37"/>
  <c r="K394" i="37"/>
  <c r="N394" i="37" s="1"/>
  <c r="K642" i="37"/>
  <c r="K411" i="37"/>
  <c r="K659" i="37"/>
  <c r="K438" i="37"/>
  <c r="N438" i="37" s="1"/>
  <c r="K686" i="37"/>
  <c r="K456" i="37"/>
  <c r="K704" i="37"/>
  <c r="K470" i="37"/>
  <c r="N470" i="37" s="1"/>
  <c r="K718" i="37"/>
  <c r="K483" i="37"/>
  <c r="N483" i="37" s="1"/>
  <c r="K731" i="37"/>
  <c r="K352" i="37"/>
  <c r="K600" i="37"/>
  <c r="K362" i="37"/>
  <c r="N362" i="37" s="1"/>
  <c r="K610" i="37"/>
  <c r="K393" i="37"/>
  <c r="K641" i="37"/>
  <c r="K446" i="37"/>
  <c r="K694" i="37"/>
  <c r="K482" i="37"/>
  <c r="K730" i="37"/>
  <c r="K497" i="37"/>
  <c r="K745" i="37"/>
  <c r="J422" i="37"/>
  <c r="P422" i="37" s="1"/>
  <c r="J670" i="37"/>
  <c r="Z670" i="37" s="1"/>
  <c r="K498" i="37"/>
  <c r="N498" i="37" s="1"/>
  <c r="K746" i="37"/>
  <c r="K335" i="37"/>
  <c r="K583" i="37"/>
  <c r="J438" i="37"/>
  <c r="P438" i="37" s="1"/>
  <c r="J686" i="37"/>
  <c r="N686" i="37" s="1"/>
  <c r="J381" i="37"/>
  <c r="Z381" i="37" s="1"/>
  <c r="J629" i="37"/>
  <c r="J322" i="37"/>
  <c r="J570" i="37"/>
  <c r="N570" i="37" s="1"/>
  <c r="J386" i="37"/>
  <c r="S386" i="37" s="1"/>
  <c r="J634" i="37"/>
  <c r="X634" i="37" s="1"/>
  <c r="J444" i="37"/>
  <c r="S444" i="37" s="1"/>
  <c r="J692" i="37"/>
  <c r="N692" i="37" s="1"/>
  <c r="J470" i="37"/>
  <c r="P470" i="37" s="1"/>
  <c r="J718" i="37"/>
  <c r="N718" i="37" s="1"/>
  <c r="J503" i="37"/>
  <c r="P503" i="37" s="1"/>
  <c r="J751" i="37"/>
  <c r="N751" i="37" s="1"/>
  <c r="J437" i="37"/>
  <c r="S437" i="37" s="1"/>
  <c r="J685" i="37"/>
  <c r="J504" i="37"/>
  <c r="P504" i="37" s="1"/>
  <c r="J752" i="37"/>
  <c r="N752" i="37" s="1"/>
  <c r="J325" i="37"/>
  <c r="J573" i="37"/>
  <c r="N573" i="37" s="1"/>
  <c r="J488" i="37"/>
  <c r="P488" i="37" s="1"/>
  <c r="J736" i="37"/>
  <c r="N736" i="37" s="1"/>
  <c r="J364" i="37"/>
  <c r="AH364" i="37" s="1"/>
  <c r="J612" i="37"/>
  <c r="S612" i="37" s="1"/>
  <c r="J343" i="37"/>
  <c r="Y343" i="37" s="1"/>
  <c r="J591" i="37"/>
  <c r="N591" i="37" s="1"/>
  <c r="J475" i="37"/>
  <c r="J723" i="37"/>
  <c r="N723" i="37" s="1"/>
  <c r="J388" i="37"/>
  <c r="J636" i="37"/>
  <c r="J362" i="37"/>
  <c r="J610" i="37"/>
  <c r="J502" i="37"/>
  <c r="P502" i="37" s="1"/>
  <c r="J750" i="37"/>
  <c r="N750" i="37" s="1"/>
  <c r="J408" i="37"/>
  <c r="AF408" i="37" s="1"/>
  <c r="J656" i="37"/>
  <c r="X656" i="37" s="1"/>
  <c r="J492" i="37"/>
  <c r="P492" i="37" s="1"/>
  <c r="J740" i="37"/>
  <c r="N740" i="37" s="1"/>
  <c r="J321" i="37"/>
  <c r="P321" i="37" s="1"/>
  <c r="J569" i="37"/>
  <c r="J363" i="37"/>
  <c r="U363" i="37" s="1"/>
  <c r="J611" i="37"/>
  <c r="J385" i="37"/>
  <c r="AG385" i="37" s="1"/>
  <c r="J633" i="37"/>
  <c r="Z633" i="37" s="1"/>
  <c r="J367" i="37"/>
  <c r="AA367" i="37" s="1"/>
  <c r="J615" i="37"/>
  <c r="K501" i="37"/>
  <c r="K749" i="37"/>
  <c r="J368" i="37"/>
  <c r="J616" i="37"/>
  <c r="P616" i="37" s="1"/>
  <c r="J370" i="37"/>
  <c r="J618" i="37"/>
  <c r="N618" i="37" s="1"/>
  <c r="J403" i="37"/>
  <c r="AA403" i="37" s="1"/>
  <c r="J651" i="37"/>
  <c r="P651" i="37" s="1"/>
  <c r="K373" i="37"/>
  <c r="N373" i="37" s="1"/>
  <c r="K621" i="37"/>
  <c r="J405" i="37"/>
  <c r="AG405" i="37" s="1"/>
  <c r="J653" i="37"/>
  <c r="K435" i="37"/>
  <c r="K683" i="37"/>
  <c r="K490" i="37"/>
  <c r="K738" i="37"/>
  <c r="K382" i="37"/>
  <c r="K630" i="37"/>
  <c r="K318" i="37"/>
  <c r="K566" i="37"/>
  <c r="J335" i="37"/>
  <c r="P335" i="37" s="1"/>
  <c r="J583" i="37"/>
  <c r="N583" i="37" s="1"/>
  <c r="K357" i="37"/>
  <c r="K605" i="37"/>
  <c r="K408" i="37"/>
  <c r="K656" i="37"/>
  <c r="K440" i="37"/>
  <c r="K688" i="37"/>
  <c r="K321" i="37"/>
  <c r="K569" i="37"/>
  <c r="K345" i="37"/>
  <c r="N345" i="37" s="1"/>
  <c r="K593" i="37"/>
  <c r="K367" i="37"/>
  <c r="N367" i="37" s="1"/>
  <c r="K615" i="37"/>
  <c r="J428" i="37"/>
  <c r="AE428" i="37" s="1"/>
  <c r="J676" i="37"/>
  <c r="K312" i="37"/>
  <c r="K560" i="37"/>
  <c r="K455" i="37"/>
  <c r="N455" i="37" s="1"/>
  <c r="K703" i="37"/>
  <c r="J339" i="37"/>
  <c r="P339" i="37" s="1"/>
  <c r="J587" i="37"/>
  <c r="J361" i="37"/>
  <c r="J609" i="37"/>
  <c r="N609" i="37" s="1"/>
  <c r="Y667" i="37"/>
  <c r="J336" i="37"/>
  <c r="V336" i="37" s="1"/>
  <c r="J584" i="37"/>
  <c r="J365" i="37"/>
  <c r="AE365" i="37" s="1"/>
  <c r="J613" i="37"/>
  <c r="N613" i="37" s="1"/>
  <c r="J400" i="37"/>
  <c r="V400" i="37" s="1"/>
  <c r="J648" i="37"/>
  <c r="X648" i="37" s="1"/>
  <c r="J347" i="37"/>
  <c r="V347" i="37" s="1"/>
  <c r="J595" i="37"/>
  <c r="N595" i="37" s="1"/>
  <c r="J401" i="37"/>
  <c r="S401" i="37" s="1"/>
  <c r="J649" i="37"/>
  <c r="Z649" i="37" s="1"/>
  <c r="J351" i="37"/>
  <c r="U351" i="37" s="1"/>
  <c r="J599" i="37"/>
  <c r="N599" i="37" s="1"/>
  <c r="J505" i="37"/>
  <c r="P505" i="37" s="1"/>
  <c r="J753" i="37"/>
  <c r="N753" i="37" s="1"/>
  <c r="J460" i="37"/>
  <c r="P460" i="37" s="1"/>
  <c r="J708" i="37"/>
  <c r="N708" i="37" s="1"/>
  <c r="J366" i="37"/>
  <c r="R366" i="37" s="1"/>
  <c r="J614" i="37"/>
  <c r="S614" i="37" s="1"/>
  <c r="J513" i="37"/>
  <c r="P513" i="37" s="1"/>
  <c r="J375" i="37"/>
  <c r="P375" i="37" s="1"/>
  <c r="J623" i="37"/>
  <c r="N623" i="37" s="1"/>
  <c r="J433" i="37"/>
  <c r="P433" i="37" s="1"/>
  <c r="J681" i="37"/>
  <c r="N681" i="37" s="1"/>
  <c r="J332" i="37"/>
  <c r="P332" i="37" s="1"/>
  <c r="J580" i="37"/>
  <c r="N580" i="37" s="1"/>
  <c r="J397" i="37"/>
  <c r="AF397" i="37" s="1"/>
  <c r="J645" i="37"/>
  <c r="K428" i="37"/>
  <c r="K676" i="37"/>
  <c r="J435" i="37"/>
  <c r="AG435" i="37" s="1"/>
  <c r="J683" i="37"/>
  <c r="J324" i="37"/>
  <c r="P324" i="37" s="1"/>
  <c r="J572" i="37"/>
  <c r="N572" i="37" s="1"/>
  <c r="K377" i="37"/>
  <c r="K625" i="37"/>
  <c r="K396" i="37"/>
  <c r="N396" i="37" s="1"/>
  <c r="K644" i="37"/>
  <c r="K441" i="37"/>
  <c r="K689" i="37"/>
  <c r="J477" i="37"/>
  <c r="P477" i="37" s="1"/>
  <c r="J725" i="37"/>
  <c r="N725" i="37" s="1"/>
  <c r="K353" i="37"/>
  <c r="K601" i="37"/>
  <c r="J431" i="37"/>
  <c r="P431" i="37" s="1"/>
  <c r="J679" i="37"/>
  <c r="N679" i="37" s="1"/>
  <c r="K329" i="37"/>
  <c r="K577" i="37"/>
  <c r="K358" i="37"/>
  <c r="N358" i="37" s="1"/>
  <c r="K606" i="37"/>
  <c r="J406" i="37"/>
  <c r="AD406" i="37" s="1"/>
  <c r="J654" i="37"/>
  <c r="P654" i="37" s="1"/>
  <c r="J320" i="37"/>
  <c r="P320" i="37" s="1"/>
  <c r="J568" i="37"/>
  <c r="N568" i="37" s="1"/>
  <c r="J512" i="37"/>
  <c r="P512" i="37" s="1"/>
  <c r="J432" i="37"/>
  <c r="J680" i="37"/>
  <c r="J499" i="37"/>
  <c r="P499" i="37" s="1"/>
  <c r="J747" i="37"/>
  <c r="N747" i="37" s="1"/>
  <c r="J525" i="37"/>
  <c r="P525" i="37" s="1"/>
  <c r="J417" i="37"/>
  <c r="U417" i="37" s="1"/>
  <c r="J665" i="37"/>
  <c r="J462" i="37"/>
  <c r="P462" i="37" s="1"/>
  <c r="J710" i="37"/>
  <c r="N710" i="37" s="1"/>
  <c r="J350" i="37"/>
  <c r="P350" i="37" s="1"/>
  <c r="J598" i="37"/>
  <c r="N598" i="37" s="1"/>
  <c r="J372" i="37"/>
  <c r="U372" i="37" s="1"/>
  <c r="J620" i="37"/>
  <c r="Z620" i="37" s="1"/>
  <c r="J414" i="37"/>
  <c r="P414" i="37" s="1"/>
  <c r="J662" i="37"/>
  <c r="N662" i="37" s="1"/>
  <c r="K457" i="37"/>
  <c r="K705" i="37"/>
  <c r="J491" i="37"/>
  <c r="P491" i="37" s="1"/>
  <c r="J739" i="37"/>
  <c r="N739" i="37" s="1"/>
  <c r="K399" i="37"/>
  <c r="K647" i="37"/>
  <c r="J377" i="37"/>
  <c r="P377" i="37" s="1"/>
  <c r="J625" i="37"/>
  <c r="N625" i="37" s="1"/>
  <c r="J378" i="37"/>
  <c r="AB378" i="37" s="1"/>
  <c r="J626" i="37"/>
  <c r="Q626" i="37" s="1"/>
  <c r="J371" i="37"/>
  <c r="P371" i="37" s="1"/>
  <c r="J619" i="37"/>
  <c r="N619" i="37" s="1"/>
  <c r="J355" i="37"/>
  <c r="J603" i="37"/>
  <c r="R603" i="37" s="1"/>
  <c r="J317" i="37"/>
  <c r="J565" i="37"/>
  <c r="N565" i="37" s="1"/>
  <c r="J511" i="37"/>
  <c r="P511" i="37" s="1"/>
  <c r="J326" i="37"/>
  <c r="R326" i="37" s="1"/>
  <c r="J574" i="37"/>
  <c r="N574" i="37" s="1"/>
  <c r="J346" i="37"/>
  <c r="P346" i="37" s="1"/>
  <c r="J594" i="37"/>
  <c r="N594" i="37" s="1"/>
  <c r="J453" i="37"/>
  <c r="AA453" i="37" s="1"/>
  <c r="J701" i="37"/>
  <c r="J313" i="37"/>
  <c r="P313" i="37" s="1"/>
  <c r="J561" i="37"/>
  <c r="N561" i="37" s="1"/>
  <c r="K472" i="37"/>
  <c r="K720" i="37"/>
  <c r="J442" i="37"/>
  <c r="Z442" i="37" s="1"/>
  <c r="J690" i="37"/>
  <c r="N690" i="37" s="1"/>
  <c r="J454" i="37"/>
  <c r="X454" i="37" s="1"/>
  <c r="J702" i="37"/>
  <c r="N702" i="37" s="1"/>
  <c r="J426" i="37"/>
  <c r="J674" i="37"/>
  <c r="J451" i="37"/>
  <c r="J699" i="37"/>
  <c r="N699" i="37" s="1"/>
  <c r="J344" i="37"/>
  <c r="J592" i="37"/>
  <c r="N592" i="37" s="1"/>
  <c r="J389" i="37"/>
  <c r="Z389" i="37" s="1"/>
  <c r="J637" i="37"/>
  <c r="N637" i="37" s="1"/>
  <c r="J515" i="37"/>
  <c r="P515" i="37" s="1"/>
  <c r="J507" i="37"/>
  <c r="P507" i="37" s="1"/>
  <c r="J755" i="37"/>
  <c r="J393" i="37"/>
  <c r="P393" i="37" s="1"/>
  <c r="J641" i="37"/>
  <c r="N641" i="37" s="1"/>
  <c r="J530" i="37"/>
  <c r="P530" i="37" s="1"/>
  <c r="J404" i="37"/>
  <c r="J652" i="37"/>
  <c r="N652" i="37" s="1"/>
  <c r="J527" i="37"/>
  <c r="P527" i="37" s="1"/>
  <c r="J494" i="37"/>
  <c r="P494" i="37" s="1"/>
  <c r="J742" i="37"/>
  <c r="N742" i="37" s="1"/>
  <c r="J369" i="37"/>
  <c r="P369" i="37" s="1"/>
  <c r="J617" i="37"/>
  <c r="N617" i="37" s="1"/>
  <c r="J481" i="37"/>
  <c r="J729" i="37"/>
  <c r="N729" i="37" s="1"/>
  <c r="J345" i="37"/>
  <c r="P345" i="37" s="1"/>
  <c r="J593" i="37"/>
  <c r="N593" i="37" s="1"/>
  <c r="K532" i="37"/>
  <c r="K325" i="37"/>
  <c r="K573" i="37"/>
  <c r="K347" i="37"/>
  <c r="K595" i="37"/>
  <c r="K369" i="37"/>
  <c r="K617" i="37"/>
  <c r="K385" i="37"/>
  <c r="K633" i="37"/>
  <c r="K401" i="37"/>
  <c r="K649" i="37"/>
  <c r="K416" i="37"/>
  <c r="K664" i="37"/>
  <c r="K423" i="37"/>
  <c r="N423" i="37" s="1"/>
  <c r="K671" i="37"/>
  <c r="K430" i="37"/>
  <c r="K678" i="37"/>
  <c r="K449" i="37"/>
  <c r="N449" i="37" s="1"/>
  <c r="K697" i="37"/>
  <c r="K467" i="37"/>
  <c r="K715" i="37"/>
  <c r="K486" i="37"/>
  <c r="N486" i="37" s="1"/>
  <c r="K734" i="37"/>
  <c r="K344" i="37"/>
  <c r="K592" i="37"/>
  <c r="K370" i="37"/>
  <c r="N370" i="37" s="1"/>
  <c r="K618" i="37"/>
  <c r="K402" i="37"/>
  <c r="N402" i="37" s="1"/>
  <c r="K650" i="37"/>
  <c r="K437" i="37"/>
  <c r="N437" i="37" s="1"/>
  <c r="K685" i="37"/>
  <c r="K529" i="37"/>
  <c r="K314" i="37"/>
  <c r="K562" i="37"/>
  <c r="K324" i="37"/>
  <c r="K572" i="37"/>
  <c r="K334" i="37"/>
  <c r="K582" i="37"/>
  <c r="K341" i="37"/>
  <c r="K589" i="37"/>
  <c r="K356" i="37"/>
  <c r="K604" i="37"/>
  <c r="K368" i="37"/>
  <c r="N368" i="37" s="1"/>
  <c r="K616" i="37"/>
  <c r="K384" i="37"/>
  <c r="N384" i="37" s="1"/>
  <c r="K632" i="37"/>
  <c r="K404" i="37"/>
  <c r="K652" i="37"/>
  <c r="K414" i="37"/>
  <c r="K662" i="37"/>
  <c r="K439" i="37"/>
  <c r="N439" i="37" s="1"/>
  <c r="K687" i="37"/>
  <c r="K453" i="37"/>
  <c r="K701" i="37"/>
  <c r="K466" i="37"/>
  <c r="N466" i="37" s="1"/>
  <c r="K714" i="37"/>
  <c r="K484" i="37"/>
  <c r="N484" i="37" s="1"/>
  <c r="K732" i="37"/>
  <c r="K310" i="37"/>
  <c r="N310" i="37" s="1"/>
  <c r="K558" i="37"/>
  <c r="K406" i="37"/>
  <c r="N406" i="37" s="1"/>
  <c r="K654" i="37"/>
  <c r="K459" i="37"/>
  <c r="N459" i="37" s="1"/>
  <c r="K707" i="37"/>
  <c r="K496" i="37"/>
  <c r="K744" i="37"/>
  <c r="K317" i="37"/>
  <c r="N317" i="37" s="1"/>
  <c r="K565" i="37"/>
  <c r="K338" i="37"/>
  <c r="K586" i="37"/>
  <c r="K363" i="37"/>
  <c r="N363" i="37" s="1"/>
  <c r="K611" i="37"/>
  <c r="K379" i="37"/>
  <c r="N379" i="37" s="1"/>
  <c r="K627" i="37"/>
  <c r="J399" i="37"/>
  <c r="P399" i="37" s="1"/>
  <c r="J647" i="37"/>
  <c r="K418" i="37"/>
  <c r="N418" i="37" s="1"/>
  <c r="K666" i="37"/>
  <c r="J443" i="37"/>
  <c r="J691" i="37"/>
  <c r="K460" i="37"/>
  <c r="K708" i="37"/>
  <c r="K474" i="37"/>
  <c r="K722" i="37"/>
  <c r="K488" i="37"/>
  <c r="K736" i="37"/>
  <c r="K354" i="37"/>
  <c r="K602" i="37"/>
  <c r="K374" i="37"/>
  <c r="N374" i="37" s="1"/>
  <c r="K622" i="37"/>
  <c r="K398" i="37"/>
  <c r="K646" i="37"/>
  <c r="K450" i="37"/>
  <c r="N450" i="37" s="1"/>
  <c r="K698" i="37"/>
  <c r="K487" i="37"/>
  <c r="K735" i="37"/>
  <c r="J421" i="37"/>
  <c r="AB421" i="37" s="1"/>
  <c r="J669" i="37"/>
  <c r="N669" i="37" s="1"/>
  <c r="T638" i="37"/>
  <c r="J310" i="37"/>
  <c r="AE310" i="37" s="1"/>
  <c r="J558" i="37"/>
  <c r="N558" i="37" s="1"/>
  <c r="J311" i="37"/>
  <c r="J559" i="37"/>
  <c r="N559" i="37" s="1"/>
  <c r="J420" i="37"/>
  <c r="J668" i="37"/>
  <c r="N668" i="37" s="1"/>
  <c r="J353" i="37"/>
  <c r="U353" i="37" s="1"/>
  <c r="J601" i="37"/>
  <c r="N601" i="37" s="1"/>
  <c r="J423" i="37"/>
  <c r="P423" i="37" s="1"/>
  <c r="J671" i="37"/>
  <c r="N671" i="37" s="1"/>
  <c r="J391" i="37"/>
  <c r="AD391" i="37" s="1"/>
  <c r="J639" i="37"/>
  <c r="S639" i="37" s="1"/>
  <c r="J328" i="37"/>
  <c r="J576" i="37"/>
  <c r="N576" i="37" s="1"/>
  <c r="J526" i="37"/>
  <c r="P526" i="37" s="1"/>
  <c r="J413" i="37"/>
  <c r="AF413" i="37" s="1"/>
  <c r="J661" i="37"/>
  <c r="N661" i="37" s="1"/>
  <c r="J356" i="37"/>
  <c r="AE356" i="37" s="1"/>
  <c r="J604" i="37"/>
  <c r="N604" i="37" s="1"/>
  <c r="J484" i="37"/>
  <c r="P484" i="37" s="1"/>
  <c r="J732" i="37"/>
  <c r="N732" i="37" s="1"/>
  <c r="J424" i="37"/>
  <c r="P424" i="37" s="1"/>
  <c r="J672" i="37"/>
  <c r="N672" i="37" s="1"/>
  <c r="J334" i="37"/>
  <c r="P334" i="37" s="1"/>
  <c r="J582" i="37"/>
  <c r="J341" i="37"/>
  <c r="T341" i="37" s="1"/>
  <c r="J589" i="37"/>
  <c r="N589" i="37" s="1"/>
  <c r="J392" i="37"/>
  <c r="P392" i="37" s="1"/>
  <c r="J640" i="37"/>
  <c r="J509" i="37"/>
  <c r="P509" i="37" s="1"/>
  <c r="J757" i="37"/>
  <c r="N757" i="37" s="1"/>
  <c r="J329" i="37"/>
  <c r="P329" i="37" s="1"/>
  <c r="J577" i="37"/>
  <c r="N577" i="37" s="1"/>
  <c r="J412" i="37"/>
  <c r="P412" i="37" s="1"/>
  <c r="J660" i="37"/>
  <c r="N660" i="37" s="1"/>
  <c r="J495" i="37"/>
  <c r="P495" i="37" s="1"/>
  <c r="J743" i="37"/>
  <c r="N743" i="37" s="1"/>
  <c r="J450" i="37"/>
  <c r="AG450" i="37" s="1"/>
  <c r="J698" i="37"/>
  <c r="N698" i="37" s="1"/>
  <c r="Y571" i="37"/>
  <c r="Z571" i="37"/>
  <c r="R571" i="37"/>
  <c r="T571" i="37"/>
  <c r="B491" i="40" l="1"/>
  <c r="B209" i="65"/>
  <c r="Q797" i="37"/>
  <c r="S797" i="37"/>
  <c r="T797" i="37"/>
  <c r="S390" i="37"/>
  <c r="AB390" i="37"/>
  <c r="Z390" i="37"/>
  <c r="AA390" i="37"/>
  <c r="P390" i="37"/>
  <c r="AE390" i="37"/>
  <c r="X390" i="37"/>
  <c r="V390" i="37"/>
  <c r="AD390" i="37"/>
  <c r="AH390" i="37"/>
  <c r="AG390" i="37"/>
  <c r="Y390" i="37"/>
  <c r="R390" i="37"/>
  <c r="AF390" i="37"/>
  <c r="U390" i="37"/>
  <c r="R761" i="37"/>
  <c r="U520" i="37"/>
  <c r="AB520" i="37"/>
  <c r="T446" i="37"/>
  <c r="AG520" i="37"/>
  <c r="X373" i="37"/>
  <c r="AA520" i="37"/>
  <c r="V520" i="37"/>
  <c r="P520" i="37"/>
  <c r="AF323" i="37"/>
  <c r="V485" i="37"/>
  <c r="AA458" i="37"/>
  <c r="AB316" i="37"/>
  <c r="Z418" i="37"/>
  <c r="P780" i="37"/>
  <c r="V780" i="37" s="1"/>
  <c r="V479" i="37"/>
  <c r="T780" i="37"/>
  <c r="AB352" i="37"/>
  <c r="AF446" i="37"/>
  <c r="AH405" i="37"/>
  <c r="V538" i="37"/>
  <c r="X659" i="37"/>
  <c r="AA323" i="37"/>
  <c r="AF465" i="37"/>
  <c r="AE323" i="37"/>
  <c r="S323" i="37"/>
  <c r="AF455" i="37"/>
  <c r="Y323" i="37"/>
  <c r="AG455" i="37"/>
  <c r="R749" i="37"/>
  <c r="Y358" i="37"/>
  <c r="T455" i="37"/>
  <c r="Z465" i="37"/>
  <c r="U455" i="37"/>
  <c r="P749" i="37"/>
  <c r="V749" i="37" s="1"/>
  <c r="S749" i="37"/>
  <c r="T421" i="37"/>
  <c r="AD323" i="37"/>
  <c r="AD310" i="37"/>
  <c r="U411" i="37"/>
  <c r="X316" i="37"/>
  <c r="X418" i="37"/>
  <c r="AF466" i="37"/>
  <c r="AE380" i="37"/>
  <c r="V670" i="37"/>
  <c r="R310" i="37"/>
  <c r="S315" i="37"/>
  <c r="AE418" i="37"/>
  <c r="Y416" i="37"/>
  <c r="R384" i="37"/>
  <c r="AE348" i="37"/>
  <c r="AB323" i="37"/>
  <c r="P323" i="37"/>
  <c r="AH423" i="37"/>
  <c r="AD348" i="37"/>
  <c r="AH316" i="37"/>
  <c r="V411" i="37"/>
  <c r="X395" i="37"/>
  <c r="T348" i="37"/>
  <c r="R323" i="37"/>
  <c r="AH323" i="37"/>
  <c r="X323" i="37"/>
  <c r="U323" i="37"/>
  <c r="T323" i="37"/>
  <c r="V323" i="37"/>
  <c r="AG323" i="37"/>
  <c r="S792" i="37"/>
  <c r="S455" i="37"/>
  <c r="Z324" i="37"/>
  <c r="Y465" i="37"/>
  <c r="AB538" i="37"/>
  <c r="AH457" i="37"/>
  <c r="AE455" i="37"/>
  <c r="AD455" i="37"/>
  <c r="R538" i="37"/>
  <c r="X455" i="37"/>
  <c r="Z455" i="37"/>
  <c r="Z364" i="37"/>
  <c r="AF457" i="37"/>
  <c r="AH455" i="37"/>
  <c r="AB455" i="37"/>
  <c r="AE369" i="37"/>
  <c r="V631" i="37"/>
  <c r="T778" i="37"/>
  <c r="R398" i="37"/>
  <c r="R778" i="37"/>
  <c r="Q778" i="37"/>
  <c r="W778" i="37" s="1"/>
  <c r="R349" i="37"/>
  <c r="S778" i="37"/>
  <c r="T354" i="37"/>
  <c r="S310" i="37"/>
  <c r="X423" i="37"/>
  <c r="S435" i="37"/>
  <c r="X596" i="37"/>
  <c r="S423" i="37"/>
  <c r="AD343" i="37"/>
  <c r="AA310" i="37"/>
  <c r="AA405" i="37"/>
  <c r="Z463" i="37"/>
  <c r="AH310" i="37"/>
  <c r="U310" i="37"/>
  <c r="R423" i="37"/>
  <c r="R421" i="37"/>
  <c r="T428" i="37"/>
  <c r="X405" i="37"/>
  <c r="V343" i="37"/>
  <c r="AF310" i="37"/>
  <c r="V310" i="37"/>
  <c r="AG423" i="37"/>
  <c r="AH401" i="37"/>
  <c r="Z378" i="37"/>
  <c r="AB386" i="37"/>
  <c r="AH371" i="37"/>
  <c r="AB432" i="37"/>
  <c r="R432" i="37"/>
  <c r="AE434" i="37"/>
  <c r="AB434" i="37"/>
  <c r="AA333" i="37"/>
  <c r="AD333" i="37"/>
  <c r="S333" i="37"/>
  <c r="AG342" i="37"/>
  <c r="Z342" i="37"/>
  <c r="X452" i="37"/>
  <c r="Z452" i="37"/>
  <c r="T427" i="37"/>
  <c r="R427" i="37"/>
  <c r="Z440" i="37"/>
  <c r="T440" i="37"/>
  <c r="AD349" i="37"/>
  <c r="AA349" i="37"/>
  <c r="Y383" i="37"/>
  <c r="R383" i="37"/>
  <c r="AG383" i="37"/>
  <c r="P441" i="37"/>
  <c r="X441" i="37"/>
  <c r="Q773" i="37"/>
  <c r="S773" i="37"/>
  <c r="P773" i="37"/>
  <c r="V773" i="37" s="1"/>
  <c r="AG523" i="37"/>
  <c r="AB523" i="37"/>
  <c r="S354" i="37"/>
  <c r="AH330" i="37"/>
  <c r="V452" i="37"/>
  <c r="AG427" i="37"/>
  <c r="AB467" i="37"/>
  <c r="AG349" i="37"/>
  <c r="U421" i="37"/>
  <c r="AD421" i="37"/>
  <c r="U355" i="37"/>
  <c r="Z355" i="37"/>
  <c r="AA435" i="37"/>
  <c r="AF435" i="37"/>
  <c r="U435" i="37"/>
  <c r="T397" i="37"/>
  <c r="Z397" i="37"/>
  <c r="Z428" i="37"/>
  <c r="AG428" i="37"/>
  <c r="U428" i="37"/>
  <c r="Y405" i="37"/>
  <c r="R405" i="37"/>
  <c r="T405" i="37"/>
  <c r="Z403" i="37"/>
  <c r="V403" i="37"/>
  <c r="AA368" i="37"/>
  <c r="AB368" i="37"/>
  <c r="V367" i="37"/>
  <c r="Z367" i="37"/>
  <c r="AH363" i="37"/>
  <c r="S363" i="37"/>
  <c r="Z363" i="37"/>
  <c r="V388" i="37"/>
  <c r="S388" i="37"/>
  <c r="Y388" i="37"/>
  <c r="T388" i="37"/>
  <c r="V444" i="37"/>
  <c r="X444" i="37"/>
  <c r="U444" i="37"/>
  <c r="AB444" i="37"/>
  <c r="AB322" i="37"/>
  <c r="AH322" i="37"/>
  <c r="P630" i="37"/>
  <c r="Z630" i="37"/>
  <c r="V666" i="37"/>
  <c r="X666" i="37"/>
  <c r="P485" i="37"/>
  <c r="AB485" i="37"/>
  <c r="Y722" i="37"/>
  <c r="T722" i="37"/>
  <c r="U436" i="37"/>
  <c r="AA436" i="37"/>
  <c r="Z436" i="37"/>
  <c r="Z458" i="37"/>
  <c r="V458" i="37"/>
  <c r="AB458" i="37"/>
  <c r="T458" i="37"/>
  <c r="S458" i="37"/>
  <c r="AE458" i="37"/>
  <c r="AH446" i="37"/>
  <c r="AB446" i="37"/>
  <c r="AA446" i="37"/>
  <c r="AE446" i="37"/>
  <c r="N765" i="37"/>
  <c r="Q765" i="37" s="1"/>
  <c r="Z765" i="37"/>
  <c r="AH529" i="37"/>
  <c r="T762" i="37"/>
  <c r="S762" i="37"/>
  <c r="Q762" i="37"/>
  <c r="AG421" i="37"/>
  <c r="AB441" i="37"/>
  <c r="AB428" i="37"/>
  <c r="AB342" i="37"/>
  <c r="R322" i="37"/>
  <c r="AF428" i="37"/>
  <c r="AB405" i="37"/>
  <c r="R435" i="37"/>
  <c r="AD452" i="37"/>
  <c r="AB397" i="37"/>
  <c r="Y440" i="37"/>
  <c r="U458" i="37"/>
  <c r="V467" i="37"/>
  <c r="V446" i="37"/>
  <c r="U446" i="37"/>
  <c r="AF403" i="37"/>
  <c r="V363" i="37"/>
  <c r="Y463" i="37"/>
  <c r="S436" i="37"/>
  <c r="AH469" i="37"/>
  <c r="T773" i="37"/>
  <c r="AA421" i="37"/>
  <c r="AH463" i="37"/>
  <c r="AD445" i="37"/>
  <c r="U367" i="37"/>
  <c r="V333" i="37"/>
  <c r="V428" i="37"/>
  <c r="R428" i="37"/>
  <c r="AD405" i="37"/>
  <c r="AB331" i="37"/>
  <c r="S452" i="37"/>
  <c r="S427" i="37"/>
  <c r="AF440" i="37"/>
  <c r="AD458" i="37"/>
  <c r="AG446" i="37"/>
  <c r="AD441" i="37"/>
  <c r="AG403" i="37"/>
  <c r="AA388" i="37"/>
  <c r="AA459" i="37"/>
  <c r="Y322" i="37"/>
  <c r="X436" i="37"/>
  <c r="AF357" i="37"/>
  <c r="V659" i="37"/>
  <c r="R642" i="37"/>
  <c r="Z310" i="37"/>
  <c r="Y310" i="37"/>
  <c r="AF423" i="37"/>
  <c r="AA423" i="37"/>
  <c r="AH472" i="37"/>
  <c r="S316" i="37"/>
  <c r="AF418" i="37"/>
  <c r="Y366" i="37"/>
  <c r="AE416" i="37"/>
  <c r="AG476" i="37"/>
  <c r="Y394" i="37"/>
  <c r="Q749" i="37"/>
  <c r="S765" i="37"/>
  <c r="AH523" i="37"/>
  <c r="AA523" i="37"/>
  <c r="U393" i="37"/>
  <c r="X351" i="37"/>
  <c r="S432" i="37"/>
  <c r="Q792" i="37"/>
  <c r="Y765" i="37"/>
  <c r="R759" i="37"/>
  <c r="P762" i="37"/>
  <c r="V762" i="37" s="1"/>
  <c r="S759" i="37"/>
  <c r="R762" i="37"/>
  <c r="V523" i="37"/>
  <c r="P523" i="37"/>
  <c r="U523" i="37"/>
  <c r="U460" i="37"/>
  <c r="AG310" i="37"/>
  <c r="AB310" i="37"/>
  <c r="X310" i="37"/>
  <c r="V423" i="37"/>
  <c r="Y423" i="37"/>
  <c r="AD423" i="37"/>
  <c r="AH421" i="37"/>
  <c r="AE383" i="37"/>
  <c r="U368" i="37"/>
  <c r="AF337" i="37"/>
  <c r="X428" i="37"/>
  <c r="AH428" i="37"/>
  <c r="U405" i="37"/>
  <c r="AF405" i="37"/>
  <c r="AE435" i="37"/>
  <c r="Y435" i="37"/>
  <c r="AB452" i="37"/>
  <c r="AE452" i="37"/>
  <c r="R397" i="37"/>
  <c r="Z427" i="37"/>
  <c r="AG440" i="37"/>
  <c r="AB358" i="37"/>
  <c r="AH467" i="37"/>
  <c r="T460" i="37"/>
  <c r="Y349" i="37"/>
  <c r="Z383" i="37"/>
  <c r="AF342" i="37"/>
  <c r="AG406" i="37"/>
  <c r="AB403" i="37"/>
  <c r="T368" i="37"/>
  <c r="AA343" i="37"/>
  <c r="Z444" i="37"/>
  <c r="U322" i="37"/>
  <c r="AG441" i="37"/>
  <c r="X363" i="37"/>
  <c r="AF463" i="37"/>
  <c r="R637" i="37"/>
  <c r="T792" i="37"/>
  <c r="T765" i="37"/>
  <c r="P792" i="37"/>
  <c r="V792" i="37" s="1"/>
  <c r="P759" i="37"/>
  <c r="V759" i="37" s="1"/>
  <c r="AB400" i="37"/>
  <c r="Z400" i="37"/>
  <c r="X359" i="37"/>
  <c r="Y359" i="37"/>
  <c r="AG374" i="37"/>
  <c r="S374" i="37"/>
  <c r="T374" i="37"/>
  <c r="V374" i="37"/>
  <c r="X382" i="37"/>
  <c r="AA382" i="37"/>
  <c r="R382" i="37"/>
  <c r="AB382" i="37"/>
  <c r="Z382" i="37"/>
  <c r="AF382" i="37"/>
  <c r="AB473" i="37"/>
  <c r="AG473" i="37"/>
  <c r="U473" i="37"/>
  <c r="U373" i="37"/>
  <c r="AF373" i="37"/>
  <c r="AA373" i="37"/>
  <c r="V373" i="37"/>
  <c r="R774" i="37"/>
  <c r="S774" i="37"/>
  <c r="R787" i="37"/>
  <c r="Q787" i="37"/>
  <c r="T787" i="37"/>
  <c r="AE410" i="37"/>
  <c r="R401" i="37"/>
  <c r="U327" i="37"/>
  <c r="V472" i="37"/>
  <c r="V316" i="37"/>
  <c r="V418" i="37"/>
  <c r="X416" i="37"/>
  <c r="T401" i="37"/>
  <c r="AF400" i="37"/>
  <c r="AG373" i="37"/>
  <c r="V348" i="37"/>
  <c r="S384" i="37"/>
  <c r="AF411" i="37"/>
  <c r="T380" i="37"/>
  <c r="AA395" i="37"/>
  <c r="AG348" i="37"/>
  <c r="S787" i="37"/>
  <c r="R776" i="37"/>
  <c r="Q776" i="37"/>
  <c r="P776" i="37"/>
  <c r="V776" i="37" s="1"/>
  <c r="P775" i="37"/>
  <c r="V775" i="37" s="1"/>
  <c r="S775" i="37"/>
  <c r="R775" i="37"/>
  <c r="Y421" i="37"/>
  <c r="S421" i="37"/>
  <c r="Z394" i="37"/>
  <c r="R359" i="37"/>
  <c r="AB327" i="37"/>
  <c r="AH336" i="37"/>
  <c r="Y428" i="37"/>
  <c r="S428" i="37"/>
  <c r="AA428" i="37"/>
  <c r="U472" i="37"/>
  <c r="AE405" i="37"/>
  <c r="S405" i="37"/>
  <c r="V405" i="37"/>
  <c r="AE316" i="37"/>
  <c r="Z316" i="37"/>
  <c r="U316" i="37"/>
  <c r="AH435" i="37"/>
  <c r="V435" i="37"/>
  <c r="U418" i="37"/>
  <c r="T418" i="37"/>
  <c r="AG418" i="37"/>
  <c r="Z366" i="37"/>
  <c r="AF416" i="37"/>
  <c r="AA416" i="37"/>
  <c r="AH476" i="37"/>
  <c r="AA401" i="37"/>
  <c r="R400" i="37"/>
  <c r="Y373" i="37"/>
  <c r="V359" i="37"/>
  <c r="S322" i="37"/>
  <c r="AH444" i="37"/>
  <c r="AH343" i="37"/>
  <c r="AE382" i="37"/>
  <c r="AH373" i="37"/>
  <c r="AD313" i="37"/>
  <c r="AF374" i="37"/>
  <c r="Y772" i="37"/>
  <c r="Q775" i="37"/>
  <c r="P538" i="37"/>
  <c r="Y538" i="37"/>
  <c r="X538" i="37"/>
  <c r="U538" i="37"/>
  <c r="T538" i="37"/>
  <c r="AA538" i="37"/>
  <c r="S538" i="37"/>
  <c r="S776" i="37"/>
  <c r="P344" i="37"/>
  <c r="AF344" i="37"/>
  <c r="P426" i="37"/>
  <c r="AA426" i="37"/>
  <c r="AB426" i="37"/>
  <c r="AE426" i="37"/>
  <c r="P442" i="37"/>
  <c r="AA442" i="37"/>
  <c r="AG336" i="37"/>
  <c r="T336" i="37"/>
  <c r="S336" i="37"/>
  <c r="AE464" i="37"/>
  <c r="AF464" i="37"/>
  <c r="U464" i="37"/>
  <c r="AG395" i="37"/>
  <c r="AD395" i="37"/>
  <c r="T395" i="37"/>
  <c r="AB395" i="37"/>
  <c r="AF395" i="37"/>
  <c r="U395" i="37"/>
  <c r="AH395" i="37"/>
  <c r="Y395" i="37"/>
  <c r="Z338" i="37"/>
  <c r="U338" i="37"/>
  <c r="S387" i="37"/>
  <c r="AD387" i="37"/>
  <c r="Y387" i="37"/>
  <c r="AG387" i="37"/>
  <c r="AF387" i="37"/>
  <c r="AA387" i="37"/>
  <c r="V312" i="37"/>
  <c r="S312" i="37"/>
  <c r="Y312" i="37"/>
  <c r="AA312" i="37"/>
  <c r="AD456" i="37"/>
  <c r="S456" i="37"/>
  <c r="AB456" i="37"/>
  <c r="R456" i="37"/>
  <c r="AE456" i="37"/>
  <c r="AA456" i="37"/>
  <c r="T410" i="37"/>
  <c r="AA410" i="37"/>
  <c r="AH410" i="37"/>
  <c r="AB410" i="37"/>
  <c r="U394" i="37"/>
  <c r="X394" i="37"/>
  <c r="Z416" i="37"/>
  <c r="AG416" i="37"/>
  <c r="T416" i="37"/>
  <c r="U416" i="37"/>
  <c r="V466" i="37"/>
  <c r="S466" i="37"/>
  <c r="N758" i="37"/>
  <c r="P758" i="37" s="1"/>
  <c r="X758" i="37"/>
  <c r="U384" i="37"/>
  <c r="AA384" i="37"/>
  <c r="AB384" i="37"/>
  <c r="AD384" i="37"/>
  <c r="Z384" i="37"/>
  <c r="Y411" i="37"/>
  <c r="AD411" i="37"/>
  <c r="R411" i="37"/>
  <c r="AE411" i="37"/>
  <c r="AG411" i="37"/>
  <c r="AB411" i="37"/>
  <c r="U380" i="37"/>
  <c r="AA380" i="37"/>
  <c r="AH380" i="37"/>
  <c r="R380" i="37"/>
  <c r="S380" i="37"/>
  <c r="AB380" i="37"/>
  <c r="X380" i="37"/>
  <c r="AF315" i="37"/>
  <c r="Z315" i="37"/>
  <c r="U315" i="37"/>
  <c r="V315" i="37"/>
  <c r="AB315" i="37"/>
  <c r="X315" i="37"/>
  <c r="R315" i="37"/>
  <c r="Q606" i="37"/>
  <c r="S606" i="37"/>
  <c r="P779" i="37"/>
  <c r="V779" i="37" s="1"/>
  <c r="Q779" i="37"/>
  <c r="T779" i="37"/>
  <c r="R779" i="37"/>
  <c r="V416" i="37"/>
  <c r="Z464" i="37"/>
  <c r="AE374" i="37"/>
  <c r="Z359" i="37"/>
  <c r="Y384" i="37"/>
  <c r="AG316" i="37"/>
  <c r="AA316" i="37"/>
  <c r="R316" i="37"/>
  <c r="AH418" i="37"/>
  <c r="AA418" i="37"/>
  <c r="AB366" i="37"/>
  <c r="AH416" i="37"/>
  <c r="U476" i="37"/>
  <c r="AF401" i="37"/>
  <c r="AG466" i="37"/>
  <c r="T466" i="37"/>
  <c r="AE336" i="37"/>
  <c r="R373" i="37"/>
  <c r="Y348" i="37"/>
  <c r="AH382" i="37"/>
  <c r="AH387" i="37"/>
  <c r="AG382" i="37"/>
  <c r="AG456" i="37"/>
  <c r="AA359" i="37"/>
  <c r="T464" i="37"/>
  <c r="Z410" i="37"/>
  <c r="AG313" i="37"/>
  <c r="AE373" i="37"/>
  <c r="X348" i="37"/>
  <c r="V338" i="37"/>
  <c r="AB472" i="37"/>
  <c r="AD316" i="37"/>
  <c r="Y316" i="37"/>
  <c r="Y418" i="37"/>
  <c r="S418" i="37"/>
  <c r="R418" i="37"/>
  <c r="V366" i="37"/>
  <c r="R416" i="37"/>
  <c r="S416" i="37"/>
  <c r="V476" i="37"/>
  <c r="Y401" i="37"/>
  <c r="Y466" i="37"/>
  <c r="T400" i="37"/>
  <c r="AF336" i="37"/>
  <c r="Z373" i="37"/>
  <c r="X456" i="37"/>
  <c r="S359" i="37"/>
  <c r="X384" i="37"/>
  <c r="T384" i="37"/>
  <c r="Z411" i="37"/>
  <c r="S411" i="37"/>
  <c r="Z348" i="37"/>
  <c r="Y382" i="37"/>
  <c r="AH473" i="37"/>
  <c r="Y456" i="37"/>
  <c r="AD374" i="37"/>
  <c r="X312" i="37"/>
  <c r="T394" i="37"/>
  <c r="V355" i="37"/>
  <c r="AE355" i="37"/>
  <c r="Y355" i="37"/>
  <c r="AD355" i="37"/>
  <c r="R378" i="37"/>
  <c r="AD378" i="37"/>
  <c r="AD372" i="37"/>
  <c r="AG372" i="37"/>
  <c r="S372" i="37"/>
  <c r="X406" i="37"/>
  <c r="R406" i="37"/>
  <c r="AE397" i="37"/>
  <c r="X397" i="37"/>
  <c r="R361" i="37"/>
  <c r="AG361" i="37"/>
  <c r="AE361" i="37"/>
  <c r="AB361" i="37"/>
  <c r="U361" i="37"/>
  <c r="T361" i="37"/>
  <c r="AA361" i="37"/>
  <c r="P405" i="37"/>
  <c r="Z405" i="37"/>
  <c r="U403" i="37"/>
  <c r="AD403" i="37"/>
  <c r="AE403" i="37"/>
  <c r="Y403" i="37"/>
  <c r="S403" i="37"/>
  <c r="R403" i="37"/>
  <c r="X403" i="37"/>
  <c r="AH403" i="37"/>
  <c r="Z368" i="37"/>
  <c r="V368" i="37"/>
  <c r="R368" i="37"/>
  <c r="S368" i="37"/>
  <c r="Y368" i="37"/>
  <c r="T367" i="37"/>
  <c r="AH367" i="37"/>
  <c r="AF367" i="37"/>
  <c r="AB367" i="37"/>
  <c r="R363" i="37"/>
  <c r="AB363" i="37"/>
  <c r="AF363" i="37"/>
  <c r="Y363" i="37"/>
  <c r="AA363" i="37"/>
  <c r="AD363" i="37"/>
  <c r="AG363" i="37"/>
  <c r="T363" i="37"/>
  <c r="AD388" i="37"/>
  <c r="R388" i="37"/>
  <c r="X388" i="37"/>
  <c r="U388" i="37"/>
  <c r="Z388" i="37"/>
  <c r="AB388" i="37"/>
  <c r="AE388" i="37"/>
  <c r="AG388" i="37"/>
  <c r="R343" i="37"/>
  <c r="AF343" i="37"/>
  <c r="AB343" i="37"/>
  <c r="AG343" i="37"/>
  <c r="T343" i="37"/>
  <c r="U343" i="37"/>
  <c r="X343" i="37"/>
  <c r="S343" i="37"/>
  <c r="AE343" i="37"/>
  <c r="AD444" i="37"/>
  <c r="R444" i="37"/>
  <c r="AF444" i="37"/>
  <c r="T444" i="37"/>
  <c r="AG444" i="37"/>
  <c r="AA444" i="37"/>
  <c r="Y444" i="37"/>
  <c r="V322" i="37"/>
  <c r="T322" i="37"/>
  <c r="AG322" i="37"/>
  <c r="X322" i="37"/>
  <c r="AD322" i="37"/>
  <c r="AF322" i="37"/>
  <c r="Z322" i="37"/>
  <c r="AE322" i="37"/>
  <c r="AG463" i="37"/>
  <c r="S463" i="37"/>
  <c r="T463" i="37"/>
  <c r="AE463" i="37"/>
  <c r="V463" i="37"/>
  <c r="U463" i="37"/>
  <c r="N643" i="37"/>
  <c r="X643" i="37"/>
  <c r="V643" i="37"/>
  <c r="W643" i="37"/>
  <c r="N622" i="37"/>
  <c r="Z622" i="37"/>
  <c r="V622" i="37"/>
  <c r="Q622" i="37"/>
  <c r="N630" i="37"/>
  <c r="X630" i="37"/>
  <c r="Q630" i="37"/>
  <c r="S630" i="37"/>
  <c r="N635" i="37"/>
  <c r="X635" i="37"/>
  <c r="N642" i="37"/>
  <c r="S642" i="37"/>
  <c r="V642" i="37"/>
  <c r="P642" i="37"/>
  <c r="N666" i="37"/>
  <c r="Z666" i="37"/>
  <c r="S666" i="37"/>
  <c r="N664" i="37"/>
  <c r="Z664" i="37"/>
  <c r="N621" i="37"/>
  <c r="V621" i="37"/>
  <c r="Q621" i="37"/>
  <c r="Z621" i="37"/>
  <c r="R621" i="37"/>
  <c r="AG352" i="37"/>
  <c r="AE352" i="37"/>
  <c r="AB469" i="37"/>
  <c r="U469" i="37"/>
  <c r="X632" i="37"/>
  <c r="Z632" i="37"/>
  <c r="Z628" i="37"/>
  <c r="W628" i="37"/>
  <c r="T563" i="37"/>
  <c r="Z563" i="37"/>
  <c r="N588" i="37"/>
  <c r="W588" i="37"/>
  <c r="X588" i="37"/>
  <c r="N608" i="37"/>
  <c r="Q608" i="37"/>
  <c r="P608" i="37"/>
  <c r="V608" i="37" s="1"/>
  <c r="S608" i="37"/>
  <c r="P436" i="37"/>
  <c r="AB436" i="37"/>
  <c r="Y436" i="37"/>
  <c r="R436" i="37"/>
  <c r="P479" i="37"/>
  <c r="AB479" i="37"/>
  <c r="Y458" i="37"/>
  <c r="R458" i="37"/>
  <c r="AG458" i="37"/>
  <c r="X458" i="37"/>
  <c r="Y446" i="37"/>
  <c r="R446" i="37"/>
  <c r="AD446" i="37"/>
  <c r="S446" i="37"/>
  <c r="R357" i="37"/>
  <c r="AE357" i="37"/>
  <c r="AB357" i="37"/>
  <c r="T357" i="37"/>
  <c r="P376" i="37"/>
  <c r="AH376" i="37"/>
  <c r="V376" i="37"/>
  <c r="AB376" i="37"/>
  <c r="P475" i="37"/>
  <c r="AG475" i="37"/>
  <c r="V437" i="37"/>
  <c r="AB437" i="37"/>
  <c r="P381" i="37"/>
  <c r="AE381" i="37"/>
  <c r="R386" i="37"/>
  <c r="P454" i="37"/>
  <c r="Y454" i="37"/>
  <c r="AG347" i="37"/>
  <c r="AB347" i="37"/>
  <c r="AB365" i="37"/>
  <c r="U365" i="37"/>
  <c r="T430" i="37"/>
  <c r="Z430" i="37"/>
  <c r="Y448" i="37"/>
  <c r="AD448" i="37"/>
  <c r="AB398" i="37"/>
  <c r="U398" i="37"/>
  <c r="X445" i="37"/>
  <c r="Z445" i="37"/>
  <c r="P459" i="37"/>
  <c r="V459" i="37"/>
  <c r="Y459" i="37"/>
  <c r="P417" i="37"/>
  <c r="S417" i="37"/>
  <c r="AA370" i="37"/>
  <c r="AH370" i="37"/>
  <c r="T385" i="37"/>
  <c r="AE385" i="37"/>
  <c r="AH362" i="37"/>
  <c r="AE362" i="37"/>
  <c r="P325" i="37"/>
  <c r="Z325" i="37"/>
  <c r="U475" i="37"/>
  <c r="V324" i="37"/>
  <c r="AG321" i="37"/>
  <c r="U364" i="37"/>
  <c r="AH477" i="37"/>
  <c r="V325" i="37"/>
  <c r="AF404" i="37"/>
  <c r="V404" i="37"/>
  <c r="U389" i="37"/>
  <c r="AG389" i="37"/>
  <c r="P451" i="37"/>
  <c r="AD451" i="37"/>
  <c r="P453" i="37"/>
  <c r="AF453" i="37"/>
  <c r="S371" i="37"/>
  <c r="V358" i="37"/>
  <c r="V455" i="37"/>
  <c r="AA455" i="37"/>
  <c r="S440" i="37"/>
  <c r="T358" i="37"/>
  <c r="AF460" i="37"/>
  <c r="AG351" i="37"/>
  <c r="X349" i="37"/>
  <c r="AF347" i="37"/>
  <c r="T465" i="37"/>
  <c r="Y419" i="37"/>
  <c r="AE430" i="37"/>
  <c r="AD386" i="37"/>
  <c r="AF399" i="37"/>
  <c r="AA385" i="37"/>
  <c r="AA321" i="37"/>
  <c r="X364" i="37"/>
  <c r="S459" i="37"/>
  <c r="U441" i="37"/>
  <c r="Z354" i="37"/>
  <c r="R404" i="37"/>
  <c r="V344" i="37"/>
  <c r="AG454" i="37"/>
  <c r="X326" i="37"/>
  <c r="AF371" i="37"/>
  <c r="U377" i="37"/>
  <c r="AG320" i="37"/>
  <c r="P770" i="37"/>
  <c r="V770" i="37" s="1"/>
  <c r="T770" i="37"/>
  <c r="R770" i="37"/>
  <c r="P443" i="37"/>
  <c r="AH443" i="37"/>
  <c r="AE408" i="37"/>
  <c r="V408" i="37"/>
  <c r="AG408" i="37"/>
  <c r="AA386" i="37"/>
  <c r="AG443" i="37"/>
  <c r="S362" i="37"/>
  <c r="AF369" i="37"/>
  <c r="S351" i="37"/>
  <c r="AF365" i="37"/>
  <c r="AB362" i="37"/>
  <c r="V326" i="37"/>
  <c r="X399" i="37"/>
  <c r="R408" i="37"/>
  <c r="R364" i="37"/>
  <c r="AD437" i="37"/>
  <c r="V386" i="37"/>
  <c r="Y381" i="37"/>
  <c r="AE437" i="37"/>
  <c r="S414" i="37"/>
  <c r="AG393" i="37"/>
  <c r="U347" i="37"/>
  <c r="Y345" i="37"/>
  <c r="Y393" i="37"/>
  <c r="S451" i="37"/>
  <c r="AB414" i="37"/>
  <c r="U320" i="37"/>
  <c r="AH365" i="37"/>
  <c r="AB401" i="37"/>
  <c r="X401" i="37"/>
  <c r="N610" i="37"/>
  <c r="W610" i="37"/>
  <c r="P464" i="37"/>
  <c r="AH464" i="37"/>
  <c r="Z395" i="37"/>
  <c r="S395" i="37"/>
  <c r="R395" i="37"/>
  <c r="AB359" i="37"/>
  <c r="U359" i="37"/>
  <c r="P374" i="37"/>
  <c r="AA374" i="37"/>
  <c r="P338" i="37"/>
  <c r="AG338" i="37"/>
  <c r="AH338" i="37"/>
  <c r="AF338" i="37"/>
  <c r="T382" i="37"/>
  <c r="S382" i="37"/>
  <c r="U382" i="37"/>
  <c r="P348" i="37"/>
  <c r="AF348" i="37"/>
  <c r="U348" i="37"/>
  <c r="S348" i="37"/>
  <c r="P387" i="37"/>
  <c r="V387" i="37"/>
  <c r="P312" i="37"/>
  <c r="T312" i="37"/>
  <c r="Z312" i="37"/>
  <c r="P456" i="37"/>
  <c r="T456" i="37"/>
  <c r="V456" i="37"/>
  <c r="AF456" i="37"/>
  <c r="Z456" i="37"/>
  <c r="U456" i="37"/>
  <c r="P410" i="37"/>
  <c r="Y410" i="37"/>
  <c r="AG410" i="37"/>
  <c r="AG394" i="37"/>
  <c r="AH394" i="37"/>
  <c r="AD394" i="37"/>
  <c r="AH327" i="37"/>
  <c r="V327" i="37"/>
  <c r="P476" i="37"/>
  <c r="AA476" i="37"/>
  <c r="AE466" i="37"/>
  <c r="AA466" i="37"/>
  <c r="Z466" i="37"/>
  <c r="AH466" i="37"/>
  <c r="T373" i="37"/>
  <c r="S373" i="37"/>
  <c r="AG384" i="37"/>
  <c r="AF384" i="37"/>
  <c r="V384" i="37"/>
  <c r="P411" i="37"/>
  <c r="AH411" i="37"/>
  <c r="X411" i="37"/>
  <c r="T411" i="37"/>
  <c r="AG380" i="37"/>
  <c r="Z380" i="37"/>
  <c r="V380" i="37"/>
  <c r="Y380" i="37"/>
  <c r="P315" i="37"/>
  <c r="AG315" i="37"/>
  <c r="Y315" i="37"/>
  <c r="AH315" i="37"/>
  <c r="P318" i="37"/>
  <c r="U318" i="37"/>
  <c r="N644" i="37"/>
  <c r="T644" i="37" s="1"/>
  <c r="N783" i="37"/>
  <c r="R783" i="37" s="1"/>
  <c r="Z386" i="37"/>
  <c r="Y399" i="37"/>
  <c r="Y371" i="37"/>
  <c r="X362" i="37"/>
  <c r="AB324" i="37"/>
  <c r="U324" i="37"/>
  <c r="AF393" i="37"/>
  <c r="R362" i="37"/>
  <c r="T321" i="37"/>
  <c r="AD321" i="37"/>
  <c r="AA443" i="37"/>
  <c r="X443" i="37"/>
  <c r="AE399" i="37"/>
  <c r="AB370" i="37"/>
  <c r="V370" i="37"/>
  <c r="AF385" i="37"/>
  <c r="Y385" i="37"/>
  <c r="Z385" i="37"/>
  <c r="AF321" i="37"/>
  <c r="Z321" i="37"/>
  <c r="Z408" i="37"/>
  <c r="U408" i="37"/>
  <c r="T408" i="37"/>
  <c r="AA362" i="37"/>
  <c r="AF362" i="37"/>
  <c r="AB475" i="37"/>
  <c r="AD364" i="37"/>
  <c r="V364" i="37"/>
  <c r="T364" i="37"/>
  <c r="U325" i="37"/>
  <c r="Z437" i="37"/>
  <c r="R437" i="37"/>
  <c r="AH437" i="37"/>
  <c r="AE386" i="37"/>
  <c r="T386" i="37"/>
  <c r="AH381" i="37"/>
  <c r="AD381" i="37"/>
  <c r="X381" i="37"/>
  <c r="AB477" i="37"/>
  <c r="AB325" i="37"/>
  <c r="AD345" i="37"/>
  <c r="AG345" i="37"/>
  <c r="AH369" i="37"/>
  <c r="T393" i="37"/>
  <c r="AA371" i="37"/>
  <c r="AH377" i="37"/>
  <c r="V377" i="37"/>
  <c r="AA414" i="37"/>
  <c r="Z417" i="37"/>
  <c r="AD417" i="37"/>
  <c r="Z320" i="37"/>
  <c r="Y320" i="37"/>
  <c r="T422" i="37"/>
  <c r="W602" i="37"/>
  <c r="W650" i="37"/>
  <c r="R381" i="37"/>
  <c r="U369" i="37"/>
  <c r="V320" i="37"/>
  <c r="AH324" i="37"/>
  <c r="T324" i="37"/>
  <c r="AB332" i="37"/>
  <c r="R385" i="37"/>
  <c r="AH321" i="37"/>
  <c r="T443" i="37"/>
  <c r="AF443" i="37"/>
  <c r="Z399" i="37"/>
  <c r="S399" i="37"/>
  <c r="AG370" i="37"/>
  <c r="AD385" i="37"/>
  <c r="X385" i="37"/>
  <c r="U385" i="37"/>
  <c r="AE321" i="37"/>
  <c r="X321" i="37"/>
  <c r="AD408" i="37"/>
  <c r="Y408" i="37"/>
  <c r="S408" i="37"/>
  <c r="T362" i="37"/>
  <c r="Y362" i="37"/>
  <c r="AH475" i="37"/>
  <c r="AB364" i="37"/>
  <c r="AA364" i="37"/>
  <c r="S364" i="37"/>
  <c r="AG437" i="37"/>
  <c r="AF437" i="37"/>
  <c r="T437" i="37"/>
  <c r="AH386" i="37"/>
  <c r="U386" i="37"/>
  <c r="AG386" i="37"/>
  <c r="AG381" i="37"/>
  <c r="AB381" i="37"/>
  <c r="V381" i="37"/>
  <c r="AG371" i="37"/>
  <c r="AG362" i="37"/>
  <c r="AH325" i="37"/>
  <c r="AF345" i="37"/>
  <c r="S345" i="37"/>
  <c r="AD369" i="37"/>
  <c r="S393" i="37"/>
  <c r="AD371" i="37"/>
  <c r="Z377" i="37"/>
  <c r="AH414" i="37"/>
  <c r="X414" i="37"/>
  <c r="AG417" i="37"/>
  <c r="X417" i="37"/>
  <c r="AB320" i="37"/>
  <c r="R320" i="37"/>
  <c r="R613" i="37"/>
  <c r="AG364" i="37"/>
  <c r="X437" i="37"/>
  <c r="V371" i="37"/>
  <c r="S321" i="37"/>
  <c r="S377" i="37"/>
  <c r="AD362" i="37"/>
  <c r="Z345" i="37"/>
  <c r="AF325" i="37"/>
  <c r="AG324" i="37"/>
  <c r="R443" i="37"/>
  <c r="S381" i="37"/>
  <c r="Y377" i="37"/>
  <c r="AB377" i="37"/>
  <c r="T325" i="37"/>
  <c r="AE443" i="37"/>
  <c r="V443" i="37"/>
  <c r="T399" i="37"/>
  <c r="AG399" i="37"/>
  <c r="AH385" i="37"/>
  <c r="AB385" i="37"/>
  <c r="V385" i="37"/>
  <c r="AB321" i="37"/>
  <c r="V321" i="37"/>
  <c r="AB408" i="37"/>
  <c r="X408" i="37"/>
  <c r="AA408" i="37"/>
  <c r="U362" i="37"/>
  <c r="V362" i="37"/>
  <c r="AA475" i="37"/>
  <c r="V475" i="37"/>
  <c r="AF364" i="37"/>
  <c r="Y364" i="37"/>
  <c r="U437" i="37"/>
  <c r="Y437" i="37"/>
  <c r="AF386" i="37"/>
  <c r="X386" i="37"/>
  <c r="AF381" i="37"/>
  <c r="AA381" i="37"/>
  <c r="U381" i="37"/>
  <c r="Y321" i="37"/>
  <c r="T345" i="37"/>
  <c r="R369" i="37"/>
  <c r="AB369" i="37"/>
  <c r="AD393" i="37"/>
  <c r="Z393" i="37"/>
  <c r="AE371" i="37"/>
  <c r="T377" i="37"/>
  <c r="AG414" i="37"/>
  <c r="V414" i="37"/>
  <c r="Y417" i="37"/>
  <c r="T320" i="37"/>
  <c r="AF422" i="37"/>
  <c r="AE422" i="37"/>
  <c r="T339" i="37"/>
  <c r="AE423" i="37"/>
  <c r="AD453" i="37"/>
  <c r="AG460" i="37"/>
  <c r="AA460" i="37"/>
  <c r="Y351" i="37"/>
  <c r="AD351" i="37"/>
  <c r="V351" i="37"/>
  <c r="AF383" i="37"/>
  <c r="U383" i="37"/>
  <c r="T347" i="37"/>
  <c r="S347" i="37"/>
  <c r="AH347" i="37"/>
  <c r="AG398" i="37"/>
  <c r="Y365" i="37"/>
  <c r="AA365" i="37"/>
  <c r="Y445" i="37"/>
  <c r="S445" i="37"/>
  <c r="AE419" i="37"/>
  <c r="S419" i="37"/>
  <c r="S448" i="37"/>
  <c r="Z448" i="37"/>
  <c r="U434" i="37"/>
  <c r="AE460" i="37"/>
  <c r="R402" i="37"/>
  <c r="T337" i="37"/>
  <c r="V330" i="37"/>
  <c r="U459" i="37"/>
  <c r="AE459" i="37"/>
  <c r="Z459" i="37"/>
  <c r="V441" i="37"/>
  <c r="Z441" i="37"/>
  <c r="S441" i="37"/>
  <c r="X432" i="37"/>
  <c r="U453" i="37"/>
  <c r="AH404" i="37"/>
  <c r="AD389" i="37"/>
  <c r="Y451" i="37"/>
  <c r="S454" i="37"/>
  <c r="AA454" i="37"/>
  <c r="R453" i="37"/>
  <c r="S453" i="37"/>
  <c r="AG326" i="37"/>
  <c r="V432" i="37"/>
  <c r="AD341" i="37"/>
  <c r="AF441" i="37"/>
  <c r="Z461" i="37"/>
  <c r="R620" i="37"/>
  <c r="R777" i="37"/>
  <c r="T772" i="37"/>
  <c r="Q763" i="37"/>
  <c r="P529" i="37"/>
  <c r="AB326" i="37"/>
  <c r="U432" i="37"/>
  <c r="U404" i="37"/>
  <c r="AA326" i="37"/>
  <c r="AB460" i="37"/>
  <c r="Z460" i="37"/>
  <c r="Y460" i="37"/>
  <c r="AH351" i="37"/>
  <c r="AB351" i="37"/>
  <c r="AF351" i="37"/>
  <c r="AA383" i="37"/>
  <c r="Z347" i="37"/>
  <c r="Y347" i="37"/>
  <c r="R347" i="37"/>
  <c r="AA347" i="37"/>
  <c r="V398" i="37"/>
  <c r="X365" i="37"/>
  <c r="V365" i="37"/>
  <c r="R445" i="37"/>
  <c r="V445" i="37"/>
  <c r="X419" i="37"/>
  <c r="V419" i="37"/>
  <c r="AG448" i="37"/>
  <c r="U448" i="37"/>
  <c r="R389" i="37"/>
  <c r="Z365" i="37"/>
  <c r="AG337" i="37"/>
  <c r="AB330" i="37"/>
  <c r="AF459" i="37"/>
  <c r="AH459" i="37"/>
  <c r="AD459" i="37"/>
  <c r="AE441" i="37"/>
  <c r="AH441" i="37"/>
  <c r="T434" i="37"/>
  <c r="AF407" i="37"/>
  <c r="U402" i="37"/>
  <c r="S365" i="37"/>
  <c r="Z404" i="37"/>
  <c r="AA389" i="37"/>
  <c r="AB451" i="37"/>
  <c r="AA451" i="37"/>
  <c r="AD454" i="37"/>
  <c r="AG453" i="37"/>
  <c r="AB453" i="37"/>
  <c r="Z326" i="37"/>
  <c r="AA432" i="37"/>
  <c r="Z419" i="37"/>
  <c r="S337" i="37"/>
  <c r="T441" i="37"/>
  <c r="AA461" i="37"/>
  <c r="AG461" i="37"/>
  <c r="V600" i="37"/>
  <c r="W654" i="37"/>
  <c r="AB529" i="37"/>
  <c r="R351" i="37"/>
  <c r="AG365" i="37"/>
  <c r="AE351" i="37"/>
  <c r="AH460" i="37"/>
  <c r="S460" i="37"/>
  <c r="V460" i="37"/>
  <c r="AA351" i="37"/>
  <c r="T351" i="37"/>
  <c r="AD347" i="37"/>
  <c r="X347" i="37"/>
  <c r="Z398" i="37"/>
  <c r="R365" i="37"/>
  <c r="T448" i="37"/>
  <c r="AG419" i="37"/>
  <c r="X459" i="37"/>
  <c r="T459" i="37"/>
  <c r="AG459" i="37"/>
  <c r="AB459" i="37"/>
  <c r="R441" i="37"/>
  <c r="AA441" i="37"/>
  <c r="S389" i="37"/>
  <c r="AD365" i="37"/>
  <c r="T404" i="37"/>
  <c r="AB404" i="37"/>
  <c r="AE389" i="37"/>
  <c r="X389" i="37"/>
  <c r="AH451" i="37"/>
  <c r="X451" i="37"/>
  <c r="AB454" i="37"/>
  <c r="V454" i="37"/>
  <c r="Z453" i="37"/>
  <c r="AD326" i="37"/>
  <c r="AH326" i="37"/>
  <c r="Y441" i="37"/>
  <c r="R600" i="37"/>
  <c r="Q770" i="37"/>
  <c r="S770" i="37"/>
  <c r="AH510" i="37"/>
  <c r="U510" i="37"/>
  <c r="P471" i="37"/>
  <c r="AH471" i="37"/>
  <c r="V471" i="37"/>
  <c r="Q653" i="37"/>
  <c r="R653" i="37"/>
  <c r="Z611" i="37"/>
  <c r="P611" i="37"/>
  <c r="Z636" i="37"/>
  <c r="P636" i="37"/>
  <c r="P429" i="37"/>
  <c r="AD429" i="37"/>
  <c r="AG429" i="37"/>
  <c r="V429" i="37"/>
  <c r="AD419" i="37"/>
  <c r="AA419" i="37"/>
  <c r="AH419" i="37"/>
  <c r="T419" i="37"/>
  <c r="R419" i="37"/>
  <c r="U419" i="37"/>
  <c r="P430" i="37"/>
  <c r="S430" i="37"/>
  <c r="AD430" i="37"/>
  <c r="X430" i="37"/>
  <c r="Y430" i="37"/>
  <c r="P434" i="37"/>
  <c r="Y434" i="37"/>
  <c r="AH434" i="37"/>
  <c r="AF434" i="37"/>
  <c r="R434" i="37"/>
  <c r="V434" i="37"/>
  <c r="P482" i="37"/>
  <c r="AH482" i="37"/>
  <c r="V482" i="37"/>
  <c r="P448" i="37"/>
  <c r="AF448" i="37"/>
  <c r="AB448" i="37"/>
  <c r="AH448" i="37"/>
  <c r="V448" i="37"/>
  <c r="R448" i="37"/>
  <c r="P407" i="37"/>
  <c r="T407" i="37"/>
  <c r="AG407" i="37"/>
  <c r="AA407" i="37"/>
  <c r="U407" i="37"/>
  <c r="AH407" i="37"/>
  <c r="AE407" i="37"/>
  <c r="P478" i="37"/>
  <c r="V478" i="37"/>
  <c r="AH478" i="37"/>
  <c r="P354" i="37"/>
  <c r="R354" i="37"/>
  <c r="AE354" i="37"/>
  <c r="AG354" i="37"/>
  <c r="AF354" i="37"/>
  <c r="P333" i="37"/>
  <c r="AG333" i="37"/>
  <c r="Y333" i="37"/>
  <c r="AB333" i="37"/>
  <c r="X333" i="37"/>
  <c r="P342" i="37"/>
  <c r="Y342" i="37"/>
  <c r="T342" i="37"/>
  <c r="V342" i="37"/>
  <c r="AH342" i="37"/>
  <c r="X342" i="37"/>
  <c r="AA342" i="37"/>
  <c r="AE342" i="37"/>
  <c r="P402" i="37"/>
  <c r="AH402" i="37"/>
  <c r="AF402" i="37"/>
  <c r="T402" i="37"/>
  <c r="Z402" i="37"/>
  <c r="P331" i="37"/>
  <c r="V331" i="37"/>
  <c r="P452" i="37"/>
  <c r="T452" i="37"/>
  <c r="Y452" i="37"/>
  <c r="AG452" i="37"/>
  <c r="R452" i="37"/>
  <c r="AA452" i="37"/>
  <c r="AH427" i="37"/>
  <c r="AF427" i="37"/>
  <c r="AB427" i="37"/>
  <c r="U427" i="37"/>
  <c r="Y427" i="37"/>
  <c r="V427" i="37"/>
  <c r="X427" i="37"/>
  <c r="AA427" i="37"/>
  <c r="P440" i="37"/>
  <c r="V440" i="37"/>
  <c r="AB440" i="37"/>
  <c r="AH440" i="37"/>
  <c r="X440" i="37"/>
  <c r="U440" i="37"/>
  <c r="AD440" i="37"/>
  <c r="R440" i="37"/>
  <c r="P467" i="37"/>
  <c r="AF467" i="37"/>
  <c r="AG467" i="37"/>
  <c r="Z467" i="37"/>
  <c r="P349" i="37"/>
  <c r="T349" i="37"/>
  <c r="AH349" i="37"/>
  <c r="S349" i="37"/>
  <c r="AE349" i="37"/>
  <c r="AB349" i="37"/>
  <c r="AF349" i="37"/>
  <c r="V349" i="37"/>
  <c r="P383" i="37"/>
  <c r="V383" i="37"/>
  <c r="AB383" i="37"/>
  <c r="AH383" i="37"/>
  <c r="X383" i="37"/>
  <c r="AD383" i="37"/>
  <c r="P398" i="37"/>
  <c r="AE398" i="37"/>
  <c r="AA398" i="37"/>
  <c r="AD398" i="37"/>
  <c r="T398" i="37"/>
  <c r="S398" i="37"/>
  <c r="X398" i="37"/>
  <c r="P445" i="37"/>
  <c r="T445" i="37"/>
  <c r="AH445" i="37"/>
  <c r="AG445" i="37"/>
  <c r="AA445" i="37"/>
  <c r="AB445" i="37"/>
  <c r="AF445" i="37"/>
  <c r="AE445" i="37"/>
  <c r="P328" i="37"/>
  <c r="S328" i="37"/>
  <c r="P420" i="37"/>
  <c r="V420" i="37"/>
  <c r="U420" i="37"/>
  <c r="P481" i="37"/>
  <c r="AH481" i="37"/>
  <c r="AB481" i="37"/>
  <c r="V481" i="37"/>
  <c r="N674" i="37"/>
  <c r="V674" i="37"/>
  <c r="T355" i="37"/>
  <c r="AG355" i="37"/>
  <c r="AA355" i="37"/>
  <c r="X355" i="37"/>
  <c r="AH355" i="37"/>
  <c r="S355" i="37"/>
  <c r="AB355" i="37"/>
  <c r="AF355" i="37"/>
  <c r="AE378" i="37"/>
  <c r="V378" i="37"/>
  <c r="U378" i="37"/>
  <c r="S378" i="37"/>
  <c r="AF378" i="37"/>
  <c r="T378" i="37"/>
  <c r="X378" i="37"/>
  <c r="AH378" i="37"/>
  <c r="AG378" i="37"/>
  <c r="Y372" i="37"/>
  <c r="AH372" i="37"/>
  <c r="AB372" i="37"/>
  <c r="X372" i="37"/>
  <c r="T372" i="37"/>
  <c r="AA372" i="37"/>
  <c r="R372" i="37"/>
  <c r="AF372" i="37"/>
  <c r="V372" i="37"/>
  <c r="Z372" i="37"/>
  <c r="AF406" i="37"/>
  <c r="V406" i="37"/>
  <c r="AB406" i="37"/>
  <c r="S406" i="37"/>
  <c r="Y406" i="37"/>
  <c r="Z406" i="37"/>
  <c r="AH406" i="37"/>
  <c r="AA406" i="37"/>
  <c r="T406" i="37"/>
  <c r="U406" i="37"/>
  <c r="Z435" i="37"/>
  <c r="T435" i="37"/>
  <c r="AD435" i="37"/>
  <c r="X435" i="37"/>
  <c r="Y397" i="37"/>
  <c r="AA397" i="37"/>
  <c r="AH397" i="37"/>
  <c r="U397" i="37"/>
  <c r="AD397" i="37"/>
  <c r="AG397" i="37"/>
  <c r="S397" i="37"/>
  <c r="N614" i="37"/>
  <c r="P614" i="37"/>
  <c r="V614" i="37" s="1"/>
  <c r="N649" i="37"/>
  <c r="X649" i="37"/>
  <c r="P649" i="37"/>
  <c r="R649" i="37"/>
  <c r="N648" i="37"/>
  <c r="W648" i="37"/>
  <c r="S648" i="37"/>
  <c r="Z648" i="37"/>
  <c r="N584" i="37"/>
  <c r="P584" i="37" s="1"/>
  <c r="W584" i="37"/>
  <c r="Q584" i="37"/>
  <c r="AB471" i="37"/>
  <c r="Q636" i="37"/>
  <c r="Y360" i="37"/>
  <c r="AA360" i="37"/>
  <c r="S360" i="37"/>
  <c r="P474" i="37"/>
  <c r="U474" i="37"/>
  <c r="AA474" i="37"/>
  <c r="Q703" i="37"/>
  <c r="Z703" i="37"/>
  <c r="V705" i="37"/>
  <c r="Q705" i="37"/>
  <c r="R705" i="37"/>
  <c r="T313" i="37"/>
  <c r="AE391" i="37"/>
  <c r="P787" i="37"/>
  <c r="V787" i="37" s="1"/>
  <c r="X421" i="37"/>
  <c r="AB420" i="37"/>
  <c r="AE420" i="37"/>
  <c r="AF421" i="37"/>
  <c r="AE421" i="37"/>
  <c r="Z328" i="37"/>
  <c r="U392" i="37"/>
  <c r="U341" i="37"/>
  <c r="Q690" i="37"/>
  <c r="Y328" i="37"/>
  <c r="X404" i="37"/>
  <c r="U451" i="37"/>
  <c r="S404" i="37"/>
  <c r="AE404" i="37"/>
  <c r="AG404" i="37"/>
  <c r="AD404" i="37"/>
  <c r="AA404" i="37"/>
  <c r="AH389" i="37"/>
  <c r="AF389" i="37"/>
  <c r="AB389" i="37"/>
  <c r="Y389" i="37"/>
  <c r="V389" i="37"/>
  <c r="Z344" i="37"/>
  <c r="AE451" i="37"/>
  <c r="AF451" i="37"/>
  <c r="Z451" i="37"/>
  <c r="T451" i="37"/>
  <c r="R451" i="37"/>
  <c r="V451" i="37"/>
  <c r="AG451" i="37"/>
  <c r="Y426" i="37"/>
  <c r="U454" i="37"/>
  <c r="Z454" i="37"/>
  <c r="AE454" i="37"/>
  <c r="R454" i="37"/>
  <c r="AH454" i="37"/>
  <c r="T454" i="37"/>
  <c r="AF454" i="37"/>
  <c r="AD442" i="37"/>
  <c r="AF442" i="37"/>
  <c r="AB313" i="37"/>
  <c r="S313" i="37"/>
  <c r="Y453" i="37"/>
  <c r="AE453" i="37"/>
  <c r="X453" i="37"/>
  <c r="V453" i="37"/>
  <c r="T453" i="37"/>
  <c r="AH453" i="37"/>
  <c r="T326" i="37"/>
  <c r="AE326" i="37"/>
  <c r="U326" i="37"/>
  <c r="Y326" i="37"/>
  <c r="S326" i="37"/>
  <c r="AF432" i="37"/>
  <c r="AH432" i="37"/>
  <c r="AD432" i="37"/>
  <c r="AB339" i="37"/>
  <c r="AF388" i="37"/>
  <c r="AG325" i="37"/>
  <c r="U339" i="37"/>
  <c r="Y339" i="37"/>
  <c r="AA339" i="37"/>
  <c r="V361" i="37"/>
  <c r="Z361" i="37"/>
  <c r="R607" i="37"/>
  <c r="AH329" i="37"/>
  <c r="Z341" i="37"/>
  <c r="T412" i="37"/>
  <c r="T432" i="37"/>
  <c r="AE432" i="37"/>
  <c r="AG432" i="37"/>
  <c r="Z432" i="37"/>
  <c r="S339" i="37"/>
  <c r="AG339" i="37"/>
  <c r="AA325" i="37"/>
  <c r="AH361" i="37"/>
  <c r="AF361" i="37"/>
  <c r="AD422" i="37"/>
  <c r="Y424" i="37"/>
  <c r="AE339" i="37"/>
  <c r="AB424" i="37"/>
  <c r="AD339" i="37"/>
  <c r="AF339" i="37"/>
  <c r="R339" i="37"/>
  <c r="W639" i="37"/>
  <c r="S617" i="37"/>
  <c r="Z635" i="37"/>
  <c r="P705" i="37"/>
  <c r="S779" i="37"/>
  <c r="N772" i="37"/>
  <c r="S772" i="37"/>
  <c r="AB464" i="37"/>
  <c r="AG430" i="37"/>
  <c r="V337" i="37"/>
  <c r="AG464" i="37"/>
  <c r="S464" i="37"/>
  <c r="AA464" i="37"/>
  <c r="V464" i="37"/>
  <c r="Z429" i="37"/>
  <c r="Y429" i="37"/>
  <c r="X429" i="37"/>
  <c r="R429" i="37"/>
  <c r="R374" i="37"/>
  <c r="Z374" i="37"/>
  <c r="AH374" i="37"/>
  <c r="U374" i="37"/>
  <c r="AB374" i="37"/>
  <c r="Y374" i="37"/>
  <c r="AA338" i="37"/>
  <c r="AB338" i="37"/>
  <c r="AH337" i="37"/>
  <c r="AE337" i="37"/>
  <c r="AH348" i="37"/>
  <c r="R348" i="37"/>
  <c r="AA348" i="37"/>
  <c r="AB387" i="37"/>
  <c r="AE387" i="37"/>
  <c r="X387" i="37"/>
  <c r="U387" i="37"/>
  <c r="T387" i="37"/>
  <c r="R387" i="37"/>
  <c r="AF312" i="37"/>
  <c r="R312" i="37"/>
  <c r="U312" i="37"/>
  <c r="AG312" i="37"/>
  <c r="AH312" i="37"/>
  <c r="AB312" i="37"/>
  <c r="AD312" i="37"/>
  <c r="AH333" i="37"/>
  <c r="U333" i="37"/>
  <c r="AD410" i="37"/>
  <c r="U410" i="37"/>
  <c r="X410" i="37"/>
  <c r="S410" i="37"/>
  <c r="V410" i="37"/>
  <c r="AF410" i="37"/>
  <c r="AF394" i="37"/>
  <c r="V394" i="37"/>
  <c r="Z469" i="37"/>
  <c r="AA469" i="37"/>
  <c r="Y398" i="37"/>
  <c r="R352" i="37"/>
  <c r="Z352" i="37"/>
  <c r="V632" i="37"/>
  <c r="Z684" i="37"/>
  <c r="Q628" i="37"/>
  <c r="N647" i="37"/>
  <c r="X647" i="37"/>
  <c r="N755" i="37"/>
  <c r="Q755" i="37" s="1"/>
  <c r="N626" i="37"/>
  <c r="S626" i="37"/>
  <c r="N665" i="37"/>
  <c r="V665" i="37"/>
  <c r="R654" i="37"/>
  <c r="X654" i="37"/>
  <c r="P400" i="37"/>
  <c r="S400" i="37"/>
  <c r="N676" i="37"/>
  <c r="V676" i="37"/>
  <c r="N653" i="37"/>
  <c r="V653" i="37"/>
  <c r="Z653" i="37"/>
  <c r="N616" i="37"/>
  <c r="Q616" i="37"/>
  <c r="N615" i="37"/>
  <c r="Q615" i="37" s="1"/>
  <c r="Z615" i="37"/>
  <c r="N611" i="37"/>
  <c r="X611" i="37"/>
  <c r="N636" i="37"/>
  <c r="R636" i="37"/>
  <c r="V636" i="37"/>
  <c r="N629" i="37"/>
  <c r="Q629" i="37"/>
  <c r="Y705" i="37"/>
  <c r="P781" i="37"/>
  <c r="V781" i="37" s="1"/>
  <c r="Q781" i="37"/>
  <c r="S781" i="37"/>
  <c r="P797" i="37"/>
  <c r="V797" i="37" s="1"/>
  <c r="W797" i="37" s="1"/>
  <c r="X797" i="37" s="1"/>
  <c r="Y797" i="37" s="1"/>
  <c r="P413" i="37"/>
  <c r="U413" i="37"/>
  <c r="V413" i="37"/>
  <c r="AD413" i="37"/>
  <c r="S413" i="37"/>
  <c r="N639" i="37"/>
  <c r="P639" i="37"/>
  <c r="Q639" i="37"/>
  <c r="N670" i="37"/>
  <c r="X670" i="37"/>
  <c r="P394" i="37"/>
  <c r="R394" i="37"/>
  <c r="S394" i="37"/>
  <c r="AB394" i="37"/>
  <c r="AE394" i="37"/>
  <c r="P352" i="37"/>
  <c r="T352" i="37"/>
  <c r="AF352" i="37"/>
  <c r="AA352" i="37"/>
  <c r="AH352" i="37"/>
  <c r="V352" i="37"/>
  <c r="AD352" i="37"/>
  <c r="U352" i="37"/>
  <c r="P510" i="37"/>
  <c r="T510" i="37"/>
  <c r="V469" i="37"/>
  <c r="AG469" i="37"/>
  <c r="N632" i="37"/>
  <c r="R632" i="37"/>
  <c r="S632" i="37"/>
  <c r="Q632" i="37"/>
  <c r="W632" i="37"/>
  <c r="N659" i="37"/>
  <c r="R659" i="37"/>
  <c r="S659" i="37"/>
  <c r="N628" i="37"/>
  <c r="S628" i="37"/>
  <c r="V628" i="37"/>
  <c r="X628" i="37"/>
  <c r="R628" i="37"/>
  <c r="N563" i="37"/>
  <c r="Y563" i="37"/>
  <c r="R563" i="37"/>
  <c r="N566" i="37"/>
  <c r="Y566" i="37"/>
  <c r="P360" i="37"/>
  <c r="U360" i="37"/>
  <c r="X360" i="37"/>
  <c r="V360" i="37"/>
  <c r="P461" i="37"/>
  <c r="V461" i="37"/>
  <c r="S461" i="37"/>
  <c r="U461" i="37"/>
  <c r="N703" i="37"/>
  <c r="X703" i="37"/>
  <c r="W703" i="37"/>
  <c r="P606" i="37"/>
  <c r="V606" i="37" s="1"/>
  <c r="R606" i="37"/>
  <c r="N706" i="37"/>
  <c r="Z706" i="37"/>
  <c r="N705" i="37"/>
  <c r="T705" i="37"/>
  <c r="W705" i="37"/>
  <c r="S705" i="37"/>
  <c r="N624" i="37"/>
  <c r="S624" i="37" s="1"/>
  <c r="Z624" i="37"/>
  <c r="Q771" i="37"/>
  <c r="P771" i="37"/>
  <c r="V771" i="37" s="1"/>
  <c r="R771" i="37"/>
  <c r="R766" i="37"/>
  <c r="S766" i="37"/>
  <c r="Q766" i="37"/>
  <c r="P766" i="37"/>
  <c r="V766" i="37" s="1"/>
  <c r="R781" i="37"/>
  <c r="R392" i="37"/>
  <c r="Y329" i="37"/>
  <c r="AH424" i="37"/>
  <c r="AE450" i="37"/>
  <c r="S412" i="37"/>
  <c r="T576" i="37"/>
  <c r="P777" i="37"/>
  <c r="V777" i="37" s="1"/>
  <c r="W777" i="37" s="1"/>
  <c r="S777" i="37"/>
  <c r="X420" i="37"/>
  <c r="Z420" i="37"/>
  <c r="AF420" i="37"/>
  <c r="AG420" i="37"/>
  <c r="V399" i="37"/>
  <c r="T423" i="37"/>
  <c r="Z423" i="37"/>
  <c r="AB423" i="37"/>
  <c r="S420" i="37"/>
  <c r="U328" i="37"/>
  <c r="V328" i="37"/>
  <c r="R604" i="37"/>
  <c r="Q592" i="37"/>
  <c r="S674" i="37"/>
  <c r="X674" i="37"/>
  <c r="V599" i="37"/>
  <c r="S652" i="37"/>
  <c r="R699" i="37"/>
  <c r="X651" i="37"/>
  <c r="V651" i="37"/>
  <c r="V341" i="37"/>
  <c r="Y420" i="37"/>
  <c r="AD420" i="37"/>
  <c r="AH420" i="37"/>
  <c r="AB353" i="37"/>
  <c r="S353" i="37"/>
  <c r="X391" i="37"/>
  <c r="X353" i="37"/>
  <c r="T420" i="37"/>
  <c r="Y341" i="37"/>
  <c r="R328" i="37"/>
  <c r="AB328" i="37"/>
  <c r="Y412" i="37"/>
  <c r="AA412" i="37"/>
  <c r="V424" i="37"/>
  <c r="AE424" i="37"/>
  <c r="Z329" i="37"/>
  <c r="AG328" i="37"/>
  <c r="AA450" i="37"/>
  <c r="AE328" i="37"/>
  <c r="T328" i="37"/>
  <c r="T392" i="37"/>
  <c r="Z392" i="37"/>
  <c r="AA328" i="37"/>
  <c r="V450" i="37"/>
  <c r="R626" i="37"/>
  <c r="Z626" i="37"/>
  <c r="X641" i="37"/>
  <c r="S619" i="37"/>
  <c r="X615" i="37"/>
  <c r="S611" i="37"/>
  <c r="Q611" i="37"/>
  <c r="Q654" i="37"/>
  <c r="V654" i="37"/>
  <c r="Y676" i="37"/>
  <c r="W651" i="37"/>
  <c r="T707" i="37"/>
  <c r="R559" i="37"/>
  <c r="X640" i="37"/>
  <c r="N640" i="37"/>
  <c r="N582" i="37"/>
  <c r="P582" i="37" s="1"/>
  <c r="W577" i="37"/>
  <c r="AH391" i="37"/>
  <c r="P391" i="37"/>
  <c r="AG353" i="37"/>
  <c r="P353" i="37"/>
  <c r="S311" i="37"/>
  <c r="P311" i="37"/>
  <c r="T310" i="37"/>
  <c r="P310" i="37"/>
  <c r="Z640" i="37"/>
  <c r="Q691" i="37"/>
  <c r="N691" i="37"/>
  <c r="Y404" i="37"/>
  <c r="P404" i="37"/>
  <c r="T389" i="37"/>
  <c r="P389" i="37"/>
  <c r="AF326" i="37"/>
  <c r="P326" i="37"/>
  <c r="V603" i="37"/>
  <c r="N603" i="37"/>
  <c r="P620" i="37"/>
  <c r="N620" i="37"/>
  <c r="Y432" i="37"/>
  <c r="P432" i="37"/>
  <c r="Z654" i="37"/>
  <c r="N654" i="37"/>
  <c r="W683" i="37"/>
  <c r="N683" i="37"/>
  <c r="T645" i="37"/>
  <c r="N645" i="37"/>
  <c r="S366" i="37"/>
  <c r="P366" i="37"/>
  <c r="Z351" i="37"/>
  <c r="P351" i="37"/>
  <c r="U401" i="37"/>
  <c r="P401" i="37"/>
  <c r="AE347" i="37"/>
  <c r="P347" i="37"/>
  <c r="T365" i="37"/>
  <c r="P365" i="37"/>
  <c r="Y336" i="37"/>
  <c r="P336" i="37"/>
  <c r="R587" i="37"/>
  <c r="N587" i="37"/>
  <c r="T651" i="37"/>
  <c r="N651" i="37"/>
  <c r="P633" i="37"/>
  <c r="N633" i="37"/>
  <c r="P569" i="37"/>
  <c r="N569" i="37"/>
  <c r="Q656" i="37"/>
  <c r="N656" i="37"/>
  <c r="R612" i="37"/>
  <c r="N612" i="37"/>
  <c r="Z685" i="37"/>
  <c r="N685" i="37"/>
  <c r="P634" i="37"/>
  <c r="N634" i="37"/>
  <c r="S702" i="37"/>
  <c r="AB463" i="37"/>
  <c r="P463" i="37"/>
  <c r="R586" i="37"/>
  <c r="N586" i="37"/>
  <c r="Q586" i="37" s="1"/>
  <c r="Z682" i="37"/>
  <c r="N682" i="37"/>
  <c r="Z726" i="37"/>
  <c r="N726" i="37"/>
  <c r="Q700" i="37"/>
  <c r="N700" i="37"/>
  <c r="Q688" i="37"/>
  <c r="N688" i="37"/>
  <c r="W597" i="37"/>
  <c r="N597" i="37"/>
  <c r="R590" i="37"/>
  <c r="Z561" i="37"/>
  <c r="AH384" i="37"/>
  <c r="P384" i="37"/>
  <c r="AF380" i="37"/>
  <c r="P380" i="37"/>
  <c r="Q594" i="37"/>
  <c r="T606" i="37"/>
  <c r="N606" i="37"/>
  <c r="R689" i="37"/>
  <c r="AA472" i="37"/>
  <c r="P472" i="37"/>
  <c r="N784" i="37"/>
  <c r="T784" i="37" s="1"/>
  <c r="Y764" i="37"/>
  <c r="P786" i="37"/>
  <c r="V786" i="37" s="1"/>
  <c r="P795" i="37"/>
  <c r="T450" i="37"/>
  <c r="P450" i="37"/>
  <c r="X341" i="37"/>
  <c r="P341" i="37"/>
  <c r="AG356" i="37"/>
  <c r="P356" i="37"/>
  <c r="R668" i="37"/>
  <c r="V421" i="37"/>
  <c r="P421" i="37"/>
  <c r="X701" i="37"/>
  <c r="N701" i="37"/>
  <c r="P317" i="37"/>
  <c r="R355" i="37"/>
  <c r="P355" i="37"/>
  <c r="AA378" i="37"/>
  <c r="P378" i="37"/>
  <c r="AE372" i="37"/>
  <c r="P372" i="37"/>
  <c r="Z680" i="37"/>
  <c r="N680" i="37"/>
  <c r="AE406" i="37"/>
  <c r="P406" i="37"/>
  <c r="AB435" i="37"/>
  <c r="P435" i="37"/>
  <c r="V397" i="37"/>
  <c r="P397" i="37"/>
  <c r="Z683" i="37"/>
  <c r="X645" i="37"/>
  <c r="X361" i="37"/>
  <c r="P361" i="37"/>
  <c r="AD428" i="37"/>
  <c r="P428" i="37"/>
  <c r="T403" i="37"/>
  <c r="P403" i="37"/>
  <c r="U370" i="37"/>
  <c r="P370" i="37"/>
  <c r="X368" i="37"/>
  <c r="P368" i="37"/>
  <c r="AG367" i="37"/>
  <c r="P367" i="37"/>
  <c r="S385" i="37"/>
  <c r="P385" i="37"/>
  <c r="AE363" i="37"/>
  <c r="P363" i="37"/>
  <c r="AH408" i="37"/>
  <c r="P408" i="37"/>
  <c r="Z362" i="37"/>
  <c r="P362" i="37"/>
  <c r="AH388" i="37"/>
  <c r="P388" i="37"/>
  <c r="Z343" i="37"/>
  <c r="P343" i="37"/>
  <c r="AE364" i="37"/>
  <c r="P364" i="37"/>
  <c r="AA437" i="37"/>
  <c r="P437" i="37"/>
  <c r="AE444" i="37"/>
  <c r="P444" i="37"/>
  <c r="Y386" i="37"/>
  <c r="P386" i="37"/>
  <c r="AA322" i="37"/>
  <c r="P322" i="37"/>
  <c r="V395" i="37"/>
  <c r="P395" i="37"/>
  <c r="T359" i="37"/>
  <c r="P359" i="37"/>
  <c r="AF419" i="37"/>
  <c r="P419" i="37"/>
  <c r="AD382" i="37"/>
  <c r="P382" i="37"/>
  <c r="V473" i="37"/>
  <c r="P473" i="37"/>
  <c r="AF316" i="37"/>
  <c r="P316" i="37"/>
  <c r="AB418" i="37"/>
  <c r="P418" i="37"/>
  <c r="AE427" i="37"/>
  <c r="P427" i="37"/>
  <c r="AA327" i="37"/>
  <c r="P327" i="37"/>
  <c r="AB416" i="37"/>
  <c r="P416" i="37"/>
  <c r="AB466" i="37"/>
  <c r="P466" i="37"/>
  <c r="AB373" i="37"/>
  <c r="P373" i="37"/>
  <c r="Y574" i="37"/>
  <c r="T702" i="37"/>
  <c r="T469" i="37"/>
  <c r="P469" i="37"/>
  <c r="Z722" i="37"/>
  <c r="N722" i="37"/>
  <c r="Q722" i="37" s="1"/>
  <c r="Y455" i="37"/>
  <c r="P455" i="37"/>
  <c r="AF458" i="37"/>
  <c r="P458" i="37"/>
  <c r="X446" i="37"/>
  <c r="P446" i="37"/>
  <c r="V677" i="37"/>
  <c r="AD357" i="37"/>
  <c r="P357" i="37"/>
  <c r="V457" i="37"/>
  <c r="P457" i="37"/>
  <c r="T314" i="37"/>
  <c r="P314" i="37"/>
  <c r="T764" i="37"/>
  <c r="V616" i="37"/>
  <c r="V767" i="37"/>
  <c r="P629" i="37"/>
  <c r="Q633" i="37"/>
  <c r="S647" i="37"/>
  <c r="P647" i="37"/>
  <c r="P617" i="37"/>
  <c r="Q617" i="37"/>
  <c r="V617" i="37"/>
  <c r="X617" i="37"/>
  <c r="W617" i="37"/>
  <c r="Q641" i="37"/>
  <c r="S344" i="37"/>
  <c r="X344" i="37"/>
  <c r="AB344" i="37"/>
  <c r="AG344" i="37"/>
  <c r="Y344" i="37"/>
  <c r="AD344" i="37"/>
  <c r="AH344" i="37"/>
  <c r="AG426" i="37"/>
  <c r="V426" i="37"/>
  <c r="T426" i="37"/>
  <c r="U426" i="37"/>
  <c r="Z426" i="37"/>
  <c r="R426" i="37"/>
  <c r="AF426" i="37"/>
  <c r="X442" i="37"/>
  <c r="R442" i="37"/>
  <c r="AG442" i="37"/>
  <c r="S442" i="37"/>
  <c r="Y442" i="37"/>
  <c r="AB442" i="37"/>
  <c r="U442" i="37"/>
  <c r="T442" i="37"/>
  <c r="U313" i="37"/>
  <c r="Z313" i="37"/>
  <c r="AE313" i="37"/>
  <c r="R313" i="37"/>
  <c r="V313" i="37"/>
  <c r="AA313" i="37"/>
  <c r="AH313" i="37"/>
  <c r="Q565" i="37"/>
  <c r="R565" i="37"/>
  <c r="T565" i="37"/>
  <c r="V619" i="37"/>
  <c r="Z619" i="37"/>
  <c r="W619" i="37"/>
  <c r="P625" i="37"/>
  <c r="S625" i="37"/>
  <c r="V625" i="37"/>
  <c r="X625" i="37"/>
  <c r="W625" i="37"/>
  <c r="Z625" i="37"/>
  <c r="V662" i="37"/>
  <c r="S662" i="37"/>
  <c r="W662" i="37"/>
  <c r="T662" i="37"/>
  <c r="Y662" i="37"/>
  <c r="R665" i="37"/>
  <c r="X665" i="37"/>
  <c r="Z665" i="37"/>
  <c r="AE400" i="37"/>
  <c r="AD400" i="37"/>
  <c r="AA422" i="37"/>
  <c r="AG422" i="37"/>
  <c r="AB422" i="37"/>
  <c r="V422" i="37"/>
  <c r="X422" i="37"/>
  <c r="Y422" i="37"/>
  <c r="R422" i="37"/>
  <c r="S422" i="37"/>
  <c r="U422" i="37"/>
  <c r="Y677" i="37"/>
  <c r="S677" i="37"/>
  <c r="W677" i="37"/>
  <c r="Q677" i="37"/>
  <c r="P677" i="37"/>
  <c r="X677" i="37"/>
  <c r="S667" i="37"/>
  <c r="X667" i="37"/>
  <c r="V667" i="37"/>
  <c r="Q667" i="37"/>
  <c r="R667" i="37"/>
  <c r="T667" i="37"/>
  <c r="Z667" i="37"/>
  <c r="X678" i="37"/>
  <c r="S678" i="37"/>
  <c r="Q678" i="37"/>
  <c r="Z730" i="37"/>
  <c r="R730" i="37"/>
  <c r="T730" i="37"/>
  <c r="T655" i="37"/>
  <c r="P655" i="37"/>
  <c r="Q655" i="37"/>
  <c r="S655" i="37"/>
  <c r="Z655" i="37"/>
  <c r="X602" i="37"/>
  <c r="Q602" i="37"/>
  <c r="R602" i="37"/>
  <c r="Y590" i="37"/>
  <c r="W590" i="37"/>
  <c r="X590" i="37"/>
  <c r="V590" i="37"/>
  <c r="Z590" i="37"/>
  <c r="S590" i="37"/>
  <c r="T746" i="37"/>
  <c r="R746" i="37"/>
  <c r="Z650" i="37"/>
  <c r="R650" i="37"/>
  <c r="V650" i="37"/>
  <c r="P650" i="37"/>
  <c r="Q650" i="37"/>
  <c r="W675" i="37"/>
  <c r="X675" i="37"/>
  <c r="P675" i="37"/>
  <c r="Z675" i="37"/>
  <c r="T675" i="37"/>
  <c r="R675" i="37"/>
  <c r="V675" i="37"/>
  <c r="P631" i="37"/>
  <c r="W631" i="37"/>
  <c r="Z631" i="37"/>
  <c r="R631" i="37"/>
  <c r="S631" i="37"/>
  <c r="X631" i="37"/>
  <c r="Q646" i="37"/>
  <c r="R646" i="37"/>
  <c r="P646" i="37"/>
  <c r="W646" i="37"/>
  <c r="S646" i="37"/>
  <c r="Y646" i="37"/>
  <c r="X646" i="37"/>
  <c r="Z646" i="37"/>
  <c r="AG318" i="37"/>
  <c r="Y318" i="37"/>
  <c r="T318" i="37"/>
  <c r="S358" i="37"/>
  <c r="U358" i="37"/>
  <c r="AB465" i="37"/>
  <c r="AA465" i="37"/>
  <c r="AH465" i="37"/>
  <c r="AE465" i="37"/>
  <c r="Y569" i="37"/>
  <c r="R569" i="37"/>
  <c r="T569" i="37"/>
  <c r="Q569" i="37"/>
  <c r="P610" i="37"/>
  <c r="Z610" i="37"/>
  <c r="Q610" i="37"/>
  <c r="S610" i="37"/>
  <c r="V610" i="37"/>
  <c r="Z573" i="37"/>
  <c r="T573" i="37"/>
  <c r="Y573" i="37"/>
  <c r="T769" i="37"/>
  <c r="Q769" i="37"/>
  <c r="S769" i="37"/>
  <c r="R769" i="37"/>
  <c r="P769" i="37"/>
  <c r="U547" i="37"/>
  <c r="AF547" i="37"/>
  <c r="AD547" i="37"/>
  <c r="AE547" i="37"/>
  <c r="Z547" i="37"/>
  <c r="R547" i="37"/>
  <c r="Y547" i="37"/>
  <c r="AG547" i="37"/>
  <c r="S547" i="37"/>
  <c r="V547" i="37"/>
  <c r="T547" i="37"/>
  <c r="AB547" i="37"/>
  <c r="AA547" i="37"/>
  <c r="AH547" i="37"/>
  <c r="X547" i="37"/>
  <c r="T793" i="37"/>
  <c r="Q793" i="37"/>
  <c r="S793" i="37"/>
  <c r="P793" i="37"/>
  <c r="V793" i="37" s="1"/>
  <c r="R793" i="37"/>
  <c r="AD457" i="37"/>
  <c r="U457" i="37"/>
  <c r="T457" i="37"/>
  <c r="AG457" i="37"/>
  <c r="AA314" i="37"/>
  <c r="S314" i="37"/>
  <c r="X610" i="37"/>
  <c r="P612" i="37"/>
  <c r="AH426" i="37"/>
  <c r="T344" i="37"/>
  <c r="Y457" i="37"/>
  <c r="S457" i="37"/>
  <c r="R358" i="37"/>
  <c r="X366" i="37"/>
  <c r="AD366" i="37" s="1"/>
  <c r="T366" i="37"/>
  <c r="AE401" i="37"/>
  <c r="Z401" i="37"/>
  <c r="X400" i="37"/>
  <c r="AG400" i="37"/>
  <c r="AA400" i="37"/>
  <c r="S465" i="37"/>
  <c r="AG465" i="37"/>
  <c r="AD314" i="37"/>
  <c r="U366" i="37"/>
  <c r="AA344" i="37"/>
  <c r="R344" i="37"/>
  <c r="X426" i="37"/>
  <c r="AE442" i="37"/>
  <c r="AF313" i="37"/>
  <c r="Y313" i="37"/>
  <c r="W647" i="37"/>
  <c r="R610" i="37"/>
  <c r="V602" i="37"/>
  <c r="S650" i="37"/>
  <c r="S665" i="37"/>
  <c r="V329" i="37"/>
  <c r="S329" i="37"/>
  <c r="T329" i="37"/>
  <c r="AE329" i="37"/>
  <c r="U329" i="37"/>
  <c r="AB329" i="37"/>
  <c r="X329" i="37"/>
  <c r="AF329" i="37"/>
  <c r="AD329" i="37"/>
  <c r="R329" i="37"/>
  <c r="AA329" i="37"/>
  <c r="AG329" i="37"/>
  <c r="AD392" i="37"/>
  <c r="AH392" i="37"/>
  <c r="AG392" i="37"/>
  <c r="Y392" i="37"/>
  <c r="AF392" i="37"/>
  <c r="AB392" i="37"/>
  <c r="S392" i="37"/>
  <c r="AA392" i="37"/>
  <c r="V392" i="37"/>
  <c r="X392" i="37"/>
  <c r="Z641" i="37"/>
  <c r="R573" i="37"/>
  <c r="R619" i="37"/>
  <c r="R413" i="37"/>
  <c r="AA413" i="37"/>
  <c r="AE413" i="37"/>
  <c r="T413" i="37"/>
  <c r="AB413" i="37"/>
  <c r="Z413" i="37"/>
  <c r="AH413" i="37"/>
  <c r="Y413" i="37"/>
  <c r="Z639" i="37"/>
  <c r="R639" i="37"/>
  <c r="X639" i="37"/>
  <c r="V639" i="37"/>
  <c r="R601" i="37"/>
  <c r="Q601" i="37"/>
  <c r="X601" i="37"/>
  <c r="Z559" i="37"/>
  <c r="T559" i="37"/>
  <c r="Y559" i="37"/>
  <c r="T677" i="37"/>
  <c r="Q675" i="37"/>
  <c r="R669" i="37"/>
  <c r="V669" i="37"/>
  <c r="U443" i="37"/>
  <c r="AD443" i="37"/>
  <c r="S443" i="37"/>
  <c r="Z443" i="37"/>
  <c r="AB443" i="37"/>
  <c r="Y443" i="37"/>
  <c r="U399" i="37"/>
  <c r="AA399" i="37"/>
  <c r="AH399" i="37"/>
  <c r="AB399" i="37"/>
  <c r="AD399" i="37"/>
  <c r="R399" i="37"/>
  <c r="AE345" i="37"/>
  <c r="V345" i="37"/>
  <c r="AA345" i="37"/>
  <c r="AB345" i="37"/>
  <c r="AH345" i="37"/>
  <c r="R345" i="37"/>
  <c r="X345" i="37"/>
  <c r="U345" i="37"/>
  <c r="Y369" i="37"/>
  <c r="V369" i="37"/>
  <c r="Z369" i="37"/>
  <c r="S369" i="37"/>
  <c r="X369" i="37"/>
  <c r="AA369" i="37"/>
  <c r="AG369" i="37"/>
  <c r="T369" i="37"/>
  <c r="V652" i="37"/>
  <c r="P652" i="37"/>
  <c r="W652" i="37"/>
  <c r="Z652" i="37"/>
  <c r="AH393" i="37"/>
  <c r="AE393" i="37"/>
  <c r="V393" i="37"/>
  <c r="AA393" i="37"/>
  <c r="R393" i="37"/>
  <c r="X393" i="37"/>
  <c r="AB393" i="37"/>
  <c r="V637" i="37"/>
  <c r="X637" i="37"/>
  <c r="Q637" i="37"/>
  <c r="S637" i="37"/>
  <c r="P699" i="37"/>
  <c r="S699" i="37"/>
  <c r="Z699" i="37"/>
  <c r="X699" i="37"/>
  <c r="Q699" i="37"/>
  <c r="P702" i="37"/>
  <c r="V702" i="37"/>
  <c r="X702" i="37"/>
  <c r="Y702" i="37"/>
  <c r="R574" i="37"/>
  <c r="V574" i="37"/>
  <c r="T574" i="37"/>
  <c r="W574" i="37"/>
  <c r="T371" i="37"/>
  <c r="R371" i="37"/>
  <c r="Z371" i="37"/>
  <c r="X371" i="37"/>
  <c r="U371" i="37"/>
  <c r="AB371" i="37"/>
  <c r="AD377" i="37"/>
  <c r="AA377" i="37"/>
  <c r="X377" i="37"/>
  <c r="AE377" i="37"/>
  <c r="R377" i="37"/>
  <c r="AG377" i="37"/>
  <c r="AF377" i="37"/>
  <c r="T414" i="37"/>
  <c r="AF414" i="37"/>
  <c r="Y414" i="37"/>
  <c r="AD414" i="37"/>
  <c r="AE414" i="37"/>
  <c r="R414" i="37"/>
  <c r="U414" i="37"/>
  <c r="Z414" i="37"/>
  <c r="AF417" i="37"/>
  <c r="T417" i="37"/>
  <c r="AA417" i="37"/>
  <c r="AE417" i="37"/>
  <c r="V417" i="37"/>
  <c r="AB417" i="37"/>
  <c r="AH417" i="37"/>
  <c r="R417" i="37"/>
  <c r="AA320" i="37"/>
  <c r="AF320" i="37"/>
  <c r="X320" i="37"/>
  <c r="AD320" i="37"/>
  <c r="AH320" i="37"/>
  <c r="AE320" i="37"/>
  <c r="S320" i="37"/>
  <c r="V477" i="37"/>
  <c r="AA324" i="37"/>
  <c r="AF324" i="37"/>
  <c r="V332" i="37"/>
  <c r="AH332" i="37"/>
  <c r="W599" i="37"/>
  <c r="R599" i="37"/>
  <c r="R595" i="37"/>
  <c r="W595" i="37"/>
  <c r="P613" i="37"/>
  <c r="X613" i="37"/>
  <c r="V613" i="37"/>
  <c r="Q613" i="37"/>
  <c r="Z613" i="37"/>
  <c r="W613" i="37"/>
  <c r="S613" i="37"/>
  <c r="T646" i="37"/>
  <c r="Y675" i="37"/>
  <c r="S429" i="37"/>
  <c r="T429" i="37"/>
  <c r="AH429" i="37"/>
  <c r="U429" i="37"/>
  <c r="AB429" i="37"/>
  <c r="AE429" i="37"/>
  <c r="AA429" i="37"/>
  <c r="AA430" i="37"/>
  <c r="V430" i="37"/>
  <c r="U430" i="37"/>
  <c r="R430" i="37"/>
  <c r="AF430" i="37"/>
  <c r="AB430" i="37"/>
  <c r="AD434" i="37"/>
  <c r="X434" i="37"/>
  <c r="AG434" i="37"/>
  <c r="Z434" i="37"/>
  <c r="AA434" i="37"/>
  <c r="S434" i="37"/>
  <c r="X448" i="37"/>
  <c r="AE448" i="37"/>
  <c r="U337" i="37"/>
  <c r="AB337" i="37"/>
  <c r="AA337" i="37"/>
  <c r="Z337" i="37"/>
  <c r="Y337" i="37"/>
  <c r="X407" i="37"/>
  <c r="R407" i="37"/>
  <c r="Z407" i="37"/>
  <c r="AD407" i="37"/>
  <c r="S407" i="37"/>
  <c r="Y407" i="37"/>
  <c r="V407" i="37"/>
  <c r="AB478" i="37"/>
  <c r="Y354" i="37"/>
  <c r="V354" i="37"/>
  <c r="AH354" i="37"/>
  <c r="AA354" i="37"/>
  <c r="U354" i="37"/>
  <c r="AD354" i="37"/>
  <c r="X354" i="37"/>
  <c r="AE333" i="37"/>
  <c r="Z333" i="37"/>
  <c r="T333" i="37"/>
  <c r="AF333" i="37"/>
  <c r="R333" i="37"/>
  <c r="R342" i="37"/>
  <c r="AD342" i="37"/>
  <c r="S342" i="37"/>
  <c r="U342" i="37"/>
  <c r="Y402" i="37"/>
  <c r="AA402" i="37"/>
  <c r="AD402" i="37"/>
  <c r="AE402" i="37"/>
  <c r="X402" i="37"/>
  <c r="AG402" i="37"/>
  <c r="AB402" i="37"/>
  <c r="V402" i="37"/>
  <c r="AH452" i="37"/>
  <c r="U452" i="37"/>
  <c r="AE440" i="37"/>
  <c r="AA440" i="37"/>
  <c r="T467" i="37"/>
  <c r="U467" i="37"/>
  <c r="Z349" i="37"/>
  <c r="S383" i="37"/>
  <c r="T383" i="37"/>
  <c r="AH398" i="37"/>
  <c r="X569" i="37"/>
  <c r="AG510" i="37"/>
  <c r="AB510" i="37"/>
  <c r="AA471" i="37"/>
  <c r="AG471" i="37"/>
  <c r="S578" i="37"/>
  <c r="P578" i="37"/>
  <c r="Z707" i="37"/>
  <c r="X707" i="37"/>
  <c r="R707" i="37"/>
  <c r="W707" i="37"/>
  <c r="P707" i="37"/>
  <c r="Q707" i="37"/>
  <c r="Z689" i="37"/>
  <c r="S689" i="37"/>
  <c r="Y689" i="37"/>
  <c r="W689" i="37"/>
  <c r="P687" i="37"/>
  <c r="R687" i="37"/>
  <c r="S687" i="37"/>
  <c r="AF461" i="37"/>
  <c r="Y461" i="37"/>
  <c r="AH461" i="37"/>
  <c r="T461" i="37"/>
  <c r="AB461" i="37"/>
  <c r="R678" i="37"/>
  <c r="T681" i="37"/>
  <c r="R681" i="37"/>
  <c r="P681" i="37"/>
  <c r="Q681" i="37"/>
  <c r="R790" i="37"/>
  <c r="S790" i="37"/>
  <c r="P790" i="37"/>
  <c r="V790" i="37" s="1"/>
  <c r="T790" i="37"/>
  <c r="Q790" i="37"/>
  <c r="P788" i="37"/>
  <c r="S788" i="37"/>
  <c r="T788" i="37"/>
  <c r="S618" i="37"/>
  <c r="Z618" i="37"/>
  <c r="R633" i="37"/>
  <c r="S633" i="37"/>
  <c r="W633" i="37"/>
  <c r="V633" i="37"/>
  <c r="X633" i="37"/>
  <c r="W656" i="37"/>
  <c r="R656" i="37"/>
  <c r="S656" i="37"/>
  <c r="Z656" i="37"/>
  <c r="P656" i="37"/>
  <c r="V656" i="37"/>
  <c r="W612" i="37"/>
  <c r="Z612" i="37"/>
  <c r="X612" i="37"/>
  <c r="V612" i="37"/>
  <c r="R634" i="37"/>
  <c r="S634" i="37"/>
  <c r="Q634" i="37"/>
  <c r="W634" i="37"/>
  <c r="V634" i="37"/>
  <c r="W629" i="37"/>
  <c r="V629" i="37"/>
  <c r="R629" i="37"/>
  <c r="Z629" i="37"/>
  <c r="X629" i="37"/>
  <c r="Z457" i="37"/>
  <c r="AB457" i="37"/>
  <c r="AB314" i="37"/>
  <c r="AE314" i="37"/>
  <c r="U314" i="37"/>
  <c r="AH314" i="37"/>
  <c r="AF314" i="37"/>
  <c r="R314" i="37"/>
  <c r="V314" i="37"/>
  <c r="Z314" i="37"/>
  <c r="AA336" i="37"/>
  <c r="X457" i="37"/>
  <c r="AE457" i="37"/>
  <c r="R457" i="37"/>
  <c r="AA358" i="37"/>
  <c r="Z358" i="37"/>
  <c r="AA366" i="37"/>
  <c r="V401" i="37"/>
  <c r="AG401" i="37"/>
  <c r="AD401" i="37"/>
  <c r="Y400" i="37"/>
  <c r="AH400" i="37"/>
  <c r="U400" i="37"/>
  <c r="U465" i="37"/>
  <c r="V465" i="37"/>
  <c r="Z336" i="37"/>
  <c r="U336" i="37"/>
  <c r="AH442" i="37"/>
  <c r="AB336" i="37"/>
  <c r="X314" i="37"/>
  <c r="AG314" i="37"/>
  <c r="AE344" i="37"/>
  <c r="U344" i="37"/>
  <c r="AD426" i="37"/>
  <c r="S426" i="37"/>
  <c r="V442" i="37"/>
  <c r="X313" i="37"/>
  <c r="X358" i="37"/>
  <c r="Z422" i="37"/>
  <c r="AH422" i="37"/>
  <c r="S629" i="37"/>
  <c r="Z634" i="37"/>
  <c r="R618" i="37"/>
  <c r="X650" i="37"/>
  <c r="Q612" i="37"/>
  <c r="Z617" i="37"/>
  <c r="P619" i="37"/>
  <c r="Q631" i="37"/>
  <c r="P574" i="37"/>
  <c r="V646" i="37"/>
  <c r="S675" i="37"/>
  <c r="S791" i="37"/>
  <c r="R791" i="37"/>
  <c r="Q791" i="37"/>
  <c r="AF412" i="37"/>
  <c r="AE412" i="37"/>
  <c r="AB412" i="37"/>
  <c r="X412" i="37"/>
  <c r="AF424" i="37"/>
  <c r="AA424" i="37"/>
  <c r="R760" i="37"/>
  <c r="T760" i="37"/>
  <c r="P760" i="37"/>
  <c r="S760" i="37"/>
  <c r="R768" i="37"/>
  <c r="Q768" i="37"/>
  <c r="Q760" i="37"/>
  <c r="P768" i="37"/>
  <c r="P774" i="37"/>
  <c r="Q774" i="37"/>
  <c r="T774" i="37"/>
  <c r="P640" i="37"/>
  <c r="V640" i="37"/>
  <c r="Q640" i="37"/>
  <c r="AH328" i="37"/>
  <c r="AF328" i="37"/>
  <c r="U423" i="37"/>
  <c r="AA420" i="37"/>
  <c r="R420" i="37"/>
  <c r="S703" i="37"/>
  <c r="V703" i="37"/>
  <c r="R703" i="37"/>
  <c r="T703" i="37"/>
  <c r="Y703" i="37"/>
  <c r="T516" i="37"/>
  <c r="AG516" i="37"/>
  <c r="Z516" i="37"/>
  <c r="V516" i="37"/>
  <c r="AF516" i="37"/>
  <c r="AB516" i="37"/>
  <c r="U516" i="37"/>
  <c r="AH516" i="37"/>
  <c r="AA516" i="37"/>
  <c r="Y795" i="37"/>
  <c r="Q795" i="37"/>
  <c r="W795" i="37"/>
  <c r="X795" i="37"/>
  <c r="V795" i="37"/>
  <c r="Z795" i="37"/>
  <c r="S795" i="37"/>
  <c r="R795" i="37"/>
  <c r="T795" i="37"/>
  <c r="P785" i="37"/>
  <c r="T785" i="37"/>
  <c r="S785" i="37"/>
  <c r="S681" i="37"/>
  <c r="R683" i="37"/>
  <c r="Y645" i="37"/>
  <c r="R645" i="37"/>
  <c r="R767" i="37"/>
  <c r="T767" i="37"/>
  <c r="Q767" i="37"/>
  <c r="S796" i="37"/>
  <c r="Q796" i="37"/>
  <c r="Q786" i="37"/>
  <c r="R786" i="37"/>
  <c r="S786" i="37"/>
  <c r="T786" i="37"/>
  <c r="Q759" i="37"/>
  <c r="S782" i="37"/>
  <c r="Q780" i="37"/>
  <c r="P761" i="37"/>
  <c r="AF391" i="37"/>
  <c r="W620" i="37"/>
  <c r="Y683" i="37"/>
  <c r="Q645" i="37"/>
  <c r="Q782" i="37"/>
  <c r="T789" i="37"/>
  <c r="Q764" i="37"/>
  <c r="X764" i="37"/>
  <c r="Z764" i="37"/>
  <c r="S764" i="37"/>
  <c r="P764" i="37"/>
  <c r="Q794" i="37"/>
  <c r="T794" i="37"/>
  <c r="R794" i="37"/>
  <c r="S794" i="37"/>
  <c r="P794" i="37"/>
  <c r="R764" i="37"/>
  <c r="R763" i="37"/>
  <c r="P763" i="37"/>
  <c r="S763" i="37"/>
  <c r="Q761" i="37"/>
  <c r="R780" i="37"/>
  <c r="S767" i="37"/>
  <c r="T776" i="37"/>
  <c r="S761" i="37"/>
  <c r="X311" i="37"/>
  <c r="Y391" i="37"/>
  <c r="Z391" i="37"/>
  <c r="AG391" i="37"/>
  <c r="R391" i="37"/>
  <c r="T356" i="37"/>
  <c r="AA356" i="37"/>
  <c r="Y450" i="37"/>
  <c r="AH450" i="37"/>
  <c r="U450" i="37"/>
  <c r="AF450" i="37"/>
  <c r="S450" i="37"/>
  <c r="AB450" i="37"/>
  <c r="X450" i="37"/>
  <c r="R450" i="37"/>
  <c r="Z450" i="37"/>
  <c r="AD450" i="37"/>
  <c r="R412" i="37"/>
  <c r="AH412" i="37"/>
  <c r="Z412" i="37"/>
  <c r="V412" i="37"/>
  <c r="AG412" i="37"/>
  <c r="AD412" i="37"/>
  <c r="U412" i="37"/>
  <c r="AF341" i="37"/>
  <c r="S341" i="37"/>
  <c r="R341" i="37"/>
  <c r="AA341" i="37"/>
  <c r="AG341" i="37"/>
  <c r="AE341" i="37"/>
  <c r="AH341" i="37"/>
  <c r="AB341" i="37"/>
  <c r="X424" i="37"/>
  <c r="S424" i="37"/>
  <c r="AG424" i="37"/>
  <c r="Z424" i="37"/>
  <c r="R424" i="37"/>
  <c r="T424" i="37"/>
  <c r="AD424" i="37"/>
  <c r="U424" i="37"/>
  <c r="Q732" i="37"/>
  <c r="Y661" i="37"/>
  <c r="S661" i="37"/>
  <c r="W661" i="37"/>
  <c r="X661" i="37"/>
  <c r="V661" i="37"/>
  <c r="R661" i="37"/>
  <c r="P661" i="37"/>
  <c r="S576" i="37"/>
  <c r="X576" i="37"/>
  <c r="R576" i="37"/>
  <c r="P576" i="37"/>
  <c r="Z576" i="37"/>
  <c r="V576" i="37"/>
  <c r="W576" i="37"/>
  <c r="Y576" i="37"/>
  <c r="P671" i="37"/>
  <c r="W671" i="37"/>
  <c r="X671" i="37"/>
  <c r="R671" i="37"/>
  <c r="Q671" i="37"/>
  <c r="T671" i="37"/>
  <c r="Z671" i="37"/>
  <c r="S671" i="37"/>
  <c r="Y668" i="37"/>
  <c r="W668" i="37"/>
  <c r="Q668" i="37"/>
  <c r="P668" i="37"/>
  <c r="T668" i="37"/>
  <c r="Z668" i="37"/>
  <c r="S668" i="37"/>
  <c r="X558" i="37"/>
  <c r="W558" i="37"/>
  <c r="Z558" i="37"/>
  <c r="P558" i="37"/>
  <c r="R558" i="37"/>
  <c r="Q558" i="37"/>
  <c r="T558" i="37"/>
  <c r="V558" i="37"/>
  <c r="S558" i="37"/>
  <c r="Y558" i="37"/>
  <c r="X668" i="37"/>
  <c r="X339" i="37"/>
  <c r="Z339" i="37"/>
  <c r="V339" i="37"/>
  <c r="AH339" i="37"/>
  <c r="U321" i="37"/>
  <c r="R321" i="37"/>
  <c r="T381" i="37"/>
  <c r="R697" i="37"/>
  <c r="S697" i="37"/>
  <c r="T697" i="37"/>
  <c r="Q697" i="37"/>
  <c r="Y712" i="37"/>
  <c r="R712" i="37"/>
  <c r="T712" i="37"/>
  <c r="Q712" i="37"/>
  <c r="Z712" i="37"/>
  <c r="P712" i="37"/>
  <c r="W712" i="37"/>
  <c r="S712" i="37"/>
  <c r="X712" i="37"/>
  <c r="Y643" i="37"/>
  <c r="T643" i="37"/>
  <c r="S643" i="37"/>
  <c r="P643" i="37"/>
  <c r="Z643" i="37"/>
  <c r="Q643" i="37"/>
  <c r="R627" i="37"/>
  <c r="T607" i="37"/>
  <c r="P607" i="37"/>
  <c r="S607" i="37"/>
  <c r="Q607" i="37"/>
  <c r="Q741" i="37"/>
  <c r="Y622" i="37"/>
  <c r="T622" i="37"/>
  <c r="P622" i="37"/>
  <c r="W622" i="37"/>
  <c r="S622" i="37"/>
  <c r="X622" i="37"/>
  <c r="Z586" i="37"/>
  <c r="T586" i="37"/>
  <c r="S586" i="37"/>
  <c r="X586" i="37"/>
  <c r="T630" i="37"/>
  <c r="Y630" i="37"/>
  <c r="W630" i="37"/>
  <c r="V630" i="37"/>
  <c r="R630" i="37"/>
  <c r="R657" i="37"/>
  <c r="S721" i="37"/>
  <c r="Z721" i="37"/>
  <c r="Y721" i="37"/>
  <c r="T721" i="37"/>
  <c r="R721" i="37"/>
  <c r="Q754" i="37"/>
  <c r="P754" i="37"/>
  <c r="S596" i="37"/>
  <c r="P596" i="37"/>
  <c r="Z596" i="37"/>
  <c r="R596" i="37"/>
  <c r="V596" i="37"/>
  <c r="T596" i="37"/>
  <c r="Y596" i="37"/>
  <c r="Q596" i="37"/>
  <c r="W596" i="37"/>
  <c r="Y635" i="37"/>
  <c r="T635" i="37"/>
  <c r="Q635" i="37"/>
  <c r="R635" i="37"/>
  <c r="P635" i="37"/>
  <c r="W635" i="37"/>
  <c r="S635" i="37"/>
  <c r="S560" i="37"/>
  <c r="Q560" i="37"/>
  <c r="Y560" i="37"/>
  <c r="X560" i="37"/>
  <c r="W560" i="37"/>
  <c r="Z560" i="37"/>
  <c r="T560" i="37"/>
  <c r="P560" i="37"/>
  <c r="V560" i="37"/>
  <c r="R560" i="37"/>
  <c r="Y704" i="37"/>
  <c r="V704" i="37"/>
  <c r="Q704" i="37"/>
  <c r="R704" i="37"/>
  <c r="Z704" i="37"/>
  <c r="X704" i="37"/>
  <c r="W704" i="37"/>
  <c r="S704" i="37"/>
  <c r="T704" i="37"/>
  <c r="P704" i="37"/>
  <c r="P737" i="37"/>
  <c r="S748" i="37"/>
  <c r="X658" i="37"/>
  <c r="P658" i="37"/>
  <c r="Z658" i="37"/>
  <c r="Q658" i="37"/>
  <c r="Y658" i="37"/>
  <c r="S658" i="37"/>
  <c r="T658" i="37"/>
  <c r="W658" i="37"/>
  <c r="T642" i="37"/>
  <c r="Y642" i="37"/>
  <c r="Z642" i="37"/>
  <c r="X642" i="37"/>
  <c r="Q642" i="37"/>
  <c r="S564" i="37"/>
  <c r="Q564" i="37"/>
  <c r="Y564" i="37"/>
  <c r="X564" i="37"/>
  <c r="W564" i="37"/>
  <c r="Z564" i="37"/>
  <c r="V564" i="37"/>
  <c r="R564" i="37"/>
  <c r="P564" i="37"/>
  <c r="T564" i="37"/>
  <c r="Q567" i="37"/>
  <c r="T567" i="37"/>
  <c r="P567" i="37"/>
  <c r="Y666" i="37"/>
  <c r="W666" i="37"/>
  <c r="Q666" i="37"/>
  <c r="P666" i="37"/>
  <c r="T666" i="37"/>
  <c r="R666" i="37"/>
  <c r="R575" i="37"/>
  <c r="T575" i="37"/>
  <c r="S575" i="37"/>
  <c r="Z575" i="37"/>
  <c r="P575" i="37"/>
  <c r="Y575" i="37"/>
  <c r="R738" i="37"/>
  <c r="Y664" i="37"/>
  <c r="W664" i="37"/>
  <c r="Q664" i="37"/>
  <c r="P664" i="37"/>
  <c r="T664" i="37"/>
  <c r="V664" i="37"/>
  <c r="R664" i="37"/>
  <c r="X664" i="37"/>
  <c r="Y724" i="37"/>
  <c r="S724" i="37"/>
  <c r="Z724" i="37"/>
  <c r="T724" i="37"/>
  <c r="S714" i="37"/>
  <c r="P714" i="37"/>
  <c r="V714" i="37" s="1"/>
  <c r="Y714" i="37"/>
  <c r="R714" i="37"/>
  <c r="W714" i="37"/>
  <c r="Z714" i="37"/>
  <c r="T714" i="37"/>
  <c r="Q714" i="37"/>
  <c r="X714" i="37"/>
  <c r="T621" i="37"/>
  <c r="Y621" i="37"/>
  <c r="P621" i="37"/>
  <c r="W621" i="37"/>
  <c r="S621" i="37"/>
  <c r="X621" i="37"/>
  <c r="Y671" i="37"/>
  <c r="Y586" i="37"/>
  <c r="R658" i="37"/>
  <c r="AD318" i="37"/>
  <c r="R318" i="37"/>
  <c r="AF318" i="37"/>
  <c r="Z318" i="37"/>
  <c r="S318" i="37"/>
  <c r="AE318" i="37"/>
  <c r="X318" i="37"/>
  <c r="AA318" i="37"/>
  <c r="AB318" i="37"/>
  <c r="V318" i="37"/>
  <c r="R360" i="37"/>
  <c r="AB360" i="37"/>
  <c r="Z360" i="37"/>
  <c r="T360" i="37"/>
  <c r="AH474" i="37"/>
  <c r="AB474" i="37"/>
  <c r="AG474" i="37"/>
  <c r="AD436" i="37"/>
  <c r="T436" i="37"/>
  <c r="AE436" i="37"/>
  <c r="V436" i="37"/>
  <c r="AF436" i="37"/>
  <c r="AH436" i="37"/>
  <c r="T727" i="37"/>
  <c r="Z727" i="37"/>
  <c r="Q727" i="37"/>
  <c r="R727" i="37"/>
  <c r="S727" i="37"/>
  <c r="P727" i="37"/>
  <c r="V727" i="37" s="1"/>
  <c r="P673" i="37"/>
  <c r="S673" i="37"/>
  <c r="Q673" i="37"/>
  <c r="T673" i="37"/>
  <c r="P756" i="37"/>
  <c r="W706" i="37"/>
  <c r="Y706" i="37"/>
  <c r="Q706" i="37"/>
  <c r="P706" i="37"/>
  <c r="X706" i="37"/>
  <c r="R706" i="37"/>
  <c r="S706" i="37"/>
  <c r="Y694" i="37"/>
  <c r="X694" i="37"/>
  <c r="P694" i="37"/>
  <c r="V694" i="37"/>
  <c r="Z694" i="37"/>
  <c r="Q694" i="37"/>
  <c r="W694" i="37"/>
  <c r="S694" i="37"/>
  <c r="P746" i="37"/>
  <c r="Q746" i="37"/>
  <c r="S746" i="37"/>
  <c r="Z698" i="37"/>
  <c r="S698" i="37"/>
  <c r="P698" i="37"/>
  <c r="T698" i="37"/>
  <c r="W698" i="37"/>
  <c r="X698" i="37"/>
  <c r="V698" i="37"/>
  <c r="P660" i="37"/>
  <c r="Q660" i="37"/>
  <c r="T660" i="37"/>
  <c r="Y660" i="37"/>
  <c r="W660" i="37"/>
  <c r="R660" i="37"/>
  <c r="S660" i="37"/>
  <c r="X660" i="37"/>
  <c r="Q757" i="37"/>
  <c r="P757" i="37"/>
  <c r="S757" i="37"/>
  <c r="T589" i="37"/>
  <c r="Y589" i="37"/>
  <c r="V589" i="37"/>
  <c r="Z589" i="37"/>
  <c r="S589" i="37"/>
  <c r="X589" i="37"/>
  <c r="P589" i="37"/>
  <c r="Q589" i="37"/>
  <c r="R589" i="37"/>
  <c r="W589" i="37"/>
  <c r="Y672" i="37"/>
  <c r="W672" i="37"/>
  <c r="Q672" i="37"/>
  <c r="P672" i="37"/>
  <c r="T672" i="37"/>
  <c r="X672" i="37"/>
  <c r="Z672" i="37"/>
  <c r="V672" i="37"/>
  <c r="Y356" i="37"/>
  <c r="Z356" i="37"/>
  <c r="AF356" i="37"/>
  <c r="AD356" i="37"/>
  <c r="S356" i="37"/>
  <c r="X356" i="37"/>
  <c r="U391" i="37"/>
  <c r="AB391" i="37"/>
  <c r="V391" i="37"/>
  <c r="T391" i="37"/>
  <c r="AA391" i="37"/>
  <c r="T353" i="37"/>
  <c r="Z353" i="37"/>
  <c r="AF353" i="37"/>
  <c r="Y353" i="37"/>
  <c r="R353" i="37"/>
  <c r="AA353" i="37"/>
  <c r="AD353" i="37"/>
  <c r="V353" i="37"/>
  <c r="AE353" i="37"/>
  <c r="U311" i="37"/>
  <c r="AH311" i="37"/>
  <c r="V311" i="37"/>
  <c r="AD311" i="37"/>
  <c r="Z311" i="37"/>
  <c r="AG311" i="37"/>
  <c r="AF311" i="37"/>
  <c r="T311" i="37"/>
  <c r="AE311" i="37"/>
  <c r="V660" i="37"/>
  <c r="R698" i="37"/>
  <c r="Q698" i="37"/>
  <c r="Y605" i="37"/>
  <c r="S605" i="37"/>
  <c r="W605" i="37"/>
  <c r="V605" i="37"/>
  <c r="R605" i="37"/>
  <c r="Z605" i="37"/>
  <c r="P605" i="37"/>
  <c r="T605" i="37"/>
  <c r="Q605" i="37"/>
  <c r="X562" i="37"/>
  <c r="W562" i="37"/>
  <c r="Z562" i="37"/>
  <c r="P562" i="37"/>
  <c r="R562" i="37"/>
  <c r="S562" i="37"/>
  <c r="Y562" i="37"/>
  <c r="V562" i="37"/>
  <c r="Q562" i="37"/>
  <c r="T562" i="37"/>
  <c r="AA311" i="37"/>
  <c r="Y311" i="37"/>
  <c r="S391" i="37"/>
  <c r="AB356" i="37"/>
  <c r="U356" i="37"/>
  <c r="V356" i="37"/>
  <c r="Q576" i="37"/>
  <c r="S672" i="37"/>
  <c r="X605" i="37"/>
  <c r="V668" i="37"/>
  <c r="Z660" i="37"/>
  <c r="V635" i="37"/>
  <c r="P730" i="37"/>
  <c r="Q730" i="37"/>
  <c r="R691" i="37"/>
  <c r="T691" i="37"/>
  <c r="P691" i="37"/>
  <c r="W691" i="37"/>
  <c r="V691" i="37"/>
  <c r="Z691" i="37"/>
  <c r="S691" i="37"/>
  <c r="Y691" i="37"/>
  <c r="X691" i="37"/>
  <c r="Y647" i="37"/>
  <c r="T647" i="37"/>
  <c r="V647" i="37"/>
  <c r="Z647" i="37"/>
  <c r="Q647" i="37"/>
  <c r="R647" i="37"/>
  <c r="P729" i="37"/>
  <c r="T729" i="37"/>
  <c r="Z729" i="37"/>
  <c r="R742" i="37"/>
  <c r="T652" i="37"/>
  <c r="Y652" i="37"/>
  <c r="R652" i="37"/>
  <c r="X652" i="37"/>
  <c r="Q652" i="37"/>
  <c r="Y641" i="37"/>
  <c r="T641" i="37"/>
  <c r="P641" i="37"/>
  <c r="V641" i="37"/>
  <c r="R641" i="37"/>
  <c r="S641" i="37"/>
  <c r="W641" i="37"/>
  <c r="S592" i="37"/>
  <c r="P592" i="37"/>
  <c r="Z592" i="37"/>
  <c r="Y592" i="37"/>
  <c r="R592" i="37"/>
  <c r="T592" i="37"/>
  <c r="V592" i="37"/>
  <c r="W592" i="37"/>
  <c r="X592" i="37"/>
  <c r="T674" i="37"/>
  <c r="W674" i="37"/>
  <c r="Y674" i="37"/>
  <c r="Q674" i="37"/>
  <c r="P674" i="37"/>
  <c r="Z674" i="37"/>
  <c r="R674" i="37"/>
  <c r="W690" i="37"/>
  <c r="T690" i="37"/>
  <c r="S690" i="37"/>
  <c r="Z690" i="37"/>
  <c r="X690" i="37"/>
  <c r="Y690" i="37"/>
  <c r="R690" i="37"/>
  <c r="V690" i="37"/>
  <c r="P690" i="37"/>
  <c r="P561" i="37"/>
  <c r="R561" i="37"/>
  <c r="Q561" i="37"/>
  <c r="V561" i="37"/>
  <c r="T561" i="37"/>
  <c r="X561" i="37"/>
  <c r="Y561" i="37"/>
  <c r="W561" i="37"/>
  <c r="R594" i="37"/>
  <c r="T594" i="37"/>
  <c r="S594" i="37"/>
  <c r="P594" i="37"/>
  <c r="V594" i="37" s="1"/>
  <c r="P603" i="37"/>
  <c r="Z603" i="37"/>
  <c r="T603" i="37"/>
  <c r="S603" i="37"/>
  <c r="X603" i="37"/>
  <c r="Y603" i="37"/>
  <c r="Q603" i="37"/>
  <c r="W603" i="37"/>
  <c r="Y626" i="37"/>
  <c r="T626" i="37"/>
  <c r="W626" i="37"/>
  <c r="P626" i="37"/>
  <c r="V626" i="37"/>
  <c r="X626" i="37"/>
  <c r="Y620" i="37"/>
  <c r="T620" i="37"/>
  <c r="X620" i="37"/>
  <c r="Q620" i="37"/>
  <c r="S620" i="37"/>
  <c r="V620" i="37"/>
  <c r="T710" i="37"/>
  <c r="P680" i="37"/>
  <c r="S680" i="37"/>
  <c r="Y680" i="37"/>
  <c r="R680" i="37"/>
  <c r="X680" i="37"/>
  <c r="T680" i="37"/>
  <c r="Q680" i="37"/>
  <c r="W680" i="37"/>
  <c r="V680" i="37"/>
  <c r="P568" i="37"/>
  <c r="R568" i="37"/>
  <c r="V568" i="37"/>
  <c r="T568" i="37"/>
  <c r="W568" i="37"/>
  <c r="Q568" i="37"/>
  <c r="S568" i="37"/>
  <c r="Y568" i="37"/>
  <c r="X568" i="37"/>
  <c r="Z568" i="37"/>
  <c r="T679" i="37"/>
  <c r="T725" i="37"/>
  <c r="Z725" i="37"/>
  <c r="P572" i="37"/>
  <c r="R572" i="37"/>
  <c r="S572" i="37"/>
  <c r="T572" i="37"/>
  <c r="X572" i="37"/>
  <c r="Z572" i="37"/>
  <c r="Y572" i="37"/>
  <c r="T580" i="37"/>
  <c r="Z580" i="37"/>
  <c r="Q580" i="37"/>
  <c r="R623" i="37"/>
  <c r="Q623" i="37"/>
  <c r="P623" i="37"/>
  <c r="S623" i="37"/>
  <c r="T623" i="37"/>
  <c r="T614" i="37"/>
  <c r="Q614" i="37"/>
  <c r="R614" i="37"/>
  <c r="S753" i="37"/>
  <c r="Q753" i="37"/>
  <c r="Y649" i="37"/>
  <c r="T649" i="37"/>
  <c r="Q649" i="37"/>
  <c r="S649" i="37"/>
  <c r="W649" i="37"/>
  <c r="V649" i="37"/>
  <c r="T648" i="37"/>
  <c r="Y648" i="37"/>
  <c r="Q648" i="37"/>
  <c r="P648" i="37"/>
  <c r="V648" i="37"/>
  <c r="R648" i="37"/>
  <c r="S584" i="37"/>
  <c r="Z584" i="37"/>
  <c r="T584" i="37"/>
  <c r="Y584" i="37"/>
  <c r="R584" i="37"/>
  <c r="X584" i="37"/>
  <c r="Q661" i="37"/>
  <c r="V671" i="37"/>
  <c r="R753" i="37"/>
  <c r="T706" i="37"/>
  <c r="V658" i="37"/>
  <c r="V706" i="37"/>
  <c r="T694" i="37"/>
  <c r="T661" i="37"/>
  <c r="Q687" i="37"/>
  <c r="T687" i="37"/>
  <c r="P710" i="37"/>
  <c r="AB311" i="37"/>
  <c r="AH353" i="37"/>
  <c r="R311" i="37"/>
  <c r="AH356" i="37"/>
  <c r="R356" i="37"/>
  <c r="R757" i="37"/>
  <c r="R672" i="37"/>
  <c r="P669" i="37"/>
  <c r="Z669" i="37"/>
  <c r="Y669" i="37"/>
  <c r="W669" i="37"/>
  <c r="T669" i="37"/>
  <c r="Q669" i="37"/>
  <c r="X669" i="37"/>
  <c r="S669" i="37"/>
  <c r="P697" i="37"/>
  <c r="S561" i="37"/>
  <c r="Y698" i="37"/>
  <c r="V510" i="37"/>
  <c r="AF510" i="37"/>
  <c r="Z510" i="37"/>
  <c r="AA510" i="37"/>
  <c r="AA315" i="37"/>
  <c r="T315" i="37"/>
  <c r="AE315" i="37"/>
  <c r="R673" i="37"/>
  <c r="R694" i="37"/>
  <c r="Z661" i="37"/>
  <c r="Z609" i="37"/>
  <c r="X609" i="37"/>
  <c r="Q609" i="37"/>
  <c r="Y609" i="37"/>
  <c r="P609" i="37"/>
  <c r="S609" i="37"/>
  <c r="W609" i="37"/>
  <c r="R609" i="37"/>
  <c r="T609" i="37"/>
  <c r="V609" i="37"/>
  <c r="P676" i="37"/>
  <c r="W676" i="37"/>
  <c r="T676" i="37"/>
  <c r="Q676" i="37"/>
  <c r="Y653" i="37"/>
  <c r="T653" i="37"/>
  <c r="T616" i="37"/>
  <c r="Y615" i="37"/>
  <c r="T615" i="37"/>
  <c r="Y611" i="37"/>
  <c r="T611" i="37"/>
  <c r="R740" i="37"/>
  <c r="Q740" i="37"/>
  <c r="Q750" i="37"/>
  <c r="S750" i="37"/>
  <c r="P750" i="37"/>
  <c r="Y636" i="37"/>
  <c r="T636" i="37"/>
  <c r="Y591" i="37"/>
  <c r="V591" i="37"/>
  <c r="S591" i="37"/>
  <c r="X591" i="37"/>
  <c r="T591" i="37"/>
  <c r="R591" i="37"/>
  <c r="P591" i="37"/>
  <c r="Z591" i="37"/>
  <c r="Q591" i="37"/>
  <c r="Q736" i="37"/>
  <c r="S752" i="37"/>
  <c r="W692" i="37"/>
  <c r="Z692" i="37"/>
  <c r="S692" i="37"/>
  <c r="T692" i="37"/>
  <c r="P692" i="37"/>
  <c r="R692" i="37"/>
  <c r="V692" i="37"/>
  <c r="Y692" i="37"/>
  <c r="X692" i="37"/>
  <c r="Q692" i="37"/>
  <c r="S570" i="37"/>
  <c r="Q570" i="37"/>
  <c r="Y570" i="37"/>
  <c r="X570" i="37"/>
  <c r="W570" i="37"/>
  <c r="Z570" i="37"/>
  <c r="T570" i="37"/>
  <c r="R570" i="37"/>
  <c r="P570" i="37"/>
  <c r="V570" i="37"/>
  <c r="P686" i="37"/>
  <c r="Y670" i="37"/>
  <c r="W670" i="37"/>
  <c r="Q670" i="37"/>
  <c r="P670" i="37"/>
  <c r="T670" i="37"/>
  <c r="S600" i="37"/>
  <c r="Q600" i="37"/>
  <c r="P600" i="37"/>
  <c r="Z600" i="37"/>
  <c r="X600" i="37"/>
  <c r="W600" i="37"/>
  <c r="T600" i="37"/>
  <c r="Y600" i="37"/>
  <c r="R717" i="37"/>
  <c r="T717" i="37"/>
  <c r="X717" i="37"/>
  <c r="S717" i="37"/>
  <c r="Z717" i="37"/>
  <c r="Y717" i="37"/>
  <c r="Q717" i="37"/>
  <c r="R733" i="37"/>
  <c r="T733" i="37"/>
  <c r="Z733" i="37"/>
  <c r="R578" i="37"/>
  <c r="P695" i="37"/>
  <c r="S695" i="37"/>
  <c r="T588" i="37"/>
  <c r="Y588" i="37"/>
  <c r="V588" i="37"/>
  <c r="R588" i="37"/>
  <c r="Z588" i="37"/>
  <c r="P588" i="37"/>
  <c r="S588" i="37"/>
  <c r="R709" i="37"/>
  <c r="P709" i="37"/>
  <c r="X709" i="37"/>
  <c r="Q709" i="37"/>
  <c r="W709" i="37"/>
  <c r="T709" i="37"/>
  <c r="S709" i="37"/>
  <c r="Y709" i="37"/>
  <c r="Z709" i="37"/>
  <c r="Q662" i="37"/>
  <c r="Z662" i="37"/>
  <c r="X689" i="37"/>
  <c r="Y357" i="37"/>
  <c r="X357" i="37"/>
  <c r="Z702" i="37"/>
  <c r="S670" i="37"/>
  <c r="X653" i="37"/>
  <c r="S636" i="37"/>
  <c r="S616" i="37"/>
  <c r="S743" i="37"/>
  <c r="Q743" i="37"/>
  <c r="R743" i="37"/>
  <c r="X577" i="37"/>
  <c r="Y577" i="37"/>
  <c r="P577" i="37"/>
  <c r="R577" i="37"/>
  <c r="Q577" i="37"/>
  <c r="Z577" i="37"/>
  <c r="V577" i="37"/>
  <c r="S577" i="37"/>
  <c r="T577" i="37"/>
  <c r="Y640" i="37"/>
  <c r="T640" i="37"/>
  <c r="S615" i="37"/>
  <c r="R611" i="37"/>
  <c r="AG413" i="37"/>
  <c r="X413" i="37"/>
  <c r="AD328" i="37"/>
  <c r="X328" i="37"/>
  <c r="R676" i="37"/>
  <c r="S676" i="37"/>
  <c r="S640" i="37"/>
  <c r="R640" i="37"/>
  <c r="T593" i="37"/>
  <c r="R593" i="37"/>
  <c r="Y593" i="37"/>
  <c r="V593" i="37"/>
  <c r="W593" i="37"/>
  <c r="P593" i="37"/>
  <c r="Q593" i="37"/>
  <c r="S593" i="37"/>
  <c r="X593" i="37"/>
  <c r="Z593" i="37"/>
  <c r="T617" i="37"/>
  <c r="Y617" i="37"/>
  <c r="Y637" i="37"/>
  <c r="T637" i="37"/>
  <c r="R701" i="37"/>
  <c r="V701" i="37"/>
  <c r="W701" i="37"/>
  <c r="T701" i="37"/>
  <c r="Z701" i="37"/>
  <c r="P701" i="37"/>
  <c r="Y701" i="37"/>
  <c r="Q701" i="37"/>
  <c r="S701" i="37"/>
  <c r="Z574" i="37"/>
  <c r="X574" i="37"/>
  <c r="Y619" i="37"/>
  <c r="T619" i="37"/>
  <c r="T625" i="37"/>
  <c r="Y625" i="37"/>
  <c r="Y665" i="37"/>
  <c r="T665" i="37"/>
  <c r="P665" i="37"/>
  <c r="W665" i="37"/>
  <c r="Q665" i="37"/>
  <c r="T747" i="37"/>
  <c r="T654" i="37"/>
  <c r="Y654" i="37"/>
  <c r="Q683" i="37"/>
  <c r="T683" i="37"/>
  <c r="Y708" i="37"/>
  <c r="R708" i="37"/>
  <c r="P708" i="37"/>
  <c r="V708" i="37" s="1"/>
  <c r="Q708" i="37"/>
  <c r="W708" i="37"/>
  <c r="S708" i="37"/>
  <c r="Z708" i="37"/>
  <c r="X708" i="37"/>
  <c r="T708" i="37"/>
  <c r="S599" i="37"/>
  <c r="P599" i="37"/>
  <c r="Z599" i="37"/>
  <c r="T599" i="37"/>
  <c r="X599" i="37"/>
  <c r="Y599" i="37"/>
  <c r="Q599" i="37"/>
  <c r="Y595" i="37"/>
  <c r="V595" i="37"/>
  <c r="S595" i="37"/>
  <c r="X595" i="37"/>
  <c r="Z595" i="37"/>
  <c r="P595" i="37"/>
  <c r="Q595" i="37"/>
  <c r="T595" i="37"/>
  <c r="Y613" i="37"/>
  <c r="T613" i="37"/>
  <c r="S683" i="37"/>
  <c r="Q663" i="37"/>
  <c r="R651" i="37"/>
  <c r="Z651" i="37"/>
  <c r="W645" i="37"/>
  <c r="Z645" i="37"/>
  <c r="P645" i="37"/>
  <c r="S361" i="37"/>
  <c r="AD361" i="37"/>
  <c r="Y361" i="37"/>
  <c r="P565" i="37"/>
  <c r="Z357" i="37"/>
  <c r="W711" i="37"/>
  <c r="T711" i="37"/>
  <c r="S711" i="37"/>
  <c r="Z711" i="37"/>
  <c r="P711" i="37"/>
  <c r="Q711" i="37"/>
  <c r="Y711" i="37"/>
  <c r="R711" i="37"/>
  <c r="X711" i="37"/>
  <c r="S716" i="37"/>
  <c r="Q716" i="37"/>
  <c r="W667" i="37"/>
  <c r="P667" i="37"/>
  <c r="V678" i="37"/>
  <c r="Y682" i="37"/>
  <c r="P682" i="37"/>
  <c r="Q682" i="37"/>
  <c r="S682" i="37"/>
  <c r="W682" i="37"/>
  <c r="R682" i="37"/>
  <c r="X682" i="37"/>
  <c r="V682" i="37"/>
  <c r="T682" i="37"/>
  <c r="S730" i="37"/>
  <c r="S696" i="37"/>
  <c r="Z696" i="37"/>
  <c r="Y696" i="37"/>
  <c r="V696" i="37"/>
  <c r="R696" i="37"/>
  <c r="P696" i="37"/>
  <c r="W696" i="37"/>
  <c r="Q696" i="37"/>
  <c r="T696" i="37"/>
  <c r="X696" i="37"/>
  <c r="T585" i="37"/>
  <c r="P585" i="37"/>
  <c r="W585" i="37"/>
  <c r="Y585" i="37"/>
  <c r="X585" i="37"/>
  <c r="Q585" i="37"/>
  <c r="R585" i="37"/>
  <c r="Z585" i="37"/>
  <c r="S585" i="37"/>
  <c r="S602" i="37"/>
  <c r="P602" i="37"/>
  <c r="Z602" i="37"/>
  <c r="Y602" i="37"/>
  <c r="T602" i="37"/>
  <c r="R735" i="37"/>
  <c r="P581" i="37"/>
  <c r="Z581" i="37"/>
  <c r="Q581" i="37"/>
  <c r="T581" i="37"/>
  <c r="R581" i="37"/>
  <c r="X581" i="37"/>
  <c r="V581" i="37"/>
  <c r="Y581" i="37"/>
  <c r="W581" i="37"/>
  <c r="S581" i="37"/>
  <c r="T745" i="37"/>
  <c r="P745" i="37"/>
  <c r="T650" i="37"/>
  <c r="Y650" i="37"/>
  <c r="Z579" i="37"/>
  <c r="T579" i="37"/>
  <c r="W700" i="37"/>
  <c r="T700" i="37"/>
  <c r="S700" i="37"/>
  <c r="Z700" i="37"/>
  <c r="X700" i="37"/>
  <c r="Y700" i="37"/>
  <c r="P700" i="37"/>
  <c r="R700" i="37"/>
  <c r="V700" i="37"/>
  <c r="Y688" i="37"/>
  <c r="P688" i="37"/>
  <c r="X688" i="37"/>
  <c r="R688" i="37"/>
  <c r="T688" i="37"/>
  <c r="V688" i="37"/>
  <c r="S688" i="37"/>
  <c r="W688" i="37"/>
  <c r="Z688" i="37"/>
  <c r="Y715" i="37"/>
  <c r="P715" i="37"/>
  <c r="S715" i="37"/>
  <c r="T715" i="37"/>
  <c r="X715" i="37"/>
  <c r="Z715" i="37"/>
  <c r="R715" i="37"/>
  <c r="T597" i="37"/>
  <c r="R597" i="37"/>
  <c r="Y597" i="37"/>
  <c r="V597" i="37"/>
  <c r="Z597" i="37"/>
  <c r="S597" i="37"/>
  <c r="X597" i="37"/>
  <c r="P597" i="37"/>
  <c r="Q597" i="37"/>
  <c r="Y631" i="37"/>
  <c r="T631" i="37"/>
  <c r="Y693" i="37"/>
  <c r="V693" i="37"/>
  <c r="R693" i="37"/>
  <c r="P693" i="37"/>
  <c r="X693" i="37"/>
  <c r="T693" i="37"/>
  <c r="Q693" i="37"/>
  <c r="Z693" i="37"/>
  <c r="S693" i="37"/>
  <c r="W693" i="37"/>
  <c r="W655" i="37"/>
  <c r="X655" i="37"/>
  <c r="P590" i="37"/>
  <c r="Q578" i="37"/>
  <c r="Q574" i="37"/>
  <c r="S569" i="37"/>
  <c r="Z569" i="37"/>
  <c r="Q702" i="37"/>
  <c r="V707" i="37"/>
  <c r="X352" i="37"/>
  <c r="S352" i="37"/>
  <c r="T678" i="37"/>
  <c r="AA340" i="37"/>
  <c r="AF340" i="37"/>
  <c r="V340" i="37"/>
  <c r="AB340" i="37"/>
  <c r="AD340" i="37"/>
  <c r="Z340" i="37"/>
  <c r="Y340" i="37"/>
  <c r="AG340" i="37"/>
  <c r="AH340" i="37"/>
  <c r="AE340" i="37"/>
  <c r="R340" i="37"/>
  <c r="X340" i="37"/>
  <c r="U340" i="37"/>
  <c r="S340" i="37"/>
  <c r="T340" i="37"/>
  <c r="R731" i="37"/>
  <c r="R713" i="37"/>
  <c r="P713" i="37"/>
  <c r="X713" i="37"/>
  <c r="W713" i="37"/>
  <c r="T713" i="37"/>
  <c r="Q713" i="37"/>
  <c r="Y713" i="37"/>
  <c r="S713" i="37"/>
  <c r="Z713" i="37"/>
  <c r="T726" i="37"/>
  <c r="W678" i="37"/>
  <c r="P678" i="37"/>
  <c r="P662" i="37"/>
  <c r="X662" i="37"/>
  <c r="P689" i="37"/>
  <c r="R677" i="37"/>
  <c r="Z677" i="37"/>
  <c r="Q744" i="37"/>
  <c r="R744" i="37"/>
  <c r="Z705" i="37"/>
  <c r="X705" i="37"/>
  <c r="T720" i="37"/>
  <c r="S720" i="37"/>
  <c r="Z720" i="37"/>
  <c r="Q720" i="37"/>
  <c r="Y720" i="37"/>
  <c r="T624" i="37"/>
  <c r="P703" i="37"/>
  <c r="V569" i="37"/>
  <c r="AG357" i="37"/>
  <c r="Y378" i="37"/>
  <c r="Z421" i="37"/>
  <c r="S734" i="37"/>
  <c r="R734" i="37"/>
  <c r="R750" i="37"/>
  <c r="S740" i="37"/>
  <c r="R670" i="37"/>
  <c r="S653" i="37"/>
  <c r="W653" i="37"/>
  <c r="P653" i="37"/>
  <c r="W636" i="37"/>
  <c r="X636" i="37"/>
  <c r="R616" i="37"/>
  <c r="AE392" i="37"/>
  <c r="R617" i="37"/>
  <c r="X619" i="37"/>
  <c r="Q619" i="37"/>
  <c r="R615" i="37"/>
  <c r="V611" i="37"/>
  <c r="W611" i="37"/>
  <c r="Y604" i="37"/>
  <c r="W604" i="37"/>
  <c r="V604" i="37"/>
  <c r="S604" i="37"/>
  <c r="Q604" i="37"/>
  <c r="Z604" i="37"/>
  <c r="P604" i="37"/>
  <c r="X604" i="37"/>
  <c r="T604" i="37"/>
  <c r="Y639" i="37"/>
  <c r="T639" i="37"/>
  <c r="S601" i="37"/>
  <c r="W601" i="37"/>
  <c r="P601" i="37"/>
  <c r="Z601" i="37"/>
  <c r="V601" i="37"/>
  <c r="T601" i="37"/>
  <c r="Y601" i="37"/>
  <c r="X559" i="37"/>
  <c r="W559" i="37"/>
  <c r="P559" i="37"/>
  <c r="Q559" i="37"/>
  <c r="V559" i="37"/>
  <c r="S559" i="37"/>
  <c r="S654" i="37"/>
  <c r="Z637" i="37"/>
  <c r="W637" i="37"/>
  <c r="P637" i="37"/>
  <c r="R625" i="37"/>
  <c r="Q625" i="37"/>
  <c r="Z676" i="37"/>
  <c r="X676" i="37"/>
  <c r="W640" i="37"/>
  <c r="W591" i="37"/>
  <c r="W702" i="37"/>
  <c r="P683" i="37"/>
  <c r="V699" i="37"/>
  <c r="T578" i="37"/>
  <c r="AH357" i="37"/>
  <c r="W699" i="37"/>
  <c r="X683" i="37"/>
  <c r="V683" i="37"/>
  <c r="Y651" i="37"/>
  <c r="Q651" i="37"/>
  <c r="S651" i="37"/>
  <c r="Q751" i="37"/>
  <c r="V645" i="37"/>
  <c r="S645" i="37"/>
  <c r="T587" i="37"/>
  <c r="W587" i="37"/>
  <c r="Y587" i="37"/>
  <c r="V587" i="37"/>
  <c r="Z587" i="37"/>
  <c r="X587" i="37"/>
  <c r="S587" i="37"/>
  <c r="P587" i="37"/>
  <c r="Q587" i="37"/>
  <c r="P583" i="37"/>
  <c r="Y618" i="37"/>
  <c r="Q618" i="37"/>
  <c r="P618" i="37"/>
  <c r="T618" i="37"/>
  <c r="Y633" i="37"/>
  <c r="T633" i="37"/>
  <c r="T656" i="37"/>
  <c r="Y656" i="37"/>
  <c r="T610" i="37"/>
  <c r="Y610" i="37"/>
  <c r="Y723" i="37"/>
  <c r="R723" i="37"/>
  <c r="T723" i="37"/>
  <c r="Z723" i="37"/>
  <c r="S723" i="37"/>
  <c r="P723" i="37"/>
  <c r="T612" i="37"/>
  <c r="Y612" i="37"/>
  <c r="S573" i="37"/>
  <c r="X573" i="37"/>
  <c r="Q573" i="37"/>
  <c r="P573" i="37"/>
  <c r="Y685" i="37"/>
  <c r="W685" i="37"/>
  <c r="T685" i="37"/>
  <c r="Q685" i="37"/>
  <c r="R685" i="37"/>
  <c r="S685" i="37"/>
  <c r="P685" i="37"/>
  <c r="V685" i="37"/>
  <c r="X685" i="37"/>
  <c r="T634" i="37"/>
  <c r="Y634" i="37"/>
  <c r="Y629" i="37"/>
  <c r="T629" i="37"/>
  <c r="Q689" i="37"/>
  <c r="S357" i="37"/>
  <c r="V357" i="37"/>
  <c r="Y655" i="37"/>
  <c r="V655" i="37"/>
  <c r="R655" i="37"/>
  <c r="T590" i="37"/>
  <c r="Q590" i="37"/>
  <c r="Z578" i="37"/>
  <c r="S574" i="37"/>
  <c r="W569" i="37"/>
  <c r="S565" i="37"/>
  <c r="R702" i="37"/>
  <c r="AA357" i="37"/>
  <c r="Y707" i="37"/>
  <c r="R758" i="37"/>
  <c r="T758" i="37"/>
  <c r="S758" i="37"/>
  <c r="Z758" i="37"/>
  <c r="Y758" i="37"/>
  <c r="Y719" i="37"/>
  <c r="R719" i="37"/>
  <c r="Z719" i="37"/>
  <c r="T719" i="37"/>
  <c r="S719" i="37"/>
  <c r="Y632" i="37"/>
  <c r="T632" i="37"/>
  <c r="P659" i="37"/>
  <c r="T659" i="37"/>
  <c r="W659" i="37"/>
  <c r="Y659" i="37"/>
  <c r="Q659" i="37"/>
  <c r="Y628" i="37"/>
  <c r="T628" i="37"/>
  <c r="V563" i="37"/>
  <c r="S563" i="37"/>
  <c r="Q563" i="37"/>
  <c r="P563" i="37"/>
  <c r="W563" i="37"/>
  <c r="X563" i="37"/>
  <c r="V689" i="37"/>
  <c r="T699" i="37"/>
  <c r="X566" i="37"/>
  <c r="W566" i="37"/>
  <c r="P566" i="37"/>
  <c r="R566" i="37"/>
  <c r="S566" i="37"/>
  <c r="V566" i="37"/>
  <c r="T566" i="37"/>
  <c r="Q566" i="37"/>
  <c r="T608" i="37"/>
  <c r="Y684" i="37"/>
  <c r="Q684" i="37"/>
  <c r="R684" i="37"/>
  <c r="X684" i="37"/>
  <c r="P684" i="37"/>
  <c r="W684" i="37"/>
  <c r="T684" i="37"/>
  <c r="S684" i="37"/>
  <c r="V684" i="37"/>
  <c r="Y678" i="37"/>
  <c r="Z678" i="37"/>
  <c r="R662" i="37"/>
  <c r="T689" i="37"/>
  <c r="Y699" i="37"/>
  <c r="S707" i="37"/>
  <c r="B492" i="40" l="1"/>
  <c r="B210" i="65"/>
  <c r="Z797" i="37"/>
  <c r="P644" i="37"/>
  <c r="V644" i="37" s="1"/>
  <c r="AD538" i="37"/>
  <c r="AE538" i="37" s="1"/>
  <c r="AF538" i="37" s="1"/>
  <c r="AG538" i="37" s="1"/>
  <c r="AH538" i="37" s="1"/>
  <c r="AE366" i="37"/>
  <c r="AF366" i="37" s="1"/>
  <c r="S644" i="37"/>
  <c r="Q624" i="37"/>
  <c r="W762" i="37"/>
  <c r="X762" i="37" s="1"/>
  <c r="Y762" i="37" s="1"/>
  <c r="Z762" i="37" s="1"/>
  <c r="W779" i="37"/>
  <c r="X779" i="37" s="1"/>
  <c r="W792" i="37"/>
  <c r="X792" i="37" s="1"/>
  <c r="Y792" i="37" s="1"/>
  <c r="X778" i="37"/>
  <c r="Y778" i="37" s="1"/>
  <c r="Z778" i="37" s="1"/>
  <c r="Q783" i="37"/>
  <c r="T783" i="37"/>
  <c r="R624" i="37"/>
  <c r="R765" i="37"/>
  <c r="P765" i="37"/>
  <c r="V765" i="37" s="1"/>
  <c r="W765" i="37" s="1"/>
  <c r="W775" i="37"/>
  <c r="X775" i="37" s="1"/>
  <c r="X777" i="37"/>
  <c r="Y777" i="37" s="1"/>
  <c r="W773" i="37"/>
  <c r="X773" i="37" s="1"/>
  <c r="Y773" i="37" s="1"/>
  <c r="Z773" i="37" s="1"/>
  <c r="S783" i="37"/>
  <c r="AD359" i="37"/>
  <c r="AE359" i="37" s="1"/>
  <c r="P624" i="37"/>
  <c r="V624" i="37" s="1"/>
  <c r="P783" i="37"/>
  <c r="V783" i="37" s="1"/>
  <c r="W759" i="37"/>
  <c r="X759" i="37" s="1"/>
  <c r="Y759" i="37" s="1"/>
  <c r="W776" i="37"/>
  <c r="X776" i="37" s="1"/>
  <c r="Y776" i="37" s="1"/>
  <c r="Z776" i="37" s="1"/>
  <c r="W781" i="37"/>
  <c r="X781" i="37" s="1"/>
  <c r="Y781" i="37" s="1"/>
  <c r="W787" i="37"/>
  <c r="X787" i="37" s="1"/>
  <c r="Y787" i="37" s="1"/>
  <c r="Z787" i="37" s="1"/>
  <c r="W770" i="37"/>
  <c r="X770" i="37" s="1"/>
  <c r="R644" i="37"/>
  <c r="AD368" i="37"/>
  <c r="AE368" i="37" s="1"/>
  <c r="AF368" i="37" s="1"/>
  <c r="AG368" i="37" s="1"/>
  <c r="AH368" i="37" s="1"/>
  <c r="Q644" i="37"/>
  <c r="W606" i="37"/>
  <c r="X606" i="37" s="1"/>
  <c r="Y606" i="37" s="1"/>
  <c r="W766" i="37"/>
  <c r="X766" i="37" s="1"/>
  <c r="Y766" i="37" s="1"/>
  <c r="W594" i="37"/>
  <c r="X594" i="37" s="1"/>
  <c r="Y594" i="37" s="1"/>
  <c r="Z594" i="37" s="1"/>
  <c r="R582" i="37"/>
  <c r="W616" i="37"/>
  <c r="X616" i="37" s="1"/>
  <c r="Y616" i="37" s="1"/>
  <c r="Z616" i="37" s="1"/>
  <c r="W793" i="37"/>
  <c r="X793" i="37" s="1"/>
  <c r="Y793" i="37" s="1"/>
  <c r="Z793" i="37" s="1"/>
  <c r="AD360" i="37"/>
  <c r="AE360" i="37" s="1"/>
  <c r="AF360" i="37" s="1"/>
  <c r="AG360" i="37" s="1"/>
  <c r="AH360" i="37" s="1"/>
  <c r="P755" i="37"/>
  <c r="V755" i="37" s="1"/>
  <c r="W755" i="37" s="1"/>
  <c r="AD358" i="37"/>
  <c r="AE358" i="37" s="1"/>
  <c r="AF358" i="37" s="1"/>
  <c r="AG358" i="37" s="1"/>
  <c r="AH358" i="37" s="1"/>
  <c r="P615" i="37"/>
  <c r="V615" i="37" s="1"/>
  <c r="W615" i="37" s="1"/>
  <c r="R755" i="37"/>
  <c r="S755" i="37"/>
  <c r="T755" i="37"/>
  <c r="Q772" i="37"/>
  <c r="P772" i="37"/>
  <c r="V772" i="37" s="1"/>
  <c r="R772" i="37"/>
  <c r="W771" i="37"/>
  <c r="X771" i="37" s="1"/>
  <c r="W727" i="37"/>
  <c r="X727" i="37" s="1"/>
  <c r="Y727" i="37" s="1"/>
  <c r="P784" i="37"/>
  <c r="S784" i="37"/>
  <c r="Q784" i="37"/>
  <c r="R784" i="37"/>
  <c r="W749" i="37"/>
  <c r="V750" i="37"/>
  <c r="W750" i="37" s="1"/>
  <c r="X750" i="37" s="1"/>
  <c r="V710" i="37"/>
  <c r="V584" i="37"/>
  <c r="V730" i="37"/>
  <c r="W730" i="37" s="1"/>
  <c r="X730" i="37" s="1"/>
  <c r="Y730" i="37" s="1"/>
  <c r="V746" i="37"/>
  <c r="W746" i="37" s="1"/>
  <c r="V756" i="37"/>
  <c r="W786" i="37"/>
  <c r="X786" i="37" s="1"/>
  <c r="Y786" i="37" s="1"/>
  <c r="Z786" i="37" s="1"/>
  <c r="V754" i="37"/>
  <c r="W754" i="37" s="1"/>
  <c r="V723" i="37"/>
  <c r="V715" i="37"/>
  <c r="V711" i="37"/>
  <c r="V709" i="37"/>
  <c r="V572" i="37"/>
  <c r="V729" i="37"/>
  <c r="V567" i="37"/>
  <c r="V712" i="37"/>
  <c r="V758" i="37"/>
  <c r="V585" i="37"/>
  <c r="V686" i="37"/>
  <c r="V607" i="37"/>
  <c r="W607" i="37" s="1"/>
  <c r="X607" i="37" s="1"/>
  <c r="V687" i="37"/>
  <c r="W687" i="37" s="1"/>
  <c r="X687" i="37" s="1"/>
  <c r="Y687" i="37" s="1"/>
  <c r="Z687" i="37" s="1"/>
  <c r="V681" i="37"/>
  <c r="W681" i="37" s="1"/>
  <c r="X681" i="37" s="1"/>
  <c r="Y681" i="37" s="1"/>
  <c r="Z681" i="37" s="1"/>
  <c r="T657" i="37"/>
  <c r="V761" i="37"/>
  <c r="W761" i="37" s="1"/>
  <c r="X761" i="37" s="1"/>
  <c r="V769" i="37"/>
  <c r="W769" i="37" s="1"/>
  <c r="T736" i="37"/>
  <c r="Q756" i="37"/>
  <c r="P657" i="37"/>
  <c r="S657" i="37"/>
  <c r="P627" i="37"/>
  <c r="W790" i="37"/>
  <c r="X790" i="37" s="1"/>
  <c r="Y790" i="37" s="1"/>
  <c r="S789" i="37"/>
  <c r="Q789" i="37"/>
  <c r="V785" i="37"/>
  <c r="V760" i="37"/>
  <c r="W760" i="37" s="1"/>
  <c r="X760" i="37" s="1"/>
  <c r="Y760" i="37" s="1"/>
  <c r="Z760" i="37" s="1"/>
  <c r="W780" i="37"/>
  <c r="X780" i="37" s="1"/>
  <c r="Y780" i="37" s="1"/>
  <c r="P734" i="37"/>
  <c r="T734" i="37"/>
  <c r="V578" i="37"/>
  <c r="W578" i="37" s="1"/>
  <c r="X578" i="37" s="1"/>
  <c r="Y578" i="37" s="1"/>
  <c r="V768" i="37"/>
  <c r="W768" i="37" s="1"/>
  <c r="T686" i="37"/>
  <c r="Q729" i="37"/>
  <c r="T752" i="37"/>
  <c r="T743" i="37"/>
  <c r="P743" i="37"/>
  <c r="R686" i="37"/>
  <c r="R736" i="37"/>
  <c r="T750" i="37"/>
  <c r="S729" i="37"/>
  <c r="V757" i="37"/>
  <c r="W757" i="37" s="1"/>
  <c r="X757" i="37" s="1"/>
  <c r="Y757" i="37" s="1"/>
  <c r="T757" i="37"/>
  <c r="R756" i="37"/>
  <c r="S756" i="37"/>
  <c r="P721" i="37"/>
  <c r="Q657" i="37"/>
  <c r="Q627" i="37"/>
  <c r="V794" i="37"/>
  <c r="W794" i="37" s="1"/>
  <c r="P782" i="37"/>
  <c r="T782" i="37"/>
  <c r="R789" i="37"/>
  <c r="T796" i="37"/>
  <c r="P796" i="37"/>
  <c r="R785" i="37"/>
  <c r="P791" i="37"/>
  <c r="V788" i="37"/>
  <c r="Q734" i="37"/>
  <c r="W767" i="37"/>
  <c r="X767" i="37" s="1"/>
  <c r="S686" i="37"/>
  <c r="T756" i="37"/>
  <c r="R754" i="37"/>
  <c r="Q721" i="37"/>
  <c r="V763" i="37"/>
  <c r="W763" i="37" s="1"/>
  <c r="V764" i="37"/>
  <c r="W764" i="37" s="1"/>
  <c r="R782" i="37"/>
  <c r="P789" i="37"/>
  <c r="R796" i="37"/>
  <c r="Q785" i="37"/>
  <c r="V774" i="37"/>
  <c r="W774" i="37" s="1"/>
  <c r="X774" i="37" s="1"/>
  <c r="T791" i="37"/>
  <c r="R788" i="37"/>
  <c r="Q788" i="37"/>
  <c r="V583" i="37"/>
  <c r="R728" i="37"/>
  <c r="S728" i="37"/>
  <c r="T728" i="37"/>
  <c r="P728" i="37"/>
  <c r="P752" i="37"/>
  <c r="R752" i="37"/>
  <c r="S580" i="37"/>
  <c r="P580" i="37"/>
  <c r="R725" i="37"/>
  <c r="P725" i="37"/>
  <c r="R679" i="37"/>
  <c r="R710" i="37"/>
  <c r="P738" i="37"/>
  <c r="T738" i="37"/>
  <c r="T748" i="37"/>
  <c r="R737" i="37"/>
  <c r="T737" i="37"/>
  <c r="S737" i="37"/>
  <c r="Q737" i="37"/>
  <c r="P741" i="37"/>
  <c r="R741" i="37"/>
  <c r="R726" i="37"/>
  <c r="S726" i="37"/>
  <c r="Q726" i="37"/>
  <c r="P726" i="37"/>
  <c r="P718" i="37"/>
  <c r="R718" i="37"/>
  <c r="Q718" i="37"/>
  <c r="T718" i="37"/>
  <c r="V573" i="37"/>
  <c r="W573" i="37" s="1"/>
  <c r="Q598" i="37"/>
  <c r="R598" i="37"/>
  <c r="T598" i="37"/>
  <c r="R739" i="37"/>
  <c r="Q739" i="37"/>
  <c r="T739" i="37"/>
  <c r="S739" i="37"/>
  <c r="Q733" i="37"/>
  <c r="S733" i="37"/>
  <c r="V697" i="37"/>
  <c r="W697" i="37" s="1"/>
  <c r="V575" i="37"/>
  <c r="P732" i="37"/>
  <c r="R732" i="37"/>
  <c r="P719" i="37"/>
  <c r="Q758" i="37"/>
  <c r="Q583" i="37"/>
  <c r="V713" i="37"/>
  <c r="V745" i="37"/>
  <c r="P722" i="37"/>
  <c r="R722" i="37"/>
  <c r="Q719" i="37"/>
  <c r="Q723" i="37"/>
  <c r="S598" i="37"/>
  <c r="P579" i="37"/>
  <c r="S579" i="37"/>
  <c r="Q579" i="37"/>
  <c r="R579" i="37"/>
  <c r="S745" i="37"/>
  <c r="R745" i="37"/>
  <c r="Q745" i="37"/>
  <c r="Q728" i="37"/>
  <c r="V565" i="37"/>
  <c r="W565" i="37" s="1"/>
  <c r="P598" i="37"/>
  <c r="V695" i="37"/>
  <c r="P717" i="37"/>
  <c r="Q686" i="37"/>
  <c r="Q752" i="37"/>
  <c r="T753" i="37"/>
  <c r="R580" i="37"/>
  <c r="S725" i="37"/>
  <c r="S679" i="37"/>
  <c r="P679" i="37"/>
  <c r="S710" i="37"/>
  <c r="R729" i="37"/>
  <c r="Q738" i="37"/>
  <c r="Q575" i="37"/>
  <c r="S567" i="37"/>
  <c r="R567" i="37"/>
  <c r="S741" i="37"/>
  <c r="S627" i="37"/>
  <c r="S732" i="37"/>
  <c r="V618" i="37"/>
  <c r="W618" i="37" s="1"/>
  <c r="X618" i="37" s="1"/>
  <c r="R583" i="37"/>
  <c r="T583" i="37"/>
  <c r="R751" i="37"/>
  <c r="T751" i="37"/>
  <c r="P751" i="37"/>
  <c r="P731" i="37"/>
  <c r="Q731" i="37"/>
  <c r="T731" i="37"/>
  <c r="S731" i="37"/>
  <c r="S751" i="37"/>
  <c r="R724" i="37"/>
  <c r="P724" i="37"/>
  <c r="Q724" i="37"/>
  <c r="P748" i="37"/>
  <c r="R748" i="37"/>
  <c r="W608" i="37"/>
  <c r="Q715" i="37"/>
  <c r="S718" i="37"/>
  <c r="S583" i="37"/>
  <c r="P720" i="37"/>
  <c r="R720" i="37"/>
  <c r="P744" i="37"/>
  <c r="T744" i="37"/>
  <c r="S744" i="37"/>
  <c r="T735" i="37"/>
  <c r="P735" i="37"/>
  <c r="Q735" i="37"/>
  <c r="S735" i="37"/>
  <c r="P716" i="37"/>
  <c r="R716" i="37"/>
  <c r="T716" i="37"/>
  <c r="R663" i="37"/>
  <c r="S663" i="37"/>
  <c r="P663" i="37"/>
  <c r="P747" i="37"/>
  <c r="S747" i="37"/>
  <c r="R747" i="37"/>
  <c r="Q747" i="37"/>
  <c r="P739" i="37"/>
  <c r="S582" i="37"/>
  <c r="T582" i="37"/>
  <c r="T663" i="37"/>
  <c r="Q695" i="37"/>
  <c r="T695" i="37"/>
  <c r="R695" i="37"/>
  <c r="P733" i="37"/>
  <c r="P736" i="37"/>
  <c r="S736" i="37"/>
  <c r="T740" i="37"/>
  <c r="P740" i="37"/>
  <c r="P753" i="37"/>
  <c r="W614" i="37"/>
  <c r="V623" i="37"/>
  <c r="W623" i="37" s="1"/>
  <c r="X623" i="37" s="1"/>
  <c r="Y623" i="37" s="1"/>
  <c r="Z623" i="37" s="1"/>
  <c r="Q572" i="37"/>
  <c r="Q725" i="37"/>
  <c r="Q679" i="37"/>
  <c r="Q710" i="37"/>
  <c r="P742" i="37"/>
  <c r="Q742" i="37"/>
  <c r="T742" i="37"/>
  <c r="S742" i="37"/>
  <c r="Q582" i="37"/>
  <c r="V673" i="37"/>
  <c r="W673" i="37" s="1"/>
  <c r="X673" i="37" s="1"/>
  <c r="Y673" i="37" s="1"/>
  <c r="Z673" i="37" s="1"/>
  <c r="S738" i="37"/>
  <c r="Q748" i="37"/>
  <c r="V737" i="37"/>
  <c r="S754" i="37"/>
  <c r="T754" i="37"/>
  <c r="P586" i="37"/>
  <c r="T741" i="37"/>
  <c r="T627" i="37"/>
  <c r="T732" i="37"/>
  <c r="B493" i="40" l="1"/>
  <c r="B211" i="65"/>
  <c r="W783" i="37"/>
  <c r="X783" i="37" s="1"/>
  <c r="Y783" i="37" s="1"/>
  <c r="W624" i="37"/>
  <c r="X624" i="37" s="1"/>
  <c r="Y624" i="37" s="1"/>
  <c r="X765" i="37"/>
  <c r="W644" i="37"/>
  <c r="X644" i="37" s="1"/>
  <c r="W686" i="37"/>
  <c r="X686" i="37" s="1"/>
  <c r="Y686" i="37" s="1"/>
  <c r="X754" i="37"/>
  <c r="Y754" i="37" s="1"/>
  <c r="Z754" i="37" s="1"/>
  <c r="W772" i="37"/>
  <c r="X772" i="37" s="1"/>
  <c r="W756" i="37"/>
  <c r="X756" i="37" s="1"/>
  <c r="Y756" i="37" s="1"/>
  <c r="Z756" i="37" s="1"/>
  <c r="W788" i="37"/>
  <c r="X788" i="37" s="1"/>
  <c r="Y788" i="37" s="1"/>
  <c r="V784" i="37"/>
  <c r="W784" i="37" s="1"/>
  <c r="W715" i="37"/>
  <c r="Y779" i="37"/>
  <c r="Y775" i="37"/>
  <c r="Z759" i="37"/>
  <c r="V657" i="37"/>
  <c r="W657" i="37" s="1"/>
  <c r="X657" i="37" s="1"/>
  <c r="V735" i="37"/>
  <c r="W735" i="37" s="1"/>
  <c r="X735" i="37" s="1"/>
  <c r="V744" i="37"/>
  <c r="W744" i="37" s="1"/>
  <c r="W723" i="37"/>
  <c r="X723" i="37" s="1"/>
  <c r="Z780" i="37"/>
  <c r="V743" i="37"/>
  <c r="W743" i="37" s="1"/>
  <c r="Z606" i="37"/>
  <c r="V796" i="37"/>
  <c r="W796" i="37" s="1"/>
  <c r="W737" i="37"/>
  <c r="X737" i="37" s="1"/>
  <c r="Y737" i="37" s="1"/>
  <c r="Z737" i="37" s="1"/>
  <c r="V731" i="37"/>
  <c r="W731" i="37" s="1"/>
  <c r="W758" i="37"/>
  <c r="V725" i="37"/>
  <c r="W725" i="37" s="1"/>
  <c r="W710" i="37"/>
  <c r="X710" i="37" s="1"/>
  <c r="Y710" i="37" s="1"/>
  <c r="W567" i="37"/>
  <c r="X567" i="37" s="1"/>
  <c r="Y567" i="37" s="1"/>
  <c r="V627" i="37"/>
  <c r="X755" i="37"/>
  <c r="X749" i="37"/>
  <c r="Z766" i="37"/>
  <c r="X794" i="37"/>
  <c r="Y761" i="37"/>
  <c r="Z757" i="37"/>
  <c r="Y774" i="37"/>
  <c r="X763" i="37"/>
  <c r="V721" i="37"/>
  <c r="W721" i="37" s="1"/>
  <c r="X721" i="37" s="1"/>
  <c r="Y770" i="37"/>
  <c r="V734" i="37"/>
  <c r="W734" i="37" s="1"/>
  <c r="X734" i="37" s="1"/>
  <c r="X769" i="37"/>
  <c r="V791" i="37"/>
  <c r="W791" i="37" s="1"/>
  <c r="V782" i="37"/>
  <c r="W782" i="37" s="1"/>
  <c r="X768" i="37"/>
  <c r="V789" i="37"/>
  <c r="W789" i="37" s="1"/>
  <c r="X789" i="37" s="1"/>
  <c r="Y767" i="37"/>
  <c r="W785" i="37"/>
  <c r="X785" i="37" s="1"/>
  <c r="Y785" i="37" s="1"/>
  <c r="W729" i="37"/>
  <c r="X729" i="37" s="1"/>
  <c r="Y729" i="37" s="1"/>
  <c r="Z792" i="37"/>
  <c r="Z790" i="37"/>
  <c r="Z781" i="37"/>
  <c r="X746" i="37"/>
  <c r="V582" i="37"/>
  <c r="W695" i="37"/>
  <c r="X695" i="37" s="1"/>
  <c r="V598" i="37"/>
  <c r="W598" i="37" s="1"/>
  <c r="X598" i="37" s="1"/>
  <c r="Y598" i="37" s="1"/>
  <c r="Z598" i="37" s="1"/>
  <c r="X565" i="37"/>
  <c r="V719" i="37"/>
  <c r="W719" i="37" s="1"/>
  <c r="X719" i="37" s="1"/>
  <c r="X697" i="37"/>
  <c r="V738" i="37"/>
  <c r="W738" i="37" s="1"/>
  <c r="X738" i="37" s="1"/>
  <c r="V663" i="37"/>
  <c r="W663" i="37" s="1"/>
  <c r="V748" i="37"/>
  <c r="W748" i="37" s="1"/>
  <c r="X748" i="37" s="1"/>
  <c r="V679" i="37"/>
  <c r="W679" i="37" s="1"/>
  <c r="V726" i="37"/>
  <c r="W726" i="37" s="1"/>
  <c r="V733" i="37"/>
  <c r="W733" i="37" s="1"/>
  <c r="X733" i="37" s="1"/>
  <c r="V586" i="37"/>
  <c r="W586" i="37" s="1"/>
  <c r="X614" i="37"/>
  <c r="V736" i="37"/>
  <c r="W736" i="37" s="1"/>
  <c r="V739" i="37"/>
  <c r="W739" i="37" s="1"/>
  <c r="X739" i="37" s="1"/>
  <c r="V747" i="37"/>
  <c r="W747" i="37" s="1"/>
  <c r="V724" i="37"/>
  <c r="W724" i="37" s="1"/>
  <c r="V751" i="37"/>
  <c r="W751" i="37" s="1"/>
  <c r="W575" i="37"/>
  <c r="V718" i="37"/>
  <c r="W718" i="37" s="1"/>
  <c r="X718" i="37" s="1"/>
  <c r="V741" i="37"/>
  <c r="W741" i="37" s="1"/>
  <c r="V580" i="37"/>
  <c r="W580" i="37" s="1"/>
  <c r="V752" i="37"/>
  <c r="W752" i="37" s="1"/>
  <c r="X752" i="37" s="1"/>
  <c r="Y752" i="37" s="1"/>
  <c r="V728" i="37"/>
  <c r="W728" i="37" s="1"/>
  <c r="Y607" i="37"/>
  <c r="V753" i="37"/>
  <c r="W753" i="37" s="1"/>
  <c r="V579" i="37"/>
  <c r="W579" i="37" s="1"/>
  <c r="V732" i="37"/>
  <c r="W732" i="37" s="1"/>
  <c r="V740" i="37"/>
  <c r="W740" i="37" s="1"/>
  <c r="V742" i="37"/>
  <c r="W742" i="37" s="1"/>
  <c r="X742" i="37" s="1"/>
  <c r="V716" i="37"/>
  <c r="W716" i="37" s="1"/>
  <c r="V720" i="37"/>
  <c r="W720" i="37" s="1"/>
  <c r="X608" i="37"/>
  <c r="Y750" i="37"/>
  <c r="V717" i="37"/>
  <c r="W717" i="37" s="1"/>
  <c r="V722" i="37"/>
  <c r="W722" i="37" s="1"/>
  <c r="W745" i="37"/>
  <c r="W572" i="37"/>
  <c r="W583" i="37"/>
  <c r="X583" i="37" s="1"/>
  <c r="Y583" i="37" s="1"/>
  <c r="Z583" i="37" s="1"/>
  <c r="AF359" i="37"/>
  <c r="AG366" i="37"/>
  <c r="B494" i="40" l="1"/>
  <c r="B212" i="65"/>
  <c r="X784" i="37"/>
  <c r="W582" i="37"/>
  <c r="X582" i="37" s="1"/>
  <c r="X744" i="37"/>
  <c r="Z779" i="37"/>
  <c r="Z775" i="37"/>
  <c r="Y749" i="37"/>
  <c r="Y755" i="37"/>
  <c r="X796" i="37"/>
  <c r="Z783" i="37"/>
  <c r="W627" i="37"/>
  <c r="X743" i="37"/>
  <c r="Y657" i="37"/>
  <c r="Y789" i="37"/>
  <c r="X791" i="37"/>
  <c r="Y794" i="37"/>
  <c r="Z785" i="37"/>
  <c r="Y769" i="37"/>
  <c r="Z770" i="37"/>
  <c r="Y763" i="37"/>
  <c r="Z767" i="37"/>
  <c r="X782" i="37"/>
  <c r="Z761" i="37"/>
  <c r="Y734" i="37"/>
  <c r="Z774" i="37"/>
  <c r="Z788" i="37"/>
  <c r="X731" i="37"/>
  <c r="X732" i="37"/>
  <c r="X753" i="37"/>
  <c r="X751" i="37"/>
  <c r="X725" i="37"/>
  <c r="X741" i="37"/>
  <c r="Y614" i="37"/>
  <c r="X722" i="37"/>
  <c r="Y608" i="37"/>
  <c r="X720" i="37"/>
  <c r="X579" i="37"/>
  <c r="Z752" i="37"/>
  <c r="X747" i="37"/>
  <c r="Z686" i="37"/>
  <c r="Y733" i="37"/>
  <c r="Y695" i="37"/>
  <c r="Y742" i="37"/>
  <c r="X580" i="37"/>
  <c r="X575" i="37"/>
  <c r="X726" i="37"/>
  <c r="X663" i="37"/>
  <c r="X745" i="37"/>
  <c r="X740" i="37"/>
  <c r="Z607" i="37"/>
  <c r="Y748" i="37"/>
  <c r="Y565" i="37"/>
  <c r="Y644" i="37"/>
  <c r="Z750" i="37"/>
  <c r="X716" i="37"/>
  <c r="Z710" i="37"/>
  <c r="X728" i="37"/>
  <c r="Y718" i="37"/>
  <c r="X724" i="37"/>
  <c r="Y735" i="37"/>
  <c r="Y739" i="37"/>
  <c r="X736" i="37"/>
  <c r="X679" i="37"/>
  <c r="Y738" i="37"/>
  <c r="Y697" i="37"/>
  <c r="Y746" i="37"/>
  <c r="Z567" i="37"/>
  <c r="AH366" i="37"/>
  <c r="AG359" i="37"/>
  <c r="B495" i="40" l="1"/>
  <c r="B213" i="65"/>
  <c r="Y784" i="37"/>
  <c r="Z657" i="37"/>
  <c r="Y743" i="37"/>
  <c r="X627" i="37"/>
  <c r="Z755" i="37"/>
  <c r="Y796" i="37"/>
  <c r="Y744" i="37"/>
  <c r="Z749" i="37"/>
  <c r="Z734" i="37"/>
  <c r="Y791" i="37"/>
  <c r="Z763" i="37"/>
  <c r="Z769" i="37"/>
  <c r="Z794" i="37"/>
  <c r="Z789" i="37"/>
  <c r="Y782" i="37"/>
  <c r="Z718" i="37"/>
  <c r="Z644" i="37"/>
  <c r="Y582" i="37"/>
  <c r="Y725" i="37"/>
  <c r="Y731" i="37"/>
  <c r="Z735" i="37"/>
  <c r="Y726" i="37"/>
  <c r="Z608" i="37"/>
  <c r="Z614" i="37"/>
  <c r="Y679" i="37"/>
  <c r="Z739" i="37"/>
  <c r="Y728" i="37"/>
  <c r="Y580" i="37"/>
  <c r="Z695" i="37"/>
  <c r="Y747" i="37"/>
  <c r="Y751" i="37"/>
  <c r="Y732" i="37"/>
  <c r="Y716" i="37"/>
  <c r="Z742" i="37"/>
  <c r="Y753" i="37"/>
  <c r="Z697" i="37"/>
  <c r="Y736" i="37"/>
  <c r="Z748" i="37"/>
  <c r="Y745" i="37"/>
  <c r="Z746" i="37"/>
  <c r="Z738" i="37"/>
  <c r="Z565" i="37"/>
  <c r="Y740" i="37"/>
  <c r="Y663" i="37"/>
  <c r="Y579" i="37"/>
  <c r="Y741" i="37"/>
  <c r="AH359" i="37"/>
  <c r="B496" i="40" l="1"/>
  <c r="B214" i="65"/>
  <c r="Z784" i="37"/>
  <c r="Z743" i="37"/>
  <c r="Z744" i="37"/>
  <c r="Z796" i="37"/>
  <c r="Y627" i="37"/>
  <c r="Z782" i="37"/>
  <c r="Z791" i="37"/>
  <c r="Z740" i="37"/>
  <c r="Z736" i="37"/>
  <c r="Z753" i="37"/>
  <c r="Z716" i="37"/>
  <c r="Z751" i="37"/>
  <c r="Z747" i="37"/>
  <c r="Z728" i="37"/>
  <c r="Z745" i="37"/>
  <c r="Z741" i="37"/>
  <c r="Z663" i="37"/>
  <c r="Z732" i="37"/>
  <c r="Z679" i="37"/>
  <c r="Z731" i="37"/>
  <c r="Z582" i="37"/>
  <c r="B497" i="40" l="1"/>
  <c r="B215" i="65"/>
  <c r="Z627" i="37"/>
  <c r="B498" i="40" l="1"/>
  <c r="B216" i="65"/>
  <c r="J16" i="37"/>
  <c r="K16" i="37"/>
  <c r="L16" i="37"/>
  <c r="M16" i="37"/>
  <c r="I16" i="37"/>
  <c r="H15" i="37"/>
  <c r="G15" i="37"/>
  <c r="F28" i="37"/>
  <c r="X820" i="37" l="1"/>
  <c r="AJ820" i="37" s="1"/>
  <c r="AD819" i="37"/>
  <c r="Z820" i="37"/>
  <c r="B499" i="40"/>
  <c r="B217" i="65"/>
  <c r="AD820" i="37"/>
  <c r="AD814" i="37"/>
  <c r="AC805" i="37"/>
  <c r="AC810" i="37"/>
  <c r="AC808" i="37"/>
  <c r="AD813" i="37"/>
  <c r="AD815" i="37"/>
  <c r="AC811" i="37"/>
  <c r="AC812" i="37"/>
  <c r="AD818" i="37"/>
  <c r="AC809" i="37"/>
  <c r="AC804" i="37"/>
  <c r="AD817" i="37"/>
  <c r="AD816" i="37"/>
  <c r="AC807" i="37"/>
  <c r="AC806" i="37"/>
  <c r="AD805" i="37"/>
  <c r="AD810" i="37"/>
  <c r="AD804" i="37"/>
  <c r="AE813" i="37"/>
  <c r="AE817" i="37"/>
  <c r="AD811" i="37"/>
  <c r="AD812" i="37"/>
  <c r="AE814" i="37"/>
  <c r="AE816" i="37"/>
  <c r="AD809" i="37"/>
  <c r="AD808" i="37"/>
  <c r="AE818" i="37"/>
  <c r="AE819" i="37"/>
  <c r="AD807" i="37"/>
  <c r="AD806" i="37"/>
  <c r="AE815" i="37"/>
  <c r="AE820" i="37"/>
  <c r="AE807" i="37"/>
  <c r="AF819" i="37"/>
  <c r="AF815" i="37"/>
  <c r="AE805" i="37"/>
  <c r="AE808" i="37"/>
  <c r="AF817" i="37"/>
  <c r="AF813" i="37"/>
  <c r="AF818" i="37"/>
  <c r="AF814" i="37"/>
  <c r="AE806" i="37"/>
  <c r="AE812" i="37"/>
  <c r="AE804" i="37"/>
  <c r="AF820" i="37"/>
  <c r="AF816" i="37"/>
  <c r="AE811" i="37"/>
  <c r="AE809" i="37"/>
  <c r="AE810" i="37"/>
  <c r="AG818" i="37"/>
  <c r="AG817" i="37"/>
  <c r="AF807" i="37"/>
  <c r="AF809" i="37"/>
  <c r="AF812" i="37"/>
  <c r="AG820" i="37"/>
  <c r="AG819" i="37"/>
  <c r="AF811" i="37"/>
  <c r="AF810" i="37"/>
  <c r="AG813" i="37"/>
  <c r="AG816" i="37"/>
  <c r="AF805" i="37"/>
  <c r="AF804" i="37"/>
  <c r="AG815" i="37"/>
  <c r="AG814" i="37"/>
  <c r="AF806" i="37"/>
  <c r="AF808" i="37"/>
  <c r="AG805" i="37"/>
  <c r="AG804" i="37"/>
  <c r="AG808" i="37"/>
  <c r="AG807" i="37"/>
  <c r="AG810" i="37"/>
  <c r="AG809" i="37"/>
  <c r="AG806" i="37"/>
  <c r="AG811" i="37"/>
  <c r="AG812" i="37"/>
  <c r="AA804" i="37"/>
  <c r="AA818" i="37"/>
  <c r="AA808" i="37"/>
  <c r="AA809" i="37"/>
  <c r="AA806" i="37"/>
  <c r="AA805" i="37"/>
  <c r="AA815" i="37"/>
  <c r="AA807" i="37"/>
  <c r="AA813" i="37"/>
  <c r="AM813" i="37" s="1"/>
  <c r="AA817" i="37"/>
  <c r="AA811" i="37"/>
  <c r="AA820" i="37"/>
  <c r="AM820" i="37" s="1"/>
  <c r="AA819" i="37"/>
  <c r="AM819" i="37" s="1"/>
  <c r="AA810" i="37"/>
  <c r="AA812" i="37"/>
  <c r="AA814" i="37"/>
  <c r="AA816" i="37"/>
  <c r="Z805" i="37"/>
  <c r="Z806" i="37"/>
  <c r="Z808" i="37"/>
  <c r="Z804" i="37"/>
  <c r="Z818" i="37"/>
  <c r="Z813" i="37"/>
  <c r="Z807" i="37"/>
  <c r="Z809" i="37"/>
  <c r="AL809" i="37" s="1"/>
  <c r="Z815" i="37"/>
  <c r="Z817" i="37"/>
  <c r="Z819" i="37"/>
  <c r="Z811" i="37"/>
  <c r="AL811" i="37" s="1"/>
  <c r="Z812" i="37"/>
  <c r="AL812" i="37" s="1"/>
  <c r="Z810" i="37"/>
  <c r="Z816" i="37"/>
  <c r="Z814" i="37"/>
  <c r="Y815" i="37"/>
  <c r="Y804" i="37"/>
  <c r="Y805" i="37"/>
  <c r="Y819" i="37"/>
  <c r="Y808" i="37"/>
  <c r="Y813" i="37"/>
  <c r="AK813" i="37" s="1"/>
  <c r="Y807" i="37"/>
  <c r="Y818" i="37"/>
  <c r="Y817" i="37"/>
  <c r="Y812" i="37"/>
  <c r="AK812" i="37" s="1"/>
  <c r="Y810" i="37"/>
  <c r="Y820" i="37"/>
  <c r="AK820" i="37" s="1"/>
  <c r="Y814" i="37"/>
  <c r="Y811" i="37"/>
  <c r="AK811" i="37" s="1"/>
  <c r="Y816" i="37"/>
  <c r="Y806" i="37"/>
  <c r="Y809" i="37"/>
  <c r="W803" i="37"/>
  <c r="W817" i="37"/>
  <c r="AI817" i="37" s="1"/>
  <c r="W805" i="37"/>
  <c r="W809" i="37"/>
  <c r="AI809" i="37" s="1"/>
  <c r="W813" i="37"/>
  <c r="AI813" i="37" s="1"/>
  <c r="W811" i="37"/>
  <c r="W812" i="37"/>
  <c r="W807" i="37"/>
  <c r="W818" i="37"/>
  <c r="AI818" i="37" s="1"/>
  <c r="W814" i="37"/>
  <c r="AI814" i="37" s="1"/>
  <c r="W808" i="37"/>
  <c r="AI808" i="37" s="1"/>
  <c r="W820" i="37"/>
  <c r="AI820" i="37" s="1"/>
  <c r="W819" i="37"/>
  <c r="AI819" i="37" s="1"/>
  <c r="W806" i="37"/>
  <c r="W816" i="37"/>
  <c r="AI816" i="37" s="1"/>
  <c r="W815" i="37"/>
  <c r="AI815" i="37" s="1"/>
  <c r="W804" i="37"/>
  <c r="AI804" i="37" s="1"/>
  <c r="W810" i="37"/>
  <c r="X817" i="37"/>
  <c r="X816" i="37"/>
  <c r="AJ816" i="37" s="1"/>
  <c r="X819" i="37"/>
  <c r="X815" i="37"/>
  <c r="X813" i="37"/>
  <c r="X814" i="37"/>
  <c r="X818" i="37"/>
  <c r="X812" i="37"/>
  <c r="X804" i="37"/>
  <c r="AJ804" i="37" s="1"/>
  <c r="X808" i="37"/>
  <c r="X811" i="37"/>
  <c r="X806" i="37"/>
  <c r="X805" i="37"/>
  <c r="X807" i="37"/>
  <c r="X809" i="37"/>
  <c r="X810" i="37"/>
  <c r="AJ810" i="37" s="1"/>
  <c r="AC803" i="37"/>
  <c r="AE803" i="37"/>
  <c r="AD803" i="37"/>
  <c r="AF803" i="37"/>
  <c r="AG803" i="37"/>
  <c r="X803" i="37"/>
  <c r="AA803" i="37"/>
  <c r="Z803" i="37"/>
  <c r="Y803" i="37"/>
  <c r="AM524" i="37"/>
  <c r="AM309" i="37"/>
  <c r="AM444" i="37"/>
  <c r="AM445" i="37"/>
  <c r="AM355" i="37"/>
  <c r="AM372" i="37"/>
  <c r="AE787" i="37"/>
  <c r="AE772" i="37"/>
  <c r="AM459" i="37"/>
  <c r="AM520" i="37"/>
  <c r="AM403" i="37"/>
  <c r="AM328" i="37"/>
  <c r="AM475" i="37"/>
  <c r="AE771" i="37"/>
  <c r="AM363" i="37"/>
  <c r="AM349" i="37"/>
  <c r="AM427" i="37"/>
  <c r="AM384" i="37"/>
  <c r="AE768" i="37"/>
  <c r="AM374" i="37"/>
  <c r="AM310" i="37"/>
  <c r="AM316" i="37"/>
  <c r="AM418" i="37"/>
  <c r="AM476" i="37"/>
  <c r="AM365" i="37"/>
  <c r="AM388" i="37"/>
  <c r="AM364" i="37"/>
  <c r="AM386" i="37"/>
  <c r="AM406" i="37"/>
  <c r="AM373" i="37"/>
  <c r="AM523" i="37"/>
  <c r="AM466" i="37"/>
  <c r="AM362" i="37"/>
  <c r="AM455" i="37"/>
  <c r="AM394" i="37"/>
  <c r="AM361" i="37"/>
  <c r="AE723" i="37"/>
  <c r="AE651" i="37"/>
  <c r="AE654" i="37"/>
  <c r="AE619" i="37"/>
  <c r="AE636" i="37"/>
  <c r="AM510" i="37"/>
  <c r="AE632" i="37"/>
  <c r="AE612" i="37"/>
  <c r="AE611" i="37"/>
  <c r="AM315" i="37"/>
  <c r="AE620" i="37"/>
  <c r="AE666" i="37"/>
  <c r="AE762" i="37"/>
  <c r="AE675" i="37"/>
  <c r="AE642" i="37"/>
  <c r="AM423" i="37"/>
  <c r="AM442" i="37"/>
  <c r="AM370" i="37"/>
  <c r="AE597" i="37"/>
  <c r="AE692" i="37"/>
  <c r="AE724" i="37"/>
  <c r="AE661" i="37"/>
  <c r="AE590" i="37"/>
  <c r="AE707" i="37"/>
  <c r="AE563" i="37"/>
  <c r="AM368" i="37"/>
  <c r="AE693" i="37"/>
  <c r="AE626" i="37"/>
  <c r="AE622" i="37"/>
  <c r="AE764" i="37"/>
  <c r="AM342" i="37"/>
  <c r="AM450" i="37"/>
  <c r="AE776" i="37"/>
  <c r="AM371" i="37"/>
  <c r="AM437" i="37"/>
  <c r="AM367" i="37"/>
  <c r="AM378" i="37"/>
  <c r="AE609" i="37"/>
  <c r="AE615" i="37"/>
  <c r="AE758" i="37"/>
  <c r="AE576" i="37"/>
  <c r="AM402" i="37"/>
  <c r="AM413" i="37"/>
  <c r="AE685" i="37"/>
  <c r="AE585" i="37"/>
  <c r="AE593" i="37"/>
  <c r="AE621" i="37"/>
  <c r="AE714" i="37"/>
  <c r="AE564" i="37"/>
  <c r="AE650" i="37"/>
  <c r="AM360" i="37"/>
  <c r="AE698" i="37"/>
  <c r="AE610" i="37"/>
  <c r="AE603" i="37"/>
  <c r="AE690" i="37"/>
  <c r="AE558" i="37"/>
  <c r="AE671" i="37"/>
  <c r="AE634" i="37"/>
  <c r="AE618" i="37"/>
  <c r="AM337" i="37"/>
  <c r="AE613" i="37"/>
  <c r="AM345" i="37"/>
  <c r="AM358" i="37"/>
  <c r="AM516" i="37"/>
  <c r="AE703" i="37"/>
  <c r="AM538" i="37"/>
  <c r="AE757" i="37"/>
  <c r="AE681" i="37"/>
  <c r="AE606" i="37"/>
  <c r="AE759" i="37"/>
  <c r="AE760" i="37"/>
  <c r="AE616" i="37"/>
  <c r="AE687" i="37"/>
  <c r="AE792" i="37"/>
  <c r="AE786" i="37"/>
  <c r="AE623" i="37"/>
  <c r="AE793" i="37"/>
  <c r="AE673" i="37"/>
  <c r="AE594" i="37"/>
  <c r="AE624" i="37"/>
  <c r="AE607" i="37"/>
  <c r="AE686" i="37"/>
  <c r="AE767" i="37"/>
  <c r="AE783" i="37"/>
  <c r="AM366" i="37"/>
  <c r="AE567" i="37"/>
  <c r="AE750" i="37"/>
  <c r="AE785" i="37"/>
  <c r="AE770" i="37"/>
  <c r="AE737" i="37"/>
  <c r="AE775" i="37"/>
  <c r="AE756" i="37"/>
  <c r="AE752" i="37"/>
  <c r="AE710" i="37"/>
  <c r="AE598" i="37"/>
  <c r="AM359" i="37"/>
  <c r="AE697" i="37"/>
  <c r="AE739" i="37"/>
  <c r="AE644" i="37"/>
  <c r="AE695" i="37"/>
  <c r="AE565" i="37"/>
  <c r="AE733" i="37"/>
  <c r="AE614" i="37"/>
  <c r="AE657" i="37"/>
  <c r="AE746" i="37"/>
  <c r="AE718" i="37"/>
  <c r="AE608" i="37"/>
  <c r="AE734" i="37"/>
  <c r="AE763" i="37"/>
  <c r="AE794" i="37"/>
  <c r="AE755" i="37"/>
  <c r="AE663" i="37"/>
  <c r="AE732" i="37"/>
  <c r="AE791" i="37"/>
  <c r="AE796" i="37"/>
  <c r="AE716" i="37"/>
  <c r="AE679" i="37"/>
  <c r="AE743" i="37"/>
  <c r="AE580" i="37"/>
  <c r="AE731" i="37"/>
  <c r="AE740" i="37"/>
  <c r="AE725" i="37"/>
  <c r="AE627" i="37"/>
  <c r="AK309" i="37"/>
  <c r="AK362" i="37"/>
  <c r="AK423" i="37"/>
  <c r="AK371" i="37"/>
  <c r="AK310" i="37"/>
  <c r="AK316" i="37"/>
  <c r="AK466" i="37"/>
  <c r="AK437" i="37"/>
  <c r="AK394" i="37"/>
  <c r="AC703" i="37"/>
  <c r="AK349" i="37"/>
  <c r="AK373" i="37"/>
  <c r="AC771" i="37"/>
  <c r="AK445" i="37"/>
  <c r="AK403" i="37"/>
  <c r="AK459" i="37"/>
  <c r="AK374" i="37"/>
  <c r="AK328" i="37"/>
  <c r="AC632" i="37"/>
  <c r="AC787" i="37"/>
  <c r="AK418" i="37"/>
  <c r="AK365" i="37"/>
  <c r="AK384" i="37"/>
  <c r="AK388" i="37"/>
  <c r="AK355" i="37"/>
  <c r="AC690" i="37"/>
  <c r="AC611" i="37"/>
  <c r="AC619" i="37"/>
  <c r="AC636" i="37"/>
  <c r="AC597" i="37"/>
  <c r="AC626" i="37"/>
  <c r="AC576" i="37"/>
  <c r="AC621" i="37"/>
  <c r="AC650" i="37"/>
  <c r="AK450" i="37"/>
  <c r="AK342" i="37"/>
  <c r="AK444" i="37"/>
  <c r="AK364" i="37"/>
  <c r="AK372" i="37"/>
  <c r="AC661" i="37"/>
  <c r="AC698" i="37"/>
  <c r="AC675" i="37"/>
  <c r="AC666" i="37"/>
  <c r="AC759" i="37"/>
  <c r="AC634" i="37"/>
  <c r="AK402" i="37"/>
  <c r="AC590" i="37"/>
  <c r="AC616" i="37"/>
  <c r="AC620" i="37"/>
  <c r="AC685" i="37"/>
  <c r="AC651" i="37"/>
  <c r="AK378" i="37"/>
  <c r="AC593" i="37"/>
  <c r="AK315" i="37"/>
  <c r="AC642" i="37"/>
  <c r="AC558" i="37"/>
  <c r="AC770" i="37"/>
  <c r="AC612" i="37"/>
  <c r="AK337" i="37"/>
  <c r="AC610" i="37"/>
  <c r="AC775" i="37"/>
  <c r="AC622" i="37"/>
  <c r="AC707" i="37"/>
  <c r="AK345" i="37"/>
  <c r="AC606" i="37"/>
  <c r="AK455" i="37"/>
  <c r="AK427" i="37"/>
  <c r="AK386" i="37"/>
  <c r="AK363" i="37"/>
  <c r="AK406" i="37"/>
  <c r="AC654" i="37"/>
  <c r="AC693" i="37"/>
  <c r="AC585" i="37"/>
  <c r="AC603" i="37"/>
  <c r="AC714" i="37"/>
  <c r="AC564" i="37"/>
  <c r="AC671" i="37"/>
  <c r="AK413" i="37"/>
  <c r="AK360" i="37"/>
  <c r="AK361" i="37"/>
  <c r="AC613" i="37"/>
  <c r="AC793" i="37"/>
  <c r="AC776" i="37"/>
  <c r="AC762" i="37"/>
  <c r="AC792" i="37"/>
  <c r="AK538" i="37"/>
  <c r="AC692" i="37"/>
  <c r="AK442" i="37"/>
  <c r="AC594" i="37"/>
  <c r="AC563" i="37"/>
  <c r="AC609" i="37"/>
  <c r="AK358" i="37"/>
  <c r="AK368" i="37"/>
  <c r="AC772" i="37"/>
  <c r="AK366" i="37"/>
  <c r="AC565" i="37"/>
  <c r="AC614" i="37"/>
  <c r="AC644" i="37"/>
  <c r="AC697" i="37"/>
  <c r="AC764" i="37"/>
  <c r="AC794" i="37"/>
  <c r="AK359" i="37"/>
  <c r="AC746" i="37"/>
  <c r="AC763" i="37"/>
  <c r="AC783" i="37"/>
  <c r="AC624" i="37"/>
  <c r="AC686" i="37"/>
  <c r="AC673" i="37"/>
  <c r="AC623" i="37"/>
  <c r="AC615" i="37"/>
  <c r="AC768" i="37"/>
  <c r="AC608" i="37"/>
  <c r="AC687" i="37"/>
  <c r="AC755" i="37"/>
  <c r="AC757" i="37"/>
  <c r="AC681" i="37"/>
  <c r="AC767" i="37"/>
  <c r="AC607" i="37"/>
  <c r="AC750" i="37"/>
  <c r="AC760" i="37"/>
  <c r="AC786" i="37"/>
  <c r="AC618" i="37"/>
  <c r="AC725" i="37"/>
  <c r="AC740" i="37"/>
  <c r="AC724" i="37"/>
  <c r="AC663" i="37"/>
  <c r="AC791" i="37"/>
  <c r="AC732" i="37"/>
  <c r="AC710" i="37"/>
  <c r="AC743" i="37"/>
  <c r="AC756" i="37"/>
  <c r="AC598" i="37"/>
  <c r="AC695" i="37"/>
  <c r="AC718" i="37"/>
  <c r="AC734" i="37"/>
  <c r="AC785" i="37"/>
  <c r="AC723" i="37"/>
  <c r="AC731" i="37"/>
  <c r="AC716" i="37"/>
  <c r="AC679" i="37"/>
  <c r="AC567" i="37"/>
  <c r="AC580" i="37"/>
  <c r="AC758" i="37"/>
  <c r="AC796" i="37"/>
  <c r="AC737" i="37"/>
  <c r="AC739" i="37"/>
  <c r="AC733" i="37"/>
  <c r="AC657" i="37"/>
  <c r="AC752" i="37"/>
  <c r="AC627" i="37"/>
  <c r="AJ309" i="37"/>
  <c r="AJ403" i="37"/>
  <c r="AJ418" i="37"/>
  <c r="AJ427" i="37"/>
  <c r="AJ365" i="37"/>
  <c r="AB636" i="37"/>
  <c r="AJ310" i="37"/>
  <c r="AJ423" i="37"/>
  <c r="AJ349" i="37"/>
  <c r="AJ373" i="37"/>
  <c r="AJ388" i="37"/>
  <c r="AJ364" i="37"/>
  <c r="AJ459" i="37"/>
  <c r="AJ386" i="37"/>
  <c r="AB654" i="37"/>
  <c r="AB772" i="37"/>
  <c r="AJ316" i="37"/>
  <c r="AJ455" i="37"/>
  <c r="AJ444" i="37"/>
  <c r="AJ378" i="37"/>
  <c r="AJ372" i="37"/>
  <c r="AJ406" i="37"/>
  <c r="AJ394" i="37"/>
  <c r="AJ363" i="37"/>
  <c r="AB651" i="37"/>
  <c r="AB775" i="37"/>
  <c r="AB787" i="37"/>
  <c r="AB770" i="37"/>
  <c r="AJ362" i="37"/>
  <c r="AJ384" i="37"/>
  <c r="AJ374" i="37"/>
  <c r="AB632" i="37"/>
  <c r="AB771" i="37"/>
  <c r="AJ445" i="37"/>
  <c r="AJ315" i="37"/>
  <c r="AJ437" i="37"/>
  <c r="AB642" i="37"/>
  <c r="AB792" i="37"/>
  <c r="AB608" i="37"/>
  <c r="AB703" i="37"/>
  <c r="AB590" i="37"/>
  <c r="AB597" i="37"/>
  <c r="AB614" i="37"/>
  <c r="AB621" i="37"/>
  <c r="AB693" i="37"/>
  <c r="AB622" i="37"/>
  <c r="AB619" i="37"/>
  <c r="AB616" i="37"/>
  <c r="AB564" i="37"/>
  <c r="AB759" i="37"/>
  <c r="AJ355" i="37"/>
  <c r="AB685" i="37"/>
  <c r="AJ361" i="37"/>
  <c r="AB611" i="37"/>
  <c r="AB593" i="37"/>
  <c r="AJ359" i="37"/>
  <c r="AB603" i="37"/>
  <c r="AB666" i="37"/>
  <c r="AB661" i="37"/>
  <c r="AJ402" i="37"/>
  <c r="AB767" i="37"/>
  <c r="AB609" i="37"/>
  <c r="AJ342" i="37"/>
  <c r="AB650" i="37"/>
  <c r="AJ368" i="37"/>
  <c r="AJ328" i="37"/>
  <c r="AJ366" i="37"/>
  <c r="AB563" i="37"/>
  <c r="AB626" i="37"/>
  <c r="AB594" i="37"/>
  <c r="AB690" i="37"/>
  <c r="AB698" i="37"/>
  <c r="AB576" i="37"/>
  <c r="AB613" i="37"/>
  <c r="AJ371" i="37"/>
  <c r="AJ345" i="37"/>
  <c r="AB612" i="37"/>
  <c r="AJ442" i="37"/>
  <c r="AB776" i="37"/>
  <c r="AB714" i="37"/>
  <c r="AB671" i="37"/>
  <c r="AJ450" i="37"/>
  <c r="AB762" i="37"/>
  <c r="AB606" i="37"/>
  <c r="AB634" i="37"/>
  <c r="AB707" i="37"/>
  <c r="AB610" i="37"/>
  <c r="AJ538" i="37"/>
  <c r="AB786" i="37"/>
  <c r="AB692" i="37"/>
  <c r="AJ360" i="37"/>
  <c r="AB558" i="37"/>
  <c r="AJ413" i="37"/>
  <c r="AJ358" i="37"/>
  <c r="AB793" i="37"/>
  <c r="AB675" i="37"/>
  <c r="AB620" i="37"/>
  <c r="AB686" i="37"/>
  <c r="AB585" i="37"/>
  <c r="AB750" i="37"/>
  <c r="AB695" i="37"/>
  <c r="AB757" i="37"/>
  <c r="AB785" i="37"/>
  <c r="AB607" i="37"/>
  <c r="AB723" i="37"/>
  <c r="AB764" i="37"/>
  <c r="AB673" i="37"/>
  <c r="AB687" i="37"/>
  <c r="AB763" i="37"/>
  <c r="AB760" i="37"/>
  <c r="AB755" i="37"/>
  <c r="AB794" i="37"/>
  <c r="AB758" i="37"/>
  <c r="AB737" i="37"/>
  <c r="AB567" i="37"/>
  <c r="AB746" i="37"/>
  <c r="AB644" i="37"/>
  <c r="AB756" i="37"/>
  <c r="AB710" i="37"/>
  <c r="AB783" i="37"/>
  <c r="AB768" i="37"/>
  <c r="AB615" i="37"/>
  <c r="AB697" i="37"/>
  <c r="AB681" i="37"/>
  <c r="AB618" i="37"/>
  <c r="AB623" i="37"/>
  <c r="AB565" i="37"/>
  <c r="AB624" i="37"/>
  <c r="AB725" i="37"/>
  <c r="AB679" i="37"/>
  <c r="AB734" i="37"/>
  <c r="AB791" i="37"/>
  <c r="AB739" i="37"/>
  <c r="AB743" i="37"/>
  <c r="AB718" i="37"/>
  <c r="AB732" i="37"/>
  <c r="AB731" i="37"/>
  <c r="AB627" i="37"/>
  <c r="AB657" i="37"/>
  <c r="AB796" i="37"/>
  <c r="AB580" i="37"/>
  <c r="AB598" i="37"/>
  <c r="AB716" i="37"/>
  <c r="AB733" i="37"/>
  <c r="AB740" i="37"/>
  <c r="AB752" i="37"/>
  <c r="AB724" i="37"/>
  <c r="AB663" i="37"/>
  <c r="AN524" i="37"/>
  <c r="AN309" i="37"/>
  <c r="AF563" i="37"/>
  <c r="AF772" i="37"/>
  <c r="AN365" i="37"/>
  <c r="AN316" i="37"/>
  <c r="AF771" i="37"/>
  <c r="AN378" i="37"/>
  <c r="AN394" i="37"/>
  <c r="AN485" i="37"/>
  <c r="AN455" i="37"/>
  <c r="AN476" i="37"/>
  <c r="AN403" i="37"/>
  <c r="AN459" i="37"/>
  <c r="AN386" i="37"/>
  <c r="AN372" i="37"/>
  <c r="AN361" i="37"/>
  <c r="AN520" i="37"/>
  <c r="AN523" i="37"/>
  <c r="AN445" i="37"/>
  <c r="AN374" i="37"/>
  <c r="AN367" i="37"/>
  <c r="AN363" i="37"/>
  <c r="AN364" i="37"/>
  <c r="AN310" i="37"/>
  <c r="AN423" i="37"/>
  <c r="AN427" i="37"/>
  <c r="AN349" i="37"/>
  <c r="AN355" i="37"/>
  <c r="AN437" i="37"/>
  <c r="AF768" i="37"/>
  <c r="AN370" i="37"/>
  <c r="AN362" i="37"/>
  <c r="AN475" i="37"/>
  <c r="AN315" i="37"/>
  <c r="AN342" i="37"/>
  <c r="AN376" i="37"/>
  <c r="AN444" i="37"/>
  <c r="AN406" i="37"/>
  <c r="AN538" i="37"/>
  <c r="AF632" i="37"/>
  <c r="AF692" i="37"/>
  <c r="AF611" i="37"/>
  <c r="AF620" i="37"/>
  <c r="AF626" i="37"/>
  <c r="AF590" i="37"/>
  <c r="AF634" i="37"/>
  <c r="AF618" i="37"/>
  <c r="AF613" i="37"/>
  <c r="AF609" i="37"/>
  <c r="AF622" i="37"/>
  <c r="AF787" i="37"/>
  <c r="AF703" i="37"/>
  <c r="AN442" i="37"/>
  <c r="AN477" i="37"/>
  <c r="AN466" i="37"/>
  <c r="AN418" i="37"/>
  <c r="AN388" i="37"/>
  <c r="AF733" i="37"/>
  <c r="AF580" i="37"/>
  <c r="AF603" i="37"/>
  <c r="AF675" i="37"/>
  <c r="AN360" i="37"/>
  <c r="AF685" i="37"/>
  <c r="AF612" i="37"/>
  <c r="AF610" i="37"/>
  <c r="AF624" i="37"/>
  <c r="AF650" i="37"/>
  <c r="AF654" i="37"/>
  <c r="AF615" i="37"/>
  <c r="AF619" i="37"/>
  <c r="AF636" i="37"/>
  <c r="AF666" i="37"/>
  <c r="AF564" i="37"/>
  <c r="AF576" i="37"/>
  <c r="AN450" i="37"/>
  <c r="AF707" i="37"/>
  <c r="AN371" i="37"/>
  <c r="AF621" i="37"/>
  <c r="AF558" i="37"/>
  <c r="AN328" i="37"/>
  <c r="AN337" i="37"/>
  <c r="AN373" i="37"/>
  <c r="AN384" i="37"/>
  <c r="AN510" i="37"/>
  <c r="AF723" i="37"/>
  <c r="AF698" i="37"/>
  <c r="AF724" i="37"/>
  <c r="AF593" i="37"/>
  <c r="AN413" i="37"/>
  <c r="AF693" i="37"/>
  <c r="AF585" i="37"/>
  <c r="AF725" i="37"/>
  <c r="AF671" i="37"/>
  <c r="AN516" i="37"/>
  <c r="AN332" i="37"/>
  <c r="AF690" i="37"/>
  <c r="AF642" i="37"/>
  <c r="AF764" i="37"/>
  <c r="AF651" i="37"/>
  <c r="AF758" i="37"/>
  <c r="AF597" i="37"/>
  <c r="AF661" i="37"/>
  <c r="AF714" i="37"/>
  <c r="AN402" i="37"/>
  <c r="AN345" i="37"/>
  <c r="AN358" i="37"/>
  <c r="AF681" i="37"/>
  <c r="AF776" i="37"/>
  <c r="AF760" i="37"/>
  <c r="AF623" i="37"/>
  <c r="AF616" i="37"/>
  <c r="AF793" i="37"/>
  <c r="AF687" i="37"/>
  <c r="AF594" i="37"/>
  <c r="AF786" i="37"/>
  <c r="AN368" i="37"/>
  <c r="AF673" i="37"/>
  <c r="AF762" i="37"/>
  <c r="AF737" i="37"/>
  <c r="AF757" i="37"/>
  <c r="AF756" i="37"/>
  <c r="AF598" i="37"/>
  <c r="AF606" i="37"/>
  <c r="AF759" i="37"/>
  <c r="AF792" i="37"/>
  <c r="AF752" i="37"/>
  <c r="AF770" i="37"/>
  <c r="AN366" i="37"/>
  <c r="AF710" i="37"/>
  <c r="AF783" i="37"/>
  <c r="AF775" i="37"/>
  <c r="AF567" i="37"/>
  <c r="AF686" i="37"/>
  <c r="AF767" i="37"/>
  <c r="AF785" i="37"/>
  <c r="AF750" i="37"/>
  <c r="AF607" i="37"/>
  <c r="AF657" i="37"/>
  <c r="AF565" i="37"/>
  <c r="AF697" i="37"/>
  <c r="AF614" i="37"/>
  <c r="AF718" i="37"/>
  <c r="AF695" i="37"/>
  <c r="AF644" i="37"/>
  <c r="AF794" i="37"/>
  <c r="AF734" i="37"/>
  <c r="AF755" i="37"/>
  <c r="AF739" i="37"/>
  <c r="AF746" i="37"/>
  <c r="AN359" i="37"/>
  <c r="AF608" i="37"/>
  <c r="AF763" i="37"/>
  <c r="AF679" i="37"/>
  <c r="AF791" i="37"/>
  <c r="AF732" i="37"/>
  <c r="AF743" i="37"/>
  <c r="AF796" i="37"/>
  <c r="AF663" i="37"/>
  <c r="AF716" i="37"/>
  <c r="AF731" i="37"/>
  <c r="AF740" i="37"/>
  <c r="AL309" i="37"/>
  <c r="AD654" i="37"/>
  <c r="AL363" i="37"/>
  <c r="AL388" i="37"/>
  <c r="AL372" i="37"/>
  <c r="AL418" i="37"/>
  <c r="AL427" i="37"/>
  <c r="AL367" i="37"/>
  <c r="AL384" i="37"/>
  <c r="AL378" i="37"/>
  <c r="AL406" i="37"/>
  <c r="AL374" i="37"/>
  <c r="AL423" i="37"/>
  <c r="AL361" i="37"/>
  <c r="AD632" i="37"/>
  <c r="AL373" i="37"/>
  <c r="AL459" i="37"/>
  <c r="AL402" i="37"/>
  <c r="AL455" i="37"/>
  <c r="AL466" i="37"/>
  <c r="AL437" i="37"/>
  <c r="AL394" i="37"/>
  <c r="AL445" i="37"/>
  <c r="AL342" i="37"/>
  <c r="AL364" i="37"/>
  <c r="AL444" i="37"/>
  <c r="AL386" i="37"/>
  <c r="AL355" i="37"/>
  <c r="AL345" i="37"/>
  <c r="AD787" i="37"/>
  <c r="AD563" i="37"/>
  <c r="AD758" i="37"/>
  <c r="AD636" i="37"/>
  <c r="AD651" i="37"/>
  <c r="AD611" i="37"/>
  <c r="AD609" i="37"/>
  <c r="AD603" i="37"/>
  <c r="AD564" i="37"/>
  <c r="AD661" i="37"/>
  <c r="AD792" i="37"/>
  <c r="AD771" i="37"/>
  <c r="AD634" i="37"/>
  <c r="AD776" i="37"/>
  <c r="AD666" i="37"/>
  <c r="AD622" i="37"/>
  <c r="AD558" i="37"/>
  <c r="AD759" i="37"/>
  <c r="AL337" i="37"/>
  <c r="AD613" i="37"/>
  <c r="AD772" i="37"/>
  <c r="AL365" i="37"/>
  <c r="AL510" i="37"/>
  <c r="AD714" i="37"/>
  <c r="AD576" i="37"/>
  <c r="AD610" i="37"/>
  <c r="AD606" i="37"/>
  <c r="AL315" i="37"/>
  <c r="AD626" i="37"/>
  <c r="AD690" i="37"/>
  <c r="AD615" i="37"/>
  <c r="AD585" i="37"/>
  <c r="AD620" i="37"/>
  <c r="AD621" i="37"/>
  <c r="AD703" i="37"/>
  <c r="AL328" i="37"/>
  <c r="AD675" i="37"/>
  <c r="AL442" i="37"/>
  <c r="AD762" i="37"/>
  <c r="AD642" i="37"/>
  <c r="AL349" i="37"/>
  <c r="AL316" i="37"/>
  <c r="AL362" i="37"/>
  <c r="AL403" i="37"/>
  <c r="AL310" i="37"/>
  <c r="AD764" i="37"/>
  <c r="AD597" i="37"/>
  <c r="AL358" i="37"/>
  <c r="AD692" i="37"/>
  <c r="AL360" i="37"/>
  <c r="AD707" i="37"/>
  <c r="AD619" i="37"/>
  <c r="AD590" i="37"/>
  <c r="AD685" i="37"/>
  <c r="AL516" i="37"/>
  <c r="AL371" i="37"/>
  <c r="AD650" i="37"/>
  <c r="AL538" i="37"/>
  <c r="AD612" i="37"/>
  <c r="AD593" i="37"/>
  <c r="AD698" i="37"/>
  <c r="AD671" i="37"/>
  <c r="AL413" i="37"/>
  <c r="AD793" i="37"/>
  <c r="AL368" i="37"/>
  <c r="AD693" i="37"/>
  <c r="AL450" i="37"/>
  <c r="AD783" i="37"/>
  <c r="AD607" i="37"/>
  <c r="AD775" i="37"/>
  <c r="AD594" i="37"/>
  <c r="AD757" i="37"/>
  <c r="AD686" i="37"/>
  <c r="AD687" i="37"/>
  <c r="AD786" i="37"/>
  <c r="AD673" i="37"/>
  <c r="AD616" i="37"/>
  <c r="AD624" i="37"/>
  <c r="AL366" i="37"/>
  <c r="AD618" i="37"/>
  <c r="AD750" i="37"/>
  <c r="AD767" i="37"/>
  <c r="AD770" i="37"/>
  <c r="AD760" i="37"/>
  <c r="AD623" i="37"/>
  <c r="AD681" i="37"/>
  <c r="AD733" i="37"/>
  <c r="AD565" i="37"/>
  <c r="AD644" i="37"/>
  <c r="AD794" i="37"/>
  <c r="AD755" i="37"/>
  <c r="AD718" i="37"/>
  <c r="AD567" i="37"/>
  <c r="AD756" i="37"/>
  <c r="AD710" i="37"/>
  <c r="AD737" i="37"/>
  <c r="AD614" i="37"/>
  <c r="AD697" i="37"/>
  <c r="AD695" i="37"/>
  <c r="AD768" i="37"/>
  <c r="AD734" i="37"/>
  <c r="AD723" i="37"/>
  <c r="AL359" i="37"/>
  <c r="AD608" i="37"/>
  <c r="AD739" i="37"/>
  <c r="AD746" i="37"/>
  <c r="AD763" i="37"/>
  <c r="AD657" i="37"/>
  <c r="AD785" i="37"/>
  <c r="AD752" i="37"/>
  <c r="AD598" i="37"/>
  <c r="AD740" i="37"/>
  <c r="AD791" i="37"/>
  <c r="AD580" i="37"/>
  <c r="AD679" i="37"/>
  <c r="AD724" i="37"/>
  <c r="AD716" i="37"/>
  <c r="AD663" i="37"/>
  <c r="AD732" i="37"/>
  <c r="AD796" i="37"/>
  <c r="AD725" i="37"/>
  <c r="AD731" i="37"/>
  <c r="AD743" i="37"/>
  <c r="AD627" i="37"/>
  <c r="AF627" i="37"/>
  <c r="F25" i="37"/>
  <c r="F22" i="37"/>
  <c r="F19" i="37"/>
  <c r="AB736" i="37" s="1"/>
  <c r="G307" i="37"/>
  <c r="H307" i="37"/>
  <c r="G308" i="37"/>
  <c r="H308" i="37"/>
  <c r="I308" i="37"/>
  <c r="L308" i="37"/>
  <c r="M37" i="37"/>
  <c r="L36" i="37"/>
  <c r="K35" i="37"/>
  <c r="J34" i="37"/>
  <c r="I33" i="37"/>
  <c r="H32" i="37"/>
  <c r="G31" i="37"/>
  <c r="F308" i="37"/>
  <c r="AK814" i="37" l="1"/>
  <c r="AK815" i="37"/>
  <c r="AI807" i="37"/>
  <c r="AL805" i="37"/>
  <c r="AI805" i="37"/>
  <c r="AM816" i="37"/>
  <c r="AI806" i="37"/>
  <c r="AL813" i="37"/>
  <c r="AM811" i="37"/>
  <c r="AK808" i="37"/>
  <c r="AL815" i="37"/>
  <c r="AK816" i="37"/>
  <c r="AK805" i="37"/>
  <c r="AM810" i="37"/>
  <c r="AM805" i="37"/>
  <c r="AK818" i="37"/>
  <c r="AM815" i="37"/>
  <c r="AM817" i="37"/>
  <c r="AI812" i="37"/>
  <c r="AL806" i="37"/>
  <c r="AM812" i="37"/>
  <c r="AM808" i="37"/>
  <c r="AJ805" i="37"/>
  <c r="AJ814" i="37"/>
  <c r="AK809" i="37"/>
  <c r="AK817" i="37"/>
  <c r="AM804" i="37"/>
  <c r="AJ813" i="37"/>
  <c r="AJ817" i="37"/>
  <c r="AK819" i="37"/>
  <c r="AL818" i="37"/>
  <c r="B500" i="40"/>
  <c r="B218" i="65"/>
  <c r="AJ806" i="37"/>
  <c r="AK806" i="37"/>
  <c r="AL814" i="37"/>
  <c r="AM818" i="37"/>
  <c r="AJ809" i="37"/>
  <c r="AJ811" i="37"/>
  <c r="AJ812" i="37"/>
  <c r="AJ815" i="37"/>
  <c r="AI810" i="37"/>
  <c r="AI811" i="37"/>
  <c r="AK810" i="37"/>
  <c r="AK807" i="37"/>
  <c r="AL816" i="37"/>
  <c r="AL819" i="37"/>
  <c r="AL820" i="37"/>
  <c r="AL804" i="37"/>
  <c r="AM806" i="37"/>
  <c r="AJ807" i="37"/>
  <c r="AJ808" i="37"/>
  <c r="AJ818" i="37"/>
  <c r="AJ819" i="37"/>
  <c r="AK804" i="37"/>
  <c r="AL810" i="37"/>
  <c r="AL817" i="37"/>
  <c r="AL807" i="37"/>
  <c r="AL808" i="37"/>
  <c r="AM814" i="37"/>
  <c r="AM809" i="37"/>
  <c r="AM807" i="37"/>
  <c r="AK803" i="37"/>
  <c r="AM803" i="37"/>
  <c r="AL803" i="37"/>
  <c r="AJ803" i="37"/>
  <c r="AI803" i="37"/>
  <c r="AC797" i="37"/>
  <c r="AF797" i="37"/>
  <c r="AD797" i="37"/>
  <c r="AE797" i="37"/>
  <c r="R317" i="37"/>
  <c r="AD744" i="37"/>
  <c r="AD747" i="37"/>
  <c r="AD726" i="37"/>
  <c r="AD741" i="37"/>
  <c r="AD579" i="37"/>
  <c r="AD745" i="37"/>
  <c r="AD575" i="37"/>
  <c r="AD728" i="37"/>
  <c r="AD788" i="37"/>
  <c r="AD748" i="37"/>
  <c r="AD735" i="37"/>
  <c r="AD774" i="37"/>
  <c r="AD765" i="37"/>
  <c r="AD578" i="37"/>
  <c r="AD730" i="37"/>
  <c r="AD599" i="37"/>
  <c r="AD691" i="37"/>
  <c r="AL369" i="37"/>
  <c r="AD784" i="37"/>
  <c r="AD582" i="37"/>
  <c r="AD736" i="37"/>
  <c r="AD720" i="37"/>
  <c r="AD753" i="37"/>
  <c r="AD722" i="37"/>
  <c r="AD583" i="37"/>
  <c r="AD789" i="37"/>
  <c r="AD719" i="37"/>
  <c r="AD729" i="37"/>
  <c r="AD749" i="37"/>
  <c r="AD738" i="37"/>
  <c r="AD727" i="37"/>
  <c r="AD761" i="37"/>
  <c r="AD779" i="37"/>
  <c r="AD790" i="37"/>
  <c r="AD780" i="37"/>
  <c r="AD781" i="37"/>
  <c r="AD587" i="37"/>
  <c r="AL353" i="37"/>
  <c r="AD717" i="37"/>
  <c r="AD586" i="37"/>
  <c r="AL426" i="37"/>
  <c r="AL414" i="37"/>
  <c r="AD664" i="37"/>
  <c r="AD589" i="37"/>
  <c r="AD652" i="37"/>
  <c r="AD568" i="37"/>
  <c r="AD684" i="37"/>
  <c r="AD631" i="37"/>
  <c r="AL457" i="37"/>
  <c r="AD601" i="37"/>
  <c r="AD574" i="37"/>
  <c r="AD778" i="37"/>
  <c r="AL318" i="37"/>
  <c r="AL333" i="37"/>
  <c r="AL461" i="37"/>
  <c r="AD629" i="37"/>
  <c r="AL356" i="37"/>
  <c r="AD660" i="37"/>
  <c r="AD592" i="37"/>
  <c r="AD696" i="37"/>
  <c r="AD713" i="37"/>
  <c r="AL412" i="37"/>
  <c r="AD646" i="37"/>
  <c r="AL417" i="37"/>
  <c r="AD712" i="37"/>
  <c r="AD706" i="37"/>
  <c r="AD680" i="37"/>
  <c r="AD577" i="37"/>
  <c r="AD682" i="37"/>
  <c r="AD688" i="37"/>
  <c r="AL351" i="37"/>
  <c r="AD637" i="37"/>
  <c r="AL320" i="37"/>
  <c r="AL407" i="37"/>
  <c r="AL336" i="37"/>
  <c r="AL344" i="37"/>
  <c r="AD702" i="37"/>
  <c r="AD570" i="37"/>
  <c r="AL421" i="37"/>
  <c r="AD665" i="37"/>
  <c r="AL424" i="37"/>
  <c r="AL340" i="37"/>
  <c r="AL389" i="37"/>
  <c r="AL380" i="37"/>
  <c r="AL383" i="37"/>
  <c r="AD560" i="37"/>
  <c r="AL469" i="37"/>
  <c r="AL392" i="37"/>
  <c r="AD653" i="37"/>
  <c r="AD640" i="37"/>
  <c r="AL387" i="37"/>
  <c r="AL348" i="37"/>
  <c r="AL420" i="37"/>
  <c r="AL451" i="37"/>
  <c r="AL465" i="37"/>
  <c r="AL463" i="37"/>
  <c r="AL338" i="37"/>
  <c r="AL416" i="37"/>
  <c r="AL354" i="37"/>
  <c r="AL312" i="37"/>
  <c r="AL464" i="37"/>
  <c r="AL432" i="37"/>
  <c r="AL456" i="37"/>
  <c r="AL400" i="37"/>
  <c r="AL453" i="37"/>
  <c r="AD571" i="37"/>
  <c r="AF753" i="37"/>
  <c r="AF742" i="37"/>
  <c r="AF749" i="37"/>
  <c r="AF735" i="37"/>
  <c r="AF738" i="37"/>
  <c r="AF789" i="37"/>
  <c r="AN313" i="37"/>
  <c r="AF574" i="37"/>
  <c r="AF720" i="37"/>
  <c r="AF643" i="37"/>
  <c r="AF589" i="37"/>
  <c r="AF701" i="37"/>
  <c r="AF645" i="37"/>
  <c r="AF660" i="37"/>
  <c r="AF572" i="37"/>
  <c r="AF667" i="37"/>
  <c r="AN547" i="37"/>
  <c r="AF586" i="37"/>
  <c r="AF691" i="37"/>
  <c r="AF709" i="37"/>
  <c r="AF713" i="37"/>
  <c r="AF715" i="37"/>
  <c r="AF678" i="37"/>
  <c r="AF587" i="37"/>
  <c r="AF668" i="37"/>
  <c r="AF600" i="37"/>
  <c r="AN397" i="37"/>
  <c r="AF630" i="37"/>
  <c r="AN465" i="37"/>
  <c r="AF704" i="37"/>
  <c r="AF581" i="37"/>
  <c r="AF649" i="37"/>
  <c r="AF625" i="37"/>
  <c r="AF708" i="37"/>
  <c r="AF726" i="37"/>
  <c r="AF639" i="37"/>
  <c r="AF659" i="37"/>
  <c r="AF599" i="37"/>
  <c r="AF559" i="37"/>
  <c r="AN408" i="37"/>
  <c r="AN473" i="37"/>
  <c r="AN461" i="37"/>
  <c r="AN320" i="37"/>
  <c r="AF658" i="37"/>
  <c r="AF641" i="37"/>
  <c r="AF602" i="37"/>
  <c r="AF629" i="37"/>
  <c r="AF628" i="37"/>
  <c r="AN529" i="37"/>
  <c r="AN389" i="37"/>
  <c r="AN410" i="37"/>
  <c r="AN517" i="37"/>
  <c r="AN456" i="37"/>
  <c r="AN453" i="37"/>
  <c r="AN324" i="37"/>
  <c r="AF777" i="37"/>
  <c r="AN333" i="37"/>
  <c r="AN460" i="37"/>
  <c r="AN352" i="37"/>
  <c r="AN434" i="37"/>
  <c r="AN348" i="37"/>
  <c r="AN338" i="37"/>
  <c r="AB582" i="37"/>
  <c r="AB753" i="37"/>
  <c r="AM407" i="37"/>
  <c r="AM348" i="37"/>
  <c r="AM325" i="37"/>
  <c r="AM451" i="37"/>
  <c r="AM395" i="37"/>
  <c r="AM454" i="37"/>
  <c r="AM458" i="37"/>
  <c r="AM416" i="37"/>
  <c r="AM381" i="37"/>
  <c r="AM347" i="37"/>
  <c r="AM398" i="37"/>
  <c r="AM432" i="37"/>
  <c r="AM456" i="37"/>
  <c r="AM411" i="37"/>
  <c r="AM453" i="37"/>
  <c r="AE705" i="37"/>
  <c r="AM405" i="37"/>
  <c r="AM397" i="37"/>
  <c r="AE765" i="37"/>
  <c r="AM339" i="37"/>
  <c r="AM428" i="37"/>
  <c r="AM385" i="37"/>
  <c r="AM441" i="37"/>
  <c r="AM338" i="37"/>
  <c r="AM352" i="37"/>
  <c r="AM469" i="37"/>
  <c r="AM351" i="37"/>
  <c r="AM410" i="37"/>
  <c r="AM517" i="37"/>
  <c r="AM326" i="37"/>
  <c r="AE566" i="37"/>
  <c r="AE574" i="37"/>
  <c r="AE672" i="37"/>
  <c r="AE645" i="37"/>
  <c r="AE639" i="37"/>
  <c r="AE701" i="37"/>
  <c r="AM474" i="37"/>
  <c r="AE630" i="37"/>
  <c r="AM420" i="37"/>
  <c r="AM344" i="37"/>
  <c r="AM400" i="37"/>
  <c r="AM452" i="37"/>
  <c r="AM393" i="37"/>
  <c r="AM465" i="37"/>
  <c r="AM327" i="37"/>
  <c r="AE602" i="37"/>
  <c r="AE709" i="37"/>
  <c r="AE568" i="37"/>
  <c r="AE691" i="37"/>
  <c r="AE660" i="37"/>
  <c r="AM392" i="37"/>
  <c r="AE600" i="37"/>
  <c r="AE719" i="37"/>
  <c r="AE587" i="37"/>
  <c r="AE683" i="37"/>
  <c r="AE676" i="37"/>
  <c r="AE591" i="37"/>
  <c r="AM318" i="37"/>
  <c r="AE688" i="37"/>
  <c r="AE561" i="37"/>
  <c r="AE674" i="37"/>
  <c r="AM321" i="37"/>
  <c r="AM440" i="37"/>
  <c r="AM434" i="37"/>
  <c r="AM324" i="37"/>
  <c r="AM414" i="37"/>
  <c r="AE635" i="37"/>
  <c r="AE667" i="37"/>
  <c r="AM472" i="37"/>
  <c r="AE684" i="37"/>
  <c r="AE713" i="37"/>
  <c r="AE669" i="37"/>
  <c r="AE712" i="37"/>
  <c r="AE689" i="37"/>
  <c r="AE662" i="37"/>
  <c r="AE604" i="37"/>
  <c r="AM471" i="37"/>
  <c r="AE601" i="37"/>
  <c r="AE696" i="37"/>
  <c r="AE588" i="37"/>
  <c r="AE649" i="37"/>
  <c r="AM391" i="37"/>
  <c r="AM429" i="37"/>
  <c r="AM457" i="37"/>
  <c r="AM422" i="37"/>
  <c r="AE570" i="37"/>
  <c r="AE586" i="37"/>
  <c r="AE633" i="37"/>
  <c r="AE665" i="37"/>
  <c r="AE625" i="37"/>
  <c r="AE702" i="37"/>
  <c r="AM341" i="37"/>
  <c r="AE711" i="37"/>
  <c r="AE592" i="37"/>
  <c r="AM311" i="37"/>
  <c r="AE706" i="37"/>
  <c r="AE721" i="37"/>
  <c r="AE677" i="37"/>
  <c r="AE596" i="37"/>
  <c r="AE656" i="37"/>
  <c r="AM547" i="37"/>
  <c r="AE678" i="37"/>
  <c r="AE578" i="37"/>
  <c r="AE781" i="37"/>
  <c r="AE727" i="37"/>
  <c r="AE779" i="37"/>
  <c r="AE761" i="37"/>
  <c r="AE729" i="37"/>
  <c r="AE754" i="37"/>
  <c r="AE788" i="37"/>
  <c r="AE583" i="37"/>
  <c r="AE749" i="37"/>
  <c r="AE735" i="37"/>
  <c r="AE769" i="37"/>
  <c r="AE748" i="37"/>
  <c r="AE726" i="37"/>
  <c r="AE579" i="37"/>
  <c r="AE784" i="37"/>
  <c r="AE582" i="37"/>
  <c r="AE753" i="37"/>
  <c r="AE728" i="37"/>
  <c r="AE782" i="37"/>
  <c r="AK381" i="37"/>
  <c r="AK458" i="37"/>
  <c r="AK348" i="37"/>
  <c r="AK441" i="37"/>
  <c r="AK351" i="37"/>
  <c r="AK408" i="37"/>
  <c r="AK456" i="37"/>
  <c r="AK451" i="37"/>
  <c r="AK312" i="37"/>
  <c r="AC639" i="37"/>
  <c r="AK323" i="37"/>
  <c r="AK347" i="37"/>
  <c r="AC628" i="37"/>
  <c r="AK397" i="37"/>
  <c r="AC584" i="37"/>
  <c r="AC571" i="37"/>
  <c r="AK446" i="37"/>
  <c r="AK399" i="37"/>
  <c r="AK343" i="37"/>
  <c r="AK380" i="37"/>
  <c r="AK395" i="37"/>
  <c r="AK389" i="37"/>
  <c r="AK387" i="37"/>
  <c r="AC588" i="37"/>
  <c r="AK411" i="37"/>
  <c r="AK404" i="37"/>
  <c r="AK430" i="37"/>
  <c r="AK464" i="37"/>
  <c r="AC705" i="37"/>
  <c r="AC713" i="37"/>
  <c r="AC595" i="37"/>
  <c r="AC577" i="37"/>
  <c r="AC659" i="37"/>
  <c r="AC599" i="37"/>
  <c r="AK461" i="37"/>
  <c r="AK401" i="37"/>
  <c r="AC630" i="37"/>
  <c r="AK412" i="37"/>
  <c r="AC777" i="37"/>
  <c r="AC631" i="37"/>
  <c r="AC587" i="37"/>
  <c r="AC696" i="37"/>
  <c r="AK318" i="37"/>
  <c r="AC712" i="37"/>
  <c r="AK429" i="37"/>
  <c r="AK547" i="37"/>
  <c r="AC566" i="37"/>
  <c r="AK357" i="37"/>
  <c r="AC676" i="37"/>
  <c r="AC674" i="37"/>
  <c r="AC647" i="37"/>
  <c r="AK356" i="37"/>
  <c r="AC689" i="37"/>
  <c r="AC653" i="37"/>
  <c r="AC648" i="37"/>
  <c r="AK400" i="37"/>
  <c r="AK333" i="37"/>
  <c r="AK393" i="37"/>
  <c r="AC602" i="37"/>
  <c r="AC779" i="37"/>
  <c r="AK440" i="37"/>
  <c r="AK434" i="37"/>
  <c r="AC778" i="37"/>
  <c r="AK336" i="37"/>
  <c r="AK391" i="37"/>
  <c r="AC562" i="37"/>
  <c r="AC795" i="37"/>
  <c r="AK414" i="37"/>
  <c r="AC682" i="37"/>
  <c r="AC702" i="37"/>
  <c r="AC600" i="37"/>
  <c r="AC680" i="37"/>
  <c r="AC694" i="37"/>
  <c r="AC664" i="37"/>
  <c r="AC596" i="37"/>
  <c r="AK369" i="37"/>
  <c r="AC677" i="37"/>
  <c r="AC773" i="37"/>
  <c r="AC581" i="37"/>
  <c r="AC640" i="37"/>
  <c r="AK340" i="37"/>
  <c r="AC709" i="37"/>
  <c r="AC568" i="37"/>
  <c r="AC560" i="37"/>
  <c r="AC645" i="37"/>
  <c r="AC699" i="37"/>
  <c r="AC601" i="37"/>
  <c r="AK314" i="37"/>
  <c r="AC655" i="37"/>
  <c r="AC667" i="37"/>
  <c r="AC617" i="37"/>
  <c r="AC649" i="37"/>
  <c r="AC704" i="37"/>
  <c r="AC569" i="37"/>
  <c r="AC766" i="37"/>
  <c r="AC790" i="37"/>
  <c r="AC774" i="37"/>
  <c r="AC578" i="37"/>
  <c r="AC573" i="37"/>
  <c r="AC769" i="37"/>
  <c r="AC765" i="37"/>
  <c r="AC780" i="37"/>
  <c r="AC720" i="37"/>
  <c r="AC728" i="37"/>
  <c r="AC726" i="37"/>
  <c r="AC744" i="37"/>
  <c r="AC784" i="37"/>
  <c r="AC735" i="37"/>
  <c r="AC745" i="37"/>
  <c r="AC575" i="37"/>
  <c r="AC788" i="37"/>
  <c r="AC753" i="37"/>
  <c r="AC751" i="37"/>
  <c r="AC715" i="37"/>
  <c r="AC748" i="37"/>
  <c r="AC583" i="37"/>
  <c r="AB571" i="37"/>
  <c r="AJ389" i="37"/>
  <c r="AJ381" i="37"/>
  <c r="AJ397" i="37"/>
  <c r="AJ451" i="37"/>
  <c r="AJ419" i="37"/>
  <c r="AJ404" i="37"/>
  <c r="AJ322" i="37"/>
  <c r="AB781" i="37"/>
  <c r="AJ440" i="37"/>
  <c r="AJ383" i="37"/>
  <c r="AJ416" i="37"/>
  <c r="AJ326" i="37"/>
  <c r="AJ347" i="37"/>
  <c r="AJ411" i="37"/>
  <c r="AJ453" i="37"/>
  <c r="AJ405" i="37"/>
  <c r="AJ441" i="37"/>
  <c r="AJ343" i="37"/>
  <c r="AJ380" i="37"/>
  <c r="AJ429" i="37"/>
  <c r="AB778" i="37"/>
  <c r="AB749" i="37"/>
  <c r="AB604" i="37"/>
  <c r="AB678" i="37"/>
  <c r="AB665" i="37"/>
  <c r="AB649" i="37"/>
  <c r="AB589" i="37"/>
  <c r="AB670" i="37"/>
  <c r="AB674" i="37"/>
  <c r="AJ339" i="37"/>
  <c r="AJ448" i="37"/>
  <c r="AB631" i="37"/>
  <c r="AB766" i="37"/>
  <c r="AJ401" i="37"/>
  <c r="AJ414" i="37"/>
  <c r="AJ369" i="37"/>
  <c r="AB696" i="37"/>
  <c r="AJ400" i="37"/>
  <c r="AB570" i="37"/>
  <c r="AB641" i="37"/>
  <c r="AB727" i="37"/>
  <c r="AB790" i="37"/>
  <c r="AB702" i="37"/>
  <c r="AB701" i="37"/>
  <c r="AB669" i="37"/>
  <c r="AB659" i="37"/>
  <c r="AB637" i="37"/>
  <c r="AB667" i="37"/>
  <c r="AB600" i="37"/>
  <c r="AJ311" i="37"/>
  <c r="AB630" i="37"/>
  <c r="AB797" i="37"/>
  <c r="AB639" i="37"/>
  <c r="AB780" i="37"/>
  <c r="AB704" i="37"/>
  <c r="AJ382" i="37"/>
  <c r="AB588" i="37"/>
  <c r="AB592" i="37"/>
  <c r="AJ393" i="37"/>
  <c r="AJ329" i="37"/>
  <c r="AB601" i="37"/>
  <c r="AB645" i="37"/>
  <c r="AB560" i="37"/>
  <c r="AB596" i="37"/>
  <c r="AB699" i="37"/>
  <c r="AJ313" i="37"/>
  <c r="AB647" i="37"/>
  <c r="AB688" i="37"/>
  <c r="AB691" i="37"/>
  <c r="AB672" i="37"/>
  <c r="AB655" i="37"/>
  <c r="AJ320" i="37"/>
  <c r="AB577" i="37"/>
  <c r="AB680" i="37"/>
  <c r="AB658" i="37"/>
  <c r="AJ314" i="37"/>
  <c r="AJ547" i="37"/>
  <c r="AB625" i="37"/>
  <c r="AB581" i="37"/>
  <c r="AB568" i="37"/>
  <c r="AB706" i="37"/>
  <c r="AB664" i="37"/>
  <c r="AJ424" i="37"/>
  <c r="AB629" i="37"/>
  <c r="AB795" i="37"/>
  <c r="AB584" i="37"/>
  <c r="AB572" i="37"/>
  <c r="AB575" i="37"/>
  <c r="AB729" i="37"/>
  <c r="AB730" i="37"/>
  <c r="AB769" i="37"/>
  <c r="AB774" i="37"/>
  <c r="AB754" i="37"/>
  <c r="AB745" i="37"/>
  <c r="AB583" i="37"/>
  <c r="AB712" i="37"/>
  <c r="AB711" i="37"/>
  <c r="AB761" i="37"/>
  <c r="AB573" i="37"/>
  <c r="AB782" i="37"/>
  <c r="AB789" i="37"/>
  <c r="AM436" i="37"/>
  <c r="AM383" i="37"/>
  <c r="AE638" i="37"/>
  <c r="AM463" i="37"/>
  <c r="AM460" i="37"/>
  <c r="AM380" i="37"/>
  <c r="AM382" i="37"/>
  <c r="AM446" i="37"/>
  <c r="AM404" i="37"/>
  <c r="AE571" i="37"/>
  <c r="AM435" i="37"/>
  <c r="AM389" i="37"/>
  <c r="AM312" i="37"/>
  <c r="AM419" i="37"/>
  <c r="AM473" i="37"/>
  <c r="AM464" i="37"/>
  <c r="AM421" i="37"/>
  <c r="AM461" i="37"/>
  <c r="AM448" i="37"/>
  <c r="AM387" i="37"/>
  <c r="AM390" i="37"/>
  <c r="AM323" i="37"/>
  <c r="AM408" i="37"/>
  <c r="AM333" i="37"/>
  <c r="AM343" i="37"/>
  <c r="AE722" i="37"/>
  <c r="AE659" i="37"/>
  <c r="AE573" i="37"/>
  <c r="AE653" i="37"/>
  <c r="AE617" i="37"/>
  <c r="AM353" i="37"/>
  <c r="AE559" i="37"/>
  <c r="AE581" i="37"/>
  <c r="AE640" i="37"/>
  <c r="AE652" i="37"/>
  <c r="AE668" i="37"/>
  <c r="AE795" i="37"/>
  <c r="AM336" i="37"/>
  <c r="AM467" i="37"/>
  <c r="AM417" i="37"/>
  <c r="AE773" i="37"/>
  <c r="AM322" i="37"/>
  <c r="AE708" i="37"/>
  <c r="AE700" i="37"/>
  <c r="AE682" i="37"/>
  <c r="AE680" i="37"/>
  <c r="AE605" i="37"/>
  <c r="AM399" i="37"/>
  <c r="AM313" i="37"/>
  <c r="AE628" i="37"/>
  <c r="AM357" i="37"/>
  <c r="AE595" i="37"/>
  <c r="AE670" i="37"/>
  <c r="AE648" i="37"/>
  <c r="AE569" i="37"/>
  <c r="AE577" i="37"/>
  <c r="AM356" i="37"/>
  <c r="AE643" i="37"/>
  <c r="AM430" i="37"/>
  <c r="AM320" i="37"/>
  <c r="AE664" i="37"/>
  <c r="AM412" i="37"/>
  <c r="AM443" i="37"/>
  <c r="AE715" i="37"/>
  <c r="AM340" i="37"/>
  <c r="AE575" i="37"/>
  <c r="AM354" i="37"/>
  <c r="AM426" i="37"/>
  <c r="AM369" i="37"/>
  <c r="AE599" i="37"/>
  <c r="AM377" i="37"/>
  <c r="AE717" i="37"/>
  <c r="AE641" i="37"/>
  <c r="AE589" i="37"/>
  <c r="AE704" i="37"/>
  <c r="AE631" i="37"/>
  <c r="AE584" i="37"/>
  <c r="AE560" i="37"/>
  <c r="AM314" i="37"/>
  <c r="AE637" i="37"/>
  <c r="AE647" i="37"/>
  <c r="AM401" i="37"/>
  <c r="AE720" i="37"/>
  <c r="AE572" i="37"/>
  <c r="AE562" i="37"/>
  <c r="AE694" i="37"/>
  <c r="AE658" i="37"/>
  <c r="AM424" i="37"/>
  <c r="AM329" i="37"/>
  <c r="AE646" i="37"/>
  <c r="AE778" i="37"/>
  <c r="AE629" i="37"/>
  <c r="AE699" i="37"/>
  <c r="AE655" i="37"/>
  <c r="AE730" i="37"/>
  <c r="AE777" i="37"/>
  <c r="AE790" i="37"/>
  <c r="AE766" i="37"/>
  <c r="AE780" i="37"/>
  <c r="AE774" i="37"/>
  <c r="AE738" i="37"/>
  <c r="AE789" i="37"/>
  <c r="AE742" i="37"/>
  <c r="AE747" i="37"/>
  <c r="AE736" i="37"/>
  <c r="AE741" i="37"/>
  <c r="AE745" i="37"/>
  <c r="AE751" i="37"/>
  <c r="AE744" i="37"/>
  <c r="AK321" i="37"/>
  <c r="AK435" i="37"/>
  <c r="AK460" i="37"/>
  <c r="AK339" i="37"/>
  <c r="AK421" i="37"/>
  <c r="AK405" i="37"/>
  <c r="AK452" i="37"/>
  <c r="AK463" i="37"/>
  <c r="AK453" i="37"/>
  <c r="AK322" i="37"/>
  <c r="AC638" i="37"/>
  <c r="AK428" i="37"/>
  <c r="AK398" i="37"/>
  <c r="AK419" i="37"/>
  <c r="AK382" i="37"/>
  <c r="AK454" i="37"/>
  <c r="AK420" i="37"/>
  <c r="AK416" i="37"/>
  <c r="AK326" i="37"/>
  <c r="AK410" i="37"/>
  <c r="AK390" i="37"/>
  <c r="AK352" i="37"/>
  <c r="AC683" i="37"/>
  <c r="AC625" i="37"/>
  <c r="AC669" i="37"/>
  <c r="AC592" i="37"/>
  <c r="AK377" i="37"/>
  <c r="AK424" i="37"/>
  <c r="AC781" i="37"/>
  <c r="AC629" i="37"/>
  <c r="AK448" i="37"/>
  <c r="AK385" i="37"/>
  <c r="AK432" i="37"/>
  <c r="AC604" i="37"/>
  <c r="AC711" i="37"/>
  <c r="AC668" i="37"/>
  <c r="AK407" i="37"/>
  <c r="AK465" i="37"/>
  <c r="AK353" i="37"/>
  <c r="AC574" i="37"/>
  <c r="AC662" i="37"/>
  <c r="AC652" i="37"/>
  <c r="AC605" i="37"/>
  <c r="AK436" i="37"/>
  <c r="AC559" i="37"/>
  <c r="AK426" i="37"/>
  <c r="AK383" i="37"/>
  <c r="AC643" i="37"/>
  <c r="AK354" i="37"/>
  <c r="AK417" i="37"/>
  <c r="AK422" i="37"/>
  <c r="AC706" i="37"/>
  <c r="AK313" i="37"/>
  <c r="AC561" i="37"/>
  <c r="AK443" i="37"/>
  <c r="AC701" i="37"/>
  <c r="AC665" i="37"/>
  <c r="AC570" i="37"/>
  <c r="AC672" i="37"/>
  <c r="AC727" i="37"/>
  <c r="AC658" i="37"/>
  <c r="AK341" i="37"/>
  <c r="AK392" i="37"/>
  <c r="AC641" i="37"/>
  <c r="AC700" i="37"/>
  <c r="AC684" i="37"/>
  <c r="AK344" i="37"/>
  <c r="AC691" i="37"/>
  <c r="AK311" i="37"/>
  <c r="AC708" i="37"/>
  <c r="AC670" i="37"/>
  <c r="AC591" i="37"/>
  <c r="AC660" i="37"/>
  <c r="AC635" i="37"/>
  <c r="AK320" i="37"/>
  <c r="AC637" i="37"/>
  <c r="AK457" i="37"/>
  <c r="AC646" i="37"/>
  <c r="AC678" i="37"/>
  <c r="AC633" i="37"/>
  <c r="AC688" i="37"/>
  <c r="AC589" i="37"/>
  <c r="AK329" i="37"/>
  <c r="AC656" i="37"/>
  <c r="AC730" i="37"/>
  <c r="AC754" i="37"/>
  <c r="AC749" i="37"/>
  <c r="AC761" i="37"/>
  <c r="AC717" i="37"/>
  <c r="AC741" i="37"/>
  <c r="AC572" i="37"/>
  <c r="AC736" i="37"/>
  <c r="AC782" i="37"/>
  <c r="AC729" i="37"/>
  <c r="AC719" i="37"/>
  <c r="AC742" i="37"/>
  <c r="AC738" i="37"/>
  <c r="AC579" i="37"/>
  <c r="AC747" i="37"/>
  <c r="AC722" i="37"/>
  <c r="AC586" i="37"/>
  <c r="AC789" i="37"/>
  <c r="AC721" i="37"/>
  <c r="AC582" i="37"/>
  <c r="AJ398" i="37"/>
  <c r="AJ385" i="37"/>
  <c r="AB628" i="37"/>
  <c r="AJ312" i="37"/>
  <c r="AB638" i="37"/>
  <c r="AJ395" i="37"/>
  <c r="AJ410" i="37"/>
  <c r="AJ351" i="37"/>
  <c r="AJ323" i="37"/>
  <c r="AJ452" i="37"/>
  <c r="AJ421" i="37"/>
  <c r="AJ458" i="37"/>
  <c r="AJ432" i="37"/>
  <c r="AJ408" i="37"/>
  <c r="AJ435" i="37"/>
  <c r="AJ456" i="37"/>
  <c r="AJ387" i="37"/>
  <c r="AB705" i="37"/>
  <c r="AJ390" i="37"/>
  <c r="AJ454" i="37"/>
  <c r="AJ348" i="37"/>
  <c r="AB779" i="37"/>
  <c r="AB599" i="37"/>
  <c r="AJ357" i="37"/>
  <c r="AJ436" i="37"/>
  <c r="AJ352" i="37"/>
  <c r="AB602" i="37"/>
  <c r="AJ356" i="37"/>
  <c r="AJ391" i="37"/>
  <c r="AJ333" i="37"/>
  <c r="AJ443" i="37"/>
  <c r="AJ422" i="37"/>
  <c r="AB643" i="37"/>
  <c r="AJ417" i="37"/>
  <c r="AJ377" i="37"/>
  <c r="AB677" i="37"/>
  <c r="AJ428" i="37"/>
  <c r="AB777" i="37"/>
  <c r="AB708" i="37"/>
  <c r="AB566" i="37"/>
  <c r="AJ340" i="37"/>
  <c r="AB561" i="37"/>
  <c r="AB694" i="37"/>
  <c r="AB640" i="37"/>
  <c r="AJ354" i="37"/>
  <c r="AB653" i="37"/>
  <c r="AB587" i="37"/>
  <c r="AB662" i="37"/>
  <c r="AB595" i="37"/>
  <c r="AB676" i="37"/>
  <c r="AJ341" i="37"/>
  <c r="AB574" i="37"/>
  <c r="AJ344" i="37"/>
  <c r="AJ321" i="37"/>
  <c r="AJ420" i="37"/>
  <c r="AJ430" i="37"/>
  <c r="AJ446" i="37"/>
  <c r="AJ457" i="37"/>
  <c r="AB656" i="37"/>
  <c r="AJ434" i="37"/>
  <c r="AJ392" i="37"/>
  <c r="AB684" i="37"/>
  <c r="AB689" i="37"/>
  <c r="AB559" i="37"/>
  <c r="AB591" i="37"/>
  <c r="AB562" i="37"/>
  <c r="AJ318" i="37"/>
  <c r="AB635" i="37"/>
  <c r="AB668" i="37"/>
  <c r="AJ407" i="37"/>
  <c r="AB652" i="37"/>
  <c r="AJ399" i="37"/>
  <c r="AB646" i="37"/>
  <c r="AB682" i="37"/>
  <c r="AJ353" i="37"/>
  <c r="AJ426" i="37"/>
  <c r="AB569" i="37"/>
  <c r="AB683" i="37"/>
  <c r="AB648" i="37"/>
  <c r="AB605" i="37"/>
  <c r="AJ412" i="37"/>
  <c r="AB700" i="37"/>
  <c r="AB660" i="37"/>
  <c r="AB617" i="37"/>
  <c r="AB773" i="37"/>
  <c r="AB633" i="37"/>
  <c r="AB715" i="37"/>
  <c r="AB788" i="37"/>
  <c r="AB713" i="37"/>
  <c r="AB709" i="37"/>
  <c r="AB578" i="37"/>
  <c r="AB765" i="37"/>
  <c r="AB735" i="37"/>
  <c r="AB728" i="37"/>
  <c r="AB719" i="37"/>
  <c r="AB720" i="37"/>
  <c r="AB738" i="37"/>
  <c r="AB744" i="37"/>
  <c r="AB784" i="37"/>
  <c r="AB721" i="37"/>
  <c r="AB741" i="37"/>
  <c r="AB748" i="37"/>
  <c r="AB726" i="37"/>
  <c r="AB742" i="37"/>
  <c r="AF765" i="37"/>
  <c r="AF638" i="37"/>
  <c r="AN331" i="37"/>
  <c r="AN469" i="37"/>
  <c r="AN405" i="37"/>
  <c r="AN482" i="37"/>
  <c r="AN326" i="37"/>
  <c r="AN343" i="37"/>
  <c r="AN481" i="37"/>
  <c r="AN420" i="37"/>
  <c r="AN390" i="37"/>
  <c r="AN440" i="37"/>
  <c r="AF571" i="37"/>
  <c r="AN404" i="37"/>
  <c r="AN446" i="37"/>
  <c r="AN451" i="37"/>
  <c r="AN414" i="37"/>
  <c r="AN382" i="37"/>
  <c r="AN325" i="37"/>
  <c r="AN312" i="37"/>
  <c r="AN467" i="37"/>
  <c r="AN321" i="37"/>
  <c r="AN432" i="37"/>
  <c r="AN464" i="37"/>
  <c r="AN327" i="37"/>
  <c r="AN381" i="37"/>
  <c r="AN377" i="37"/>
  <c r="AN322" i="37"/>
  <c r="AN323" i="37"/>
  <c r="AF684" i="37"/>
  <c r="AF656" i="37"/>
  <c r="AF705" i="37"/>
  <c r="AF670" i="37"/>
  <c r="AF706" i="37"/>
  <c r="AF652" i="37"/>
  <c r="AF617" i="37"/>
  <c r="AF694" i="37"/>
  <c r="AF561" i="37"/>
  <c r="AF721" i="37"/>
  <c r="AN478" i="37"/>
  <c r="AN369" i="37"/>
  <c r="AF664" i="37"/>
  <c r="AN452" i="37"/>
  <c r="AN429" i="37"/>
  <c r="AN443" i="37"/>
  <c r="AF722" i="37"/>
  <c r="AN435" i="37"/>
  <c r="AN424" i="37"/>
  <c r="AF592" i="37"/>
  <c r="AN339" i="37"/>
  <c r="AN344" i="37"/>
  <c r="AF566" i="37"/>
  <c r="AF640" i="37"/>
  <c r="AF584" i="37"/>
  <c r="AF699" i="37"/>
  <c r="AF631" i="37"/>
  <c r="AF683" i="37"/>
  <c r="AF605" i="37"/>
  <c r="AF635" i="37"/>
  <c r="AN336" i="37"/>
  <c r="AN400" i="37"/>
  <c r="AN395" i="37"/>
  <c r="AN412" i="37"/>
  <c r="AF604" i="37"/>
  <c r="AF570" i="37"/>
  <c r="AF729" i="37"/>
  <c r="AN314" i="37"/>
  <c r="AN341" i="37"/>
  <c r="AF719" i="37"/>
  <c r="AF578" i="37"/>
  <c r="AF579" i="37"/>
  <c r="AF637" i="37"/>
  <c r="AF688" i="37"/>
  <c r="AF577" i="37"/>
  <c r="AF669" i="37"/>
  <c r="AF568" i="37"/>
  <c r="AF562" i="37"/>
  <c r="AN353" i="37"/>
  <c r="AF712" i="37"/>
  <c r="AN417" i="37"/>
  <c r="AF573" i="37"/>
  <c r="AF655" i="37"/>
  <c r="AF702" i="37"/>
  <c r="AF676" i="37"/>
  <c r="AN436" i="37"/>
  <c r="AN422" i="37"/>
  <c r="AN399" i="37"/>
  <c r="AF696" i="37"/>
  <c r="AF588" i="37"/>
  <c r="AF591" i="37"/>
  <c r="AN356" i="37"/>
  <c r="AF672" i="37"/>
  <c r="AF727" i="37"/>
  <c r="AF596" i="37"/>
  <c r="AF795" i="37"/>
  <c r="AN354" i="37"/>
  <c r="AN392" i="37"/>
  <c r="AN457" i="37"/>
  <c r="AF711" i="37"/>
  <c r="AN430" i="37"/>
  <c r="AN393" i="37"/>
  <c r="AF662" i="37"/>
  <c r="AN426" i="37"/>
  <c r="AF790" i="37"/>
  <c r="AF781" i="37"/>
  <c r="AF583" i="37"/>
  <c r="AF766" i="37"/>
  <c r="AF761" i="37"/>
  <c r="AF788" i="37"/>
  <c r="AF779" i="37"/>
  <c r="AF748" i="37"/>
  <c r="AF769" i="37"/>
  <c r="AF736" i="37"/>
  <c r="AF747" i="37"/>
  <c r="AF784" i="37"/>
  <c r="AF728" i="37"/>
  <c r="AF782" i="37"/>
  <c r="AF744" i="37"/>
  <c r="AF741" i="37"/>
  <c r="AL428" i="37"/>
  <c r="AD628" i="37"/>
  <c r="AL399" i="37"/>
  <c r="AL398" i="37"/>
  <c r="AL382" i="37"/>
  <c r="AL385" i="37"/>
  <c r="AL321" i="37"/>
  <c r="AL435" i="37"/>
  <c r="AL347" i="37"/>
  <c r="AL411" i="37"/>
  <c r="AL395" i="37"/>
  <c r="AD649" i="37"/>
  <c r="AL460" i="37"/>
  <c r="AL404" i="37"/>
  <c r="AL410" i="37"/>
  <c r="AD643" i="37"/>
  <c r="AL446" i="37"/>
  <c r="AL408" i="37"/>
  <c r="AL322" i="37"/>
  <c r="AL454" i="37"/>
  <c r="AL441" i="37"/>
  <c r="AD638" i="37"/>
  <c r="AL325" i="37"/>
  <c r="AL352" i="37"/>
  <c r="AD655" i="37"/>
  <c r="AD648" i="37"/>
  <c r="AD705" i="37"/>
  <c r="AD600" i="37"/>
  <c r="AD562" i="37"/>
  <c r="AD635" i="37"/>
  <c r="AL429" i="37"/>
  <c r="AD596" i="37"/>
  <c r="AL339" i="37"/>
  <c r="AL467" i="37"/>
  <c r="AL434" i="37"/>
  <c r="AD699" i="37"/>
  <c r="AL419" i="37"/>
  <c r="AD694" i="37"/>
  <c r="AD715" i="37"/>
  <c r="AD662" i="37"/>
  <c r="AD559" i="37"/>
  <c r="AD677" i="37"/>
  <c r="AL357" i="37"/>
  <c r="AD604" i="37"/>
  <c r="AD617" i="37"/>
  <c r="AD701" i="37"/>
  <c r="AD672" i="37"/>
  <c r="AD674" i="37"/>
  <c r="AD647" i="37"/>
  <c r="AD777" i="37"/>
  <c r="AL443" i="37"/>
  <c r="AD630" i="37"/>
  <c r="AD766" i="37"/>
  <c r="AD656" i="37"/>
  <c r="AD782" i="37"/>
  <c r="AD751" i="37"/>
  <c r="AD769" i="37"/>
  <c r="AD742" i="37"/>
  <c r="AD721" i="37"/>
  <c r="AD754" i="37"/>
  <c r="AD689" i="37"/>
  <c r="AD676" i="37"/>
  <c r="AD668" i="37"/>
  <c r="AD595" i="37"/>
  <c r="AD704" i="37"/>
  <c r="AD658" i="37"/>
  <c r="AD561" i="37"/>
  <c r="AL313" i="37"/>
  <c r="AD773" i="37"/>
  <c r="AD569" i="37"/>
  <c r="AD573" i="37"/>
  <c r="AD669" i="37"/>
  <c r="AD709" i="37"/>
  <c r="AL314" i="37"/>
  <c r="AL329" i="37"/>
  <c r="AD639" i="37"/>
  <c r="AD633" i="37"/>
  <c r="AD683" i="37"/>
  <c r="AD605" i="37"/>
  <c r="AD584" i="37"/>
  <c r="AD708" i="37"/>
  <c r="AD700" i="37"/>
  <c r="AD566" i="37"/>
  <c r="AD667" i="37"/>
  <c r="AL547" i="37"/>
  <c r="AL436" i="37"/>
  <c r="AL311" i="37"/>
  <c r="AD572" i="37"/>
  <c r="AD711" i="37"/>
  <c r="AD581" i="37"/>
  <c r="AD591" i="37"/>
  <c r="AL326" i="37"/>
  <c r="AL343" i="37"/>
  <c r="AD602" i="37"/>
  <c r="AL377" i="37"/>
  <c r="AL324" i="37"/>
  <c r="AD795" i="37"/>
  <c r="AD678" i="37"/>
  <c r="AD641" i="37"/>
  <c r="AD588" i="37"/>
  <c r="AD625" i="37"/>
  <c r="AL391" i="37"/>
  <c r="AL458" i="37"/>
  <c r="AL401" i="37"/>
  <c r="AL430" i="37"/>
  <c r="AL422" i="37"/>
  <c r="AD645" i="37"/>
  <c r="AL341" i="37"/>
  <c r="AL381" i="37"/>
  <c r="AD670" i="37"/>
  <c r="AL390" i="37"/>
  <c r="AL323" i="37"/>
  <c r="AL393" i="37"/>
  <c r="AL397" i="37"/>
  <c r="AL405" i="37"/>
  <c r="AL440" i="37"/>
  <c r="AL452" i="37"/>
  <c r="AD659" i="37"/>
  <c r="AL448" i="37"/>
  <c r="AF751" i="37"/>
  <c r="AF745" i="37"/>
  <c r="AF582" i="37"/>
  <c r="AF774" i="37"/>
  <c r="AF780" i="37"/>
  <c r="AF754" i="37"/>
  <c r="AF773" i="37"/>
  <c r="AF677" i="37"/>
  <c r="AF647" i="37"/>
  <c r="AN329" i="37"/>
  <c r="AF575" i="37"/>
  <c r="AN318" i="37"/>
  <c r="AN391" i="37"/>
  <c r="AF717" i="37"/>
  <c r="AF700" i="37"/>
  <c r="AN340" i="37"/>
  <c r="AF569" i="37"/>
  <c r="AN311" i="37"/>
  <c r="AF595" i="37"/>
  <c r="AN357" i="37"/>
  <c r="AN474" i="37"/>
  <c r="AF674" i="37"/>
  <c r="AN416" i="37"/>
  <c r="AF646" i="37"/>
  <c r="AN401" i="37"/>
  <c r="AF778" i="37"/>
  <c r="AF680" i="37"/>
  <c r="AF633" i="37"/>
  <c r="AF560" i="37"/>
  <c r="AN463" i="37"/>
  <c r="AF730" i="37"/>
  <c r="AN407" i="37"/>
  <c r="AN421" i="37"/>
  <c r="AN398" i="37"/>
  <c r="AF648" i="37"/>
  <c r="AF665" i="37"/>
  <c r="AF682" i="37"/>
  <c r="AF689" i="37"/>
  <c r="AF653" i="37"/>
  <c r="AF601" i="37"/>
  <c r="AN441" i="37"/>
  <c r="AN411" i="37"/>
  <c r="AN385" i="37"/>
  <c r="AN419" i="37"/>
  <c r="AN479" i="37"/>
  <c r="AN330" i="37"/>
  <c r="AN383" i="37"/>
  <c r="AN448" i="37"/>
  <c r="AN458" i="37"/>
  <c r="AN471" i="37"/>
  <c r="AN380" i="37"/>
  <c r="AN387" i="37"/>
  <c r="AN454" i="37"/>
  <c r="AN347" i="37"/>
  <c r="AN428" i="37"/>
  <c r="AN351" i="37"/>
  <c r="AN472" i="37"/>
  <c r="AB747" i="37"/>
  <c r="AB579" i="37"/>
  <c r="AB751" i="37"/>
  <c r="AB586" i="37"/>
  <c r="AB722" i="37"/>
  <c r="AB717" i="37"/>
  <c r="I307" i="37"/>
  <c r="L307" i="37"/>
  <c r="AB546" i="37"/>
  <c r="S544" i="37"/>
  <c r="T518" i="37"/>
  <c r="R546" i="37"/>
  <c r="Y526" i="37"/>
  <c r="Y524" i="37"/>
  <c r="Y521" i="37"/>
  <c r="Z521" i="37"/>
  <c r="Y520" i="37"/>
  <c r="T548" i="37"/>
  <c r="Z546" i="37"/>
  <c r="U544" i="37"/>
  <c r="X548" i="37"/>
  <c r="X544" i="37"/>
  <c r="V531" i="37"/>
  <c r="V528" i="37"/>
  <c r="AA521" i="37"/>
  <c r="Y517" i="37"/>
  <c r="Z517" i="37"/>
  <c r="AA548" i="37"/>
  <c r="Y545" i="37"/>
  <c r="T543" i="37"/>
  <c r="U519" i="37"/>
  <c r="AB549" i="37"/>
  <c r="X543" i="37"/>
  <c r="X539" i="37"/>
  <c r="R522" i="37"/>
  <c r="V518" i="37"/>
  <c r="AB544" i="37"/>
  <c r="Y516" i="37"/>
  <c r="R544" i="37"/>
  <c r="T526" i="37"/>
  <c r="T522" i="37"/>
  <c r="Y496" i="37"/>
  <c r="Y474" i="37"/>
  <c r="T496" i="37"/>
  <c r="T524" i="37"/>
  <c r="R521" i="37"/>
  <c r="T520" i="37"/>
  <c r="Y548" i="37"/>
  <c r="T546" i="37"/>
  <c r="Z544" i="37"/>
  <c r="AB531" i="37"/>
  <c r="Y531" i="37"/>
  <c r="AA528" i="37"/>
  <c r="X517" i="37"/>
  <c r="R517" i="37"/>
  <c r="V548" i="37"/>
  <c r="T545" i="37"/>
  <c r="S532" i="37"/>
  <c r="Y523" i="37"/>
  <c r="X519" i="37"/>
  <c r="X549" i="37"/>
  <c r="AB545" i="37"/>
  <c r="U529" i="37"/>
  <c r="R496" i="37"/>
  <c r="R526" i="37"/>
  <c r="V522" i="37"/>
  <c r="AA518" i="37"/>
  <c r="S548" i="37"/>
  <c r="Y510" i="37"/>
  <c r="T474" i="37"/>
  <c r="X521" i="37"/>
  <c r="V521" i="37"/>
  <c r="U548" i="37"/>
  <c r="Y546" i="37"/>
  <c r="T544" i="37"/>
  <c r="X546" i="37"/>
  <c r="R531" i="37"/>
  <c r="T528" i="37"/>
  <c r="AA546" i="37"/>
  <c r="AA544" i="37"/>
  <c r="Y539" i="37"/>
  <c r="X523" i="37"/>
  <c r="Y519" i="37"/>
  <c r="X545" i="37"/>
  <c r="X529" i="37"/>
  <c r="Z529" i="37"/>
  <c r="V496" i="37"/>
  <c r="V526" i="37"/>
  <c r="AA522" i="37"/>
  <c r="S528" i="37"/>
  <c r="AB522" i="37"/>
  <c r="X518" i="37"/>
  <c r="X516" i="37"/>
  <c r="R548" i="37"/>
  <c r="AB521" i="37"/>
  <c r="Z548" i="37"/>
  <c r="V544" i="37"/>
  <c r="AA496" i="37"/>
  <c r="R518" i="37"/>
  <c r="S469" i="37"/>
  <c r="X526" i="37"/>
  <c r="X524" i="37"/>
  <c r="AB518" i="37"/>
  <c r="S516" i="37"/>
  <c r="U526" i="37"/>
  <c r="U522" i="37"/>
  <c r="U518" i="37"/>
  <c r="U484" i="37"/>
  <c r="AB484" i="37"/>
  <c r="Z439" i="37"/>
  <c r="S415" i="37"/>
  <c r="U396" i="37"/>
  <c r="Z415" i="37"/>
  <c r="R396" i="37"/>
  <c r="S546" i="37"/>
  <c r="Z531" i="37"/>
  <c r="AB528" i="37"/>
  <c r="S526" i="37"/>
  <c r="S524" i="37"/>
  <c r="S518" i="37"/>
  <c r="X510" i="37"/>
  <c r="AB496" i="37"/>
  <c r="Z528" i="37"/>
  <c r="Z524" i="37"/>
  <c r="Z520" i="37"/>
  <c r="Z496" i="37"/>
  <c r="Z484" i="37"/>
  <c r="Z396" i="37"/>
  <c r="X415" i="37"/>
  <c r="T396" i="37"/>
  <c r="U415" i="37"/>
  <c r="V396" i="37"/>
  <c r="AB548" i="37"/>
  <c r="Y415" i="37"/>
  <c r="U521" i="37"/>
  <c r="U546" i="37"/>
  <c r="R528" i="37"/>
  <c r="Y549" i="37"/>
  <c r="T539" i="37"/>
  <c r="AB543" i="37"/>
  <c r="X528" i="37"/>
  <c r="X522" i="37"/>
  <c r="X520" i="37"/>
  <c r="S510" i="37"/>
  <c r="X496" i="37"/>
  <c r="U528" i="37"/>
  <c r="U496" i="37"/>
  <c r="S484" i="37"/>
  <c r="X474" i="37"/>
  <c r="R415" i="37"/>
  <c r="V415" i="37"/>
  <c r="AB415" i="37"/>
  <c r="T415" i="37"/>
  <c r="AB396" i="37"/>
  <c r="AA396" i="37"/>
  <c r="Y518" i="37"/>
  <c r="Y522" i="37"/>
  <c r="Y544" i="37"/>
  <c r="S496" i="37"/>
  <c r="AA415" i="37"/>
  <c r="Z474" i="37"/>
  <c r="R524" i="37"/>
  <c r="X499" i="37"/>
  <c r="AB508" i="37"/>
  <c r="R475" i="37"/>
  <c r="Y376" i="37"/>
  <c r="R370" i="37"/>
  <c r="Z335" i="37"/>
  <c r="S335" i="37"/>
  <c r="R520" i="37"/>
  <c r="S520" i="37"/>
  <c r="Z522" i="37"/>
  <c r="U439" i="37"/>
  <c r="Y396" i="37"/>
  <c r="AB539" i="37"/>
  <c r="AB526" i="37"/>
  <c r="X475" i="37"/>
  <c r="Z526" i="37"/>
  <c r="S474" i="37"/>
  <c r="S396" i="37"/>
  <c r="Z350" i="37"/>
  <c r="Y335" i="37"/>
  <c r="V546" i="37"/>
  <c r="AA526" i="37"/>
  <c r="S522" i="37"/>
  <c r="Y537" i="37"/>
  <c r="Z518" i="37"/>
  <c r="X484" i="37"/>
  <c r="T317" i="37"/>
  <c r="S331" i="37"/>
  <c r="Y332" i="37"/>
  <c r="X336" i="37"/>
  <c r="Z502" i="37"/>
  <c r="AA331" i="37"/>
  <c r="Z506" i="37"/>
  <c r="X449" i="37"/>
  <c r="T431" i="37"/>
  <c r="R489" i="37"/>
  <c r="U489" i="37"/>
  <c r="T409" i="37"/>
  <c r="U409" i="37"/>
  <c r="Y338" i="37"/>
  <c r="Y468" i="37"/>
  <c r="Z468" i="37"/>
  <c r="X464" i="37"/>
  <c r="Z479" i="37"/>
  <c r="X375" i="37"/>
  <c r="R512" i="37"/>
  <c r="X512" i="37"/>
  <c r="Y499" i="37"/>
  <c r="X525" i="37"/>
  <c r="V462" i="37"/>
  <c r="U462" i="37"/>
  <c r="U491" i="37"/>
  <c r="AB537" i="37"/>
  <c r="S317" i="37"/>
  <c r="AA346" i="37"/>
  <c r="X515" i="37"/>
  <c r="U507" i="37"/>
  <c r="Y527" i="37"/>
  <c r="AA494" i="37"/>
  <c r="U494" i="37"/>
  <c r="AB541" i="37"/>
  <c r="Y481" i="37"/>
  <c r="X481" i="37"/>
  <c r="T335" i="37"/>
  <c r="U317" i="37"/>
  <c r="X335" i="37"/>
  <c r="X476" i="37"/>
  <c r="R490" i="37"/>
  <c r="R498" i="37"/>
  <c r="S498" i="37"/>
  <c r="Z497" i="37"/>
  <c r="AA500" i="37"/>
  <c r="T500" i="37"/>
  <c r="X379" i="37"/>
  <c r="V379" i="37"/>
  <c r="V425" i="37"/>
  <c r="X477" i="37"/>
  <c r="T477" i="37"/>
  <c r="Y431" i="37"/>
  <c r="X431" i="37"/>
  <c r="R540" i="37"/>
  <c r="AA540" i="37"/>
  <c r="U540" i="37"/>
  <c r="Z438" i="37"/>
  <c r="R470" i="37"/>
  <c r="X470" i="37"/>
  <c r="R504" i="37"/>
  <c r="Z504" i="37"/>
  <c r="R502" i="37"/>
  <c r="AB502" i="37"/>
  <c r="S502" i="37"/>
  <c r="AA492" i="37"/>
  <c r="S492" i="37"/>
  <c r="R514" i="37"/>
  <c r="T514" i="37"/>
  <c r="T536" i="37"/>
  <c r="X370" i="37"/>
  <c r="Y542" i="37"/>
  <c r="Z542" i="37"/>
  <c r="Y330" i="37"/>
  <c r="Z370" i="37"/>
  <c r="S379" i="37"/>
  <c r="AB438" i="37"/>
  <c r="AB468" i="37"/>
  <c r="AA468" i="37"/>
  <c r="U545" i="37"/>
  <c r="X487" i="37"/>
  <c r="T535" i="37"/>
  <c r="Y506" i="37"/>
  <c r="S506" i="37"/>
  <c r="Z482" i="37"/>
  <c r="R338" i="37"/>
  <c r="Z476" i="37"/>
  <c r="Y505" i="37"/>
  <c r="R505" i="37"/>
  <c r="AB505" i="37"/>
  <c r="X490" i="37"/>
  <c r="AB513" i="37"/>
  <c r="Y375" i="37"/>
  <c r="R433" i="37"/>
  <c r="AA433" i="37"/>
  <c r="S327" i="37"/>
  <c r="Z483" i="37"/>
  <c r="V508" i="37"/>
  <c r="X508" i="37"/>
  <c r="R331" i="37"/>
  <c r="S324" i="37"/>
  <c r="R472" i="37"/>
  <c r="Y324" i="37"/>
  <c r="Y325" i="37"/>
  <c r="U376" i="37"/>
  <c r="S472" i="37"/>
  <c r="U487" i="37"/>
  <c r="R461" i="37"/>
  <c r="Y528" i="37"/>
  <c r="AB519" i="37"/>
  <c r="Z319" i="37"/>
  <c r="Y327" i="37"/>
  <c r="X319" i="37"/>
  <c r="S338" i="37"/>
  <c r="Y346" i="37"/>
  <c r="T376" i="37"/>
  <c r="X367" i="37"/>
  <c r="S375" i="37"/>
  <c r="R438" i="37"/>
  <c r="X460" i="37"/>
  <c r="V483" i="37"/>
  <c r="R324" i="37"/>
  <c r="AA498" i="37"/>
  <c r="Z379" i="37"/>
  <c r="S489" i="37"/>
  <c r="AB489" i="37"/>
  <c r="Y409" i="37"/>
  <c r="X409" i="37"/>
  <c r="X468" i="37"/>
  <c r="V468" i="37"/>
  <c r="U479" i="37"/>
  <c r="R479" i="37"/>
  <c r="T512" i="37"/>
  <c r="AB512" i="37"/>
  <c r="Z512" i="37"/>
  <c r="R525" i="37"/>
  <c r="T462" i="37"/>
  <c r="Z462" i="37"/>
  <c r="X350" i="37"/>
  <c r="X491" i="37"/>
  <c r="AA537" i="37"/>
  <c r="Z317" i="37"/>
  <c r="X507" i="37"/>
  <c r="Y494" i="37"/>
  <c r="X494" i="37"/>
  <c r="X541" i="37"/>
  <c r="U481" i="37"/>
  <c r="X332" i="37"/>
  <c r="X317" i="37"/>
  <c r="U431" i="37"/>
  <c r="AA525" i="37"/>
  <c r="Y462" i="37"/>
  <c r="U498" i="37"/>
  <c r="V497" i="37"/>
  <c r="R500" i="37"/>
  <c r="X500" i="37"/>
  <c r="U500" i="37"/>
  <c r="Y473" i="37"/>
  <c r="Z473" i="37"/>
  <c r="R473" i="37"/>
  <c r="Y379" i="37"/>
  <c r="T425" i="37"/>
  <c r="AB425" i="37"/>
  <c r="Z477" i="37"/>
  <c r="AA477" i="37"/>
  <c r="AA431" i="37"/>
  <c r="Z431" i="37"/>
  <c r="AA409" i="37"/>
  <c r="X498" i="37"/>
  <c r="S540" i="37"/>
  <c r="Y540" i="37"/>
  <c r="AB470" i="37"/>
  <c r="AA470" i="37"/>
  <c r="Y504" i="37"/>
  <c r="AA504" i="37"/>
  <c r="S325" i="37"/>
  <c r="V502" i="37"/>
  <c r="U502" i="37"/>
  <c r="T492" i="37"/>
  <c r="Z492" i="37"/>
  <c r="V514" i="37"/>
  <c r="AB514" i="37"/>
  <c r="S330" i="37"/>
  <c r="AB536" i="37"/>
  <c r="U536" i="37"/>
  <c r="Y370" i="37"/>
  <c r="R542" i="37"/>
  <c r="U542" i="37"/>
  <c r="X542" i="37"/>
  <c r="S370" i="37"/>
  <c r="AB492" i="37"/>
  <c r="Z481" i="37"/>
  <c r="U497" i="37"/>
  <c r="S534" i="37"/>
  <c r="Z487" i="37"/>
  <c r="R487" i="37"/>
  <c r="AB535" i="37"/>
  <c r="R506" i="37"/>
  <c r="U506" i="37"/>
  <c r="S332" i="37"/>
  <c r="Z505" i="37"/>
  <c r="X505" i="37"/>
  <c r="U505" i="37"/>
  <c r="X467" i="37"/>
  <c r="T490" i="37"/>
  <c r="Z490" i="37"/>
  <c r="Y433" i="37"/>
  <c r="U433" i="37"/>
  <c r="AA332" i="37"/>
  <c r="AA483" i="37"/>
  <c r="Y508" i="37"/>
  <c r="S508" i="37"/>
  <c r="U331" i="37"/>
  <c r="Y331" i="37"/>
  <c r="Y472" i="37"/>
  <c r="U335" i="37"/>
  <c r="Y471" i="37"/>
  <c r="Z471" i="37"/>
  <c r="X334" i="37"/>
  <c r="AB350" i="37"/>
  <c r="Y317" i="37"/>
  <c r="U425" i="37"/>
  <c r="T468" i="37"/>
  <c r="AB486" i="37"/>
  <c r="X536" i="37"/>
  <c r="T498" i="37"/>
  <c r="S517" i="37"/>
  <c r="U543" i="37"/>
  <c r="U532" i="37"/>
  <c r="S334" i="37"/>
  <c r="AA319" i="37"/>
  <c r="Y334" i="37"/>
  <c r="T334" i="37"/>
  <c r="V319" i="37"/>
  <c r="X346" i="37"/>
  <c r="AA376" i="37"/>
  <c r="AB379" i="37"/>
  <c r="Y438" i="37"/>
  <c r="T438" i="37"/>
  <c r="X463" i="37"/>
  <c r="X461" i="37"/>
  <c r="R319" i="37"/>
  <c r="U375" i="37"/>
  <c r="R480" i="37"/>
  <c r="S449" i="37"/>
  <c r="Y495" i="37"/>
  <c r="Z495" i="37"/>
  <c r="S447" i="37"/>
  <c r="T447" i="37"/>
  <c r="R488" i="37"/>
  <c r="S488" i="37"/>
  <c r="Y439" i="37"/>
  <c r="R486" i="37"/>
  <c r="Z470" i="37"/>
  <c r="Z514" i="37"/>
  <c r="V335" i="37"/>
  <c r="AB500" i="37"/>
  <c r="X482" i="37"/>
  <c r="V489" i="37"/>
  <c r="Z489" i="37"/>
  <c r="S409" i="37"/>
  <c r="Z409" i="37"/>
  <c r="R468" i="37"/>
  <c r="U468" i="37"/>
  <c r="AA479" i="37"/>
  <c r="AA512" i="37"/>
  <c r="Y512" i="37"/>
  <c r="S512" i="37"/>
  <c r="U499" i="37"/>
  <c r="Y525" i="37"/>
  <c r="R462" i="37"/>
  <c r="AA462" i="37"/>
  <c r="U350" i="37"/>
  <c r="Y491" i="37"/>
  <c r="Y507" i="37"/>
  <c r="S530" i="37"/>
  <c r="U527" i="37"/>
  <c r="V494" i="37"/>
  <c r="R494" i="37"/>
  <c r="S494" i="37"/>
  <c r="AA481" i="37"/>
  <c r="T331" i="37"/>
  <c r="Y498" i="37"/>
  <c r="AB498" i="37"/>
  <c r="R497" i="37"/>
  <c r="AA497" i="37"/>
  <c r="V500" i="37"/>
  <c r="S500" i="37"/>
  <c r="Z478" i="37"/>
  <c r="R379" i="37"/>
  <c r="R425" i="37"/>
  <c r="AA425" i="37"/>
  <c r="R477" i="37"/>
  <c r="S431" i="37"/>
  <c r="AB431" i="37"/>
  <c r="T540" i="37"/>
  <c r="V540" i="37"/>
  <c r="Z540" i="37"/>
  <c r="S438" i="37"/>
  <c r="T470" i="37"/>
  <c r="U470" i="37"/>
  <c r="S470" i="37"/>
  <c r="V504" i="37"/>
  <c r="X504" i="37"/>
  <c r="Z488" i="37"/>
  <c r="X502" i="37"/>
  <c r="Y492" i="37"/>
  <c r="X492" i="37"/>
  <c r="R492" i="37"/>
  <c r="U447" i="37"/>
  <c r="AA514" i="37"/>
  <c r="Y514" i="37"/>
  <c r="R536" i="37"/>
  <c r="Y536" i="37"/>
  <c r="V536" i="37"/>
  <c r="AB542" i="37"/>
  <c r="AA542" i="37"/>
  <c r="V542" i="37"/>
  <c r="X325" i="37"/>
  <c r="V317" i="37"/>
  <c r="S504" i="37"/>
  <c r="AB487" i="37"/>
  <c r="T506" i="37"/>
  <c r="AA506" i="37"/>
  <c r="T449" i="37"/>
  <c r="S480" i="37"/>
  <c r="X466" i="37"/>
  <c r="S476" i="37"/>
  <c r="AA505" i="37"/>
  <c r="Y467" i="37"/>
  <c r="V490" i="37"/>
  <c r="Y490" i="37"/>
  <c r="Z513" i="37"/>
  <c r="S433" i="37"/>
  <c r="X433" i="37"/>
  <c r="AB433" i="37"/>
  <c r="U483" i="37"/>
  <c r="AB483" i="37"/>
  <c r="AA508" i="37"/>
  <c r="Z508" i="37"/>
  <c r="AB319" i="37"/>
  <c r="X331" i="37"/>
  <c r="Z472" i="37"/>
  <c r="AB335" i="37"/>
  <c r="R485" i="37"/>
  <c r="R335" i="37"/>
  <c r="Z332" i="37"/>
  <c r="X506" i="37"/>
  <c r="AB439" i="37"/>
  <c r="R523" i="37"/>
  <c r="U549" i="37"/>
  <c r="R474" i="37"/>
  <c r="T531" i="37"/>
  <c r="AA334" i="37"/>
  <c r="Z330" i="37"/>
  <c r="R330" i="37"/>
  <c r="U334" i="37"/>
  <c r="X330" i="37"/>
  <c r="Y489" i="37"/>
  <c r="X479" i="37"/>
  <c r="V512" i="37"/>
  <c r="V525" i="37"/>
  <c r="X497" i="37"/>
  <c r="Y500" i="37"/>
  <c r="T379" i="37"/>
  <c r="X425" i="37"/>
  <c r="R431" i="37"/>
  <c r="AB540" i="37"/>
  <c r="V470" i="37"/>
  <c r="T502" i="37"/>
  <c r="U492" i="37"/>
  <c r="U514" i="37"/>
  <c r="Z536" i="37"/>
  <c r="X535" i="37"/>
  <c r="S425" i="37"/>
  <c r="V505" i="37"/>
  <c r="U490" i="37"/>
  <c r="Z433" i="37"/>
  <c r="U508" i="37"/>
  <c r="S514" i="37"/>
  <c r="R516" i="37"/>
  <c r="AB317" i="37"/>
  <c r="X376" i="37"/>
  <c r="T375" i="37"/>
  <c r="T471" i="37"/>
  <c r="R337" i="37"/>
  <c r="T480" i="37"/>
  <c r="AA449" i="37"/>
  <c r="V495" i="37"/>
  <c r="AB495" i="37"/>
  <c r="AB447" i="37"/>
  <c r="U488" i="37"/>
  <c r="AB488" i="37"/>
  <c r="AA486" i="37"/>
  <c r="X486" i="37"/>
  <c r="Y319" i="37"/>
  <c r="R327" i="37"/>
  <c r="R332" i="37"/>
  <c r="R350" i="37"/>
  <c r="AB346" i="37"/>
  <c r="Z375" i="37"/>
  <c r="X439" i="37"/>
  <c r="Y476" i="37"/>
  <c r="V484" i="37"/>
  <c r="V488" i="37"/>
  <c r="X488" i="37"/>
  <c r="AB449" i="37"/>
  <c r="Y478" i="37"/>
  <c r="U478" i="37"/>
  <c r="AA482" i="37"/>
  <c r="T495" i="37"/>
  <c r="T503" i="37"/>
  <c r="T530" i="37"/>
  <c r="S485" i="37"/>
  <c r="T493" i="37"/>
  <c r="AA501" i="37"/>
  <c r="R509" i="37"/>
  <c r="Y515" i="37"/>
  <c r="Y533" i="37"/>
  <c r="Z507" i="37"/>
  <c r="T513" i="37"/>
  <c r="Z527" i="37"/>
  <c r="Z539" i="37"/>
  <c r="V539" i="37"/>
  <c r="T515" i="37"/>
  <c r="R532" i="37"/>
  <c r="U535" i="37"/>
  <c r="S549" i="37"/>
  <c r="Y534" i="37"/>
  <c r="Z493" i="37"/>
  <c r="Z509" i="37"/>
  <c r="AA489" i="37"/>
  <c r="T491" i="37"/>
  <c r="AA499" i="37"/>
  <c r="R507" i="37"/>
  <c r="S507" i="37"/>
  <c r="T519" i="37"/>
  <c r="S523" i="37"/>
  <c r="T527" i="37"/>
  <c r="V545" i="37"/>
  <c r="S543" i="37"/>
  <c r="Z511" i="37"/>
  <c r="Y479" i="37"/>
  <c r="S483" i="37"/>
  <c r="X503" i="37"/>
  <c r="X530" i="37"/>
  <c r="X485" i="37"/>
  <c r="Z515" i="37"/>
  <c r="T529" i="37"/>
  <c r="X533" i="37"/>
  <c r="AB532" i="37"/>
  <c r="Y543" i="37"/>
  <c r="U531" i="37"/>
  <c r="R541" i="37"/>
  <c r="R511" i="37"/>
  <c r="Z545" i="37"/>
  <c r="V375" i="37"/>
  <c r="V480" i="37"/>
  <c r="R439" i="37"/>
  <c r="X495" i="37"/>
  <c r="S495" i="37"/>
  <c r="R447" i="37"/>
  <c r="AA488" i="37"/>
  <c r="T486" i="37"/>
  <c r="X327" i="37"/>
  <c r="V350" i="37"/>
  <c r="S376" i="37"/>
  <c r="AB480" i="37"/>
  <c r="R484" i="37"/>
  <c r="T475" i="37"/>
  <c r="S439" i="37"/>
  <c r="R478" i="37"/>
  <c r="X478" i="37"/>
  <c r="T482" i="37"/>
  <c r="X469" i="37"/>
  <c r="S503" i="37"/>
  <c r="AA530" i="37"/>
  <c r="V493" i="37"/>
  <c r="S493" i="37"/>
  <c r="R501" i="37"/>
  <c r="T509" i="37"/>
  <c r="R533" i="37"/>
  <c r="S533" i="37"/>
  <c r="R513" i="37"/>
  <c r="S513" i="37"/>
  <c r="Y530" i="37"/>
  <c r="T481" i="37"/>
  <c r="Z525" i="37"/>
  <c r="T511" i="37"/>
  <c r="V515" i="37"/>
  <c r="S515" i="37"/>
  <c r="AA532" i="37"/>
  <c r="Z535" i="37"/>
  <c r="R535" i="37"/>
  <c r="R543" i="37"/>
  <c r="Z549" i="37"/>
  <c r="AB530" i="37"/>
  <c r="X534" i="37"/>
  <c r="AB493" i="37"/>
  <c r="AB509" i="37"/>
  <c r="R491" i="37"/>
  <c r="S491" i="37"/>
  <c r="T499" i="37"/>
  <c r="V507" i="37"/>
  <c r="R519" i="37"/>
  <c r="S519" i="37"/>
  <c r="R527" i="37"/>
  <c r="S527" i="37"/>
  <c r="Z541" i="37"/>
  <c r="AB511" i="37"/>
  <c r="S479" i="37"/>
  <c r="T487" i="37"/>
  <c r="U530" i="37"/>
  <c r="U493" i="37"/>
  <c r="U501" i="37"/>
  <c r="U509" i="37"/>
  <c r="AB515" i="37"/>
  <c r="Y529" i="37"/>
  <c r="U513" i="37"/>
  <c r="Z532" i="37"/>
  <c r="T549" i="37"/>
  <c r="T517" i="37"/>
  <c r="X531" i="37"/>
  <c r="R537" i="37"/>
  <c r="AA543" i="37"/>
  <c r="V549" i="37"/>
  <c r="T505" i="37"/>
  <c r="S537" i="37"/>
  <c r="U511" i="37"/>
  <c r="S521" i="37"/>
  <c r="R510" i="37"/>
  <c r="V334" i="37"/>
  <c r="U319" i="37"/>
  <c r="Y367" i="37"/>
  <c r="R375" i="37"/>
  <c r="U438" i="37"/>
  <c r="X438" i="37"/>
  <c r="Z447" i="37"/>
  <c r="AB334" i="37"/>
  <c r="S346" i="37"/>
  <c r="S367" i="37"/>
  <c r="AA480" i="37"/>
  <c r="Y449" i="37"/>
  <c r="U495" i="37"/>
  <c r="Z334" i="37"/>
  <c r="V447" i="37"/>
  <c r="Y447" i="37"/>
  <c r="T488" i="37"/>
  <c r="V486" i="37"/>
  <c r="T350" i="37"/>
  <c r="AA439" i="37"/>
  <c r="T476" i="37"/>
  <c r="Z480" i="37"/>
  <c r="AA484" i="37"/>
  <c r="Y475" i="37"/>
  <c r="V439" i="37"/>
  <c r="AA478" i="37"/>
  <c r="Y482" i="37"/>
  <c r="S486" i="37"/>
  <c r="Y469" i="37"/>
  <c r="AA503" i="37"/>
  <c r="R530" i="37"/>
  <c r="AA493" i="37"/>
  <c r="T501" i="37"/>
  <c r="V509" i="37"/>
  <c r="S509" i="37"/>
  <c r="AA533" i="37"/>
  <c r="Z491" i="37"/>
  <c r="V513" i="37"/>
  <c r="Z519" i="37"/>
  <c r="X532" i="37"/>
  <c r="S531" i="37"/>
  <c r="V530" i="37"/>
  <c r="R549" i="37"/>
  <c r="AB525" i="37"/>
  <c r="S511" i="37"/>
  <c r="AA515" i="37"/>
  <c r="Z534" i="37"/>
  <c r="T532" i="37"/>
  <c r="R539" i="37"/>
  <c r="AA545" i="37"/>
  <c r="V533" i="37"/>
  <c r="Z503" i="37"/>
  <c r="Z530" i="37"/>
  <c r="AB534" i="37"/>
  <c r="Y485" i="37"/>
  <c r="Z501" i="37"/>
  <c r="Z533" i="37"/>
  <c r="V491" i="37"/>
  <c r="R499" i="37"/>
  <c r="S499" i="37"/>
  <c r="AA507" i="37"/>
  <c r="V519" i="37"/>
  <c r="V527" i="37"/>
  <c r="V541" i="37"/>
  <c r="AA549" i="37"/>
  <c r="T525" i="37"/>
  <c r="Z543" i="37"/>
  <c r="T483" i="37"/>
  <c r="Y487" i="37"/>
  <c r="T473" i="37"/>
  <c r="U503" i="37"/>
  <c r="AA485" i="37"/>
  <c r="Y493" i="37"/>
  <c r="Y501" i="37"/>
  <c r="Y509" i="37"/>
  <c r="R529" i="37"/>
  <c r="S529" i="37"/>
  <c r="Y513" i="37"/>
  <c r="V534" i="37"/>
  <c r="T541" i="37"/>
  <c r="U537" i="37"/>
  <c r="AA539" i="37"/>
  <c r="V487" i="37"/>
  <c r="T521" i="37"/>
  <c r="S545" i="37"/>
  <c r="Y511" i="37"/>
  <c r="AB409" i="37"/>
  <c r="U525" i="37"/>
  <c r="AB462" i="37"/>
  <c r="T537" i="37"/>
  <c r="AA511" i="37"/>
  <c r="X527" i="37"/>
  <c r="T327" i="37"/>
  <c r="Y497" i="37"/>
  <c r="X540" i="37"/>
  <c r="Y470" i="37"/>
  <c r="U504" i="37"/>
  <c r="AA502" i="37"/>
  <c r="T370" i="37"/>
  <c r="AB506" i="37"/>
  <c r="U482" i="37"/>
  <c r="AB490" i="37"/>
  <c r="V433" i="37"/>
  <c r="R483" i="37"/>
  <c r="X324" i="37"/>
  <c r="X462" i="37"/>
  <c r="X396" i="37"/>
  <c r="R346" i="37"/>
  <c r="R376" i="37"/>
  <c r="AA375" i="37"/>
  <c r="Y480" i="37"/>
  <c r="U449" i="37"/>
  <c r="AA495" i="37"/>
  <c r="R495" i="37"/>
  <c r="AB375" i="37"/>
  <c r="AA447" i="37"/>
  <c r="X447" i="37"/>
  <c r="Y488" i="37"/>
  <c r="Y486" i="37"/>
  <c r="U486" i="37"/>
  <c r="T319" i="37"/>
  <c r="U332" i="37"/>
  <c r="AA350" i="37"/>
  <c r="S350" i="37"/>
  <c r="Z346" i="37"/>
  <c r="T439" i="37"/>
  <c r="AA490" i="37"/>
  <c r="R409" i="37"/>
  <c r="U512" i="37"/>
  <c r="X537" i="37"/>
  <c r="T494" i="37"/>
  <c r="Y541" i="37"/>
  <c r="T332" i="37"/>
  <c r="Z500" i="37"/>
  <c r="X473" i="37"/>
  <c r="Z425" i="37"/>
  <c r="Y477" i="37"/>
  <c r="V431" i="37"/>
  <c r="T504" i="37"/>
  <c r="Z475" i="37"/>
  <c r="Y502" i="37"/>
  <c r="X514" i="37"/>
  <c r="S536" i="37"/>
  <c r="S542" i="37"/>
  <c r="Y350" i="37"/>
  <c r="AA487" i="37"/>
  <c r="R449" i="37"/>
  <c r="T433" i="37"/>
  <c r="Z331" i="37"/>
  <c r="X472" i="37"/>
  <c r="AA330" i="37"/>
  <c r="Z494" i="37"/>
  <c r="R334" i="37"/>
  <c r="U346" i="37"/>
  <c r="AA379" i="37"/>
  <c r="AA438" i="37"/>
  <c r="X480" i="37"/>
  <c r="V449" i="37"/>
  <c r="S471" i="37"/>
  <c r="S319" i="37"/>
  <c r="T346" i="37"/>
  <c r="T508" i="37"/>
  <c r="U477" i="37"/>
  <c r="V409" i="37"/>
  <c r="S468" i="37"/>
  <c r="S462" i="37"/>
  <c r="AB494" i="37"/>
  <c r="R481" i="37"/>
  <c r="V498" i="37"/>
  <c r="AB497" i="37"/>
  <c r="Y425" i="37"/>
  <c r="Z486" i="37"/>
  <c r="V438" i="37"/>
  <c r="AB504" i="37"/>
  <c r="V492" i="37"/>
  <c r="AA536" i="37"/>
  <c r="T542" i="37"/>
  <c r="R325" i="37"/>
  <c r="T330" i="37"/>
  <c r="V346" i="37"/>
  <c r="Z376" i="37"/>
  <c r="V506" i="37"/>
  <c r="Z498" i="37"/>
  <c r="S490" i="37"/>
  <c r="X483" i="37"/>
  <c r="R508" i="37"/>
  <c r="T472" i="37"/>
  <c r="AA335" i="37"/>
  <c r="X471" i="37"/>
  <c r="Y484" i="37"/>
  <c r="X465" i="37"/>
  <c r="R469" i="37"/>
  <c r="S501" i="37"/>
  <c r="Z499" i="37"/>
  <c r="U539" i="37"/>
  <c r="S539" i="37"/>
  <c r="Y532" i="37"/>
  <c r="R534" i="37"/>
  <c r="AA491" i="37"/>
  <c r="AA519" i="37"/>
  <c r="V511" i="37"/>
  <c r="T479" i="37"/>
  <c r="Y503" i="37"/>
  <c r="X501" i="37"/>
  <c r="X513" i="37"/>
  <c r="AA531" i="37"/>
  <c r="R545" i="37"/>
  <c r="T489" i="37"/>
  <c r="X509" i="37"/>
  <c r="Y535" i="37"/>
  <c r="R476" i="37"/>
  <c r="R482" i="37"/>
  <c r="V543" i="37"/>
  <c r="AB503" i="37"/>
  <c r="AA527" i="37"/>
  <c r="AA529" i="37"/>
  <c r="AA535" i="37"/>
  <c r="V503" i="37"/>
  <c r="T533" i="37"/>
  <c r="T534" i="37"/>
  <c r="AB533" i="37"/>
  <c r="S535" i="37"/>
  <c r="S467" i="37"/>
  <c r="T478" i="37"/>
  <c r="AA509" i="37"/>
  <c r="AA513" i="37"/>
  <c r="V532" i="37"/>
  <c r="S541" i="37"/>
  <c r="Z485" i="37"/>
  <c r="V499" i="37"/>
  <c r="T523" i="37"/>
  <c r="Y483" i="37"/>
  <c r="Z537" i="37"/>
  <c r="S475" i="37"/>
  <c r="R493" i="37"/>
  <c r="U515" i="37"/>
  <c r="Z523" i="37"/>
  <c r="R515" i="37"/>
  <c r="AB501" i="37"/>
  <c r="R503" i="37"/>
  <c r="S487" i="37"/>
  <c r="U485" i="37"/>
  <c r="T484" i="37"/>
  <c r="V501" i="37"/>
  <c r="AA534" i="37"/>
  <c r="AA541" i="37"/>
  <c r="T507" i="37"/>
  <c r="X493" i="37"/>
  <c r="U533" i="37"/>
  <c r="T497" i="37"/>
  <c r="S473" i="37"/>
  <c r="R467" i="37"/>
  <c r="R367" i="37"/>
  <c r="X511" i="37"/>
  <c r="X337" i="37"/>
  <c r="R466" i="37"/>
  <c r="S497" i="37"/>
  <c r="AA317" i="37"/>
  <c r="U379" i="37"/>
  <c r="AB507" i="37"/>
  <c r="U480" i="37"/>
  <c r="V537" i="37"/>
  <c r="R336" i="37"/>
  <c r="AB527" i="37"/>
  <c r="R471" i="37"/>
  <c r="X338" i="37"/>
  <c r="S481" i="37"/>
  <c r="R465" i="37"/>
  <c r="V535" i="37"/>
  <c r="S477" i="37"/>
  <c r="U541" i="37"/>
  <c r="Z327" i="37"/>
  <c r="S478" i="37"/>
  <c r="AB499" i="37"/>
  <c r="X489" i="37"/>
  <c r="R463" i="37"/>
  <c r="S525" i="37"/>
  <c r="AB491" i="37"/>
  <c r="T485" i="37"/>
  <c r="R460" i="37"/>
  <c r="Z449" i="37"/>
  <c r="R464" i="37"/>
  <c r="U330" i="37"/>
  <c r="S505" i="37"/>
  <c r="S482" i="37"/>
  <c r="U534" i="37"/>
  <c r="N506" i="37"/>
  <c r="N549" i="37"/>
  <c r="N547" i="37"/>
  <c r="N500" i="37"/>
  <c r="N521" i="37"/>
  <c r="N518" i="37"/>
  <c r="N499" i="37"/>
  <c r="N505" i="37"/>
  <c r="N513" i="37"/>
  <c r="N526" i="37"/>
  <c r="N525" i="37"/>
  <c r="N517" i="37"/>
  <c r="N401" i="37"/>
  <c r="N338" i="37"/>
  <c r="N503" i="37"/>
  <c r="N458" i="37"/>
  <c r="N327" i="37"/>
  <c r="N343" i="37"/>
  <c r="N426" i="37"/>
  <c r="N326" i="37"/>
  <c r="N323" i="37"/>
  <c r="N434" i="37"/>
  <c r="N436" i="37"/>
  <c r="N456" i="37"/>
  <c r="N482" i="37"/>
  <c r="N390" i="37"/>
  <c r="N369" i="37"/>
  <c r="N467" i="37"/>
  <c r="N341" i="37"/>
  <c r="N453" i="37"/>
  <c r="N540" i="37"/>
  <c r="N377" i="37"/>
  <c r="N395" i="37"/>
  <c r="N469" i="37"/>
  <c r="N335" i="37"/>
  <c r="N534" i="37"/>
  <c r="N435" i="37"/>
  <c r="N382" i="37"/>
  <c r="N357" i="37"/>
  <c r="N383" i="37"/>
  <c r="N497" i="37"/>
  <c r="N330" i="37"/>
  <c r="N324" i="37"/>
  <c r="N329" i="37"/>
  <c r="N464" i="37"/>
  <c r="N387" i="37"/>
  <c r="N381" i="37"/>
  <c r="N392" i="37"/>
  <c r="N340" i="37"/>
  <c r="N448" i="37"/>
  <c r="N313" i="37"/>
  <c r="N352" i="37"/>
  <c r="N533" i="37"/>
  <c r="N385" i="37"/>
  <c r="N344" i="37"/>
  <c r="N356" i="37"/>
  <c r="N496" i="37"/>
  <c r="N460" i="37"/>
  <c r="N354" i="37"/>
  <c r="N441" i="37"/>
  <c r="N461" i="37"/>
  <c r="N473" i="37"/>
  <c r="N428" i="37"/>
  <c r="N331" i="37"/>
  <c r="N454" i="37"/>
  <c r="N490" i="37"/>
  <c r="N451" i="37"/>
  <c r="N408" i="37"/>
  <c r="N321" i="37"/>
  <c r="N334" i="37"/>
  <c r="N417" i="37"/>
  <c r="N405" i="37"/>
  <c r="N336" i="37"/>
  <c r="N339" i="37"/>
  <c r="N452" i="37"/>
  <c r="N457" i="37"/>
  <c r="N472" i="37"/>
  <c r="N532" i="37"/>
  <c r="N397" i="37"/>
  <c r="N432" i="37"/>
  <c r="N380" i="37"/>
  <c r="N480" i="37"/>
  <c r="N333" i="37"/>
  <c r="N393" i="37"/>
  <c r="N353" i="37"/>
  <c r="N429" i="37"/>
  <c r="N325" i="37"/>
  <c r="N416" i="37"/>
  <c r="N529" i="37"/>
  <c r="N404" i="37"/>
  <c r="N474" i="37"/>
  <c r="N398" i="37"/>
  <c r="N471" i="37"/>
  <c r="N494" i="37"/>
  <c r="N478" i="37"/>
  <c r="N351" i="37"/>
  <c r="N420" i="37"/>
  <c r="N311" i="37"/>
  <c r="N530" i="37"/>
  <c r="N419" i="37"/>
  <c r="N410" i="37"/>
  <c r="N465" i="37"/>
  <c r="N421" i="37"/>
  <c r="N320" i="37"/>
  <c r="N481" i="37"/>
  <c r="N411" i="37"/>
  <c r="N501" i="37"/>
  <c r="N347" i="37"/>
  <c r="N487" i="37"/>
  <c r="N531" i="37"/>
  <c r="N318" i="37"/>
  <c r="N536" i="37"/>
  <c r="N399" i="37"/>
  <c r="N493" i="37"/>
  <c r="N414" i="37"/>
  <c r="N488" i="37"/>
  <c r="N389" i="37"/>
  <c r="N348" i="37"/>
  <c r="N440" i="37"/>
  <c r="N312" i="37"/>
  <c r="N412" i="37"/>
  <c r="N422" i="37"/>
  <c r="N542" i="37"/>
  <c r="N446" i="37"/>
  <c r="N541" i="37"/>
  <c r="N430" i="37"/>
  <c r="N391" i="37"/>
  <c r="N479" i="37"/>
  <c r="N322" i="37"/>
  <c r="N400" i="37"/>
  <c r="N463" i="37"/>
  <c r="N314" i="37"/>
  <c r="N407" i="37"/>
  <c r="N443" i="37"/>
  <c r="N424" i="37"/>
  <c r="H555" i="37"/>
  <c r="G555" i="37"/>
  <c r="G557" i="37"/>
  <c r="G556" i="37"/>
  <c r="K308" i="37"/>
  <c r="J308" i="37"/>
  <c r="P308" i="37" s="1"/>
  <c r="F557" i="37"/>
  <c r="L557" i="37"/>
  <c r="H557" i="37"/>
  <c r="I556" i="37"/>
  <c r="L555" i="37"/>
  <c r="F555" i="37"/>
  <c r="F556" i="37"/>
  <c r="I557" i="37"/>
  <c r="L556" i="37"/>
  <c r="H556" i="37"/>
  <c r="I555" i="37"/>
  <c r="M844" i="37" l="1"/>
  <c r="L844" i="37"/>
  <c r="I843" i="37"/>
  <c r="K844" i="37"/>
  <c r="L845" i="37"/>
  <c r="M845" i="37"/>
  <c r="K845" i="37"/>
  <c r="L843" i="37"/>
  <c r="M843" i="37"/>
  <c r="J844" i="37"/>
  <c r="K843" i="37"/>
  <c r="J843" i="37"/>
  <c r="B501" i="40"/>
  <c r="B219" i="65"/>
  <c r="AD463" i="37"/>
  <c r="AJ463" i="37" s="1"/>
  <c r="K307" i="37"/>
  <c r="AD531" i="37"/>
  <c r="AJ531" i="37" s="1"/>
  <c r="J307" i="37"/>
  <c r="R307" i="37" s="1"/>
  <c r="AD433" i="37"/>
  <c r="AE433" i="37" s="1"/>
  <c r="AF433" i="37" s="1"/>
  <c r="AG433" i="37" s="1"/>
  <c r="AH433" i="37" s="1"/>
  <c r="AN433" i="37" s="1"/>
  <c r="AD465" i="37"/>
  <c r="AJ465" i="37" s="1"/>
  <c r="AD461" i="37"/>
  <c r="AJ461" i="37" s="1"/>
  <c r="AD542" i="37"/>
  <c r="AJ542" i="37" s="1"/>
  <c r="AD481" i="37"/>
  <c r="AE481" i="37" s="1"/>
  <c r="AF481" i="37" s="1"/>
  <c r="AG481" i="37" s="1"/>
  <c r="AM481" i="37" s="1"/>
  <c r="AD375" i="37"/>
  <c r="AE375" i="37" s="1"/>
  <c r="AF375" i="37" s="1"/>
  <c r="AG375" i="37" s="1"/>
  <c r="AH375" i="37" s="1"/>
  <c r="AN375" i="37" s="1"/>
  <c r="AD527" i="37"/>
  <c r="AE527" i="37" s="1"/>
  <c r="AF527" i="37" s="1"/>
  <c r="AG527" i="37" s="1"/>
  <c r="AH527" i="37" s="1"/>
  <c r="AN527" i="37" s="1"/>
  <c r="AD543" i="37"/>
  <c r="AE543" i="37" s="1"/>
  <c r="AF543" i="37" s="1"/>
  <c r="AG543" i="37" s="1"/>
  <c r="AH543" i="37" s="1"/>
  <c r="AN543" i="37" s="1"/>
  <c r="AD439" i="37"/>
  <c r="AE439" i="37" s="1"/>
  <c r="AF439" i="37" s="1"/>
  <c r="AG439" i="37" s="1"/>
  <c r="AH439" i="37" s="1"/>
  <c r="AN439" i="37" s="1"/>
  <c r="AD511" i="37"/>
  <c r="AE511" i="37" s="1"/>
  <c r="AF511" i="37" s="1"/>
  <c r="AG511" i="37" s="1"/>
  <c r="AH511" i="37" s="1"/>
  <c r="AN511" i="37" s="1"/>
  <c r="AD507" i="37"/>
  <c r="AE507" i="37" s="1"/>
  <c r="AF507" i="37" s="1"/>
  <c r="AG507" i="37" s="1"/>
  <c r="AH507" i="37" s="1"/>
  <c r="AN507" i="37" s="1"/>
  <c r="AD350" i="37"/>
  <c r="AE350" i="37" s="1"/>
  <c r="AF350" i="37" s="1"/>
  <c r="AG350" i="37" s="1"/>
  <c r="AH350" i="37" s="1"/>
  <c r="AN350" i="37" s="1"/>
  <c r="AD431" i="37"/>
  <c r="AE431" i="37" s="1"/>
  <c r="AF431" i="37" s="1"/>
  <c r="AG431" i="37" s="1"/>
  <c r="AH431" i="37" s="1"/>
  <c r="AN431" i="37" s="1"/>
  <c r="AD317" i="37"/>
  <c r="AJ317" i="37" s="1"/>
  <c r="AD480" i="37"/>
  <c r="AE480" i="37" s="1"/>
  <c r="AF480" i="37" s="1"/>
  <c r="AG480" i="37" s="1"/>
  <c r="AH480" i="37" s="1"/>
  <c r="AN480" i="37" s="1"/>
  <c r="AD467" i="37"/>
  <c r="AJ467" i="37" s="1"/>
  <c r="AD487" i="37"/>
  <c r="AE487" i="37" s="1"/>
  <c r="AF487" i="37" s="1"/>
  <c r="AG487" i="37" s="1"/>
  <c r="AH487" i="37" s="1"/>
  <c r="AN487" i="37" s="1"/>
  <c r="AD473" i="37"/>
  <c r="AE473" i="37" s="1"/>
  <c r="AF473" i="37" s="1"/>
  <c r="AL473" i="37" s="1"/>
  <c r="AD525" i="37"/>
  <c r="AE525" i="37" s="1"/>
  <c r="AK525" i="37" s="1"/>
  <c r="AD479" i="37"/>
  <c r="AE479" i="37" s="1"/>
  <c r="AF479" i="37" s="1"/>
  <c r="AG479" i="37" s="1"/>
  <c r="AM479" i="37" s="1"/>
  <c r="AD409" i="37"/>
  <c r="AE409" i="37" s="1"/>
  <c r="AF409" i="37" s="1"/>
  <c r="AG409" i="37" s="1"/>
  <c r="AH409" i="37" s="1"/>
  <c r="AN409" i="37" s="1"/>
  <c r="AD460" i="37"/>
  <c r="AJ460" i="37" s="1"/>
  <c r="AD331" i="37"/>
  <c r="AE331" i="37" s="1"/>
  <c r="AF331" i="37" s="1"/>
  <c r="AG331" i="37" s="1"/>
  <c r="AM331" i="37" s="1"/>
  <c r="AD514" i="37"/>
  <c r="AE514" i="37" s="1"/>
  <c r="AF514" i="37" s="1"/>
  <c r="AG514" i="37" s="1"/>
  <c r="AH514" i="37" s="1"/>
  <c r="AN514" i="37" s="1"/>
  <c r="AD512" i="37"/>
  <c r="AE512" i="37" s="1"/>
  <c r="AF512" i="37" s="1"/>
  <c r="AG512" i="37" s="1"/>
  <c r="AH512" i="37" s="1"/>
  <c r="AN512" i="37" s="1"/>
  <c r="AD496" i="37"/>
  <c r="AE496" i="37" s="1"/>
  <c r="AF496" i="37" s="1"/>
  <c r="AG496" i="37" s="1"/>
  <c r="AH496" i="37" s="1"/>
  <c r="AN496" i="37" s="1"/>
  <c r="AD546" i="37"/>
  <c r="AE546" i="37" s="1"/>
  <c r="AF546" i="37" s="1"/>
  <c r="AG546" i="37" s="1"/>
  <c r="AH546" i="37" s="1"/>
  <c r="AN546" i="37" s="1"/>
  <c r="AD469" i="37"/>
  <c r="AE469" i="37" s="1"/>
  <c r="AK469" i="37" s="1"/>
  <c r="AD346" i="37"/>
  <c r="AE346" i="37" s="1"/>
  <c r="AF346" i="37" s="1"/>
  <c r="AG346" i="37" s="1"/>
  <c r="AH346" i="37" s="1"/>
  <c r="AN346" i="37" s="1"/>
  <c r="AD336" i="37"/>
  <c r="AJ336" i="37" s="1"/>
  <c r="AD493" i="37"/>
  <c r="AE493" i="37" s="1"/>
  <c r="AF493" i="37" s="1"/>
  <c r="AG493" i="37" s="1"/>
  <c r="AH493" i="37" s="1"/>
  <c r="AN493" i="37" s="1"/>
  <c r="AD476" i="37"/>
  <c r="AE476" i="37" s="1"/>
  <c r="AF476" i="37" s="1"/>
  <c r="AL476" i="37" s="1"/>
  <c r="AD545" i="37"/>
  <c r="AE545" i="37" s="1"/>
  <c r="AF545" i="37" s="1"/>
  <c r="AG545" i="37" s="1"/>
  <c r="AH545" i="37" s="1"/>
  <c r="AN545" i="37" s="1"/>
  <c r="AD449" i="37"/>
  <c r="AE449" i="37" s="1"/>
  <c r="AF449" i="37" s="1"/>
  <c r="AG449" i="37" s="1"/>
  <c r="AH449" i="37" s="1"/>
  <c r="AN449" i="37" s="1"/>
  <c r="AD499" i="37"/>
  <c r="AE499" i="37" s="1"/>
  <c r="AF499" i="37" s="1"/>
  <c r="AG499" i="37" s="1"/>
  <c r="AH499" i="37" s="1"/>
  <c r="AN499" i="37" s="1"/>
  <c r="AD549" i="37"/>
  <c r="AE549" i="37" s="1"/>
  <c r="AF549" i="37" s="1"/>
  <c r="AG549" i="37" s="1"/>
  <c r="AH549" i="37" s="1"/>
  <c r="AN549" i="37" s="1"/>
  <c r="AD530" i="37"/>
  <c r="AE530" i="37" s="1"/>
  <c r="AF530" i="37" s="1"/>
  <c r="AG530" i="37" s="1"/>
  <c r="AH530" i="37" s="1"/>
  <c r="AN530" i="37" s="1"/>
  <c r="AD535" i="37"/>
  <c r="AE535" i="37" s="1"/>
  <c r="AF535" i="37" s="1"/>
  <c r="AG535" i="37" s="1"/>
  <c r="AH535" i="37" s="1"/>
  <c r="AN535" i="37" s="1"/>
  <c r="AD533" i="37"/>
  <c r="AE533" i="37" s="1"/>
  <c r="AF533" i="37" s="1"/>
  <c r="AG533" i="37" s="1"/>
  <c r="AH533" i="37" s="1"/>
  <c r="AN533" i="37" s="1"/>
  <c r="AD447" i="37"/>
  <c r="AE447" i="37" s="1"/>
  <c r="AF447" i="37" s="1"/>
  <c r="AG447" i="37" s="1"/>
  <c r="AH447" i="37" s="1"/>
  <c r="AN447" i="37" s="1"/>
  <c r="AD541" i="37"/>
  <c r="AE541" i="37" s="1"/>
  <c r="AF541" i="37" s="1"/>
  <c r="AG541" i="37" s="1"/>
  <c r="AH541" i="37" s="1"/>
  <c r="AN541" i="37" s="1"/>
  <c r="AD532" i="37"/>
  <c r="AE532" i="37" s="1"/>
  <c r="AF532" i="37" s="1"/>
  <c r="AG532" i="37" s="1"/>
  <c r="AH532" i="37" s="1"/>
  <c r="AN532" i="37" s="1"/>
  <c r="AD332" i="37"/>
  <c r="AE332" i="37" s="1"/>
  <c r="AF332" i="37" s="1"/>
  <c r="AG332" i="37" s="1"/>
  <c r="AM332" i="37" s="1"/>
  <c r="AD337" i="37"/>
  <c r="AJ337" i="37" s="1"/>
  <c r="AD523" i="37"/>
  <c r="AE523" i="37" s="1"/>
  <c r="AF523" i="37" s="1"/>
  <c r="AL523" i="37" s="1"/>
  <c r="AD425" i="37"/>
  <c r="AE425" i="37" s="1"/>
  <c r="AF425" i="37" s="1"/>
  <c r="AG425" i="37" s="1"/>
  <c r="AH425" i="37" s="1"/>
  <c r="AN425" i="37" s="1"/>
  <c r="AD494" i="37"/>
  <c r="AE494" i="37" s="1"/>
  <c r="AF494" i="37" s="1"/>
  <c r="AG494" i="37" s="1"/>
  <c r="AH494" i="37" s="1"/>
  <c r="AN494" i="37" s="1"/>
  <c r="AD462" i="37"/>
  <c r="AE462" i="37" s="1"/>
  <c r="AF462" i="37" s="1"/>
  <c r="AG462" i="37" s="1"/>
  <c r="AH462" i="37" s="1"/>
  <c r="AN462" i="37" s="1"/>
  <c r="AD468" i="37"/>
  <c r="AE468" i="37" s="1"/>
  <c r="AF468" i="37" s="1"/>
  <c r="AG468" i="37" s="1"/>
  <c r="AH468" i="37" s="1"/>
  <c r="AN468" i="37" s="1"/>
  <c r="AD500" i="37"/>
  <c r="AE500" i="37" s="1"/>
  <c r="AF500" i="37" s="1"/>
  <c r="AG500" i="37" s="1"/>
  <c r="AH500" i="37" s="1"/>
  <c r="AN500" i="37" s="1"/>
  <c r="AD438" i="37"/>
  <c r="AE438" i="37" s="1"/>
  <c r="AF438" i="37" s="1"/>
  <c r="AG438" i="37" s="1"/>
  <c r="AH438" i="37" s="1"/>
  <c r="AN438" i="37" s="1"/>
  <c r="AD502" i="37"/>
  <c r="AE502" i="37" s="1"/>
  <c r="AF502" i="37" s="1"/>
  <c r="AG502" i="37" s="1"/>
  <c r="AH502" i="37" s="1"/>
  <c r="AN502" i="37" s="1"/>
  <c r="AD470" i="37"/>
  <c r="AE470" i="37" s="1"/>
  <c r="AF470" i="37" s="1"/>
  <c r="AG470" i="37" s="1"/>
  <c r="AH470" i="37" s="1"/>
  <c r="AN470" i="37" s="1"/>
  <c r="AD540" i="37"/>
  <c r="AE540" i="37" s="1"/>
  <c r="AF540" i="37" s="1"/>
  <c r="AG540" i="37" s="1"/>
  <c r="AH540" i="37" s="1"/>
  <c r="AN540" i="37" s="1"/>
  <c r="AD477" i="37"/>
  <c r="AE477" i="37" s="1"/>
  <c r="AF477" i="37" s="1"/>
  <c r="AG477" i="37" s="1"/>
  <c r="AM477" i="37" s="1"/>
  <c r="AD498" i="37"/>
  <c r="AE498" i="37" s="1"/>
  <c r="AF498" i="37" s="1"/>
  <c r="AG498" i="37" s="1"/>
  <c r="AH498" i="37" s="1"/>
  <c r="AN498" i="37" s="1"/>
  <c r="AD370" i="37"/>
  <c r="AE370" i="37" s="1"/>
  <c r="AF370" i="37" s="1"/>
  <c r="AL370" i="37" s="1"/>
  <c r="AD518" i="37"/>
  <c r="AE518" i="37" s="1"/>
  <c r="AF518" i="37" s="1"/>
  <c r="AG518" i="37" s="1"/>
  <c r="AH518" i="37" s="1"/>
  <c r="AN518" i="37" s="1"/>
  <c r="AD517" i="37"/>
  <c r="AE517" i="37" s="1"/>
  <c r="AF517" i="37" s="1"/>
  <c r="AL517" i="37" s="1"/>
  <c r="AD544" i="37"/>
  <c r="AE544" i="37" s="1"/>
  <c r="AF544" i="37" s="1"/>
  <c r="AG544" i="37" s="1"/>
  <c r="AH544" i="37" s="1"/>
  <c r="AN544" i="37" s="1"/>
  <c r="AD522" i="37"/>
  <c r="AE522" i="37" s="1"/>
  <c r="AF522" i="37" s="1"/>
  <c r="AG522" i="37" s="1"/>
  <c r="AH522" i="37" s="1"/>
  <c r="AN522" i="37" s="1"/>
  <c r="AD466" i="37"/>
  <c r="AJ466" i="37" s="1"/>
  <c r="AD503" i="37"/>
  <c r="AE503" i="37" s="1"/>
  <c r="AF503" i="37" s="1"/>
  <c r="AG503" i="37" s="1"/>
  <c r="AH503" i="37" s="1"/>
  <c r="AN503" i="37" s="1"/>
  <c r="AD482" i="37"/>
  <c r="AE482" i="37" s="1"/>
  <c r="AF482" i="37" s="1"/>
  <c r="AG482" i="37" s="1"/>
  <c r="AM482" i="37" s="1"/>
  <c r="AD483" i="37"/>
  <c r="AE483" i="37" s="1"/>
  <c r="AF483" i="37" s="1"/>
  <c r="AG483" i="37" s="1"/>
  <c r="AH483" i="37" s="1"/>
  <c r="AN483" i="37" s="1"/>
  <c r="AD515" i="37"/>
  <c r="AE515" i="37" s="1"/>
  <c r="AF515" i="37" s="1"/>
  <c r="AG515" i="37" s="1"/>
  <c r="AH515" i="37" s="1"/>
  <c r="AN515" i="37" s="1"/>
  <c r="AD534" i="37"/>
  <c r="AE534" i="37" s="1"/>
  <c r="AF534" i="37" s="1"/>
  <c r="AG534" i="37" s="1"/>
  <c r="AH534" i="37" s="1"/>
  <c r="AN534" i="37" s="1"/>
  <c r="AD508" i="37"/>
  <c r="AE508" i="37" s="1"/>
  <c r="AF508" i="37" s="1"/>
  <c r="AG508" i="37" s="1"/>
  <c r="AH508" i="37" s="1"/>
  <c r="AN508" i="37" s="1"/>
  <c r="AD325" i="37"/>
  <c r="AE325" i="37" s="1"/>
  <c r="AK325" i="37" s="1"/>
  <c r="AD495" i="37"/>
  <c r="AE495" i="37" s="1"/>
  <c r="AF495" i="37" s="1"/>
  <c r="AG495" i="37" s="1"/>
  <c r="AH495" i="37" s="1"/>
  <c r="AN495" i="37" s="1"/>
  <c r="AD519" i="37"/>
  <c r="AE519" i="37" s="1"/>
  <c r="AF519" i="37" s="1"/>
  <c r="AG519" i="37" s="1"/>
  <c r="AH519" i="37" s="1"/>
  <c r="AN519" i="37" s="1"/>
  <c r="AD491" i="37"/>
  <c r="AE491" i="37" s="1"/>
  <c r="AF491" i="37" s="1"/>
  <c r="AG491" i="37" s="1"/>
  <c r="AH491" i="37" s="1"/>
  <c r="AN491" i="37" s="1"/>
  <c r="AD484" i="37"/>
  <c r="AE484" i="37" s="1"/>
  <c r="AF484" i="37" s="1"/>
  <c r="AG484" i="37" s="1"/>
  <c r="AH484" i="37" s="1"/>
  <c r="AN484" i="37" s="1"/>
  <c r="AD509" i="37"/>
  <c r="AE509" i="37" s="1"/>
  <c r="AF509" i="37" s="1"/>
  <c r="AG509" i="37" s="1"/>
  <c r="AH509" i="37" s="1"/>
  <c r="AN509" i="37" s="1"/>
  <c r="AD327" i="37"/>
  <c r="AE327" i="37" s="1"/>
  <c r="AF327" i="37" s="1"/>
  <c r="AL327" i="37" s="1"/>
  <c r="AD516" i="37"/>
  <c r="AE516" i="37" s="1"/>
  <c r="AK516" i="37" s="1"/>
  <c r="AD335" i="37"/>
  <c r="AE335" i="37" s="1"/>
  <c r="AF335" i="37" s="1"/>
  <c r="AG335" i="37" s="1"/>
  <c r="AH335" i="37" s="1"/>
  <c r="AN335" i="37" s="1"/>
  <c r="AD379" i="37"/>
  <c r="AE379" i="37" s="1"/>
  <c r="AF379" i="37" s="1"/>
  <c r="AG379" i="37" s="1"/>
  <c r="AM379" i="37" s="1"/>
  <c r="AD488" i="37"/>
  <c r="AE488" i="37" s="1"/>
  <c r="AF488" i="37" s="1"/>
  <c r="AG488" i="37" s="1"/>
  <c r="AH488" i="37" s="1"/>
  <c r="AN488" i="37" s="1"/>
  <c r="AD319" i="37"/>
  <c r="AE319" i="37" s="1"/>
  <c r="AF319" i="37" s="1"/>
  <c r="AG319" i="37" s="1"/>
  <c r="AH319" i="37" s="1"/>
  <c r="AN319" i="37" s="1"/>
  <c r="AD506" i="37"/>
  <c r="AE506" i="37" s="1"/>
  <c r="AF506" i="37" s="1"/>
  <c r="AG506" i="37" s="1"/>
  <c r="AH506" i="37" s="1"/>
  <c r="AN506" i="37" s="1"/>
  <c r="AD324" i="37"/>
  <c r="AE324" i="37" s="1"/>
  <c r="AK324" i="37" s="1"/>
  <c r="AD472" i="37"/>
  <c r="AE472" i="37" s="1"/>
  <c r="AF472" i="37" s="1"/>
  <c r="AL472" i="37" s="1"/>
  <c r="AD338" i="37"/>
  <c r="AE338" i="37" s="1"/>
  <c r="AK338" i="37" s="1"/>
  <c r="AD490" i="37"/>
  <c r="AE490" i="37" s="1"/>
  <c r="AF490" i="37" s="1"/>
  <c r="AG490" i="37" s="1"/>
  <c r="AH490" i="37" s="1"/>
  <c r="AN490" i="37" s="1"/>
  <c r="AD489" i="37"/>
  <c r="AE489" i="37" s="1"/>
  <c r="AK489" i="37" s="1"/>
  <c r="AD520" i="37"/>
  <c r="AE520" i="37" s="1"/>
  <c r="AF520" i="37" s="1"/>
  <c r="AL520" i="37" s="1"/>
  <c r="AD524" i="37"/>
  <c r="AE524" i="37" s="1"/>
  <c r="AF524" i="37" s="1"/>
  <c r="AL524" i="37" s="1"/>
  <c r="AD415" i="37"/>
  <c r="AE415" i="37" s="1"/>
  <c r="AF415" i="37" s="1"/>
  <c r="AG415" i="37" s="1"/>
  <c r="AH415" i="37" s="1"/>
  <c r="AN415" i="37" s="1"/>
  <c r="AD396" i="37"/>
  <c r="AE396" i="37" s="1"/>
  <c r="AF396" i="37" s="1"/>
  <c r="AG396" i="37" s="1"/>
  <c r="AH396" i="37" s="1"/>
  <c r="AN396" i="37" s="1"/>
  <c r="AD548" i="37"/>
  <c r="AE548" i="37" s="1"/>
  <c r="AF548" i="37" s="1"/>
  <c r="AG548" i="37" s="1"/>
  <c r="AH548" i="37" s="1"/>
  <c r="AN548" i="37" s="1"/>
  <c r="AD521" i="37"/>
  <c r="AE521" i="37" s="1"/>
  <c r="AK521" i="37" s="1"/>
  <c r="AD529" i="37"/>
  <c r="AE529" i="37" s="1"/>
  <c r="AF529" i="37" s="1"/>
  <c r="AG529" i="37" s="1"/>
  <c r="AM529" i="37" s="1"/>
  <c r="AD510" i="37"/>
  <c r="AE510" i="37" s="1"/>
  <c r="AK510" i="37" s="1"/>
  <c r="AD471" i="37"/>
  <c r="AE471" i="37" s="1"/>
  <c r="AF471" i="37" s="1"/>
  <c r="AL471" i="37" s="1"/>
  <c r="AD367" i="37"/>
  <c r="AE367" i="37" s="1"/>
  <c r="AK367" i="37" s="1"/>
  <c r="AD334" i="37"/>
  <c r="AE334" i="37" s="1"/>
  <c r="AF334" i="37" s="1"/>
  <c r="AG334" i="37" s="1"/>
  <c r="AH334" i="37" s="1"/>
  <c r="AN334" i="37" s="1"/>
  <c r="AD376" i="37"/>
  <c r="AE376" i="37" s="1"/>
  <c r="AF376" i="37" s="1"/>
  <c r="AG376" i="37" s="1"/>
  <c r="AM376" i="37" s="1"/>
  <c r="AD539" i="37"/>
  <c r="AE539" i="37" s="1"/>
  <c r="AF539" i="37" s="1"/>
  <c r="AG539" i="37" s="1"/>
  <c r="AH539" i="37" s="1"/>
  <c r="AN539" i="37" s="1"/>
  <c r="AD537" i="37"/>
  <c r="AE537" i="37" s="1"/>
  <c r="AF537" i="37" s="1"/>
  <c r="AG537" i="37" s="1"/>
  <c r="AH537" i="37" s="1"/>
  <c r="AN537" i="37" s="1"/>
  <c r="AD513" i="37"/>
  <c r="AE513" i="37" s="1"/>
  <c r="AF513" i="37" s="1"/>
  <c r="AG513" i="37" s="1"/>
  <c r="AH513" i="37" s="1"/>
  <c r="AN513" i="37" s="1"/>
  <c r="AD501" i="37"/>
  <c r="AE501" i="37" s="1"/>
  <c r="AF501" i="37" s="1"/>
  <c r="AG501" i="37" s="1"/>
  <c r="AH501" i="37" s="1"/>
  <c r="AN501" i="37" s="1"/>
  <c r="AD478" i="37"/>
  <c r="AE478" i="37" s="1"/>
  <c r="AF478" i="37" s="1"/>
  <c r="AG478" i="37" s="1"/>
  <c r="AM478" i="37" s="1"/>
  <c r="AD330" i="37"/>
  <c r="AE330" i="37" s="1"/>
  <c r="AF330" i="37" s="1"/>
  <c r="AG330" i="37" s="1"/>
  <c r="AM330" i="37" s="1"/>
  <c r="AD485" i="37"/>
  <c r="AE485" i="37" s="1"/>
  <c r="AF485" i="37" s="1"/>
  <c r="AG485" i="37" s="1"/>
  <c r="AM485" i="37" s="1"/>
  <c r="AD536" i="37"/>
  <c r="AE536" i="37" s="1"/>
  <c r="AF536" i="37" s="1"/>
  <c r="AG536" i="37" s="1"/>
  <c r="AH536" i="37" s="1"/>
  <c r="AN536" i="37" s="1"/>
  <c r="AD492" i="37"/>
  <c r="AE492" i="37" s="1"/>
  <c r="AF492" i="37" s="1"/>
  <c r="AG492" i="37" s="1"/>
  <c r="AH492" i="37" s="1"/>
  <c r="AN492" i="37" s="1"/>
  <c r="AD497" i="37"/>
  <c r="AE497" i="37" s="1"/>
  <c r="AF497" i="37" s="1"/>
  <c r="AG497" i="37" s="1"/>
  <c r="AH497" i="37" s="1"/>
  <c r="AN497" i="37" s="1"/>
  <c r="AD486" i="37"/>
  <c r="AE486" i="37" s="1"/>
  <c r="AF486" i="37" s="1"/>
  <c r="AG486" i="37" s="1"/>
  <c r="AH486" i="37" s="1"/>
  <c r="AN486" i="37" s="1"/>
  <c r="AD505" i="37"/>
  <c r="AE505" i="37" s="1"/>
  <c r="AF505" i="37" s="1"/>
  <c r="AG505" i="37" s="1"/>
  <c r="AH505" i="37" s="1"/>
  <c r="AN505" i="37" s="1"/>
  <c r="AD504" i="37"/>
  <c r="AE504" i="37" s="1"/>
  <c r="AF504" i="37" s="1"/>
  <c r="AG504" i="37" s="1"/>
  <c r="AH504" i="37" s="1"/>
  <c r="AN504" i="37" s="1"/>
  <c r="AD464" i="37"/>
  <c r="AJ464" i="37" s="1"/>
  <c r="AD475" i="37"/>
  <c r="AE475" i="37" s="1"/>
  <c r="AF475" i="37" s="1"/>
  <c r="AL475" i="37" s="1"/>
  <c r="AD474" i="37"/>
  <c r="AE474" i="37" s="1"/>
  <c r="AF474" i="37" s="1"/>
  <c r="AL474" i="37" s="1"/>
  <c r="AD528" i="37"/>
  <c r="AE528" i="37" s="1"/>
  <c r="AF528" i="37" s="1"/>
  <c r="AG528" i="37" s="1"/>
  <c r="AH528" i="37" s="1"/>
  <c r="AN528" i="37" s="1"/>
  <c r="AD526" i="37"/>
  <c r="AE526" i="37" s="1"/>
  <c r="AF526" i="37" s="1"/>
  <c r="AG526" i="37" s="1"/>
  <c r="AH526" i="37" s="1"/>
  <c r="AN526" i="37" s="1"/>
  <c r="J557" i="37"/>
  <c r="N557" i="37" s="1"/>
  <c r="K556" i="37"/>
  <c r="K557" i="37"/>
  <c r="J555" i="37"/>
  <c r="N555" i="37" s="1"/>
  <c r="N308" i="37"/>
  <c r="K555" i="37"/>
  <c r="J556" i="37"/>
  <c r="N556" i="37" s="1"/>
  <c r="AB308" i="37"/>
  <c r="V308" i="37"/>
  <c r="X308" i="37"/>
  <c r="J20" i="32"/>
  <c r="L846" i="37" l="1"/>
  <c r="B502" i="40"/>
  <c r="B220" i="65"/>
  <c r="AE531" i="37"/>
  <c r="AF531" i="37" s="1"/>
  <c r="AG531" i="37" s="1"/>
  <c r="AH531" i="37" s="1"/>
  <c r="AN531" i="37" s="1"/>
  <c r="AB307" i="37"/>
  <c r="S555" i="37"/>
  <c r="AL518" i="37"/>
  <c r="AM519" i="37"/>
  <c r="AJ544" i="37"/>
  <c r="AL546" i="37"/>
  <c r="AL545" i="37"/>
  <c r="AJ526" i="37"/>
  <c r="AL544" i="37"/>
  <c r="AJ518" i="37"/>
  <c r="AM518" i="37"/>
  <c r="AK546" i="37"/>
  <c r="AM415" i="37"/>
  <c r="AJ528" i="37"/>
  <c r="AM496" i="37"/>
  <c r="AL415" i="37"/>
  <c r="AJ475" i="37"/>
  <c r="AK335" i="37"/>
  <c r="AM439" i="37"/>
  <c r="AL431" i="37"/>
  <c r="AM409" i="37"/>
  <c r="AM507" i="37"/>
  <c r="AL500" i="37"/>
  <c r="AJ540" i="37"/>
  <c r="AJ470" i="37"/>
  <c r="AJ502" i="37"/>
  <c r="AK492" i="37"/>
  <c r="AJ505" i="37"/>
  <c r="AJ438" i="37"/>
  <c r="AL512" i="37"/>
  <c r="AM498" i="37"/>
  <c r="AM500" i="37"/>
  <c r="AL492" i="37"/>
  <c r="AK330" i="37"/>
  <c r="AM506" i="37"/>
  <c r="AL490" i="37"/>
  <c r="AL468" i="37"/>
  <c r="AM532" i="37"/>
  <c r="AL438" i="37"/>
  <c r="AK449" i="37"/>
  <c r="AK488" i="37"/>
  <c r="AJ468" i="37"/>
  <c r="AJ462" i="37"/>
  <c r="AM527" i="37"/>
  <c r="AJ497" i="37"/>
  <c r="AJ425" i="37"/>
  <c r="AM470" i="37"/>
  <c r="AJ492" i="37"/>
  <c r="AL506" i="37"/>
  <c r="AJ485" i="37"/>
  <c r="AJ431" i="37"/>
  <c r="AM492" i="37"/>
  <c r="AM490" i="37"/>
  <c r="AJ516" i="37"/>
  <c r="AL480" i="37"/>
  <c r="AJ327" i="37"/>
  <c r="AL495" i="37"/>
  <c r="AL493" i="37"/>
  <c r="AL513" i="37"/>
  <c r="AM535" i="37"/>
  <c r="AJ507" i="37"/>
  <c r="AL527" i="37"/>
  <c r="AL529" i="37"/>
  <c r="AJ511" i="37"/>
  <c r="AJ439" i="37"/>
  <c r="AK376" i="37"/>
  <c r="AK439" i="37"/>
  <c r="AL509" i="37"/>
  <c r="AK513" i="37"/>
  <c r="AL511" i="37"/>
  <c r="AJ543" i="37"/>
  <c r="AL499" i="37"/>
  <c r="AJ527" i="37"/>
  <c r="AM530" i="37"/>
  <c r="AM513" i="37"/>
  <c r="AL505" i="37"/>
  <c r="AJ510" i="37"/>
  <c r="AJ375" i="37"/>
  <c r="AL541" i="37"/>
  <c r="AJ483" i="37"/>
  <c r="AM449" i="37"/>
  <c r="AM486" i="37"/>
  <c r="AK350" i="37"/>
  <c r="AJ409" i="37"/>
  <c r="AM346" i="37"/>
  <c r="AK319" i="37"/>
  <c r="AJ481" i="37"/>
  <c r="AK490" i="37"/>
  <c r="AJ469" i="37"/>
  <c r="AJ534" i="37"/>
  <c r="AK535" i="37"/>
  <c r="AK541" i="37"/>
  <c r="AK475" i="37"/>
  <c r="AJ515" i="37"/>
  <c r="AL497" i="37"/>
  <c r="AK505" i="37"/>
  <c r="AK544" i="37"/>
  <c r="AL548" i="37"/>
  <c r="AL496" i="37"/>
  <c r="AJ496" i="37"/>
  <c r="AK548" i="37"/>
  <c r="AJ548" i="37"/>
  <c r="AM484" i="37"/>
  <c r="AJ396" i="37"/>
  <c r="AK518" i="37"/>
  <c r="AK484" i="37"/>
  <c r="AJ524" i="37"/>
  <c r="AK396" i="37"/>
  <c r="AJ489" i="37"/>
  <c r="AJ512" i="37"/>
  <c r="AM491" i="37"/>
  <c r="AL335" i="37"/>
  <c r="AK498" i="37"/>
  <c r="AL477" i="37"/>
  <c r="AL536" i="37"/>
  <c r="AM545" i="37"/>
  <c r="AK506" i="37"/>
  <c r="AJ433" i="37"/>
  <c r="AJ472" i="37"/>
  <c r="AL376" i="37"/>
  <c r="AJ324" i="37"/>
  <c r="AJ479" i="37"/>
  <c r="AM431" i="37"/>
  <c r="AJ473" i="37"/>
  <c r="AK540" i="37"/>
  <c r="AM502" i="37"/>
  <c r="AK370" i="37"/>
  <c r="AJ487" i="37"/>
  <c r="AK332" i="37"/>
  <c r="AK508" i="37"/>
  <c r="AM425" i="37"/>
  <c r="AM543" i="37"/>
  <c r="AJ480" i="37"/>
  <c r="AJ488" i="37"/>
  <c r="AM468" i="37"/>
  <c r="AK530" i="37"/>
  <c r="AK494" i="37"/>
  <c r="AK500" i="37"/>
  <c r="AK431" i="37"/>
  <c r="AL470" i="37"/>
  <c r="AM447" i="37"/>
  <c r="AK480" i="37"/>
  <c r="AK433" i="37"/>
  <c r="AJ523" i="37"/>
  <c r="AJ330" i="37"/>
  <c r="AL502" i="37"/>
  <c r="AL375" i="37"/>
  <c r="AM488" i="37"/>
  <c r="AK485" i="37"/>
  <c r="AJ532" i="37"/>
  <c r="AK507" i="37"/>
  <c r="AJ541" i="37"/>
  <c r="AJ447" i="37"/>
  <c r="AJ478" i="37"/>
  <c r="AK503" i="37"/>
  <c r="AJ501" i="37"/>
  <c r="AJ513" i="37"/>
  <c r="AJ535" i="37"/>
  <c r="AK527" i="37"/>
  <c r="AM493" i="37"/>
  <c r="AM438" i="37"/>
  <c r="AM495" i="37"/>
  <c r="AL488" i="37"/>
  <c r="AJ530" i="37"/>
  <c r="AK509" i="37"/>
  <c r="AJ549" i="37"/>
  <c r="AJ539" i="37"/>
  <c r="AJ499" i="37"/>
  <c r="AM503" i="37"/>
  <c r="AL319" i="37"/>
  <c r="AL494" i="37"/>
  <c r="AL504" i="37"/>
  <c r="AJ449" i="37"/>
  <c r="AK471" i="37"/>
  <c r="AL330" i="37"/>
  <c r="AK501" i="37"/>
  <c r="AJ476" i="37"/>
  <c r="AL533" i="37"/>
  <c r="AJ493" i="37"/>
  <c r="AL484" i="37"/>
  <c r="AM533" i="37"/>
  <c r="AJ367" i="37"/>
  <c r="AK481" i="37"/>
  <c r="AM541" i="37"/>
  <c r="V307" i="37"/>
  <c r="P307" i="37"/>
  <c r="AJ522" i="37"/>
  <c r="AL522" i="37"/>
  <c r="AJ517" i="37"/>
  <c r="AM548" i="37"/>
  <c r="AM526" i="37"/>
  <c r="AK415" i="37"/>
  <c r="AK524" i="37"/>
  <c r="AL539" i="37"/>
  <c r="AK496" i="37"/>
  <c r="AJ370" i="37"/>
  <c r="AK520" i="37"/>
  <c r="AK474" i="37"/>
  <c r="AK522" i="37"/>
  <c r="AM462" i="37"/>
  <c r="AJ498" i="37"/>
  <c r="AM540" i="37"/>
  <c r="AJ504" i="37"/>
  <c r="AK502" i="37"/>
  <c r="AL514" i="37"/>
  <c r="AM487" i="37"/>
  <c r="AL462" i="37"/>
  <c r="AJ500" i="37"/>
  <c r="AM536" i="37"/>
  <c r="AM497" i="37"/>
  <c r="AM505" i="37"/>
  <c r="AK517" i="37"/>
  <c r="AL334" i="37"/>
  <c r="AM375" i="37"/>
  <c r="AL447" i="37"/>
  <c r="AJ486" i="37"/>
  <c r="AK409" i="37"/>
  <c r="AM499" i="37"/>
  <c r="AM350" i="37"/>
  <c r="AJ494" i="37"/>
  <c r="AJ477" i="37"/>
  <c r="AK438" i="37"/>
  <c r="AJ536" i="37"/>
  <c r="AK504" i="37"/>
  <c r="AL449" i="37"/>
  <c r="AM483" i="37"/>
  <c r="AM549" i="37"/>
  <c r="AM334" i="37"/>
  <c r="AL379" i="37"/>
  <c r="AK425" i="37"/>
  <c r="AM508" i="37"/>
  <c r="AJ350" i="37"/>
  <c r="AL530" i="37"/>
  <c r="AJ509" i="37"/>
  <c r="AL515" i="37"/>
  <c r="AL491" i="37"/>
  <c r="AL519" i="37"/>
  <c r="AK543" i="37"/>
  <c r="AK495" i="37"/>
  <c r="AJ484" i="37"/>
  <c r="AK493" i="37"/>
  <c r="AK533" i="37"/>
  <c r="AL481" i="37"/>
  <c r="AK515" i="37"/>
  <c r="AJ491" i="37"/>
  <c r="AJ519" i="37"/>
  <c r="AK479" i="37"/>
  <c r="AM501" i="37"/>
  <c r="AL549" i="37"/>
  <c r="AM511" i="37"/>
  <c r="AM319" i="37"/>
  <c r="AK486" i="37"/>
  <c r="AL532" i="37"/>
  <c r="AK499" i="37"/>
  <c r="AL483" i="37"/>
  <c r="AJ529" i="37"/>
  <c r="AL537" i="37"/>
  <c r="AJ346" i="37"/>
  <c r="AJ495" i="37"/>
  <c r="AL439" i="37"/>
  <c r="AL433" i="37"/>
  <c r="AL508" i="37"/>
  <c r="AK462" i="37"/>
  <c r="AJ325" i="37"/>
  <c r="AJ508" i="37"/>
  <c r="AK539" i="37"/>
  <c r="AL479" i="37"/>
  <c r="AJ482" i="37"/>
  <c r="AL534" i="37"/>
  <c r="AL478" i="37"/>
  <c r="AM515" i="37"/>
  <c r="AJ503" i="37"/>
  <c r="AK477" i="37"/>
  <c r="AM534" i="37"/>
  <c r="AJ546" i="37"/>
  <c r="AM544" i="37"/>
  <c r="AL543" i="37"/>
  <c r="AL526" i="37"/>
  <c r="AJ521" i="37"/>
  <c r="AK532" i="37"/>
  <c r="AL528" i="37"/>
  <c r="AK528" i="37"/>
  <c r="AM522" i="37"/>
  <c r="AM396" i="37"/>
  <c r="AK526" i="37"/>
  <c r="AL396" i="37"/>
  <c r="AM546" i="37"/>
  <c r="AM528" i="37"/>
  <c r="AJ415" i="37"/>
  <c r="AJ520" i="37"/>
  <c r="AK331" i="37"/>
  <c r="AL409" i="37"/>
  <c r="AM494" i="37"/>
  <c r="AJ490" i="37"/>
  <c r="AJ514" i="37"/>
  <c r="AK379" i="37"/>
  <c r="AL535" i="37"/>
  <c r="AJ338" i="37"/>
  <c r="AK327" i="37"/>
  <c r="AJ331" i="37"/>
  <c r="AK472" i="37"/>
  <c r="AK375" i="37"/>
  <c r="AJ525" i="37"/>
  <c r="AL425" i="37"/>
  <c r="AK534" i="37"/>
  <c r="AJ506" i="37"/>
  <c r="AM433" i="37"/>
  <c r="AM335" i="37"/>
  <c r="AL498" i="37"/>
  <c r="AK334" i="37"/>
  <c r="AJ319" i="37"/>
  <c r="AK447" i="37"/>
  <c r="AK512" i="37"/>
  <c r="AL331" i="37"/>
  <c r="AJ379" i="37"/>
  <c r="AL540" i="37"/>
  <c r="AK470" i="37"/>
  <c r="AK476" i="37"/>
  <c r="AJ335" i="37"/>
  <c r="AJ474" i="37"/>
  <c r="AM514" i="37"/>
  <c r="AK514" i="37"/>
  <c r="AJ332" i="37"/>
  <c r="AL503" i="37"/>
  <c r="AK549" i="37"/>
  <c r="AK523" i="37"/>
  <c r="AK483" i="37"/>
  <c r="AL486" i="37"/>
  <c r="AL482" i="37"/>
  <c r="AJ533" i="37"/>
  <c r="AK491" i="37"/>
  <c r="AK519" i="37"/>
  <c r="AL487" i="37"/>
  <c r="AM509" i="37"/>
  <c r="AJ537" i="37"/>
  <c r="AK537" i="37"/>
  <c r="AK346" i="37"/>
  <c r="AL350" i="37"/>
  <c r="AL501" i="37"/>
  <c r="AK511" i="37"/>
  <c r="AK529" i="37"/>
  <c r="AM537" i="37"/>
  <c r="AK545" i="37"/>
  <c r="AM504" i="37"/>
  <c r="AJ376" i="37"/>
  <c r="AM512" i="37"/>
  <c r="AL332" i="37"/>
  <c r="AK536" i="37"/>
  <c r="AJ334" i="37"/>
  <c r="AL346" i="37"/>
  <c r="AK468" i="37"/>
  <c r="AM539" i="37"/>
  <c r="AJ545" i="37"/>
  <c r="AK487" i="37"/>
  <c r="AL507" i="37"/>
  <c r="AK473" i="37"/>
  <c r="AK497" i="37"/>
  <c r="AM480" i="37"/>
  <c r="AJ471" i="37"/>
  <c r="AK478" i="37"/>
  <c r="AL485" i="37"/>
  <c r="AK482" i="37"/>
  <c r="N307" i="37"/>
  <c r="AE317" i="37"/>
  <c r="AE542" i="37"/>
  <c r="AF525" i="37"/>
  <c r="AE467" i="37"/>
  <c r="AK467" i="37" s="1"/>
  <c r="AH379" i="37"/>
  <c r="AN379" i="37" s="1"/>
  <c r="AF521" i="37"/>
  <c r="AL521" i="37" s="1"/>
  <c r="AF489" i="37"/>
  <c r="AL489" i="37" s="1"/>
  <c r="P557" i="37"/>
  <c r="X557" i="37"/>
  <c r="Y557" i="37" s="1"/>
  <c r="Z557" i="37" s="1"/>
  <c r="V557" i="37"/>
  <c r="T557" i="37"/>
  <c r="W557" i="37"/>
  <c r="S557" i="37"/>
  <c r="T555" i="37"/>
  <c r="X556" i="37"/>
  <c r="V556" i="37"/>
  <c r="Z556" i="37"/>
  <c r="W556" i="37"/>
  <c r="Y556" i="37"/>
  <c r="S556" i="37"/>
  <c r="R556" i="37"/>
  <c r="W555" i="37"/>
  <c r="Z555" i="37"/>
  <c r="V555" i="37"/>
  <c r="P556" i="37"/>
  <c r="Y307" i="37"/>
  <c r="T556" i="37"/>
  <c r="Q555" i="37"/>
  <c r="P555" i="37"/>
  <c r="Q556" i="37"/>
  <c r="R555" i="37"/>
  <c r="R557" i="37"/>
  <c r="Q557" i="37"/>
  <c r="R308" i="37"/>
  <c r="AA308" i="37"/>
  <c r="S308" i="37"/>
  <c r="Z308" i="37"/>
  <c r="Z307" i="37"/>
  <c r="S307" i="37"/>
  <c r="AA307" i="37"/>
  <c r="T308" i="37"/>
  <c r="Y308" i="37"/>
  <c r="U308" i="37"/>
  <c r="T307" i="37"/>
  <c r="U307" i="37"/>
  <c r="X307" i="37"/>
  <c r="AD307" i="37" s="1"/>
  <c r="E917" i="40"/>
  <c r="E918" i="40"/>
  <c r="E919" i="40"/>
  <c r="E920" i="40"/>
  <c r="E921" i="40"/>
  <c r="E922" i="40"/>
  <c r="E923" i="40"/>
  <c r="E924" i="40"/>
  <c r="E925" i="40"/>
  <c r="E926" i="40"/>
  <c r="E927" i="40"/>
  <c r="E928" i="40"/>
  <c r="E929" i="40"/>
  <c r="E930" i="40"/>
  <c r="E931" i="40"/>
  <c r="E932" i="40"/>
  <c r="E933" i="40"/>
  <c r="E934" i="40"/>
  <c r="E935" i="40"/>
  <c r="E936" i="40"/>
  <c r="E937" i="40"/>
  <c r="E938" i="40"/>
  <c r="E939" i="40"/>
  <c r="E940" i="40"/>
  <c r="E941" i="40"/>
  <c r="E942" i="40"/>
  <c r="E943" i="40"/>
  <c r="E944" i="40"/>
  <c r="E945" i="40"/>
  <c r="E946" i="40"/>
  <c r="E947" i="40"/>
  <c r="E948" i="40"/>
  <c r="E949" i="40"/>
  <c r="E950" i="40"/>
  <c r="E951" i="40"/>
  <c r="E952" i="40"/>
  <c r="E953" i="40"/>
  <c r="E954" i="40"/>
  <c r="E955" i="40"/>
  <c r="E956" i="40"/>
  <c r="E957" i="40"/>
  <c r="E958" i="40"/>
  <c r="E959" i="40"/>
  <c r="E960" i="40"/>
  <c r="E961" i="40"/>
  <c r="E962" i="40"/>
  <c r="E963" i="40"/>
  <c r="E964" i="40"/>
  <c r="E965" i="40"/>
  <c r="E966" i="40"/>
  <c r="E967" i="40"/>
  <c r="E968" i="40"/>
  <c r="E969" i="40"/>
  <c r="E970" i="40"/>
  <c r="E971" i="40"/>
  <c r="E972" i="40"/>
  <c r="E973" i="40"/>
  <c r="E974" i="40"/>
  <c r="E975" i="40"/>
  <c r="E976" i="40"/>
  <c r="E977" i="40"/>
  <c r="E978" i="40"/>
  <c r="E979" i="40"/>
  <c r="E980" i="40"/>
  <c r="E981" i="40"/>
  <c r="E982" i="40"/>
  <c r="E983" i="40"/>
  <c r="E984" i="40"/>
  <c r="E985" i="40"/>
  <c r="E986" i="40"/>
  <c r="E987" i="40"/>
  <c r="E988" i="40"/>
  <c r="E989" i="40"/>
  <c r="E990" i="40"/>
  <c r="E991" i="40"/>
  <c r="E992" i="40"/>
  <c r="E993" i="40"/>
  <c r="E994" i="40"/>
  <c r="E995" i="40"/>
  <c r="E996" i="40"/>
  <c r="E997" i="40"/>
  <c r="E998" i="40"/>
  <c r="E999" i="40"/>
  <c r="E1000" i="40"/>
  <c r="E1001" i="40"/>
  <c r="E1002" i="40"/>
  <c r="E1003" i="40"/>
  <c r="E1004" i="40"/>
  <c r="E1005" i="40"/>
  <c r="E1006" i="40"/>
  <c r="E1007" i="40"/>
  <c r="E1008" i="40"/>
  <c r="E1009" i="40"/>
  <c r="E1010" i="40"/>
  <c r="E1011" i="40"/>
  <c r="E1012" i="40"/>
  <c r="E1013" i="40"/>
  <c r="E1014" i="40"/>
  <c r="E1015" i="40"/>
  <c r="E1016" i="40"/>
  <c r="E1017" i="40"/>
  <c r="E1018" i="40"/>
  <c r="E1019" i="40"/>
  <c r="E1020" i="40"/>
  <c r="E1021" i="40"/>
  <c r="E1022" i="40"/>
  <c r="E1023" i="40"/>
  <c r="E1024" i="40"/>
  <c r="E1025" i="40"/>
  <c r="E1026" i="40"/>
  <c r="E1027" i="40"/>
  <c r="E1028" i="40"/>
  <c r="E1029" i="40"/>
  <c r="E1030" i="40"/>
  <c r="E1031" i="40"/>
  <c r="E1032" i="40"/>
  <c r="E1033" i="40"/>
  <c r="E1034" i="40"/>
  <c r="E1035" i="40"/>
  <c r="E1036" i="40"/>
  <c r="E1037" i="40"/>
  <c r="E1038" i="40"/>
  <c r="E1039" i="40"/>
  <c r="E1040" i="40"/>
  <c r="E1041" i="40"/>
  <c r="E1042" i="40"/>
  <c r="E1043" i="40"/>
  <c r="E1044" i="40"/>
  <c r="E1045" i="40"/>
  <c r="E1046" i="40"/>
  <c r="E1047" i="40"/>
  <c r="E1048" i="40"/>
  <c r="E1049" i="40"/>
  <c r="E1050" i="40"/>
  <c r="E1051" i="40"/>
  <c r="E1052" i="40"/>
  <c r="E1053" i="40"/>
  <c r="E1054" i="40"/>
  <c r="E1055" i="40"/>
  <c r="E1056" i="40"/>
  <c r="E1057" i="40"/>
  <c r="E909" i="40"/>
  <c r="E910" i="40"/>
  <c r="E911" i="40"/>
  <c r="E912" i="40"/>
  <c r="E913" i="40"/>
  <c r="E914" i="40"/>
  <c r="E915" i="40"/>
  <c r="E916" i="40"/>
  <c r="E902" i="40"/>
  <c r="E903" i="40"/>
  <c r="E904" i="40"/>
  <c r="E905" i="40"/>
  <c r="E906" i="40"/>
  <c r="E907" i="40"/>
  <c r="E908" i="40"/>
  <c r="E878" i="40"/>
  <c r="E879" i="40"/>
  <c r="E880" i="40"/>
  <c r="E881" i="40"/>
  <c r="E882" i="40"/>
  <c r="E883" i="40"/>
  <c r="E884" i="40"/>
  <c r="E885" i="40"/>
  <c r="E886" i="40"/>
  <c r="E887" i="40"/>
  <c r="E888" i="40"/>
  <c r="E889" i="40"/>
  <c r="E890" i="40"/>
  <c r="E891" i="40"/>
  <c r="E892" i="40"/>
  <c r="E893" i="40"/>
  <c r="E894" i="40"/>
  <c r="E895" i="40"/>
  <c r="E896" i="40"/>
  <c r="E897" i="40"/>
  <c r="E898" i="40"/>
  <c r="E899" i="40"/>
  <c r="E900" i="40"/>
  <c r="E901" i="40"/>
  <c r="E877" i="40"/>
  <c r="E876" i="40"/>
  <c r="Q136" i="25" l="1"/>
  <c r="M136" i="25"/>
  <c r="N136" i="25"/>
  <c r="H842" i="37"/>
  <c r="H841" i="37" s="1"/>
  <c r="B503" i="40"/>
  <c r="B221" i="65"/>
  <c r="X555" i="37"/>
  <c r="O136" i="25" s="1"/>
  <c r="AL531" i="37"/>
  <c r="AK531" i="37"/>
  <c r="AM531" i="37"/>
  <c r="AC555" i="37"/>
  <c r="AD556" i="37"/>
  <c r="AE557" i="37"/>
  <c r="AF556" i="37"/>
  <c r="AC556" i="37"/>
  <c r="AF557" i="37"/>
  <c r="AF555" i="37"/>
  <c r="AC557" i="37"/>
  <c r="AB555" i="37"/>
  <c r="AB556" i="37"/>
  <c r="AD308" i="37"/>
  <c r="AE308" i="37" s="1"/>
  <c r="AF308" i="37" s="1"/>
  <c r="AG308" i="37" s="1"/>
  <c r="AH308" i="37" s="1"/>
  <c r="AN308" i="37" s="1"/>
  <c r="AD557" i="37"/>
  <c r="AE556" i="37"/>
  <c r="AB557" i="37"/>
  <c r="AF542" i="37"/>
  <c r="AK542" i="37"/>
  <c r="AJ307" i="37"/>
  <c r="AG525" i="37"/>
  <c r="AL525" i="37"/>
  <c r="AF317" i="37"/>
  <c r="AK317" i="37"/>
  <c r="AG521" i="37"/>
  <c r="AM521" i="37" s="1"/>
  <c r="AG489" i="37"/>
  <c r="AM489" i="37" s="1"/>
  <c r="AE307" i="37"/>
  <c r="B98" i="10"/>
  <c r="B85" i="10"/>
  <c r="M840" i="37" l="1"/>
  <c r="B504" i="40"/>
  <c r="B222" i="65"/>
  <c r="AD555" i="37"/>
  <c r="K840" i="37" s="1"/>
  <c r="I840" i="37"/>
  <c r="AF307" i="37"/>
  <c r="O135" i="25" s="1"/>
  <c r="N135" i="25"/>
  <c r="Y555" i="37"/>
  <c r="P136" i="25" s="1"/>
  <c r="M135" i="25"/>
  <c r="J840" i="37"/>
  <c r="AM308" i="37"/>
  <c r="AH525" i="37"/>
  <c r="AN525" i="37" s="1"/>
  <c r="AM525" i="37"/>
  <c r="AK307" i="37"/>
  <c r="AG307" i="37"/>
  <c r="AL308" i="37"/>
  <c r="AG542" i="37"/>
  <c r="AL542" i="37"/>
  <c r="AJ308" i="37"/>
  <c r="I839" i="37" s="1"/>
  <c r="AK308" i="37"/>
  <c r="AG317" i="37"/>
  <c r="AL317" i="37"/>
  <c r="AH489" i="37"/>
  <c r="AN489" i="37" s="1"/>
  <c r="AH521" i="37"/>
  <c r="AN521" i="37" s="1"/>
  <c r="B86" i="10"/>
  <c r="B87" i="10" s="1"/>
  <c r="B92" i="10" s="1"/>
  <c r="AL307" i="37" l="1"/>
  <c r="B505" i="40"/>
  <c r="B223" i="65"/>
  <c r="AE555" i="37"/>
  <c r="L840" i="37" s="1"/>
  <c r="P135" i="25"/>
  <c r="AH307" i="37"/>
  <c r="AM307" i="37"/>
  <c r="AH542" i="37"/>
  <c r="AN542" i="37" s="1"/>
  <c r="AM542" i="37"/>
  <c r="AH317" i="37"/>
  <c r="AN317" i="37" s="1"/>
  <c r="AM317" i="37"/>
  <c r="J839" i="37"/>
  <c r="K839" i="37"/>
  <c r="K846" i="37" s="1"/>
  <c r="B506" i="40" l="1"/>
  <c r="B224" i="65"/>
  <c r="AN307" i="37"/>
  <c r="Q135" i="25"/>
  <c r="L839" i="37"/>
  <c r="F51" i="25"/>
  <c r="M839" i="37" l="1"/>
  <c r="B507" i="40"/>
  <c r="B225" i="65"/>
  <c r="E873" i="40"/>
  <c r="E874" i="40"/>
  <c r="E875" i="40"/>
  <c r="E870" i="40"/>
  <c r="E871" i="40"/>
  <c r="E872" i="40"/>
  <c r="E766" i="40"/>
  <c r="E767" i="40"/>
  <c r="E768" i="40"/>
  <c r="E769" i="40"/>
  <c r="E770" i="40"/>
  <c r="E771" i="40"/>
  <c r="E772" i="40"/>
  <c r="E773" i="40"/>
  <c r="E774" i="40"/>
  <c r="E775" i="40"/>
  <c r="E776" i="40"/>
  <c r="E777" i="40"/>
  <c r="E778" i="40"/>
  <c r="E779" i="40"/>
  <c r="E780" i="40"/>
  <c r="E781" i="40"/>
  <c r="E782" i="40"/>
  <c r="E783" i="40"/>
  <c r="E784" i="40"/>
  <c r="E785" i="40"/>
  <c r="E786" i="40"/>
  <c r="E787" i="40"/>
  <c r="E788" i="40"/>
  <c r="E789" i="40"/>
  <c r="E790" i="40"/>
  <c r="E791" i="40"/>
  <c r="E792" i="40"/>
  <c r="E793" i="40"/>
  <c r="E794" i="40"/>
  <c r="E795" i="40"/>
  <c r="E796" i="40"/>
  <c r="E797" i="40"/>
  <c r="E798" i="40"/>
  <c r="E799" i="40"/>
  <c r="E800" i="40"/>
  <c r="E801" i="40"/>
  <c r="E802" i="40"/>
  <c r="E803" i="40"/>
  <c r="E804" i="40"/>
  <c r="E805" i="40"/>
  <c r="E806" i="40"/>
  <c r="E807" i="40"/>
  <c r="E808" i="40"/>
  <c r="E809" i="40"/>
  <c r="E810" i="40"/>
  <c r="E811" i="40"/>
  <c r="E812" i="40"/>
  <c r="E813" i="40"/>
  <c r="E814" i="40"/>
  <c r="E815" i="40"/>
  <c r="E816" i="40"/>
  <c r="E817" i="40"/>
  <c r="E818" i="40"/>
  <c r="E819" i="40"/>
  <c r="E820" i="40"/>
  <c r="E821" i="40"/>
  <c r="E822" i="40"/>
  <c r="E823" i="40"/>
  <c r="E824" i="40"/>
  <c r="E825" i="40"/>
  <c r="E826" i="40"/>
  <c r="E827" i="40"/>
  <c r="E828" i="40"/>
  <c r="E829" i="40"/>
  <c r="E830" i="40"/>
  <c r="E831" i="40"/>
  <c r="E832" i="40"/>
  <c r="E833" i="40"/>
  <c r="E834" i="40"/>
  <c r="E835" i="40"/>
  <c r="E836" i="40"/>
  <c r="E837" i="40"/>
  <c r="E838" i="40"/>
  <c r="E839" i="40"/>
  <c r="E840" i="40"/>
  <c r="E841" i="40"/>
  <c r="E842" i="40"/>
  <c r="E843" i="40"/>
  <c r="E844" i="40"/>
  <c r="E845" i="40"/>
  <c r="E846" i="40"/>
  <c r="E847" i="40"/>
  <c r="E848" i="40"/>
  <c r="E849" i="40"/>
  <c r="E850" i="40"/>
  <c r="E851" i="40"/>
  <c r="E852" i="40"/>
  <c r="E853" i="40"/>
  <c r="E854" i="40"/>
  <c r="E855" i="40"/>
  <c r="E856" i="40"/>
  <c r="E857" i="40"/>
  <c r="E858" i="40"/>
  <c r="E859" i="40"/>
  <c r="E860" i="40"/>
  <c r="E861" i="40"/>
  <c r="E862" i="40"/>
  <c r="E863" i="40"/>
  <c r="E864" i="40"/>
  <c r="E865" i="40"/>
  <c r="E866" i="40"/>
  <c r="E867" i="40"/>
  <c r="E868" i="40"/>
  <c r="E869" i="40"/>
  <c r="E759" i="40"/>
  <c r="E760" i="40"/>
  <c r="E761" i="40"/>
  <c r="E762" i="40"/>
  <c r="E763" i="40"/>
  <c r="E764" i="40"/>
  <c r="E765" i="40"/>
  <c r="M51" i="32" l="1"/>
  <c r="B508" i="40"/>
  <c r="B226" i="65"/>
  <c r="J31" i="42"/>
  <c r="I30" i="42"/>
  <c r="K32" i="42"/>
  <c r="L33" i="42"/>
  <c r="M34" i="42"/>
  <c r="N35" i="42"/>
  <c r="H29" i="42"/>
  <c r="F26" i="42"/>
  <c r="F23" i="42"/>
  <c r="Y67" i="42" s="1"/>
  <c r="F20" i="42"/>
  <c r="BD60" i="42" s="1"/>
  <c r="I16" i="42"/>
  <c r="H16" i="42"/>
  <c r="AV66" i="42" s="1"/>
  <c r="F83" i="36"/>
  <c r="F75" i="36"/>
  <c r="F56" i="36"/>
  <c r="F57" i="36"/>
  <c r="F58" i="36"/>
  <c r="F59" i="36"/>
  <c r="F60" i="36"/>
  <c r="F61" i="36"/>
  <c r="F62" i="36"/>
  <c r="F63" i="36"/>
  <c r="F64" i="36"/>
  <c r="F65" i="36"/>
  <c r="F66" i="36"/>
  <c r="F55" i="36"/>
  <c r="F42" i="36"/>
  <c r="F43" i="36"/>
  <c r="F44" i="36"/>
  <c r="F45" i="36"/>
  <c r="F46" i="36"/>
  <c r="F47" i="36"/>
  <c r="F48" i="36"/>
  <c r="F49" i="36"/>
  <c r="F50" i="36"/>
  <c r="F51" i="36"/>
  <c r="F52" i="36"/>
  <c r="F41" i="36"/>
  <c r="F28" i="36"/>
  <c r="F29" i="36"/>
  <c r="F30" i="36"/>
  <c r="F31" i="36"/>
  <c r="F32" i="36"/>
  <c r="F33" i="36"/>
  <c r="F34" i="36"/>
  <c r="F35" i="36"/>
  <c r="F36" i="36"/>
  <c r="F37" i="36"/>
  <c r="F38" i="36"/>
  <c r="F27" i="36"/>
  <c r="F22" i="36"/>
  <c r="F23" i="36"/>
  <c r="F24" i="36"/>
  <c r="F21" i="36"/>
  <c r="F16" i="36"/>
  <c r="F17" i="36"/>
  <c r="F18" i="36"/>
  <c r="F15" i="36"/>
  <c r="F26" i="34"/>
  <c r="F22" i="34"/>
  <c r="F21" i="34"/>
  <c r="I20" i="32"/>
  <c r="L32" i="32" s="1"/>
  <c r="N37" i="50"/>
  <c r="M36" i="50"/>
  <c r="L35" i="50"/>
  <c r="K34" i="50"/>
  <c r="J33" i="50"/>
  <c r="I32" i="50"/>
  <c r="H31" i="50"/>
  <c r="F28" i="50"/>
  <c r="F25" i="50"/>
  <c r="F22" i="50"/>
  <c r="F19" i="50"/>
  <c r="K16" i="50"/>
  <c r="L16" i="50"/>
  <c r="M16" i="50"/>
  <c r="N16" i="50"/>
  <c r="B509" i="40" l="1"/>
  <c r="B227" i="65"/>
  <c r="AE306" i="50"/>
  <c r="AC305" i="50"/>
  <c r="W306" i="50"/>
  <c r="Y305" i="50"/>
  <c r="AD302" i="50"/>
  <c r="Y300" i="50"/>
  <c r="AF302" i="50"/>
  <c r="AE301" i="50"/>
  <c r="AE302" i="50"/>
  <c r="Y302" i="50"/>
  <c r="Z302" i="50"/>
  <c r="AL302" i="50" s="1"/>
  <c r="X305" i="50"/>
  <c r="Y306" i="50"/>
  <c r="AK306" i="50" s="1"/>
  <c r="X302" i="50"/>
  <c r="AE305" i="50"/>
  <c r="Y301" i="50"/>
  <c r="AD306" i="50"/>
  <c r="Y304" i="50"/>
  <c r="AD301" i="50"/>
  <c r="AF303" i="50"/>
  <c r="X303" i="50"/>
  <c r="AD303" i="50"/>
  <c r="Z301" i="50"/>
  <c r="AD300" i="50"/>
  <c r="W300" i="50"/>
  <c r="AD305" i="50"/>
  <c r="X306" i="50"/>
  <c r="AF301" i="50"/>
  <c r="X300" i="50"/>
  <c r="AJ300" i="50" s="1"/>
  <c r="Z303" i="50"/>
  <c r="Z305" i="50"/>
  <c r="Z304" i="50"/>
  <c r="AF304" i="50"/>
  <c r="W301" i="50"/>
  <c r="W302" i="50"/>
  <c r="AF306" i="50"/>
  <c r="AC303" i="50"/>
  <c r="W305" i="50"/>
  <c r="AI305" i="50" s="1"/>
  <c r="AC300" i="50"/>
  <c r="AE304" i="50"/>
  <c r="Y303" i="50"/>
  <c r="W303" i="50"/>
  <c r="AF305" i="50"/>
  <c r="AE303" i="50"/>
  <c r="AC301" i="50"/>
  <c r="X304" i="50"/>
  <c r="W304" i="50"/>
  <c r="AF300" i="50"/>
  <c r="AC306" i="50"/>
  <c r="AC304" i="50"/>
  <c r="Z300" i="50"/>
  <c r="AC302" i="50"/>
  <c r="Z306" i="50"/>
  <c r="AL306" i="50" s="1"/>
  <c r="AE300" i="50"/>
  <c r="AD304" i="50"/>
  <c r="X301" i="50"/>
  <c r="AJ301" i="50" s="1"/>
  <c r="AU303" i="50"/>
  <c r="AU300" i="50"/>
  <c r="AU307" i="50"/>
  <c r="BA307" i="50" s="1"/>
  <c r="AU306" i="50"/>
  <c r="AU305" i="50"/>
  <c r="AU302" i="50"/>
  <c r="AU304" i="50"/>
  <c r="AU301" i="50"/>
  <c r="AV300" i="50"/>
  <c r="AV303" i="50"/>
  <c r="AV305" i="50"/>
  <c r="AV304" i="50"/>
  <c r="AV306" i="50"/>
  <c r="AV301" i="50"/>
  <c r="AV302" i="50"/>
  <c r="AV307" i="50"/>
  <c r="BB307" i="50" s="1"/>
  <c r="AW303" i="50"/>
  <c r="AW304" i="50"/>
  <c r="AW305" i="50"/>
  <c r="AW307" i="50"/>
  <c r="BC307" i="50" s="1"/>
  <c r="AW302" i="50"/>
  <c r="AW306" i="50"/>
  <c r="AW301" i="50"/>
  <c r="AW300" i="50"/>
  <c r="AX306" i="50"/>
  <c r="AX301" i="50"/>
  <c r="AX307" i="50"/>
  <c r="BD307" i="50" s="1"/>
  <c r="AX302" i="50"/>
  <c r="AX303" i="50"/>
  <c r="AX305" i="50"/>
  <c r="AX300" i="50"/>
  <c r="AX304" i="50"/>
  <c r="Z293" i="50"/>
  <c r="W292" i="50"/>
  <c r="AC292" i="50"/>
  <c r="AD297" i="50"/>
  <c r="AC297" i="50"/>
  <c r="Y295" i="50"/>
  <c r="AE293" i="50"/>
  <c r="Y291" i="50"/>
  <c r="AD291" i="50"/>
  <c r="AE298" i="50"/>
  <c r="Y296" i="50"/>
  <c r="AC299" i="50"/>
  <c r="W299" i="50"/>
  <c r="AD295" i="50"/>
  <c r="Z295" i="50"/>
  <c r="W293" i="50"/>
  <c r="Y293" i="50"/>
  <c r="AC293" i="50"/>
  <c r="AF291" i="50"/>
  <c r="W298" i="50"/>
  <c r="AF298" i="50"/>
  <c r="AF296" i="50"/>
  <c r="AC296" i="50"/>
  <c r="Y292" i="50"/>
  <c r="AF299" i="50"/>
  <c r="AE294" i="50"/>
  <c r="AC295" i="50"/>
  <c r="AF293" i="50"/>
  <c r="AE291" i="50"/>
  <c r="X298" i="50"/>
  <c r="Z298" i="50"/>
  <c r="AE296" i="50"/>
  <c r="AE292" i="50"/>
  <c r="Y299" i="50"/>
  <c r="AE297" i="50"/>
  <c r="W295" i="50"/>
  <c r="AD293" i="50"/>
  <c r="Z291" i="50"/>
  <c r="Z296" i="50"/>
  <c r="AF292" i="50"/>
  <c r="Z292" i="50"/>
  <c r="AF295" i="50"/>
  <c r="AF294" i="50"/>
  <c r="AF297" i="50"/>
  <c r="Z297" i="50"/>
  <c r="X293" i="50"/>
  <c r="W294" i="50"/>
  <c r="AC298" i="50"/>
  <c r="AD298" i="50"/>
  <c r="AD294" i="50"/>
  <c r="Z294" i="50"/>
  <c r="W297" i="50"/>
  <c r="X294" i="50"/>
  <c r="Y297" i="50"/>
  <c r="AD292" i="50"/>
  <c r="AC291" i="50"/>
  <c r="X295" i="50"/>
  <c r="AD299" i="50"/>
  <c r="W291" i="50"/>
  <c r="AD296" i="50"/>
  <c r="X299" i="50"/>
  <c r="X292" i="50"/>
  <c r="AC294" i="50"/>
  <c r="W296" i="50"/>
  <c r="Y298" i="50"/>
  <c r="X291" i="50"/>
  <c r="X297" i="50"/>
  <c r="AE299" i="50"/>
  <c r="Z299" i="50"/>
  <c r="AL299" i="50" s="1"/>
  <c r="X296" i="50"/>
  <c r="Y294" i="50"/>
  <c r="AE295" i="50"/>
  <c r="AU294" i="50"/>
  <c r="AU298" i="50"/>
  <c r="AU292" i="50"/>
  <c r="AU295" i="50"/>
  <c r="AU291" i="50"/>
  <c r="AU293" i="50"/>
  <c r="AU296" i="50"/>
  <c r="AU299" i="50"/>
  <c r="AU297" i="50"/>
  <c r="AV291" i="50"/>
  <c r="AV296" i="50"/>
  <c r="AV297" i="50"/>
  <c r="AV293" i="50"/>
  <c r="AV295" i="50"/>
  <c r="AV298" i="50"/>
  <c r="AV299" i="50"/>
  <c r="AV294" i="50"/>
  <c r="AV292" i="50"/>
  <c r="AW291" i="50"/>
  <c r="AW295" i="50"/>
  <c r="AW298" i="50"/>
  <c r="AW293" i="50"/>
  <c r="AW296" i="50"/>
  <c r="AW294" i="50"/>
  <c r="AW292" i="50"/>
  <c r="AW297" i="50"/>
  <c r="AW299" i="50"/>
  <c r="AX296" i="50"/>
  <c r="AX299" i="50"/>
  <c r="AX293" i="50"/>
  <c r="AX292" i="50"/>
  <c r="AX297" i="50"/>
  <c r="AX298" i="50"/>
  <c r="AX291" i="50"/>
  <c r="AX295" i="50"/>
  <c r="AX294" i="50"/>
  <c r="AV76" i="42"/>
  <c r="BL76" i="42" s="1"/>
  <c r="AV77" i="42"/>
  <c r="BL77" i="42" s="1"/>
  <c r="AV73" i="42"/>
  <c r="BL73" i="42" s="1"/>
  <c r="AV72" i="42"/>
  <c r="BL72" i="42" s="1"/>
  <c r="AV69" i="42"/>
  <c r="BL69" i="42" s="1"/>
  <c r="AV71" i="42"/>
  <c r="BL71" i="42" s="1"/>
  <c r="BL66" i="42"/>
  <c r="AV67" i="42"/>
  <c r="BL67" i="42" s="1"/>
  <c r="AV78" i="42"/>
  <c r="BL78" i="42" s="1"/>
  <c r="AV74" i="42"/>
  <c r="BL74" i="42" s="1"/>
  <c r="AV75" i="42"/>
  <c r="BL75" i="42" s="1"/>
  <c r="AV68" i="42"/>
  <c r="BL68" i="42" s="1"/>
  <c r="AV79" i="42"/>
  <c r="BL79" i="42" s="1"/>
  <c r="AV70" i="42"/>
  <c r="BL70" i="42" s="1"/>
  <c r="AD67" i="42"/>
  <c r="X73" i="42"/>
  <c r="AD68" i="42"/>
  <c r="X72" i="42"/>
  <c r="AG77" i="42"/>
  <c r="AG76" i="42"/>
  <c r="AH76" i="42"/>
  <c r="AD78" i="42"/>
  <c r="AE76" i="42"/>
  <c r="AD71" i="42"/>
  <c r="X67" i="42"/>
  <c r="X77" i="42"/>
  <c r="AD73" i="42"/>
  <c r="AF77" i="42"/>
  <c r="AE77" i="42"/>
  <c r="AD76" i="42"/>
  <c r="AD72" i="42"/>
  <c r="X71" i="42"/>
  <c r="AJ71" i="42" s="1"/>
  <c r="AD70" i="42"/>
  <c r="X69" i="42"/>
  <c r="X70" i="42"/>
  <c r="AF76" i="42"/>
  <c r="AE79" i="42"/>
  <c r="AH79" i="42"/>
  <c r="AD75" i="42"/>
  <c r="AD77" i="42"/>
  <c r="X76" i="42"/>
  <c r="AD74" i="42"/>
  <c r="AH74" i="42"/>
  <c r="X75" i="42"/>
  <c r="X78" i="42"/>
  <c r="AJ78" i="42" s="1"/>
  <c r="AH77" i="42"/>
  <c r="X74" i="42"/>
  <c r="AD69" i="42"/>
  <c r="X68" i="42"/>
  <c r="AG69" i="42"/>
  <c r="AG68" i="42"/>
  <c r="AG72" i="42"/>
  <c r="AE72" i="42"/>
  <c r="AH71" i="42"/>
  <c r="AH69" i="42"/>
  <c r="AG73" i="42"/>
  <c r="AE73" i="42"/>
  <c r="AH70" i="42"/>
  <c r="AG78" i="42"/>
  <c r="AH75" i="42"/>
  <c r="AG79" i="42"/>
  <c r="AF70" i="42"/>
  <c r="AE67" i="42"/>
  <c r="AF74" i="42"/>
  <c r="AE74" i="42"/>
  <c r="AG71" i="42"/>
  <c r="AF73" i="42"/>
  <c r="AE71" i="42"/>
  <c r="AH67" i="42"/>
  <c r="AF72" i="42"/>
  <c r="AF67" i="42"/>
  <c r="AG74" i="42"/>
  <c r="AH73" i="42"/>
  <c r="AG70" i="42"/>
  <c r="AF69" i="42"/>
  <c r="AF75" i="42"/>
  <c r="AE68" i="42"/>
  <c r="AE69" i="42"/>
  <c r="AE75" i="42"/>
  <c r="AF71" i="42"/>
  <c r="AH68" i="42"/>
  <c r="AG67" i="42"/>
  <c r="AF78" i="42"/>
  <c r="AE78" i="42"/>
  <c r="AH78" i="42"/>
  <c r="AH72" i="42"/>
  <c r="AF79" i="42"/>
  <c r="AE70" i="42"/>
  <c r="AF68" i="42"/>
  <c r="AG75" i="42"/>
  <c r="AW75" i="42"/>
  <c r="BM75" i="42" s="1"/>
  <c r="AW79" i="42"/>
  <c r="BM79" i="42" s="1"/>
  <c r="AW77" i="42"/>
  <c r="BM77" i="42" s="1"/>
  <c r="AW69" i="42"/>
  <c r="BM69" i="42" s="1"/>
  <c r="AW71" i="42"/>
  <c r="BM71" i="42" s="1"/>
  <c r="AW76" i="42"/>
  <c r="BM76" i="42" s="1"/>
  <c r="AW72" i="42"/>
  <c r="BM72" i="42" s="1"/>
  <c r="AW78" i="42"/>
  <c r="BM78" i="42" s="1"/>
  <c r="AW68" i="42"/>
  <c r="BM68" i="42" s="1"/>
  <c r="AW70" i="42"/>
  <c r="BM70" i="42" s="1"/>
  <c r="AW67" i="42"/>
  <c r="BM67" i="42" s="1"/>
  <c r="AW74" i="42"/>
  <c r="BM74" i="42" s="1"/>
  <c r="AW73" i="42"/>
  <c r="BM73" i="42" s="1"/>
  <c r="AW66" i="42"/>
  <c r="BM66" i="42" s="1"/>
  <c r="AB76" i="42"/>
  <c r="Y77" i="42"/>
  <c r="AB74" i="42"/>
  <c r="Z74" i="42"/>
  <c r="AL74" i="42" s="1"/>
  <c r="Z76" i="42"/>
  <c r="AA77" i="42"/>
  <c r="AM77" i="42" s="1"/>
  <c r="AA76" i="42"/>
  <c r="AM76" i="42" s="1"/>
  <c r="Z77" i="42"/>
  <c r="AL77" i="42" s="1"/>
  <c r="AB77" i="42"/>
  <c r="Y76" i="42"/>
  <c r="AK76" i="42" s="1"/>
  <c r="AQ76" i="42" s="1"/>
  <c r="Z73" i="42"/>
  <c r="AB67" i="42"/>
  <c r="Y74" i="42"/>
  <c r="AK74" i="42" s="1"/>
  <c r="AQ74" i="42" s="1"/>
  <c r="AA78" i="42"/>
  <c r="AB71" i="42"/>
  <c r="Y68" i="42"/>
  <c r="Z71" i="42"/>
  <c r="Y72" i="42"/>
  <c r="AA68" i="42"/>
  <c r="AA69" i="42"/>
  <c r="AB75" i="42"/>
  <c r="Y79" i="42"/>
  <c r="AK67" i="42"/>
  <c r="AQ67" i="42" s="1"/>
  <c r="Z70" i="42"/>
  <c r="AA67" i="42"/>
  <c r="Z75" i="42"/>
  <c r="Z69" i="42"/>
  <c r="AL69" i="42" s="1"/>
  <c r="AA70" i="42"/>
  <c r="Y69" i="42"/>
  <c r="Y75" i="42"/>
  <c r="AB79" i="42"/>
  <c r="AB68" i="42"/>
  <c r="AB70" i="42"/>
  <c r="AB78" i="42"/>
  <c r="Z67" i="42"/>
  <c r="AL67" i="42" s="1"/>
  <c r="Y71" i="42"/>
  <c r="AK71" i="42" s="1"/>
  <c r="AQ71" i="42" s="1"/>
  <c r="AB69" i="42"/>
  <c r="Z78" i="42"/>
  <c r="Z72" i="42"/>
  <c r="AA79" i="42"/>
  <c r="AB73" i="42"/>
  <c r="AN73" i="42" s="1"/>
  <c r="BJ73" i="42" s="1"/>
  <c r="AA75" i="42"/>
  <c r="AM75" i="42" s="1"/>
  <c r="AB72" i="42"/>
  <c r="Y78" i="42"/>
  <c r="AK78" i="42" s="1"/>
  <c r="AQ78" i="42" s="1"/>
  <c r="Z79" i="42"/>
  <c r="AA74" i="42"/>
  <c r="AA71" i="42"/>
  <c r="Z68" i="42"/>
  <c r="AA73" i="42"/>
  <c r="Y73" i="42"/>
  <c r="Y70" i="42"/>
  <c r="AA72" i="42"/>
  <c r="AM72" i="42" s="1"/>
  <c r="W274" i="50"/>
  <c r="AD290" i="50"/>
  <c r="AC286" i="50"/>
  <c r="W285" i="50"/>
  <c r="AF281" i="50"/>
  <c r="W281" i="50"/>
  <c r="Y277" i="50"/>
  <c r="Y285" i="50"/>
  <c r="Y281" i="50"/>
  <c r="Z284" i="50"/>
  <c r="W282" i="50"/>
  <c r="V282" i="50"/>
  <c r="V275" i="50"/>
  <c r="AF290" i="50"/>
  <c r="Y274" i="50"/>
  <c r="AE279" i="50"/>
  <c r="AF282" i="50"/>
  <c r="V285" i="50"/>
  <c r="AF286" i="50"/>
  <c r="X281" i="50"/>
  <c r="AD274" i="50"/>
  <c r="AF275" i="50"/>
  <c r="V288" i="50"/>
  <c r="AD275" i="50"/>
  <c r="Z285" i="50"/>
  <c r="V278" i="50"/>
  <c r="AC274" i="50"/>
  <c r="AD286" i="50"/>
  <c r="X280" i="50"/>
  <c r="V279" i="50"/>
  <c r="AE287" i="50"/>
  <c r="AB282" i="50"/>
  <c r="Z290" i="50"/>
  <c r="Z280" i="50"/>
  <c r="W284" i="50"/>
  <c r="AC277" i="50"/>
  <c r="V280" i="50"/>
  <c r="X288" i="50"/>
  <c r="Z281" i="50"/>
  <c r="X278" i="50"/>
  <c r="Z279" i="50"/>
  <c r="AC287" i="50"/>
  <c r="AE282" i="50"/>
  <c r="Z276" i="50"/>
  <c r="X284" i="50"/>
  <c r="AB275" i="50"/>
  <c r="AB281" i="50"/>
  <c r="AC284" i="50"/>
  <c r="AE281" i="50"/>
  <c r="AK281" i="50" s="1"/>
  <c r="Y276" i="50"/>
  <c r="AD279" i="50"/>
  <c r="AC278" i="50"/>
  <c r="V274" i="50"/>
  <c r="V281" i="50"/>
  <c r="Y290" i="50"/>
  <c r="AF285" i="50"/>
  <c r="Z275" i="50"/>
  <c r="X287" i="50"/>
  <c r="Y275" i="50"/>
  <c r="AF284" i="50"/>
  <c r="X285" i="50"/>
  <c r="AD287" i="50"/>
  <c r="AJ287" i="50" s="1"/>
  <c r="AD276" i="50"/>
  <c r="AF279" i="50"/>
  <c r="Z287" i="50"/>
  <c r="AE277" i="50"/>
  <c r="V286" i="50"/>
  <c r="AB283" i="50"/>
  <c r="AC275" i="50"/>
  <c r="AE278" i="50"/>
  <c r="V290" i="50"/>
  <c r="X274" i="50"/>
  <c r="W275" i="50"/>
  <c r="AI275" i="50" s="1"/>
  <c r="AB286" i="50"/>
  <c r="AD277" i="50"/>
  <c r="AB285" i="50"/>
  <c r="Z286" i="50"/>
  <c r="AB274" i="50"/>
  <c r="X286" i="50"/>
  <c r="V284" i="50"/>
  <c r="X279" i="50"/>
  <c r="Z278" i="50"/>
  <c r="W286" i="50"/>
  <c r="AI286" i="50" s="1"/>
  <c r="AE290" i="50"/>
  <c r="AD280" i="50"/>
  <c r="AB288" i="50"/>
  <c r="AC276" i="50"/>
  <c r="AC281" i="50"/>
  <c r="AB278" i="50"/>
  <c r="Y280" i="50"/>
  <c r="AD282" i="50"/>
  <c r="AF283" i="50"/>
  <c r="AF280" i="50"/>
  <c r="AE275" i="50"/>
  <c r="AF287" i="50"/>
  <c r="AE288" i="50"/>
  <c r="Y278" i="50"/>
  <c r="W290" i="50"/>
  <c r="AF277" i="50"/>
  <c r="Z274" i="50"/>
  <c r="AE283" i="50"/>
  <c r="W283" i="50"/>
  <c r="X277" i="50"/>
  <c r="AJ277" i="50" s="1"/>
  <c r="AB287" i="50"/>
  <c r="AB280" i="50"/>
  <c r="W287" i="50"/>
  <c r="AB290" i="50"/>
  <c r="AB284" i="50"/>
  <c r="Z277" i="50"/>
  <c r="X276" i="50"/>
  <c r="AB277" i="50"/>
  <c r="Y287" i="50"/>
  <c r="W279" i="50"/>
  <c r="AD278" i="50"/>
  <c r="X290" i="50"/>
  <c r="X275" i="50"/>
  <c r="AJ275" i="50" s="1"/>
  <c r="Z283" i="50"/>
  <c r="W278" i="50"/>
  <c r="Y286" i="50"/>
  <c r="AB276" i="50"/>
  <c r="AC280" i="50"/>
  <c r="AD288" i="50"/>
  <c r="AC285" i="50"/>
  <c r="Y283" i="50"/>
  <c r="X282" i="50"/>
  <c r="W276" i="50"/>
  <c r="AC288" i="50"/>
  <c r="AD285" i="50"/>
  <c r="X283" i="50"/>
  <c r="Z282" i="50"/>
  <c r="AB279" i="50"/>
  <c r="AC283" i="50"/>
  <c r="AE274" i="50"/>
  <c r="AE286" i="50"/>
  <c r="W280" i="50"/>
  <c r="AF288" i="50"/>
  <c r="W277" i="50"/>
  <c r="AE285" i="50"/>
  <c r="AE280" i="50"/>
  <c r="Z288" i="50"/>
  <c r="Y279" i="50"/>
  <c r="AD281" i="50"/>
  <c r="AE284" i="50"/>
  <c r="AF274" i="50"/>
  <c r="W288" i="50"/>
  <c r="AD284" i="50"/>
  <c r="V287" i="50"/>
  <c r="AC282" i="50"/>
  <c r="V276" i="50"/>
  <c r="AD283" i="50"/>
  <c r="Y282" i="50"/>
  <c r="AK282" i="50" s="1"/>
  <c r="AC290" i="50"/>
  <c r="AE276" i="50"/>
  <c r="AF276" i="50"/>
  <c r="V277" i="50"/>
  <c r="AH277" i="50" s="1"/>
  <c r="AN277" i="50" s="1"/>
  <c r="V283" i="50"/>
  <c r="AH283" i="50" s="1"/>
  <c r="AN283" i="50" s="1"/>
  <c r="AF278" i="50"/>
  <c r="Y284" i="50"/>
  <c r="AC279" i="50"/>
  <c r="Y288" i="50"/>
  <c r="AK288" i="50" s="1"/>
  <c r="AE266" i="50"/>
  <c r="AC266" i="50"/>
  <c r="X264" i="50"/>
  <c r="AB264" i="50"/>
  <c r="W255" i="50"/>
  <c r="AF255" i="50"/>
  <c r="AB255" i="50"/>
  <c r="AC262" i="50"/>
  <c r="AF262" i="50"/>
  <c r="AC257" i="50"/>
  <c r="Y257" i="50"/>
  <c r="W273" i="50"/>
  <c r="X273" i="50"/>
  <c r="AD273" i="50"/>
  <c r="W253" i="50"/>
  <c r="AE253" i="50"/>
  <c r="AE256" i="50"/>
  <c r="AF256" i="50"/>
  <c r="AB263" i="50"/>
  <c r="AC263" i="50"/>
  <c r="AE263" i="50"/>
  <c r="AC251" i="50"/>
  <c r="X251" i="50"/>
  <c r="W269" i="50"/>
  <c r="AC269" i="50"/>
  <c r="Y272" i="50"/>
  <c r="AE272" i="50"/>
  <c r="W272" i="50"/>
  <c r="X260" i="50"/>
  <c r="AB260" i="50"/>
  <c r="Y252" i="50"/>
  <c r="X252" i="50"/>
  <c r="AF252" i="50"/>
  <c r="AC261" i="50"/>
  <c r="V261" i="50"/>
  <c r="Z261" i="50"/>
  <c r="AF258" i="50"/>
  <c r="AB258" i="50"/>
  <c r="X270" i="50"/>
  <c r="W270" i="50"/>
  <c r="V259" i="50"/>
  <c r="W259" i="50"/>
  <c r="AE259" i="50"/>
  <c r="Z254" i="50"/>
  <c r="AF254" i="50"/>
  <c r="V254" i="50"/>
  <c r="AD267" i="50"/>
  <c r="AF267" i="50"/>
  <c r="Y265" i="50"/>
  <c r="V268" i="50"/>
  <c r="AC268" i="50"/>
  <c r="AB268" i="50"/>
  <c r="Y266" i="50"/>
  <c r="V266" i="50"/>
  <c r="AE264" i="50"/>
  <c r="Z264" i="50"/>
  <c r="W264" i="50"/>
  <c r="V255" i="50"/>
  <c r="AE255" i="50"/>
  <c r="V262" i="50"/>
  <c r="W262" i="50"/>
  <c r="AB257" i="50"/>
  <c r="W257" i="50"/>
  <c r="AF257" i="50"/>
  <c r="AE273" i="50"/>
  <c r="AB273" i="50"/>
  <c r="AC253" i="50"/>
  <c r="AF253" i="50"/>
  <c r="V256" i="50"/>
  <c r="Y256" i="50"/>
  <c r="AD256" i="50"/>
  <c r="V263" i="50"/>
  <c r="Y263" i="50"/>
  <c r="AK263" i="50" s="1"/>
  <c r="Z263" i="50"/>
  <c r="W251" i="50"/>
  <c r="V251" i="50"/>
  <c r="X269" i="50"/>
  <c r="Y269" i="50"/>
  <c r="AD269" i="50"/>
  <c r="AC272" i="50"/>
  <c r="AB272" i="50"/>
  <c r="AD272" i="50"/>
  <c r="AE260" i="50"/>
  <c r="Z260" i="50"/>
  <c r="AC260" i="50"/>
  <c r="Z252" i="50"/>
  <c r="AD252" i="50"/>
  <c r="AC252" i="50"/>
  <c r="AF261" i="50"/>
  <c r="AE261" i="50"/>
  <c r="AC258" i="50"/>
  <c r="Y258" i="50"/>
  <c r="AB270" i="50"/>
  <c r="V270" i="50"/>
  <c r="AF270" i="50"/>
  <c r="AC259" i="50"/>
  <c r="AD259" i="50"/>
  <c r="AF259" i="50"/>
  <c r="AB254" i="50"/>
  <c r="W254" i="50"/>
  <c r="X267" i="50"/>
  <c r="AC267" i="50"/>
  <c r="AD265" i="50"/>
  <c r="AC265" i="50"/>
  <c r="W265" i="50"/>
  <c r="AE268" i="50"/>
  <c r="AD268" i="50"/>
  <c r="X268" i="50"/>
  <c r="W266" i="50"/>
  <c r="AD266" i="50"/>
  <c r="X266" i="50"/>
  <c r="Y264" i="50"/>
  <c r="AF264" i="50"/>
  <c r="AD264" i="50"/>
  <c r="AC255" i="50"/>
  <c r="Y255" i="50"/>
  <c r="AE262" i="50"/>
  <c r="Z262" i="50"/>
  <c r="AD262" i="50"/>
  <c r="Z257" i="50"/>
  <c r="AL257" i="50" s="1"/>
  <c r="X257" i="50"/>
  <c r="AE257" i="50"/>
  <c r="V273" i="50"/>
  <c r="AF273" i="50"/>
  <c r="AD253" i="50"/>
  <c r="Y253" i="50"/>
  <c r="X253" i="50"/>
  <c r="AC256" i="50"/>
  <c r="W256" i="50"/>
  <c r="X256" i="50"/>
  <c r="AF263" i="50"/>
  <c r="W263" i="50"/>
  <c r="AI263" i="50" s="1"/>
  <c r="Z251" i="50"/>
  <c r="AE251" i="50"/>
  <c r="AB251" i="50"/>
  <c r="V269" i="50"/>
  <c r="AB269" i="50"/>
  <c r="AF269" i="50"/>
  <c r="AF272" i="50"/>
  <c r="V272" i="50"/>
  <c r="W260" i="50"/>
  <c r="Y260" i="50"/>
  <c r="AD260" i="50"/>
  <c r="V252" i="50"/>
  <c r="W252" i="50"/>
  <c r="W261" i="50"/>
  <c r="AB261" i="50"/>
  <c r="X258" i="50"/>
  <c r="W258" i="50"/>
  <c r="Z258" i="50"/>
  <c r="Z270" i="50"/>
  <c r="AL270" i="50" s="1"/>
  <c r="Y270" i="50"/>
  <c r="Y259" i="50"/>
  <c r="X259" i="50"/>
  <c r="AC254" i="50"/>
  <c r="AE254" i="50"/>
  <c r="AB267" i="50"/>
  <c r="Y267" i="50"/>
  <c r="AE267" i="50"/>
  <c r="AF265" i="50"/>
  <c r="AE265" i="50"/>
  <c r="Z265" i="50"/>
  <c r="W268" i="50"/>
  <c r="AI268" i="50" s="1"/>
  <c r="Y268" i="50"/>
  <c r="AF266" i="50"/>
  <c r="AB266" i="50"/>
  <c r="AH266" i="50" s="1"/>
  <c r="AN266" i="50" s="1"/>
  <c r="Z266" i="50"/>
  <c r="V264" i="50"/>
  <c r="AH264" i="50" s="1"/>
  <c r="AN264" i="50" s="1"/>
  <c r="AC264" i="50"/>
  <c r="X255" i="50"/>
  <c r="Z255" i="50"/>
  <c r="AD255" i="50"/>
  <c r="AB262" i="50"/>
  <c r="Y262" i="50"/>
  <c r="X262" i="50"/>
  <c r="V257" i="50"/>
  <c r="AD257" i="50"/>
  <c r="Z273" i="50"/>
  <c r="Y273" i="50"/>
  <c r="AC273" i="50"/>
  <c r="Z253" i="50"/>
  <c r="V253" i="50"/>
  <c r="AB253" i="50"/>
  <c r="AB256" i="50"/>
  <c r="Z256" i="50"/>
  <c r="X263" i="50"/>
  <c r="AD263" i="50"/>
  <c r="AF251" i="50"/>
  <c r="AD251" i="50"/>
  <c r="Y251" i="50"/>
  <c r="AK251" i="50" s="1"/>
  <c r="AE269" i="50"/>
  <c r="Z269" i="50"/>
  <c r="Z272" i="50"/>
  <c r="X272" i="50"/>
  <c r="AF260" i="50"/>
  <c r="V260" i="50"/>
  <c r="AB252" i="50"/>
  <c r="AE252" i="50"/>
  <c r="X261" i="50"/>
  <c r="Y261" i="50"/>
  <c r="AD261" i="50"/>
  <c r="AD258" i="50"/>
  <c r="AE258" i="50"/>
  <c r="V258" i="50"/>
  <c r="AE270" i="50"/>
  <c r="AC270" i="50"/>
  <c r="AD270" i="50"/>
  <c r="AJ270" i="50" s="1"/>
  <c r="Z259" i="50"/>
  <c r="AB259" i="50"/>
  <c r="AH259" i="50" s="1"/>
  <c r="AN259" i="50" s="1"/>
  <c r="X254" i="50"/>
  <c r="Y254" i="50"/>
  <c r="AD254" i="50"/>
  <c r="Z267" i="50"/>
  <c r="W267" i="50"/>
  <c r="AI267" i="50" s="1"/>
  <c r="V267" i="50"/>
  <c r="V265" i="50"/>
  <c r="AB265" i="50"/>
  <c r="X265" i="50"/>
  <c r="Z268" i="50"/>
  <c r="AF268" i="50"/>
  <c r="W244" i="50"/>
  <c r="AE238" i="50"/>
  <c r="Y238" i="50"/>
  <c r="Z250" i="50"/>
  <c r="AC245" i="50"/>
  <c r="AF245" i="50"/>
  <c r="AD217" i="50"/>
  <c r="AC217" i="50"/>
  <c r="Y217" i="50"/>
  <c r="AB220" i="50"/>
  <c r="AD220" i="50"/>
  <c r="AD248" i="50"/>
  <c r="X248" i="50"/>
  <c r="Z248" i="50"/>
  <c r="Y221" i="50"/>
  <c r="AF221" i="50"/>
  <c r="AE225" i="50"/>
  <c r="AC225" i="50"/>
  <c r="AC241" i="50"/>
  <c r="AF241" i="50"/>
  <c r="W241" i="50"/>
  <c r="AF249" i="50"/>
  <c r="Z249" i="50"/>
  <c r="X218" i="50"/>
  <c r="AF218" i="50"/>
  <c r="AE218" i="50"/>
  <c r="AF223" i="50"/>
  <c r="Z223" i="50"/>
  <c r="W239" i="50"/>
  <c r="Y239" i="50"/>
  <c r="AE239" i="50"/>
  <c r="Z243" i="50"/>
  <c r="Y243" i="50"/>
  <c r="AF222" i="50"/>
  <c r="Y222" i="50"/>
  <c r="X222" i="50"/>
  <c r="AC226" i="50"/>
  <c r="AD226" i="50"/>
  <c r="AF246" i="50"/>
  <c r="Y246" i="50"/>
  <c r="W246" i="50"/>
  <c r="AF227" i="50"/>
  <c r="V235" i="50"/>
  <c r="Y244" i="50"/>
  <c r="V250" i="50"/>
  <c r="W237" i="50"/>
  <c r="AD224" i="50"/>
  <c r="Z240" i="50"/>
  <c r="Y250" i="50"/>
  <c r="Y237" i="50"/>
  <c r="AB227" i="50"/>
  <c r="Y224" i="50"/>
  <c r="AD244" i="50"/>
  <c r="X227" i="50"/>
  <c r="AE244" i="50"/>
  <c r="X237" i="50"/>
  <c r="AF250" i="50"/>
  <c r="Z224" i="50"/>
  <c r="AE224" i="50"/>
  <c r="X238" i="50"/>
  <c r="AB245" i="50"/>
  <c r="AD245" i="50"/>
  <c r="Y245" i="50"/>
  <c r="X217" i="50"/>
  <c r="Z217" i="50"/>
  <c r="AF220" i="50"/>
  <c r="X220" i="50"/>
  <c r="W220" i="50"/>
  <c r="AB248" i="50"/>
  <c r="Y248" i="50"/>
  <c r="Z221" i="50"/>
  <c r="W221" i="50"/>
  <c r="AC221" i="50"/>
  <c r="Y225" i="50"/>
  <c r="W225" i="50"/>
  <c r="Z241" i="50"/>
  <c r="V241" i="50"/>
  <c r="AE241" i="50"/>
  <c r="AC249" i="50"/>
  <c r="W249" i="50"/>
  <c r="W218" i="50"/>
  <c r="Y218" i="50"/>
  <c r="AD218" i="50"/>
  <c r="AB223" i="50"/>
  <c r="W223" i="50"/>
  <c r="X239" i="50"/>
  <c r="AD239" i="50"/>
  <c r="V239" i="50"/>
  <c r="W243" i="50"/>
  <c r="X243" i="50"/>
  <c r="AD222" i="50"/>
  <c r="AB222" i="50"/>
  <c r="AC222" i="50"/>
  <c r="AE226" i="50"/>
  <c r="AF226" i="50"/>
  <c r="X246" i="50"/>
  <c r="AD246" i="50"/>
  <c r="AC246" i="50"/>
  <c r="W227" i="50"/>
  <c r="X244" i="50"/>
  <c r="AB237" i="50"/>
  <c r="X235" i="50"/>
  <c r="AF224" i="50"/>
  <c r="AC240" i="50"/>
  <c r="X250" i="50"/>
  <c r="AF237" i="50"/>
  <c r="AD238" i="50"/>
  <c r="AC244" i="50"/>
  <c r="Z227" i="50"/>
  <c r="AC250" i="50"/>
  <c r="AE240" i="50"/>
  <c r="V238" i="50"/>
  <c r="W240" i="50"/>
  <c r="Z245" i="50"/>
  <c r="AL245" i="50" s="1"/>
  <c r="V245" i="50"/>
  <c r="W245" i="50"/>
  <c r="V217" i="50"/>
  <c r="AF217" i="50"/>
  <c r="Z220" i="50"/>
  <c r="AC220" i="50"/>
  <c r="V220" i="50"/>
  <c r="V248" i="50"/>
  <c r="AF248" i="50"/>
  <c r="AB221" i="50"/>
  <c r="V221" i="50"/>
  <c r="AD221" i="50"/>
  <c r="AD225" i="50"/>
  <c r="AF225" i="50"/>
  <c r="Y241" i="50"/>
  <c r="X241" i="50"/>
  <c r="V249" i="50"/>
  <c r="AB249" i="50"/>
  <c r="X249" i="50"/>
  <c r="V218" i="50"/>
  <c r="AB218" i="50"/>
  <c r="Y223" i="50"/>
  <c r="AE223" i="50"/>
  <c r="AD223" i="50"/>
  <c r="Z239" i="50"/>
  <c r="AC239" i="50"/>
  <c r="AE243" i="50"/>
  <c r="AF243" i="50"/>
  <c r="AD243" i="50"/>
  <c r="Z222" i="50"/>
  <c r="V222" i="50"/>
  <c r="V226" i="50"/>
  <c r="W226" i="50"/>
  <c r="Y226" i="50"/>
  <c r="Z246" i="50"/>
  <c r="AB246" i="50"/>
  <c r="V240" i="50"/>
  <c r="AB235" i="50"/>
  <c r="AB240" i="50"/>
  <c r="AF244" i="50"/>
  <c r="W224" i="50"/>
  <c r="AC224" i="50"/>
  <c r="AB244" i="50"/>
  <c r="AB250" i="50"/>
  <c r="AD237" i="50"/>
  <c r="AC238" i="50"/>
  <c r="Y227" i="50"/>
  <c r="X224" i="50"/>
  <c r="AD240" i="50"/>
  <c r="AD250" i="50"/>
  <c r="AC237" i="50"/>
  <c r="W250" i="50"/>
  <c r="V244" i="50"/>
  <c r="V237" i="50"/>
  <c r="X245" i="50"/>
  <c r="AE245" i="50"/>
  <c r="AB217" i="50"/>
  <c r="AE217" i="50"/>
  <c r="W217" i="50"/>
  <c r="AE220" i="50"/>
  <c r="Y220" i="50"/>
  <c r="AC248" i="50"/>
  <c r="AE248" i="50"/>
  <c r="W248" i="50"/>
  <c r="X221" i="50"/>
  <c r="AE221" i="50"/>
  <c r="X225" i="50"/>
  <c r="Z225" i="50"/>
  <c r="V225" i="50"/>
  <c r="AD241" i="50"/>
  <c r="AB241" i="50"/>
  <c r="AE249" i="50"/>
  <c r="AD249" i="50"/>
  <c r="Y249" i="50"/>
  <c r="Z218" i="50"/>
  <c r="AL218" i="50" s="1"/>
  <c r="AC218" i="50"/>
  <c r="X223" i="50"/>
  <c r="V223" i="50"/>
  <c r="AH223" i="50" s="1"/>
  <c r="AN223" i="50" s="1"/>
  <c r="AC223" i="50"/>
  <c r="AB239" i="50"/>
  <c r="AF239" i="50"/>
  <c r="V243" i="50"/>
  <c r="AB243" i="50"/>
  <c r="AC243" i="50"/>
  <c r="AE222" i="50"/>
  <c r="W222" i="50"/>
  <c r="X226" i="50"/>
  <c r="AB226" i="50"/>
  <c r="Z226" i="50"/>
  <c r="AL226" i="50" s="1"/>
  <c r="V246" i="50"/>
  <c r="AE246" i="50"/>
  <c r="W235" i="50"/>
  <c r="X240" i="50"/>
  <c r="AJ240" i="50" s="1"/>
  <c r="AE250" i="50"/>
  <c r="AE237" i="50"/>
  <c r="AB224" i="50"/>
  <c r="Z244" i="50"/>
  <c r="AB225" i="50"/>
  <c r="W238" i="50"/>
  <c r="V227" i="50"/>
  <c r="V224" i="50"/>
  <c r="AF240" i="50"/>
  <c r="Z237" i="50"/>
  <c r="Y235" i="50"/>
  <c r="Y240" i="50"/>
  <c r="AK240" i="50" s="1"/>
  <c r="AD227" i="50"/>
  <c r="AD235" i="50"/>
  <c r="V231" i="50"/>
  <c r="W231" i="50"/>
  <c r="AD231" i="50"/>
  <c r="V228" i="50"/>
  <c r="AF228" i="50"/>
  <c r="X228" i="50"/>
  <c r="AE234" i="50"/>
  <c r="AF234" i="50"/>
  <c r="V233" i="50"/>
  <c r="W233" i="50"/>
  <c r="AD232" i="50"/>
  <c r="AE232" i="50"/>
  <c r="AE230" i="50"/>
  <c r="AD230" i="50"/>
  <c r="X230" i="50"/>
  <c r="AF236" i="50"/>
  <c r="Y236" i="50"/>
  <c r="W229" i="50"/>
  <c r="AF229" i="50"/>
  <c r="AD229" i="50"/>
  <c r="AE227" i="50"/>
  <c r="AE235" i="50"/>
  <c r="AC228" i="50"/>
  <c r="X234" i="50"/>
  <c r="AF232" i="50"/>
  <c r="V230" i="50"/>
  <c r="Z236" i="50"/>
  <c r="AE229" i="50"/>
  <c r="AF233" i="50"/>
  <c r="AB238" i="50"/>
  <c r="AC235" i="50"/>
  <c r="AB231" i="50"/>
  <c r="X231" i="50"/>
  <c r="AE228" i="50"/>
  <c r="Y228" i="50"/>
  <c r="W234" i="50"/>
  <c r="V234" i="50"/>
  <c r="Z234" i="50"/>
  <c r="AB233" i="50"/>
  <c r="Z233" i="50"/>
  <c r="Z232" i="50"/>
  <c r="X232" i="50"/>
  <c r="AB230" i="50"/>
  <c r="Z230" i="50"/>
  <c r="AB236" i="50"/>
  <c r="X236" i="50"/>
  <c r="Z229" i="50"/>
  <c r="AL229" i="50" s="1"/>
  <c r="AC229" i="50"/>
  <c r="Y229" i="50"/>
  <c r="AF235" i="50"/>
  <c r="Z231" i="50"/>
  <c r="Z228" i="50"/>
  <c r="AD234" i="50"/>
  <c r="X233" i="50"/>
  <c r="AB232" i="50"/>
  <c r="AF230" i="50"/>
  <c r="V236" i="50"/>
  <c r="AH236" i="50" s="1"/>
  <c r="AN236" i="50" s="1"/>
  <c r="AC227" i="50"/>
  <c r="AI227" i="50" s="1"/>
  <c r="Z235" i="50"/>
  <c r="Y231" i="50"/>
  <c r="AF231" i="50"/>
  <c r="AB228" i="50"/>
  <c r="AD228" i="50"/>
  <c r="Y234" i="50"/>
  <c r="AC234" i="50"/>
  <c r="AB234" i="50"/>
  <c r="AD233" i="50"/>
  <c r="AE233" i="50"/>
  <c r="Y233" i="50"/>
  <c r="W232" i="50"/>
  <c r="V232" i="50"/>
  <c r="AH232" i="50" s="1"/>
  <c r="AN232" i="50" s="1"/>
  <c r="AC232" i="50"/>
  <c r="AC230" i="50"/>
  <c r="W230" i="50"/>
  <c r="W236" i="50"/>
  <c r="AC236" i="50"/>
  <c r="AE236" i="50"/>
  <c r="X229" i="50"/>
  <c r="AB229" i="50"/>
  <c r="AE231" i="50"/>
  <c r="AC231" i="50"/>
  <c r="W228" i="50"/>
  <c r="AC233" i="50"/>
  <c r="Y232" i="50"/>
  <c r="AK232" i="50" s="1"/>
  <c r="Y230" i="50"/>
  <c r="AK230" i="50" s="1"/>
  <c r="AD236" i="50"/>
  <c r="V229" i="50"/>
  <c r="AH229" i="50" s="1"/>
  <c r="AN229" i="50" s="1"/>
  <c r="M99" i="66" s="1"/>
  <c r="AW160" i="50"/>
  <c r="AW162" i="50"/>
  <c r="AW163" i="50"/>
  <c r="AW151" i="50"/>
  <c r="BC151" i="50" s="1"/>
  <c r="AW192" i="50"/>
  <c r="AV137" i="50"/>
  <c r="AV143" i="50"/>
  <c r="AV136" i="50"/>
  <c r="AV148" i="50"/>
  <c r="AV138" i="50"/>
  <c r="AU124" i="50"/>
  <c r="AU117" i="50"/>
  <c r="AU122" i="50"/>
  <c r="AU127" i="50"/>
  <c r="AU197" i="50"/>
  <c r="AX175" i="50"/>
  <c r="BD175" i="50" s="1"/>
  <c r="AX174" i="50"/>
  <c r="AX172" i="50"/>
  <c r="AX186" i="50"/>
  <c r="AX173" i="50"/>
  <c r="AT101" i="50"/>
  <c r="AT98" i="50"/>
  <c r="AT106" i="50"/>
  <c r="AT104" i="50"/>
  <c r="AT100" i="50"/>
  <c r="AT281" i="50"/>
  <c r="AT278" i="50"/>
  <c r="AT275" i="50"/>
  <c r="AT280" i="50"/>
  <c r="AW164" i="50"/>
  <c r="AW166" i="50"/>
  <c r="AW165" i="50"/>
  <c r="AW159" i="50"/>
  <c r="AW153" i="50"/>
  <c r="AV141" i="50"/>
  <c r="AV144" i="50"/>
  <c r="AV133" i="50"/>
  <c r="AV150" i="50"/>
  <c r="AV140" i="50"/>
  <c r="AU128" i="50"/>
  <c r="AU118" i="50"/>
  <c r="AU123" i="50"/>
  <c r="AU129" i="50"/>
  <c r="AU190" i="50"/>
  <c r="AX179" i="50"/>
  <c r="AX180" i="50"/>
  <c r="AX170" i="50"/>
  <c r="AX193" i="50"/>
  <c r="AX178" i="50"/>
  <c r="AT105" i="50"/>
  <c r="AT110" i="50"/>
  <c r="AT107" i="50"/>
  <c r="AT196" i="50"/>
  <c r="AT189" i="50"/>
  <c r="AT285" i="50"/>
  <c r="AT282" i="50"/>
  <c r="AT279" i="50"/>
  <c r="AT284" i="50"/>
  <c r="AW152" i="50"/>
  <c r="AW168" i="50"/>
  <c r="AW155" i="50"/>
  <c r="AW158" i="50"/>
  <c r="AW167" i="50"/>
  <c r="AV145" i="50"/>
  <c r="AV146" i="50"/>
  <c r="AV134" i="50"/>
  <c r="AV191" i="50"/>
  <c r="AV139" i="50"/>
  <c r="BB139" i="50" s="1"/>
  <c r="AU116" i="50"/>
  <c r="AU132" i="50"/>
  <c r="AU119" i="50"/>
  <c r="AU125" i="50"/>
  <c r="AU130" i="50"/>
  <c r="AX183" i="50"/>
  <c r="AX185" i="50"/>
  <c r="AX176" i="50"/>
  <c r="AX177" i="50"/>
  <c r="AX184" i="50"/>
  <c r="AT109" i="50"/>
  <c r="AZ109" i="50" s="1"/>
  <c r="AT111" i="50"/>
  <c r="AT108" i="50"/>
  <c r="AT103" i="50"/>
  <c r="AZ103" i="50" s="1"/>
  <c r="AT114" i="50"/>
  <c r="AT289" i="50"/>
  <c r="AZ289" i="50" s="1"/>
  <c r="AT286" i="50"/>
  <c r="AT283" i="50"/>
  <c r="AT288" i="50"/>
  <c r="AW156" i="50"/>
  <c r="AW154" i="50"/>
  <c r="AW157" i="50"/>
  <c r="BC157" i="50" s="1"/>
  <c r="AW199" i="50"/>
  <c r="AW161" i="50"/>
  <c r="AV149" i="50"/>
  <c r="AV198" i="50"/>
  <c r="AV147" i="50"/>
  <c r="AV135" i="50"/>
  <c r="AV142" i="50"/>
  <c r="AU120" i="50"/>
  <c r="AU115" i="50"/>
  <c r="AU121" i="50"/>
  <c r="BA121" i="50" s="1"/>
  <c r="AU126" i="50"/>
  <c r="AU131" i="50"/>
  <c r="AX171" i="50"/>
  <c r="AX169" i="50"/>
  <c r="BD169" i="50" s="1"/>
  <c r="AX200" i="50"/>
  <c r="AX181" i="50"/>
  <c r="BD181" i="50" s="1"/>
  <c r="AX182" i="50"/>
  <c r="AT97" i="50"/>
  <c r="AZ97" i="50" s="1"/>
  <c r="AT113" i="50"/>
  <c r="AT112" i="50"/>
  <c r="AT102" i="50"/>
  <c r="AT99" i="50"/>
  <c r="AT277" i="50"/>
  <c r="AT274" i="50"/>
  <c r="AT290" i="50"/>
  <c r="AT276" i="50"/>
  <c r="AT287" i="50"/>
  <c r="AT88" i="50"/>
  <c r="AT85" i="50"/>
  <c r="AT90" i="50"/>
  <c r="AT94" i="50"/>
  <c r="AT86" i="50"/>
  <c r="AT253" i="50"/>
  <c r="AT269" i="50"/>
  <c r="AT254" i="50"/>
  <c r="AT270" i="50"/>
  <c r="AT259" i="50"/>
  <c r="AT244" i="50"/>
  <c r="AT260" i="50"/>
  <c r="AU108" i="50"/>
  <c r="AU114" i="50"/>
  <c r="AU111" i="50"/>
  <c r="AU102" i="50"/>
  <c r="AU101" i="50"/>
  <c r="AU284" i="50"/>
  <c r="AU285" i="50"/>
  <c r="AU282" i="50"/>
  <c r="AU283" i="50"/>
  <c r="AW148" i="50"/>
  <c r="AW147" i="50"/>
  <c r="AW146" i="50"/>
  <c r="AW137" i="50"/>
  <c r="AW141" i="50"/>
  <c r="AV127" i="50"/>
  <c r="AV124" i="50"/>
  <c r="AV121" i="50"/>
  <c r="BB121" i="50" s="1"/>
  <c r="AV118" i="50"/>
  <c r="AV130" i="50"/>
  <c r="AX163" i="50"/>
  <c r="BD163" i="50" s="1"/>
  <c r="AX192" i="50"/>
  <c r="AX162" i="50"/>
  <c r="AX152" i="50"/>
  <c r="AX166" i="50"/>
  <c r="AT92" i="50"/>
  <c r="AT89" i="50"/>
  <c r="AT79" i="50"/>
  <c r="AT83" i="50"/>
  <c r="AT195" i="50"/>
  <c r="AT257" i="50"/>
  <c r="AT273" i="50"/>
  <c r="AT258" i="50"/>
  <c r="AT247" i="50"/>
  <c r="AZ247" i="50" s="1"/>
  <c r="AT263" i="50"/>
  <c r="AT248" i="50"/>
  <c r="AT264" i="50"/>
  <c r="AU112" i="50"/>
  <c r="AU98" i="50"/>
  <c r="AU97" i="50"/>
  <c r="BA97" i="50" s="1"/>
  <c r="AU196" i="50"/>
  <c r="AU103" i="50"/>
  <c r="BA103" i="50" s="1"/>
  <c r="AU288" i="50"/>
  <c r="AU289" i="50"/>
  <c r="BA289" i="50" s="1"/>
  <c r="AU275" i="50"/>
  <c r="AU286" i="50"/>
  <c r="AW136" i="50"/>
  <c r="AW139" i="50"/>
  <c r="BC139" i="50" s="1"/>
  <c r="AW150" i="50"/>
  <c r="AW149" i="50"/>
  <c r="AW133" i="50"/>
  <c r="AV115" i="50"/>
  <c r="BB115" i="50" s="1"/>
  <c r="AV131" i="50"/>
  <c r="AV128" i="50"/>
  <c r="AV125" i="50"/>
  <c r="AV126" i="50"/>
  <c r="AX151" i="50"/>
  <c r="BD151" i="50" s="1"/>
  <c r="AX167" i="50"/>
  <c r="AX157" i="50"/>
  <c r="AX164" i="50"/>
  <c r="AX158" i="50"/>
  <c r="AT80" i="50"/>
  <c r="AT96" i="50"/>
  <c r="AT93" i="50"/>
  <c r="AT87" i="50"/>
  <c r="AT91" i="50"/>
  <c r="AZ91" i="50" s="1"/>
  <c r="AT245" i="50"/>
  <c r="AT261" i="50"/>
  <c r="AT246" i="50"/>
  <c r="AT262" i="50"/>
  <c r="AT251" i="50"/>
  <c r="AT267" i="50"/>
  <c r="AT252" i="50"/>
  <c r="AT268" i="50"/>
  <c r="AU100" i="50"/>
  <c r="AU99" i="50"/>
  <c r="AU109" i="50"/>
  <c r="BA109" i="50" s="1"/>
  <c r="AU106" i="50"/>
  <c r="AU105" i="50"/>
  <c r="AU276" i="50"/>
  <c r="AU277" i="50"/>
  <c r="AU274" i="50"/>
  <c r="AU279" i="50"/>
  <c r="AU290" i="50"/>
  <c r="AW140" i="50"/>
  <c r="AW142" i="50"/>
  <c r="AW191" i="50"/>
  <c r="AW198" i="50"/>
  <c r="AW135" i="50"/>
  <c r="AV119" i="50"/>
  <c r="AV116" i="50"/>
  <c r="AV132" i="50"/>
  <c r="AV129" i="50"/>
  <c r="AV197" i="50"/>
  <c r="AX155" i="50"/>
  <c r="AX153" i="50"/>
  <c r="AX154" i="50"/>
  <c r="AX165" i="50"/>
  <c r="AX168" i="50"/>
  <c r="AT84" i="50"/>
  <c r="AT81" i="50"/>
  <c r="AT82" i="50"/>
  <c r="AT95" i="50"/>
  <c r="AT188" i="50"/>
  <c r="AT249" i="50"/>
  <c r="AT265" i="50"/>
  <c r="AT250" i="50"/>
  <c r="AT266" i="50"/>
  <c r="AT255" i="50"/>
  <c r="AT271" i="50"/>
  <c r="AZ271" i="50" s="1"/>
  <c r="AT256" i="50"/>
  <c r="AT272" i="50"/>
  <c r="AU104" i="50"/>
  <c r="AU113" i="50"/>
  <c r="AU110" i="50"/>
  <c r="AU189" i="50"/>
  <c r="AU107" i="50"/>
  <c r="AU280" i="50"/>
  <c r="AU281" i="50"/>
  <c r="AU278" i="50"/>
  <c r="AU287" i="50"/>
  <c r="AW144" i="50"/>
  <c r="AW145" i="50"/>
  <c r="AW143" i="50"/>
  <c r="AW134" i="50"/>
  <c r="AW138" i="50"/>
  <c r="AV123" i="50"/>
  <c r="AV120" i="50"/>
  <c r="AV117" i="50"/>
  <c r="AV190" i="50"/>
  <c r="AV122" i="50"/>
  <c r="AX159" i="50"/>
  <c r="AX161" i="50"/>
  <c r="AX156" i="50"/>
  <c r="AX199" i="50"/>
  <c r="AX160" i="50"/>
  <c r="AU79" i="50"/>
  <c r="AU258" i="50"/>
  <c r="AU256" i="50"/>
  <c r="AU88" i="50"/>
  <c r="AU259" i="50"/>
  <c r="AU253" i="50"/>
  <c r="AU81" i="50"/>
  <c r="AW118" i="50"/>
  <c r="AW197" i="50"/>
  <c r="AW121" i="50"/>
  <c r="BC121" i="50" s="1"/>
  <c r="AW129" i="50"/>
  <c r="AW119" i="50"/>
  <c r="AV98" i="50"/>
  <c r="AV111" i="50"/>
  <c r="AV112" i="50"/>
  <c r="AV110" i="50"/>
  <c r="AV196" i="50"/>
  <c r="AV275" i="50"/>
  <c r="AV276" i="50"/>
  <c r="AV277" i="50"/>
  <c r="AV282" i="50"/>
  <c r="AV278" i="50"/>
  <c r="AU271" i="50"/>
  <c r="BA271" i="50" s="1"/>
  <c r="AU265" i="50"/>
  <c r="AU188" i="50"/>
  <c r="AU83" i="50"/>
  <c r="AX143" i="50"/>
  <c r="AX141" i="50"/>
  <c r="AX146" i="50"/>
  <c r="AX136" i="50"/>
  <c r="AX150" i="50"/>
  <c r="AV90" i="50"/>
  <c r="AV87" i="50"/>
  <c r="AV88" i="50"/>
  <c r="AV84" i="50"/>
  <c r="AV89" i="50"/>
  <c r="AV255" i="50"/>
  <c r="AV271" i="50"/>
  <c r="BB271" i="50" s="1"/>
  <c r="AV256" i="50"/>
  <c r="AV272" i="50"/>
  <c r="AV257" i="50"/>
  <c r="AV273" i="50"/>
  <c r="AV258" i="50"/>
  <c r="AT68" i="50"/>
  <c r="AT70" i="50"/>
  <c r="AT223" i="50"/>
  <c r="AT72" i="50"/>
  <c r="AT61" i="50"/>
  <c r="AT227" i="50"/>
  <c r="AT76" i="50"/>
  <c r="AT221" i="50"/>
  <c r="AT231" i="50"/>
  <c r="AT65" i="50"/>
  <c r="AT225" i="50"/>
  <c r="AT235" i="50"/>
  <c r="AU262" i="50"/>
  <c r="AU260" i="50"/>
  <c r="AU92" i="50"/>
  <c r="AU273" i="50"/>
  <c r="AU86" i="50"/>
  <c r="AU91" i="50"/>
  <c r="AU270" i="50"/>
  <c r="AU268" i="50"/>
  <c r="AU85" i="50"/>
  <c r="AW122" i="50"/>
  <c r="AW116" i="50"/>
  <c r="AW124" i="50"/>
  <c r="AW132" i="50"/>
  <c r="AW123" i="50"/>
  <c r="AV99" i="50"/>
  <c r="AV100" i="50"/>
  <c r="AV113" i="50"/>
  <c r="AV97" i="50"/>
  <c r="AV109" i="50"/>
  <c r="BB109" i="50" s="1"/>
  <c r="AV279" i="50"/>
  <c r="AV280" i="50"/>
  <c r="AV281" i="50"/>
  <c r="AV290" i="50"/>
  <c r="AU255" i="50"/>
  <c r="AU249" i="50"/>
  <c r="AU90" i="50"/>
  <c r="AX133" i="50"/>
  <c r="AX147" i="50"/>
  <c r="AX142" i="50"/>
  <c r="AX149" i="50"/>
  <c r="AX191" i="50"/>
  <c r="AV94" i="50"/>
  <c r="AV91" i="50"/>
  <c r="AV96" i="50"/>
  <c r="AV81" i="50"/>
  <c r="AV188" i="50"/>
  <c r="AV259" i="50"/>
  <c r="AV244" i="50"/>
  <c r="AV260" i="50"/>
  <c r="AV245" i="50"/>
  <c r="AV261" i="50"/>
  <c r="AV246" i="50"/>
  <c r="AV262" i="50"/>
  <c r="AT69" i="50"/>
  <c r="AT229" i="50"/>
  <c r="AT239" i="50"/>
  <c r="AT73" i="50"/>
  <c r="AT233" i="50"/>
  <c r="AT243" i="50"/>
  <c r="AT77" i="50"/>
  <c r="AT237" i="50"/>
  <c r="AT220" i="50"/>
  <c r="AT66" i="50"/>
  <c r="AT241" i="50"/>
  <c r="AT224" i="50"/>
  <c r="AU246" i="50"/>
  <c r="AU244" i="50"/>
  <c r="AU95" i="50"/>
  <c r="AU263" i="50"/>
  <c r="AU257" i="50"/>
  <c r="AU195" i="50"/>
  <c r="AU254" i="50"/>
  <c r="AU252" i="50"/>
  <c r="AU84" i="50"/>
  <c r="AW126" i="50"/>
  <c r="AW117" i="50"/>
  <c r="AW125" i="50"/>
  <c r="AW190" i="50"/>
  <c r="AW127" i="50"/>
  <c r="AV103" i="50"/>
  <c r="AV101" i="50"/>
  <c r="AV114" i="50"/>
  <c r="AV104" i="50"/>
  <c r="AV189" i="50"/>
  <c r="AV283" i="50"/>
  <c r="AV284" i="50"/>
  <c r="AV285" i="50"/>
  <c r="AV289" i="50"/>
  <c r="BB289" i="50" s="1"/>
  <c r="AU266" i="50"/>
  <c r="AU264" i="50"/>
  <c r="AU96" i="50"/>
  <c r="AX135" i="50"/>
  <c r="AX138" i="50"/>
  <c r="AX144" i="50"/>
  <c r="AX148" i="50"/>
  <c r="AX134" i="50"/>
  <c r="AV82" i="50"/>
  <c r="AV79" i="50"/>
  <c r="AV95" i="50"/>
  <c r="AV85" i="50"/>
  <c r="AV195" i="50"/>
  <c r="AV247" i="50"/>
  <c r="BB247" i="50" s="1"/>
  <c r="AV263" i="50"/>
  <c r="AV248" i="50"/>
  <c r="AV264" i="50"/>
  <c r="AV249" i="50"/>
  <c r="AV265" i="50"/>
  <c r="AV250" i="50"/>
  <c r="AV266" i="50"/>
  <c r="AT74" i="50"/>
  <c r="AT218" i="50"/>
  <c r="AT228" i="50"/>
  <c r="AT187" i="50"/>
  <c r="AT222" i="50"/>
  <c r="AT232" i="50"/>
  <c r="AT63" i="50"/>
  <c r="AT226" i="50"/>
  <c r="AT236" i="50"/>
  <c r="AT71" i="50"/>
  <c r="AT230" i="50"/>
  <c r="AT240" i="50"/>
  <c r="AU267" i="50"/>
  <c r="AU261" i="50"/>
  <c r="AU94" i="50"/>
  <c r="AU247" i="50"/>
  <c r="BA247" i="50" s="1"/>
  <c r="AU272" i="50"/>
  <c r="AU93" i="50"/>
  <c r="AU269" i="50"/>
  <c r="AU89" i="50"/>
  <c r="AU87" i="50"/>
  <c r="AW130" i="50"/>
  <c r="AW120" i="50"/>
  <c r="AW128" i="50"/>
  <c r="AW115" i="50"/>
  <c r="AW131" i="50"/>
  <c r="AV107" i="50"/>
  <c r="AV102" i="50"/>
  <c r="AV108" i="50"/>
  <c r="AV106" i="50"/>
  <c r="AV105" i="50"/>
  <c r="AV287" i="50"/>
  <c r="AV288" i="50"/>
  <c r="AV274" i="50"/>
  <c r="AV286" i="50"/>
  <c r="AU250" i="50"/>
  <c r="AU248" i="50"/>
  <c r="AU80" i="50"/>
  <c r="AX139" i="50"/>
  <c r="BD139" i="50" s="1"/>
  <c r="AX140" i="50"/>
  <c r="AX145" i="50"/>
  <c r="AX198" i="50"/>
  <c r="AX137" i="50"/>
  <c r="AV86" i="50"/>
  <c r="AV83" i="50"/>
  <c r="AV80" i="50"/>
  <c r="AV93" i="50"/>
  <c r="AV92" i="50"/>
  <c r="AV251" i="50"/>
  <c r="AV267" i="50"/>
  <c r="AV252" i="50"/>
  <c r="AV268" i="50"/>
  <c r="AV253" i="50"/>
  <c r="AV269" i="50"/>
  <c r="AV254" i="50"/>
  <c r="AV270" i="50"/>
  <c r="AT78" i="50"/>
  <c r="AT234" i="50"/>
  <c r="AT217" i="50"/>
  <c r="AT75" i="50"/>
  <c r="AT238" i="50"/>
  <c r="AT62" i="50"/>
  <c r="AT194" i="50"/>
  <c r="AT242" i="50"/>
  <c r="AZ242" i="50" s="1"/>
  <c r="AT64" i="50"/>
  <c r="AT67" i="50"/>
  <c r="AT219" i="50"/>
  <c r="AZ219" i="50" s="1"/>
  <c r="AU251" i="50"/>
  <c r="AU245" i="50"/>
  <c r="AU82" i="50"/>
  <c r="AU71" i="50"/>
  <c r="AW106" i="50"/>
  <c r="AW104" i="50"/>
  <c r="AW101" i="50"/>
  <c r="AW111" i="50"/>
  <c r="AW107" i="50"/>
  <c r="AW286" i="50"/>
  <c r="AW283" i="50"/>
  <c r="AW284" i="50"/>
  <c r="AW281" i="50"/>
  <c r="AU242" i="50"/>
  <c r="BA242" i="50" s="1"/>
  <c r="AU228" i="50"/>
  <c r="AU68" i="50"/>
  <c r="AU243" i="50"/>
  <c r="AU233" i="50"/>
  <c r="AU65" i="50"/>
  <c r="AU239" i="50"/>
  <c r="AU229" i="50"/>
  <c r="AU74" i="50"/>
  <c r="AX125" i="50"/>
  <c r="AX126" i="50"/>
  <c r="AX116" i="50"/>
  <c r="AX128" i="50"/>
  <c r="AX119" i="50"/>
  <c r="AU235" i="50"/>
  <c r="AU225" i="50"/>
  <c r="AU66" i="50"/>
  <c r="AW255" i="50"/>
  <c r="AX129" i="50"/>
  <c r="AX120" i="50"/>
  <c r="AX127" i="50"/>
  <c r="AU219" i="50"/>
  <c r="BA219" i="50" s="1"/>
  <c r="AU232" i="50"/>
  <c r="AW97" i="50"/>
  <c r="AW110" i="50"/>
  <c r="AW105" i="50"/>
  <c r="AW112" i="50"/>
  <c r="AW113" i="50"/>
  <c r="AW274" i="50"/>
  <c r="AW290" i="50"/>
  <c r="AW287" i="50"/>
  <c r="AW285" i="50"/>
  <c r="AW288" i="50"/>
  <c r="AU226" i="50"/>
  <c r="AU70" i="50"/>
  <c r="AU67" i="50"/>
  <c r="AU227" i="50"/>
  <c r="AU240" i="50"/>
  <c r="AU69" i="50"/>
  <c r="AW85" i="50"/>
  <c r="AW86" i="50"/>
  <c r="AW91" i="50"/>
  <c r="AW96" i="50"/>
  <c r="AW79" i="50"/>
  <c r="AW250" i="50"/>
  <c r="AW266" i="50"/>
  <c r="AW271" i="50"/>
  <c r="BC271" i="50" s="1"/>
  <c r="AW256" i="50"/>
  <c r="AW272" i="50"/>
  <c r="AW257" i="50"/>
  <c r="AW273" i="50"/>
  <c r="AU223" i="50"/>
  <c r="AU236" i="50"/>
  <c r="AU76" i="50"/>
  <c r="AX130" i="50"/>
  <c r="AX115" i="50"/>
  <c r="AU72" i="50"/>
  <c r="AW98" i="50"/>
  <c r="AW114" i="50"/>
  <c r="AW99" i="50"/>
  <c r="AW189" i="50"/>
  <c r="AW109" i="50"/>
  <c r="AW278" i="50"/>
  <c r="AW275" i="50"/>
  <c r="AW276" i="50"/>
  <c r="AW277" i="50"/>
  <c r="AU217" i="50"/>
  <c r="AU237" i="50"/>
  <c r="AU187" i="50"/>
  <c r="AU238" i="50"/>
  <c r="AU224" i="50"/>
  <c r="AU64" i="50"/>
  <c r="AU234" i="50"/>
  <c r="AU220" i="50"/>
  <c r="AU75" i="50"/>
  <c r="AX117" i="50"/>
  <c r="AX118" i="50"/>
  <c r="AX132" i="50"/>
  <c r="AX190" i="50"/>
  <c r="AX123" i="50"/>
  <c r="AU230" i="50"/>
  <c r="AU194" i="50"/>
  <c r="AW102" i="50"/>
  <c r="AW103" i="50"/>
  <c r="AW100" i="50"/>
  <c r="AW108" i="50"/>
  <c r="AW196" i="50"/>
  <c r="AW282" i="50"/>
  <c r="AW279" i="50"/>
  <c r="AW280" i="50"/>
  <c r="AW289" i="50"/>
  <c r="BC289" i="50" s="1"/>
  <c r="AU231" i="50"/>
  <c r="AU221" i="50"/>
  <c r="AU77" i="50"/>
  <c r="AU222" i="50"/>
  <c r="AU73" i="50"/>
  <c r="AU63" i="50"/>
  <c r="AU218" i="50"/>
  <c r="AU61" i="50"/>
  <c r="AU62" i="50"/>
  <c r="AX121" i="50"/>
  <c r="AX122" i="50"/>
  <c r="AX197" i="50"/>
  <c r="AX124" i="50"/>
  <c r="AX131" i="50"/>
  <c r="AU241" i="50"/>
  <c r="AU78" i="50"/>
  <c r="AW81" i="50"/>
  <c r="AX88" i="50"/>
  <c r="AX85" i="50"/>
  <c r="AX94" i="50"/>
  <c r="AX188" i="50"/>
  <c r="AX95" i="50"/>
  <c r="AX253" i="50"/>
  <c r="AX269" i="50"/>
  <c r="AX254" i="50"/>
  <c r="AX270" i="50"/>
  <c r="AX259" i="50"/>
  <c r="AX244" i="50"/>
  <c r="AX260" i="50"/>
  <c r="AV217" i="50"/>
  <c r="AV232" i="50"/>
  <c r="AV194" i="50"/>
  <c r="AW265" i="50"/>
  <c r="AW263" i="50"/>
  <c r="AW84" i="50"/>
  <c r="AX97" i="50"/>
  <c r="AX113" i="50"/>
  <c r="AX102" i="50"/>
  <c r="AX114" i="50"/>
  <c r="AX189" i="50"/>
  <c r="AX277" i="50"/>
  <c r="AX274" i="50"/>
  <c r="AX290" i="50"/>
  <c r="AX288" i="50"/>
  <c r="AX284" i="50"/>
  <c r="AV221" i="50"/>
  <c r="AV65" i="50"/>
  <c r="AV66" i="50"/>
  <c r="AW244" i="50"/>
  <c r="AW95" i="50"/>
  <c r="AW89" i="50"/>
  <c r="AV224" i="50"/>
  <c r="AV62" i="50"/>
  <c r="AV73" i="50"/>
  <c r="AV218" i="50"/>
  <c r="AV231" i="50"/>
  <c r="AV71" i="50"/>
  <c r="AW252" i="50"/>
  <c r="AW246" i="50"/>
  <c r="AW82" i="50"/>
  <c r="AW227" i="50"/>
  <c r="AV69" i="50"/>
  <c r="AV74" i="50"/>
  <c r="AX92" i="50"/>
  <c r="AX89" i="50"/>
  <c r="AX83" i="50"/>
  <c r="AX87" i="50"/>
  <c r="AX195" i="50"/>
  <c r="AX257" i="50"/>
  <c r="AX273" i="50"/>
  <c r="AX258" i="50"/>
  <c r="AX247" i="50"/>
  <c r="BD247" i="50" s="1"/>
  <c r="AX263" i="50"/>
  <c r="AX248" i="50"/>
  <c r="AX264" i="50"/>
  <c r="AV230" i="50"/>
  <c r="AV243" i="50"/>
  <c r="AV72" i="50"/>
  <c r="AW249" i="50"/>
  <c r="AW247" i="50"/>
  <c r="BC247" i="50" s="1"/>
  <c r="AW80" i="50"/>
  <c r="AX101" i="50"/>
  <c r="AX106" i="50"/>
  <c r="AX103" i="50"/>
  <c r="AX196" i="50"/>
  <c r="AX98" i="50"/>
  <c r="AX281" i="50"/>
  <c r="AX278" i="50"/>
  <c r="AX275" i="50"/>
  <c r="AX276" i="50"/>
  <c r="AV242" i="50"/>
  <c r="BB242" i="50" s="1"/>
  <c r="AV228" i="50"/>
  <c r="AV68" i="50"/>
  <c r="AW261" i="50"/>
  <c r="AW259" i="50"/>
  <c r="AW87" i="50"/>
  <c r="AV219" i="50"/>
  <c r="BB219" i="50" s="1"/>
  <c r="AV222" i="50"/>
  <c r="AV75" i="50"/>
  <c r="AV229" i="50"/>
  <c r="AV187" i="50"/>
  <c r="AW269" i="50"/>
  <c r="AW267" i="50"/>
  <c r="AW92" i="50"/>
  <c r="AW225" i="50"/>
  <c r="AV220" i="50"/>
  <c r="AW262" i="50"/>
  <c r="AX80" i="50"/>
  <c r="AX96" i="50"/>
  <c r="AX93" i="50"/>
  <c r="AX91" i="50"/>
  <c r="AX82" i="50"/>
  <c r="AX245" i="50"/>
  <c r="AX261" i="50"/>
  <c r="AX246" i="50"/>
  <c r="AX262" i="50"/>
  <c r="AX251" i="50"/>
  <c r="AX267" i="50"/>
  <c r="AX252" i="50"/>
  <c r="AX268" i="50"/>
  <c r="AV241" i="50"/>
  <c r="AV227" i="50"/>
  <c r="AV67" i="50"/>
  <c r="AW264" i="50"/>
  <c r="AW258" i="50"/>
  <c r="AW94" i="50"/>
  <c r="AX105" i="50"/>
  <c r="AX107" i="50"/>
  <c r="AX104" i="50"/>
  <c r="AX110" i="50"/>
  <c r="AX100" i="50"/>
  <c r="AX285" i="50"/>
  <c r="AX282" i="50"/>
  <c r="AX279" i="50"/>
  <c r="AX287" i="50"/>
  <c r="AV226" i="50"/>
  <c r="AV239" i="50"/>
  <c r="AV64" i="50"/>
  <c r="AW245" i="50"/>
  <c r="AW270" i="50"/>
  <c r="AW188" i="50"/>
  <c r="AV238" i="50"/>
  <c r="AV77" i="50"/>
  <c r="AV240" i="50"/>
  <c r="AW237" i="50"/>
  <c r="AV236" i="50"/>
  <c r="AV61" i="50"/>
  <c r="AW253" i="50"/>
  <c r="AW251" i="50"/>
  <c r="AW88" i="50"/>
  <c r="AW243" i="50"/>
  <c r="AV234" i="50"/>
  <c r="AW83" i="50"/>
  <c r="AX84" i="50"/>
  <c r="AX81" i="50"/>
  <c r="AX86" i="50"/>
  <c r="AX90" i="50"/>
  <c r="AX79" i="50"/>
  <c r="AX249" i="50"/>
  <c r="AX265" i="50"/>
  <c r="AX250" i="50"/>
  <c r="AX266" i="50"/>
  <c r="AX255" i="50"/>
  <c r="AX271" i="50"/>
  <c r="BD271" i="50" s="1"/>
  <c r="AX256" i="50"/>
  <c r="AX272" i="50"/>
  <c r="AV225" i="50"/>
  <c r="AV76" i="50"/>
  <c r="AV70" i="50"/>
  <c r="AW248" i="50"/>
  <c r="AW195" i="50"/>
  <c r="AW93" i="50"/>
  <c r="AX109" i="50"/>
  <c r="AX108" i="50"/>
  <c r="AX99" i="50"/>
  <c r="AX112" i="50"/>
  <c r="AX111" i="50"/>
  <c r="AX289" i="50"/>
  <c r="BD289" i="50" s="1"/>
  <c r="AX286" i="50"/>
  <c r="AX283" i="50"/>
  <c r="AX280" i="50"/>
  <c r="AV237" i="50"/>
  <c r="AV223" i="50"/>
  <c r="AV63" i="50"/>
  <c r="AW260" i="50"/>
  <c r="AW254" i="50"/>
  <c r="AW90" i="50"/>
  <c r="AV233" i="50"/>
  <c r="AV78" i="50"/>
  <c r="AV235" i="50"/>
  <c r="AW69" i="50"/>
  <c r="AW66" i="50"/>
  <c r="AW67" i="50"/>
  <c r="AW63" i="50"/>
  <c r="AW194" i="50"/>
  <c r="AW222" i="50"/>
  <c r="AW238" i="50"/>
  <c r="AW232" i="50"/>
  <c r="AW241" i="50"/>
  <c r="AW268" i="50"/>
  <c r="AW73" i="50"/>
  <c r="AW228" i="50"/>
  <c r="AW218" i="50"/>
  <c r="AW62" i="50"/>
  <c r="AW224" i="50"/>
  <c r="AW61" i="50"/>
  <c r="AW77" i="50"/>
  <c r="AW236" i="50"/>
  <c r="AW226" i="50"/>
  <c r="AW70" i="50"/>
  <c r="AW239" i="50"/>
  <c r="AW68" i="50"/>
  <c r="AW65" i="50"/>
  <c r="AW235" i="50"/>
  <c r="AW187" i="50"/>
  <c r="AW220" i="50"/>
  <c r="AW76" i="50"/>
  <c r="AW223" i="50"/>
  <c r="AW72" i="50"/>
  <c r="AW233" i="50"/>
  <c r="AW219" i="50"/>
  <c r="BC219" i="50" s="1"/>
  <c r="AW64" i="50"/>
  <c r="AW217" i="50"/>
  <c r="AW231" i="50"/>
  <c r="AW71" i="50"/>
  <c r="AW221" i="50"/>
  <c r="AW234" i="50"/>
  <c r="AW78" i="50"/>
  <c r="AW240" i="50"/>
  <c r="AW230" i="50"/>
  <c r="AW74" i="50"/>
  <c r="AW229" i="50"/>
  <c r="AW242" i="50"/>
  <c r="BC242" i="50" s="1"/>
  <c r="AW75" i="50"/>
  <c r="AX68" i="50"/>
  <c r="AX242" i="50"/>
  <c r="BD242" i="50" s="1"/>
  <c r="AX61" i="50"/>
  <c r="AX64" i="50"/>
  <c r="AX238" i="50"/>
  <c r="BD238" i="50" s="1"/>
  <c r="AX74" i="50"/>
  <c r="AX217" i="50"/>
  <c r="AX234" i="50"/>
  <c r="AX63" i="50"/>
  <c r="AX235" i="50"/>
  <c r="AX225" i="50"/>
  <c r="AX69" i="50"/>
  <c r="AX236" i="50"/>
  <c r="AX226" i="50"/>
  <c r="AX67" i="50"/>
  <c r="AX232" i="50"/>
  <c r="AX222" i="50"/>
  <c r="AX187" i="50"/>
  <c r="AX228" i="50"/>
  <c r="AX218" i="50"/>
  <c r="AX78" i="50"/>
  <c r="AX219" i="50"/>
  <c r="BD219" i="50" s="1"/>
  <c r="AX194" i="50"/>
  <c r="AX220" i="50"/>
  <c r="AX237" i="50"/>
  <c r="AX62" i="50"/>
  <c r="AX243" i="50"/>
  <c r="AX233" i="50"/>
  <c r="AX77" i="50"/>
  <c r="AX239" i="50"/>
  <c r="AX229" i="50"/>
  <c r="AX73" i="50"/>
  <c r="AX240" i="50"/>
  <c r="AX230" i="50"/>
  <c r="AX75" i="50"/>
  <c r="AX231" i="50"/>
  <c r="AX221" i="50"/>
  <c r="AX65" i="50"/>
  <c r="AX227" i="50"/>
  <c r="AX66" i="50"/>
  <c r="AX76" i="50"/>
  <c r="AX223" i="50"/>
  <c r="AX71" i="50"/>
  <c r="AX72" i="50"/>
  <c r="AX224" i="50"/>
  <c r="AX241" i="50"/>
  <c r="AX70" i="50"/>
  <c r="X60" i="42"/>
  <c r="AZ170" i="50"/>
  <c r="AZ171" i="50"/>
  <c r="AZ169" i="50"/>
  <c r="AZ172" i="50"/>
  <c r="AZ190" i="50"/>
  <c r="AZ174" i="50"/>
  <c r="AZ191" i="50"/>
  <c r="AZ173" i="50"/>
  <c r="AZ193" i="50"/>
  <c r="AZ192" i="50"/>
  <c r="BA173" i="50"/>
  <c r="BA163" i="50"/>
  <c r="BA180" i="50"/>
  <c r="BA200" i="50"/>
  <c r="BA171" i="50"/>
  <c r="BA178" i="50"/>
  <c r="BA193" i="50"/>
  <c r="BA169" i="50"/>
  <c r="BA164" i="50"/>
  <c r="BA175" i="50"/>
  <c r="BA181" i="50"/>
  <c r="BA166" i="50"/>
  <c r="BA160" i="50"/>
  <c r="BA176" i="50"/>
  <c r="BA177" i="50"/>
  <c r="BA172" i="50"/>
  <c r="BA186" i="50"/>
  <c r="BA162" i="50"/>
  <c r="BA198" i="50"/>
  <c r="BA184" i="50"/>
  <c r="BA199" i="50"/>
  <c r="BA191" i="50"/>
  <c r="BA174" i="50"/>
  <c r="BA182" i="50"/>
  <c r="BA165" i="50"/>
  <c r="BA170" i="50"/>
  <c r="BA183" i="50"/>
  <c r="BA185" i="50"/>
  <c r="BA168" i="50"/>
  <c r="BA179" i="50"/>
  <c r="BA167" i="50"/>
  <c r="BA159" i="50"/>
  <c r="BA161" i="50"/>
  <c r="BA192" i="50"/>
  <c r="BC181" i="50"/>
  <c r="BC182" i="50"/>
  <c r="BC200" i="50"/>
  <c r="BC174" i="50"/>
  <c r="BC193" i="50"/>
  <c r="BC175" i="50"/>
  <c r="BC185" i="50"/>
  <c r="BC169" i="50"/>
  <c r="BC163" i="50"/>
  <c r="BC179" i="50"/>
  <c r="BC183" i="50"/>
  <c r="BC178" i="50"/>
  <c r="BC172" i="50"/>
  <c r="BC177" i="50"/>
  <c r="BC186" i="50"/>
  <c r="BC173" i="50"/>
  <c r="BC180" i="50"/>
  <c r="BC176" i="50"/>
  <c r="BC184" i="50"/>
  <c r="BC170" i="50"/>
  <c r="BC171" i="50"/>
  <c r="BB164" i="50"/>
  <c r="BB183" i="50"/>
  <c r="BB161" i="50"/>
  <c r="BB199" i="50"/>
  <c r="BB169" i="50"/>
  <c r="BB180" i="50"/>
  <c r="BB200" i="50"/>
  <c r="BB177" i="50"/>
  <c r="BB175" i="50"/>
  <c r="BB165" i="50"/>
  <c r="BB192" i="50"/>
  <c r="BB167" i="50"/>
  <c r="BB162" i="50"/>
  <c r="BB163" i="50"/>
  <c r="BB185" i="50"/>
  <c r="BB171" i="50"/>
  <c r="BB176" i="50"/>
  <c r="BB178" i="50"/>
  <c r="BB181" i="50"/>
  <c r="BB173" i="50"/>
  <c r="BB160" i="50"/>
  <c r="BB168" i="50"/>
  <c r="BB186" i="50"/>
  <c r="BB170" i="50"/>
  <c r="BB166" i="50"/>
  <c r="BB179" i="50"/>
  <c r="BB184" i="50"/>
  <c r="BB182" i="50"/>
  <c r="BB172" i="50"/>
  <c r="BB159" i="50"/>
  <c r="BB174" i="50"/>
  <c r="BB193" i="50"/>
  <c r="AC197" i="50"/>
  <c r="Y162" i="50"/>
  <c r="X197" i="50"/>
  <c r="AF167" i="50"/>
  <c r="AE162" i="50"/>
  <c r="AF166" i="50"/>
  <c r="AF173" i="50"/>
  <c r="Y168" i="50"/>
  <c r="Y166" i="50"/>
  <c r="AE168" i="50"/>
  <c r="AE161" i="50"/>
  <c r="AF174" i="50"/>
  <c r="Z191" i="50"/>
  <c r="Z166" i="50"/>
  <c r="AL166" i="50" s="1"/>
  <c r="AF182" i="50"/>
  <c r="Z184" i="50"/>
  <c r="Z168" i="50"/>
  <c r="AF196" i="50"/>
  <c r="AE159" i="50"/>
  <c r="AF184" i="50"/>
  <c r="AC196" i="50"/>
  <c r="Y199" i="50"/>
  <c r="AE167" i="50"/>
  <c r="AE197" i="50"/>
  <c r="AF165" i="50"/>
  <c r="AF190" i="50"/>
  <c r="AD191" i="50"/>
  <c r="AF198" i="50"/>
  <c r="AF191" i="50"/>
  <c r="Z177" i="50"/>
  <c r="Z200" i="50"/>
  <c r="Z161" i="50"/>
  <c r="AE192" i="50"/>
  <c r="Z162" i="50"/>
  <c r="AF200" i="50"/>
  <c r="Z173" i="50"/>
  <c r="Z167" i="50"/>
  <c r="AF161" i="50"/>
  <c r="AF192" i="50"/>
  <c r="Z198" i="50"/>
  <c r="AF177" i="50"/>
  <c r="AD197" i="50"/>
  <c r="AB189" i="50"/>
  <c r="Y190" i="50"/>
  <c r="Y197" i="50"/>
  <c r="V189" i="50"/>
  <c r="Y189" i="50"/>
  <c r="X198" i="50"/>
  <c r="Y159" i="50"/>
  <c r="AE196" i="50"/>
  <c r="X189" i="50"/>
  <c r="Y167" i="50"/>
  <c r="AF171" i="50"/>
  <c r="Z165" i="50"/>
  <c r="AD190" i="50"/>
  <c r="AE198" i="50"/>
  <c r="AF162" i="50"/>
  <c r="Y192" i="50"/>
  <c r="Y191" i="50"/>
  <c r="AF168" i="50"/>
  <c r="Z178" i="50"/>
  <c r="Z199" i="50"/>
  <c r="AF172" i="50"/>
  <c r="Z186" i="50"/>
  <c r="W189" i="50"/>
  <c r="AB196" i="50"/>
  <c r="Z182" i="50"/>
  <c r="AL182" i="50" s="1"/>
  <c r="AR182" i="50" s="1"/>
  <c r="AF193" i="50"/>
  <c r="AE165" i="50"/>
  <c r="AE199" i="50"/>
  <c r="AD198" i="50"/>
  <c r="AF178" i="50"/>
  <c r="Y196" i="50"/>
  <c r="V196" i="50"/>
  <c r="AH196" i="50" s="1"/>
  <c r="AN196" i="50" s="1"/>
  <c r="AF189" i="50"/>
  <c r="Z192" i="50"/>
  <c r="Z172" i="50"/>
  <c r="AF199" i="50"/>
  <c r="X191" i="50"/>
  <c r="AJ191" i="50" s="1"/>
  <c r="AP191" i="50" s="1"/>
  <c r="AE191" i="50"/>
  <c r="AC190" i="50"/>
  <c r="AD189" i="50"/>
  <c r="Z171" i="50"/>
  <c r="AE166" i="50"/>
  <c r="W190" i="50"/>
  <c r="AD196" i="50"/>
  <c r="Z189" i="50"/>
  <c r="Y161" i="50"/>
  <c r="Y165" i="50"/>
  <c r="AK165" i="50" s="1"/>
  <c r="AQ165" i="50" s="1"/>
  <c r="Z183" i="50"/>
  <c r="Z174" i="50"/>
  <c r="Z196" i="50"/>
  <c r="Z179" i="50"/>
  <c r="Z159" i="50"/>
  <c r="AF179" i="50"/>
  <c r="AE189" i="50"/>
  <c r="W196" i="50"/>
  <c r="AI196" i="50" s="1"/>
  <c r="AE190" i="50"/>
  <c r="Z197" i="50"/>
  <c r="Y198" i="50"/>
  <c r="AK198" i="50" s="1"/>
  <c r="AF183" i="50"/>
  <c r="AF197" i="50"/>
  <c r="AC189" i="50"/>
  <c r="W197" i="50"/>
  <c r="Z190" i="50"/>
  <c r="Z164" i="50"/>
  <c r="Z185" i="50"/>
  <c r="AE160" i="50"/>
  <c r="AF180" i="50"/>
  <c r="X196" i="50"/>
  <c r="Z170" i="50"/>
  <c r="Z180" i="50"/>
  <c r="Z193" i="50"/>
  <c r="AF159" i="50"/>
  <c r="AF185" i="50"/>
  <c r="Y164" i="50"/>
  <c r="AF170" i="50"/>
  <c r="Z160" i="50"/>
  <c r="Z176" i="50"/>
  <c r="AF186" i="50"/>
  <c r="AE164" i="50"/>
  <c r="AF160" i="50"/>
  <c r="AF176" i="50"/>
  <c r="AF164" i="50"/>
  <c r="Y160" i="50"/>
  <c r="X190" i="50"/>
  <c r="AC188" i="50"/>
  <c r="AD188" i="50"/>
  <c r="Y188" i="50"/>
  <c r="AC195" i="50"/>
  <c r="V195" i="50"/>
  <c r="W195" i="50"/>
  <c r="AF188" i="50"/>
  <c r="V188" i="50"/>
  <c r="X195" i="50"/>
  <c r="Y195" i="50"/>
  <c r="AF195" i="50"/>
  <c r="Z188" i="50"/>
  <c r="AB188" i="50"/>
  <c r="AB195" i="50"/>
  <c r="AE195" i="50"/>
  <c r="AE188" i="50"/>
  <c r="X188" i="50"/>
  <c r="W188" i="50"/>
  <c r="AD195" i="50"/>
  <c r="Z195" i="50"/>
  <c r="V194" i="50"/>
  <c r="AF194" i="50"/>
  <c r="AD194" i="50"/>
  <c r="AD187" i="50"/>
  <c r="X187" i="50"/>
  <c r="Y187" i="50"/>
  <c r="AB194" i="50"/>
  <c r="AE194" i="50"/>
  <c r="W194" i="50"/>
  <c r="AB187" i="50"/>
  <c r="V187" i="50"/>
  <c r="AC194" i="50"/>
  <c r="X194" i="50"/>
  <c r="Z187" i="50"/>
  <c r="AF187" i="50"/>
  <c r="Y194" i="50"/>
  <c r="Z194" i="50"/>
  <c r="W187" i="50"/>
  <c r="AC187" i="50"/>
  <c r="AE187" i="50"/>
  <c r="V113" i="50"/>
  <c r="V114" i="50"/>
  <c r="AB114" i="50"/>
  <c r="AZ151" i="50"/>
  <c r="AZ154" i="50"/>
  <c r="AZ152" i="50"/>
  <c r="AZ155" i="50"/>
  <c r="AZ137" i="50"/>
  <c r="AZ120" i="50"/>
  <c r="AZ134" i="50"/>
  <c r="AZ118" i="50"/>
  <c r="AZ136" i="50"/>
  <c r="AZ135" i="50"/>
  <c r="AZ119" i="50"/>
  <c r="X148" i="50"/>
  <c r="AE154" i="50"/>
  <c r="AF153" i="50"/>
  <c r="X146" i="50"/>
  <c r="Y155" i="50"/>
  <c r="Y148" i="50"/>
  <c r="Z152" i="50"/>
  <c r="AE148" i="50"/>
  <c r="AE147" i="50"/>
  <c r="AE150" i="50"/>
  <c r="Z148" i="50"/>
  <c r="AF152" i="50"/>
  <c r="Y152" i="50"/>
  <c r="Y150" i="50"/>
  <c r="Z146" i="50"/>
  <c r="AF149" i="50"/>
  <c r="Z153" i="50"/>
  <c r="Z150" i="50"/>
  <c r="Z144" i="50"/>
  <c r="Z149" i="50"/>
  <c r="Z155" i="50"/>
  <c r="Y144" i="50"/>
  <c r="Z154" i="50"/>
  <c r="AE149" i="50"/>
  <c r="AD144" i="50"/>
  <c r="AD149" i="50"/>
  <c r="X150" i="50"/>
  <c r="AF155" i="50"/>
  <c r="AE144" i="50"/>
  <c r="Y154" i="50"/>
  <c r="Y153" i="50"/>
  <c r="X147" i="50"/>
  <c r="Y147" i="50"/>
  <c r="AK147" i="50" s="1"/>
  <c r="AF154" i="50"/>
  <c r="AF144" i="50"/>
  <c r="AD148" i="50"/>
  <c r="AD147" i="50"/>
  <c r="AE156" i="50"/>
  <c r="AF156" i="50"/>
  <c r="Y146" i="50"/>
  <c r="AF150" i="50"/>
  <c r="Y156" i="50"/>
  <c r="Z156" i="50"/>
  <c r="AL156" i="50" s="1"/>
  <c r="Y158" i="50"/>
  <c r="Y149" i="50"/>
  <c r="X144" i="50"/>
  <c r="AE158" i="50"/>
  <c r="AD146" i="50"/>
  <c r="AE155" i="50"/>
  <c r="AF147" i="50"/>
  <c r="AF146" i="50"/>
  <c r="AE146" i="50"/>
  <c r="AD150" i="50"/>
  <c r="AE153" i="50"/>
  <c r="AF148" i="50"/>
  <c r="X149" i="50"/>
  <c r="Z147" i="50"/>
  <c r="Z158" i="50"/>
  <c r="AE152" i="50"/>
  <c r="AF158" i="50"/>
  <c r="Z141" i="50"/>
  <c r="Z143" i="50"/>
  <c r="AF142" i="50"/>
  <c r="X142" i="50"/>
  <c r="AF141" i="50"/>
  <c r="AE141" i="50"/>
  <c r="X143" i="50"/>
  <c r="AD143" i="50"/>
  <c r="Z142" i="50"/>
  <c r="Y142" i="50"/>
  <c r="Y141" i="50"/>
  <c r="AD141" i="50"/>
  <c r="Y143" i="50"/>
  <c r="AF143" i="50"/>
  <c r="AE142" i="50"/>
  <c r="X141" i="50"/>
  <c r="AE143" i="50"/>
  <c r="AD142" i="50"/>
  <c r="Z138" i="50"/>
  <c r="AD140" i="50"/>
  <c r="AE140" i="50"/>
  <c r="X138" i="50"/>
  <c r="AE138" i="50"/>
  <c r="Z140" i="50"/>
  <c r="AF140" i="50"/>
  <c r="Y138" i="50"/>
  <c r="AD138" i="50"/>
  <c r="X140" i="50"/>
  <c r="AJ140" i="50" s="1"/>
  <c r="AP140" i="50" s="1"/>
  <c r="AF138" i="50"/>
  <c r="Y140" i="50"/>
  <c r="AD119" i="50"/>
  <c r="X119" i="50"/>
  <c r="AE117" i="50"/>
  <c r="AC101" i="50"/>
  <c r="AD130" i="50"/>
  <c r="V110" i="50"/>
  <c r="AE130" i="50"/>
  <c r="AB98" i="50"/>
  <c r="X112" i="50"/>
  <c r="X116" i="50"/>
  <c r="Y119" i="50"/>
  <c r="Y117" i="50"/>
  <c r="AB102" i="50"/>
  <c r="AC111" i="50"/>
  <c r="AD108" i="50"/>
  <c r="AE137" i="50"/>
  <c r="AB110" i="50"/>
  <c r="AD122" i="50"/>
  <c r="W102" i="50"/>
  <c r="AC110" i="50"/>
  <c r="Y122" i="50"/>
  <c r="AE118" i="50"/>
  <c r="AC99" i="50"/>
  <c r="W117" i="50"/>
  <c r="AE123" i="50"/>
  <c r="AC102" i="50"/>
  <c r="V112" i="50"/>
  <c r="W114" i="50"/>
  <c r="X118" i="50"/>
  <c r="AB105" i="50"/>
  <c r="X111" i="50"/>
  <c r="V100" i="50"/>
  <c r="X114" i="50"/>
  <c r="AD111" i="50"/>
  <c r="X108" i="50"/>
  <c r="AJ108" i="50" s="1"/>
  <c r="Y130" i="50"/>
  <c r="AC107" i="50"/>
  <c r="W111" i="50"/>
  <c r="AI111" i="50" s="1"/>
  <c r="X117" i="50"/>
  <c r="V108" i="50"/>
  <c r="X107" i="50"/>
  <c r="V111" i="50"/>
  <c r="X137" i="50"/>
  <c r="AC108" i="50"/>
  <c r="V104" i="50"/>
  <c r="AC128" i="50"/>
  <c r="X129" i="50"/>
  <c r="X130" i="50"/>
  <c r="X110" i="50"/>
  <c r="W113" i="50"/>
  <c r="W122" i="50"/>
  <c r="AD120" i="50"/>
  <c r="X122" i="50"/>
  <c r="AB104" i="50"/>
  <c r="AE116" i="50"/>
  <c r="AE119" i="50"/>
  <c r="W106" i="50"/>
  <c r="AC118" i="50"/>
  <c r="W101" i="50"/>
  <c r="AC119" i="50"/>
  <c r="AC129" i="50"/>
  <c r="AC104" i="50"/>
  <c r="AC112" i="50"/>
  <c r="AD116" i="50"/>
  <c r="W130" i="50"/>
  <c r="AC105" i="50"/>
  <c r="AC117" i="50"/>
  <c r="X106" i="50"/>
  <c r="Y116" i="50"/>
  <c r="Y123" i="50"/>
  <c r="AC98" i="50"/>
  <c r="W108" i="50"/>
  <c r="AD136" i="50"/>
  <c r="W107" i="50"/>
  <c r="X113" i="50"/>
  <c r="AD129" i="50"/>
  <c r="V107" i="50"/>
  <c r="AD113" i="50"/>
  <c r="AD123" i="50"/>
  <c r="AB113" i="50"/>
  <c r="AB106" i="50"/>
  <c r="V101" i="50"/>
  <c r="W98" i="50"/>
  <c r="W118" i="50"/>
  <c r="V99" i="50"/>
  <c r="V98" i="50"/>
  <c r="AC120" i="50"/>
  <c r="AE122" i="50"/>
  <c r="AB108" i="50"/>
  <c r="Y120" i="50"/>
  <c r="AB112" i="50"/>
  <c r="W128" i="50"/>
  <c r="W119" i="50"/>
  <c r="W100" i="50"/>
  <c r="AC106" i="50"/>
  <c r="W112" i="50"/>
  <c r="AC116" i="50"/>
  <c r="W99" i="50"/>
  <c r="AD117" i="50"/>
  <c r="AD112" i="50"/>
  <c r="Y118" i="50"/>
  <c r="V102" i="50"/>
  <c r="AD110" i="50"/>
  <c r="AD137" i="50"/>
  <c r="AC123" i="50"/>
  <c r="AC113" i="50"/>
  <c r="AB107" i="50"/>
  <c r="W105" i="50"/>
  <c r="AC100" i="50"/>
  <c r="X136" i="50"/>
  <c r="AE120" i="50"/>
  <c r="W123" i="50"/>
  <c r="W104" i="50"/>
  <c r="W120" i="50"/>
  <c r="W129" i="50"/>
  <c r="W110" i="50"/>
  <c r="X120" i="50"/>
  <c r="AC122" i="50"/>
  <c r="AC130" i="50"/>
  <c r="V105" i="50"/>
  <c r="AB100" i="50"/>
  <c r="V106" i="50"/>
  <c r="AC114" i="50"/>
  <c r="W116" i="50"/>
  <c r="AB101" i="50"/>
  <c r="AB111" i="50"/>
  <c r="X123" i="50"/>
  <c r="AD114" i="50"/>
  <c r="AB99" i="50"/>
  <c r="AD106" i="50"/>
  <c r="AD118" i="50"/>
  <c r="AD107" i="50"/>
  <c r="Y137" i="50"/>
  <c r="AB93" i="50"/>
  <c r="AB89" i="50"/>
  <c r="AB92" i="50"/>
  <c r="AB94" i="50"/>
  <c r="V93" i="50"/>
  <c r="V89" i="50"/>
  <c r="V92" i="50"/>
  <c r="AH92" i="50" s="1"/>
  <c r="AN92" i="50" s="1"/>
  <c r="V94" i="50"/>
  <c r="V95" i="50"/>
  <c r="V90" i="50"/>
  <c r="V96" i="50"/>
  <c r="V88" i="50"/>
  <c r="AB95" i="50"/>
  <c r="AB90" i="50"/>
  <c r="AB96" i="50"/>
  <c r="AB88" i="50"/>
  <c r="AV65" i="42"/>
  <c r="BL65" i="42" s="1"/>
  <c r="Z65" i="42"/>
  <c r="X65" i="42"/>
  <c r="Y65" i="42"/>
  <c r="AV62" i="42"/>
  <c r="BL62" i="42" s="1"/>
  <c r="AV64" i="42"/>
  <c r="BL64" i="42" s="1"/>
  <c r="AV61" i="42"/>
  <c r="BL61" i="42" s="1"/>
  <c r="AV63" i="42"/>
  <c r="BL63" i="42" s="1"/>
  <c r="AG61" i="42"/>
  <c r="AG65" i="42"/>
  <c r="AH61" i="42"/>
  <c r="AD65" i="42"/>
  <c r="AF65" i="42"/>
  <c r="AH65" i="42"/>
  <c r="AF61" i="42"/>
  <c r="AE61" i="42"/>
  <c r="AE65" i="42"/>
  <c r="AD61" i="42"/>
  <c r="AF64" i="42"/>
  <c r="AH62" i="42"/>
  <c r="AF63" i="42"/>
  <c r="AE64" i="42"/>
  <c r="AH63" i="42"/>
  <c r="AG63" i="42"/>
  <c r="AD62" i="42"/>
  <c r="AE62" i="42"/>
  <c r="AF62" i="42"/>
  <c r="AG64" i="42"/>
  <c r="AG62" i="42"/>
  <c r="AD63" i="42"/>
  <c r="AH64" i="42"/>
  <c r="AE63" i="42"/>
  <c r="AD64" i="42"/>
  <c r="AD60" i="42"/>
  <c r="AF60" i="42"/>
  <c r="AG60" i="42"/>
  <c r="AE60" i="42"/>
  <c r="AH60" i="42"/>
  <c r="AW65" i="42"/>
  <c r="BM65" i="42" s="1"/>
  <c r="AW61" i="42"/>
  <c r="BM61" i="42" s="1"/>
  <c r="AW64" i="42"/>
  <c r="BM64" i="42" s="1"/>
  <c r="AW62" i="42"/>
  <c r="BM62" i="42" s="1"/>
  <c r="AW63" i="42"/>
  <c r="BM63" i="42" s="1"/>
  <c r="AB61" i="42"/>
  <c r="X61" i="42"/>
  <c r="Y61" i="42"/>
  <c r="AA61" i="42"/>
  <c r="AB65" i="42"/>
  <c r="Z61" i="42"/>
  <c r="AA65" i="42"/>
  <c r="AA63" i="42"/>
  <c r="X62" i="42"/>
  <c r="Y62" i="42"/>
  <c r="AA62" i="42"/>
  <c r="Z64" i="42"/>
  <c r="Z63" i="42"/>
  <c r="AB64" i="42"/>
  <c r="Y64" i="42"/>
  <c r="Y63" i="42"/>
  <c r="AB63" i="42"/>
  <c r="X63" i="42"/>
  <c r="X64" i="42"/>
  <c r="AA64" i="42"/>
  <c r="Z62" i="42"/>
  <c r="AB62" i="42"/>
  <c r="AB60" i="42"/>
  <c r="Y60" i="42"/>
  <c r="AA60" i="42"/>
  <c r="Z60" i="42"/>
  <c r="AZ153" i="50"/>
  <c r="AZ156" i="50"/>
  <c r="AZ147" i="50"/>
  <c r="AZ144" i="50"/>
  <c r="AZ150" i="50"/>
  <c r="AZ141" i="50"/>
  <c r="AZ138" i="50"/>
  <c r="BA158" i="50"/>
  <c r="BA144" i="50"/>
  <c r="BA155" i="50"/>
  <c r="BA151" i="50"/>
  <c r="BA147" i="50"/>
  <c r="BA150" i="50"/>
  <c r="BA143" i="50"/>
  <c r="BA157" i="50"/>
  <c r="BA156" i="50"/>
  <c r="BA141" i="50"/>
  <c r="BA148" i="50"/>
  <c r="BA153" i="50"/>
  <c r="BA145" i="50"/>
  <c r="BA149" i="50"/>
  <c r="BA146" i="50"/>
  <c r="BA154" i="50"/>
  <c r="BA142" i="50"/>
  <c r="BA152" i="50"/>
  <c r="BA140" i="50"/>
  <c r="BA139" i="50"/>
  <c r="BA138" i="50"/>
  <c r="BD157" i="50"/>
  <c r="BD145" i="50"/>
  <c r="BB154" i="50"/>
  <c r="BB158" i="50"/>
  <c r="BB155" i="50"/>
  <c r="BB145" i="50"/>
  <c r="BB152" i="50"/>
  <c r="BB156" i="50"/>
  <c r="BB157" i="50"/>
  <c r="BB153" i="50"/>
  <c r="BB151" i="50"/>
  <c r="BC145" i="50"/>
  <c r="AZ117" i="50"/>
  <c r="AZ115" i="50"/>
  <c r="AZ128" i="50"/>
  <c r="AZ127" i="50"/>
  <c r="AZ129" i="50"/>
  <c r="AZ116" i="50"/>
  <c r="AZ130" i="50"/>
  <c r="BA137" i="50"/>
  <c r="BA136" i="50"/>
  <c r="BA135" i="50"/>
  <c r="BA115" i="50"/>
  <c r="V133" i="50"/>
  <c r="AB133" i="50"/>
  <c r="Y129" i="50"/>
  <c r="AB125" i="50"/>
  <c r="Z125" i="50"/>
  <c r="Z123" i="50"/>
  <c r="AF123" i="50"/>
  <c r="AE111" i="50"/>
  <c r="AD103" i="50"/>
  <c r="AE103" i="50"/>
  <c r="AF103" i="50"/>
  <c r="Y95" i="50"/>
  <c r="AF95" i="50"/>
  <c r="X93" i="50"/>
  <c r="Z93" i="50"/>
  <c r="AD91" i="50"/>
  <c r="AC89" i="50"/>
  <c r="X89" i="50"/>
  <c r="Z89" i="50"/>
  <c r="AF89" i="50"/>
  <c r="AF87" i="50"/>
  <c r="AB87" i="50"/>
  <c r="Y87" i="50"/>
  <c r="X85" i="50"/>
  <c r="W85" i="50"/>
  <c r="AE83" i="50"/>
  <c r="X83" i="50"/>
  <c r="Y81" i="50"/>
  <c r="Z81" i="50"/>
  <c r="AF79" i="50"/>
  <c r="V79" i="50"/>
  <c r="Z137" i="50"/>
  <c r="Y135" i="50"/>
  <c r="AE133" i="50"/>
  <c r="AF133" i="50"/>
  <c r="AE127" i="50"/>
  <c r="AC127" i="50"/>
  <c r="AF125" i="50"/>
  <c r="W125" i="50"/>
  <c r="Z121" i="50"/>
  <c r="Y113" i="50"/>
  <c r="AE107" i="50"/>
  <c r="Y107" i="50"/>
  <c r="Y105" i="50"/>
  <c r="Z105" i="50"/>
  <c r="Y99" i="50"/>
  <c r="Z99" i="50"/>
  <c r="Y97" i="50"/>
  <c r="Z97" i="50"/>
  <c r="AC95" i="50"/>
  <c r="W93" i="50"/>
  <c r="AE93" i="50"/>
  <c r="W91" i="50"/>
  <c r="Y91" i="50"/>
  <c r="AE89" i="50"/>
  <c r="Y89" i="50"/>
  <c r="V87" i="50"/>
  <c r="AD87" i="50"/>
  <c r="AC85" i="50"/>
  <c r="V85" i="50"/>
  <c r="Z83" i="50"/>
  <c r="AD81" i="50"/>
  <c r="W81" i="50"/>
  <c r="AB81" i="50"/>
  <c r="Y79" i="50"/>
  <c r="X79" i="50"/>
  <c r="AD133" i="50"/>
  <c r="Y133" i="50"/>
  <c r="AC133" i="50"/>
  <c r="AF129" i="50"/>
  <c r="AC125" i="50"/>
  <c r="AE95" i="50"/>
  <c r="Z95" i="50"/>
  <c r="W95" i="50"/>
  <c r="AI95" i="50" s="1"/>
  <c r="AC93" i="50"/>
  <c r="Y93" i="50"/>
  <c r="W89" i="50"/>
  <c r="AC81" i="50"/>
  <c r="V81" i="50"/>
  <c r="AE81" i="50"/>
  <c r="X81" i="50"/>
  <c r="AF81" i="50"/>
  <c r="AD67" i="50"/>
  <c r="V67" i="50"/>
  <c r="AF136" i="50"/>
  <c r="AD134" i="50"/>
  <c r="AF134" i="50"/>
  <c r="AF128" i="50"/>
  <c r="AD126" i="50"/>
  <c r="AF126" i="50"/>
  <c r="Z112" i="50"/>
  <c r="Y104" i="50"/>
  <c r="AF104" i="50"/>
  <c r="AD102" i="50"/>
  <c r="Y102" i="50"/>
  <c r="AE102" i="50"/>
  <c r="AF100" i="50"/>
  <c r="Z98" i="50"/>
  <c r="X96" i="50"/>
  <c r="AE96" i="50"/>
  <c r="AF94" i="50"/>
  <c r="Z92" i="50"/>
  <c r="AF82" i="50"/>
  <c r="AE82" i="50"/>
  <c r="AF80" i="50"/>
  <c r="AC80" i="50"/>
  <c r="W78" i="50"/>
  <c r="Z78" i="50"/>
  <c r="Y78" i="50"/>
  <c r="Y72" i="50"/>
  <c r="AF72" i="50"/>
  <c r="AE72" i="50"/>
  <c r="W71" i="50"/>
  <c r="AC67" i="50"/>
  <c r="X126" i="50"/>
  <c r="Y126" i="50"/>
  <c r="Z116" i="50"/>
  <c r="AE112" i="50"/>
  <c r="AD100" i="50"/>
  <c r="AE100" i="50"/>
  <c r="Y98" i="50"/>
  <c r="AC96" i="50"/>
  <c r="AC82" i="50"/>
  <c r="V82" i="50"/>
  <c r="Y80" i="50"/>
  <c r="W80" i="50"/>
  <c r="AD80" i="50"/>
  <c r="X78" i="50"/>
  <c r="AB78" i="50"/>
  <c r="Z72" i="50"/>
  <c r="W72" i="50"/>
  <c r="Z73" i="50"/>
  <c r="V71" i="50"/>
  <c r="AE67" i="50"/>
  <c r="W67" i="50"/>
  <c r="Z134" i="50"/>
  <c r="W134" i="50"/>
  <c r="AD132" i="50"/>
  <c r="AC132" i="50"/>
  <c r="AB132" i="50"/>
  <c r="Z128" i="50"/>
  <c r="AD128" i="50"/>
  <c r="AE126" i="50"/>
  <c r="V126" i="50"/>
  <c r="AB126" i="50"/>
  <c r="W126" i="50"/>
  <c r="Y112" i="50"/>
  <c r="AE110" i="50"/>
  <c r="Y106" i="50"/>
  <c r="AE104" i="50"/>
  <c r="Z102" i="50"/>
  <c r="Z100" i="50"/>
  <c r="AD98" i="50"/>
  <c r="W96" i="50"/>
  <c r="AI96" i="50" s="1"/>
  <c r="AE94" i="50"/>
  <c r="Z94" i="50"/>
  <c r="AD94" i="50"/>
  <c r="W94" i="50"/>
  <c r="AF92" i="50"/>
  <c r="AE92" i="50"/>
  <c r="W88" i="50"/>
  <c r="AC88" i="50"/>
  <c r="AC86" i="50"/>
  <c r="V86" i="50"/>
  <c r="AD86" i="50"/>
  <c r="V84" i="50"/>
  <c r="Y84" i="50"/>
  <c r="AD84" i="50"/>
  <c r="AB82" i="50"/>
  <c r="X82" i="50"/>
  <c r="Z82" i="50"/>
  <c r="AL82" i="50" s="1"/>
  <c r="Z80" i="50"/>
  <c r="V80" i="50"/>
  <c r="AF78" i="50"/>
  <c r="V78" i="50"/>
  <c r="AE78" i="50"/>
  <c r="AD72" i="50"/>
  <c r="V72" i="50"/>
  <c r="AD104" i="50"/>
  <c r="Z104" i="50"/>
  <c r="AF102" i="50"/>
  <c r="Y100" i="50"/>
  <c r="AF98" i="50"/>
  <c r="AE98" i="50"/>
  <c r="AB80" i="50"/>
  <c r="X80" i="50"/>
  <c r="AE80" i="50"/>
  <c r="AC78" i="50"/>
  <c r="AD78" i="50"/>
  <c r="AB72" i="50"/>
  <c r="X72" i="50"/>
  <c r="AC72" i="50"/>
  <c r="Z62" i="50"/>
  <c r="X62" i="50"/>
  <c r="AB62" i="50"/>
  <c r="W66" i="50"/>
  <c r="AE66" i="50"/>
  <c r="AD66" i="50"/>
  <c r="X74" i="50"/>
  <c r="V74" i="50"/>
  <c r="AB74" i="50"/>
  <c r="AE106" i="50"/>
  <c r="W70" i="50"/>
  <c r="AB70" i="50"/>
  <c r="AC70" i="50"/>
  <c r="X76" i="50"/>
  <c r="Y76" i="50"/>
  <c r="AD76" i="50"/>
  <c r="Y108" i="50"/>
  <c r="X132" i="50"/>
  <c r="AE68" i="50"/>
  <c r="AC68" i="50"/>
  <c r="X68" i="50"/>
  <c r="AB63" i="50"/>
  <c r="AD63" i="50"/>
  <c r="AF64" i="50"/>
  <c r="Z64" i="50"/>
  <c r="X84" i="50"/>
  <c r="AB86" i="50"/>
  <c r="AE90" i="50"/>
  <c r="Y92" i="50"/>
  <c r="AC94" i="50"/>
  <c r="X128" i="50"/>
  <c r="AE132" i="50"/>
  <c r="AE134" i="50"/>
  <c r="AB71" i="50"/>
  <c r="Z117" i="50"/>
  <c r="AF118" i="50"/>
  <c r="W73" i="50"/>
  <c r="AC91" i="50"/>
  <c r="AD105" i="50"/>
  <c r="AE129" i="50"/>
  <c r="X61" i="50"/>
  <c r="AD61" i="50"/>
  <c r="AE61" i="50"/>
  <c r="Z84" i="50"/>
  <c r="AE88" i="50"/>
  <c r="Y94" i="50"/>
  <c r="Z110" i="50"/>
  <c r="AF122" i="50"/>
  <c r="AF132" i="50"/>
  <c r="AD71" i="50"/>
  <c r="AE75" i="50"/>
  <c r="AB75" i="50"/>
  <c r="AD77" i="50"/>
  <c r="AE77" i="50"/>
  <c r="Z101" i="50"/>
  <c r="X88" i="50"/>
  <c r="AF108" i="50"/>
  <c r="AF114" i="50"/>
  <c r="AF67" i="50"/>
  <c r="AE71" i="50"/>
  <c r="AD93" i="50"/>
  <c r="AD79" i="50"/>
  <c r="AF83" i="50"/>
  <c r="AE87" i="50"/>
  <c r="X91" i="50"/>
  <c r="AE109" i="50"/>
  <c r="Z119" i="50"/>
  <c r="Y125" i="50"/>
  <c r="AB79" i="50"/>
  <c r="Z85" i="50"/>
  <c r="AF101" i="50"/>
  <c r="X103" i="50"/>
  <c r="AE101" i="50"/>
  <c r="AF113" i="50"/>
  <c r="AF117" i="50"/>
  <c r="X97" i="50"/>
  <c r="AF107" i="50"/>
  <c r="X135" i="50"/>
  <c r="AD62" i="50"/>
  <c r="AE62" i="50"/>
  <c r="Y62" i="50"/>
  <c r="Z66" i="50"/>
  <c r="Y66" i="50"/>
  <c r="V66" i="50"/>
  <c r="Y74" i="50"/>
  <c r="X86" i="50"/>
  <c r="AE114" i="50"/>
  <c r="AF70" i="50"/>
  <c r="AD70" i="50"/>
  <c r="W82" i="50"/>
  <c r="W76" i="50"/>
  <c r="Z76" i="50"/>
  <c r="V76" i="50"/>
  <c r="Z122" i="50"/>
  <c r="AE136" i="50"/>
  <c r="AF71" i="50"/>
  <c r="Z68" i="50"/>
  <c r="AF68" i="50"/>
  <c r="W92" i="50"/>
  <c r="Y63" i="50"/>
  <c r="W63" i="50"/>
  <c r="AF63" i="50"/>
  <c r="AC64" i="50"/>
  <c r="Y64" i="50"/>
  <c r="X64" i="50"/>
  <c r="W84" i="50"/>
  <c r="Y88" i="50"/>
  <c r="X90" i="50"/>
  <c r="AC92" i="50"/>
  <c r="Z96" i="50"/>
  <c r="AC126" i="50"/>
  <c r="AF130" i="50"/>
  <c r="Z132" i="50"/>
  <c r="Y73" i="50"/>
  <c r="AE135" i="50"/>
  <c r="X104" i="50"/>
  <c r="Z106" i="50"/>
  <c r="Z118" i="50"/>
  <c r="Z120" i="50"/>
  <c r="Z136" i="50"/>
  <c r="AD73" i="50"/>
  <c r="V73" i="50"/>
  <c r="AD95" i="50"/>
  <c r="AE113" i="50"/>
  <c r="Z133" i="50"/>
  <c r="V61" i="50"/>
  <c r="Y61" i="50"/>
  <c r="AE86" i="50"/>
  <c r="AD88" i="50"/>
  <c r="Y114" i="50"/>
  <c r="W132" i="50"/>
  <c r="AI132" i="50" s="1"/>
  <c r="AO132" i="50" s="1"/>
  <c r="Z71" i="50"/>
  <c r="AF75" i="50"/>
  <c r="AD75" i="50"/>
  <c r="W75" i="50"/>
  <c r="V77" i="50"/>
  <c r="AB77" i="50"/>
  <c r="Y111" i="50"/>
  <c r="AC84" i="50"/>
  <c r="AE108" i="50"/>
  <c r="V132" i="50"/>
  <c r="AB67" i="50"/>
  <c r="AF73" i="50"/>
  <c r="AD99" i="50"/>
  <c r="V83" i="50"/>
  <c r="AB85" i="50"/>
  <c r="AF91" i="50"/>
  <c r="X95" i="50"/>
  <c r="AD101" i="50"/>
  <c r="Z103" i="50"/>
  <c r="Z111" i="50"/>
  <c r="AF127" i="50"/>
  <c r="Z129" i="50"/>
  <c r="Y83" i="50"/>
  <c r="Z87" i="50"/>
  <c r="AE97" i="50"/>
  <c r="Y101" i="50"/>
  <c r="AK101" i="50" s="1"/>
  <c r="AF115" i="50"/>
  <c r="Z127" i="50"/>
  <c r="W133" i="50"/>
  <c r="AC79" i="50"/>
  <c r="X99" i="50"/>
  <c r="AD127" i="50"/>
  <c r="AF62" i="50"/>
  <c r="V62" i="50"/>
  <c r="AC62" i="50"/>
  <c r="AC66" i="50"/>
  <c r="X66" i="50"/>
  <c r="AF74" i="50"/>
  <c r="W74" i="50"/>
  <c r="Z74" i="50"/>
  <c r="X94" i="50"/>
  <c r="Z70" i="50"/>
  <c r="X70" i="50"/>
  <c r="Y70" i="50"/>
  <c r="AF88" i="50"/>
  <c r="AB76" i="50"/>
  <c r="AC76" i="50"/>
  <c r="AF84" i="50"/>
  <c r="AE128" i="50"/>
  <c r="V68" i="50"/>
  <c r="W68" i="50"/>
  <c r="Y110" i="50"/>
  <c r="AE63" i="50"/>
  <c r="AC63" i="50"/>
  <c r="X63" i="50"/>
  <c r="AB64" i="50"/>
  <c r="W64" i="50"/>
  <c r="AE64" i="50"/>
  <c r="Y67" i="50"/>
  <c r="AK67" i="50" s="1"/>
  <c r="AD82" i="50"/>
  <c r="Z86" i="50"/>
  <c r="Z88" i="50"/>
  <c r="W90" i="50"/>
  <c r="X92" i="50"/>
  <c r="AF96" i="50"/>
  <c r="Z108" i="50"/>
  <c r="AF116" i="50"/>
  <c r="Y128" i="50"/>
  <c r="Z130" i="50"/>
  <c r="Y136" i="50"/>
  <c r="X67" i="50"/>
  <c r="AD89" i="50"/>
  <c r="X100" i="50"/>
  <c r="AF106" i="50"/>
  <c r="AF120" i="50"/>
  <c r="AE73" i="50"/>
  <c r="W83" i="50"/>
  <c r="AD97" i="50"/>
  <c r="V125" i="50"/>
  <c r="AF137" i="50"/>
  <c r="AF61" i="50"/>
  <c r="Z61" i="50"/>
  <c r="W86" i="50"/>
  <c r="Z90" i="50"/>
  <c r="AD96" i="50"/>
  <c r="X102" i="50"/>
  <c r="AF112" i="50"/>
  <c r="AC134" i="50"/>
  <c r="X71" i="50"/>
  <c r="V75" i="50"/>
  <c r="Z75" i="50"/>
  <c r="X77" i="50"/>
  <c r="AF77" i="50"/>
  <c r="Z77" i="50"/>
  <c r="AE84" i="50"/>
  <c r="AD90" i="50"/>
  <c r="AF110" i="50"/>
  <c r="Z114" i="50"/>
  <c r="Y132" i="50"/>
  <c r="Z67" i="50"/>
  <c r="W79" i="50"/>
  <c r="AD83" i="50"/>
  <c r="AD85" i="50"/>
  <c r="AE91" i="50"/>
  <c r="AF97" i="50"/>
  <c r="AF105" i="50"/>
  <c r="AF119" i="50"/>
  <c r="AE125" i="50"/>
  <c r="Y127" i="50"/>
  <c r="X133" i="50"/>
  <c r="Z79" i="50"/>
  <c r="AC83" i="50"/>
  <c r="X87" i="50"/>
  <c r="AE105" i="50"/>
  <c r="X127" i="50"/>
  <c r="AD135" i="50"/>
  <c r="AC87" i="50"/>
  <c r="W62" i="50"/>
  <c r="AB66" i="50"/>
  <c r="AF66" i="50"/>
  <c r="AD74" i="50"/>
  <c r="AC74" i="50"/>
  <c r="AE74" i="50"/>
  <c r="Y96" i="50"/>
  <c r="AE70" i="50"/>
  <c r="V70" i="50"/>
  <c r="Y134" i="50"/>
  <c r="AF76" i="50"/>
  <c r="AE76" i="50"/>
  <c r="AF90" i="50"/>
  <c r="AD68" i="50"/>
  <c r="Y68" i="50"/>
  <c r="AB68" i="50"/>
  <c r="Z63" i="50"/>
  <c r="V63" i="50"/>
  <c r="AC75" i="50"/>
  <c r="V64" i="50"/>
  <c r="AD64" i="50"/>
  <c r="Z126" i="50"/>
  <c r="AC73" i="50"/>
  <c r="Y82" i="50"/>
  <c r="AK82" i="50" s="1"/>
  <c r="AF86" i="50"/>
  <c r="Y90" i="50"/>
  <c r="AD92" i="50"/>
  <c r="X134" i="50"/>
  <c r="Y109" i="50"/>
  <c r="X98" i="50"/>
  <c r="AB73" i="50"/>
  <c r="Y103" i="50"/>
  <c r="W127" i="50"/>
  <c r="W61" i="50"/>
  <c r="AC61" i="50"/>
  <c r="AB61" i="50"/>
  <c r="AB84" i="50"/>
  <c r="AC90" i="50"/>
  <c r="Y71" i="50"/>
  <c r="X73" i="50"/>
  <c r="X75" i="50"/>
  <c r="Y75" i="50"/>
  <c r="W77" i="50"/>
  <c r="AC77" i="50"/>
  <c r="Y77" i="50"/>
  <c r="Y86" i="50"/>
  <c r="AC71" i="50"/>
  <c r="Y85" i="50"/>
  <c r="AB83" i="50"/>
  <c r="AE85" i="50"/>
  <c r="Z91" i="50"/>
  <c r="AF93" i="50"/>
  <c r="AF99" i="50"/>
  <c r="X101" i="50"/>
  <c r="AF121" i="50"/>
  <c r="X125" i="50"/>
  <c r="AF135" i="50"/>
  <c r="AE79" i="50"/>
  <c r="AF85" i="50"/>
  <c r="W87" i="50"/>
  <c r="AE99" i="50"/>
  <c r="Z109" i="50"/>
  <c r="AF111" i="50"/>
  <c r="Z115" i="50"/>
  <c r="Z135" i="50"/>
  <c r="AF109" i="50"/>
  <c r="Z113" i="50"/>
  <c r="X105" i="50"/>
  <c r="Z107" i="50"/>
  <c r="AD125" i="50"/>
  <c r="Y124" i="50"/>
  <c r="W124" i="50"/>
  <c r="Y69" i="50"/>
  <c r="AF69" i="50"/>
  <c r="AF65" i="50"/>
  <c r="Y65" i="50"/>
  <c r="Z131" i="50"/>
  <c r="AD131" i="50"/>
  <c r="AB131" i="50"/>
  <c r="Z124" i="50"/>
  <c r="V124" i="50"/>
  <c r="AF124" i="50"/>
  <c r="AC69" i="50"/>
  <c r="AB69" i="50"/>
  <c r="V69" i="50"/>
  <c r="AC65" i="50"/>
  <c r="AD65" i="50"/>
  <c r="W131" i="50"/>
  <c r="AE131" i="50"/>
  <c r="X124" i="50"/>
  <c r="AE124" i="50"/>
  <c r="X69" i="50"/>
  <c r="AE69" i="50"/>
  <c r="AD69" i="50"/>
  <c r="AE65" i="50"/>
  <c r="AB65" i="50"/>
  <c r="Z65" i="50"/>
  <c r="AF131" i="50"/>
  <c r="Y131" i="50"/>
  <c r="AD124" i="50"/>
  <c r="AB124" i="50"/>
  <c r="AC124" i="50"/>
  <c r="Z69" i="50"/>
  <c r="W69" i="50"/>
  <c r="V65" i="50"/>
  <c r="W65" i="50"/>
  <c r="X65" i="50"/>
  <c r="V131" i="50"/>
  <c r="AC131" i="50"/>
  <c r="X131" i="50"/>
  <c r="AJ131" i="50" s="1"/>
  <c r="BC115" i="50"/>
  <c r="K332" i="50" l="1"/>
  <c r="AH94" i="50"/>
  <c r="AN94" i="50" s="1"/>
  <c r="AJ220" i="50"/>
  <c r="AI294" i="50"/>
  <c r="AO294" i="50" s="1"/>
  <c r="AL294" i="50"/>
  <c r="AI260" i="50"/>
  <c r="AJ280" i="50"/>
  <c r="AJ146" i="50"/>
  <c r="AP146" i="50" s="1"/>
  <c r="AL241" i="50"/>
  <c r="AK301" i="50"/>
  <c r="AL282" i="50"/>
  <c r="AK266" i="50"/>
  <c r="AJ65" i="50"/>
  <c r="AI65" i="50"/>
  <c r="AL185" i="50"/>
  <c r="AR185" i="50" s="1"/>
  <c r="AI108" i="50"/>
  <c r="AK156" i="50"/>
  <c r="AQ156" i="50" s="1"/>
  <c r="AK154" i="50"/>
  <c r="AQ154" i="50" s="1"/>
  <c r="AK194" i="50"/>
  <c r="AL199" i="50"/>
  <c r="AL232" i="50"/>
  <c r="AI250" i="50"/>
  <c r="AK218" i="50"/>
  <c r="AI261" i="50"/>
  <c r="AK150" i="50"/>
  <c r="AH93" i="50"/>
  <c r="AN93" i="50" s="1"/>
  <c r="AL78" i="42"/>
  <c r="AK75" i="42"/>
  <c r="AQ75" i="42" s="1"/>
  <c r="AM78" i="42"/>
  <c r="BI78" i="42" s="1"/>
  <c r="AR76" i="42"/>
  <c r="AS76" i="42" s="1"/>
  <c r="AT76" i="42" s="1"/>
  <c r="BB76" i="42" s="1"/>
  <c r="BR76" i="42" s="1"/>
  <c r="BZ76" i="42" s="1"/>
  <c r="AN69" i="42"/>
  <c r="BJ69" i="42" s="1"/>
  <c r="AR74" i="42"/>
  <c r="AL76" i="42"/>
  <c r="BH76" i="42" s="1"/>
  <c r="AK70" i="42"/>
  <c r="AQ70" i="42" s="1"/>
  <c r="AJ295" i="50"/>
  <c r="AM74" i="42"/>
  <c r="BI74" i="42" s="1"/>
  <c r="AK77" i="42"/>
  <c r="AQ77" i="42" s="1"/>
  <c r="AR77" i="42" s="1"/>
  <c r="AJ72" i="42"/>
  <c r="AX72" i="42" s="1"/>
  <c r="AK295" i="50"/>
  <c r="AM73" i="42"/>
  <c r="BI73" i="42" s="1"/>
  <c r="AN75" i="42"/>
  <c r="BJ75" i="42" s="1"/>
  <c r="AL71" i="42"/>
  <c r="AR71" i="42" s="1"/>
  <c r="AZ71" i="42" s="1"/>
  <c r="AN76" i="42"/>
  <c r="BJ76" i="42" s="1"/>
  <c r="AL296" i="50"/>
  <c r="AJ274" i="50"/>
  <c r="AI226" i="50"/>
  <c r="AK273" i="50"/>
  <c r="AI255" i="50"/>
  <c r="AL258" i="50"/>
  <c r="AL262" i="50"/>
  <c r="AH275" i="50"/>
  <c r="AN275" i="50" s="1"/>
  <c r="AK73" i="42"/>
  <c r="AQ73" i="42" s="1"/>
  <c r="AN78" i="42"/>
  <c r="BJ78" i="42" s="1"/>
  <c r="AK72" i="42"/>
  <c r="AQ72" i="42" s="1"/>
  <c r="AI292" i="50"/>
  <c r="AO292" i="50" s="1"/>
  <c r="AK79" i="42"/>
  <c r="BG79" i="42" s="1"/>
  <c r="AK292" i="50"/>
  <c r="AL300" i="50"/>
  <c r="AL303" i="50"/>
  <c r="AL79" i="42"/>
  <c r="BH79" i="42" s="1"/>
  <c r="AK225" i="50"/>
  <c r="AK262" i="50"/>
  <c r="AJ259" i="50"/>
  <c r="AL298" i="50"/>
  <c r="AJ306" i="50"/>
  <c r="AI222" i="50"/>
  <c r="AI245" i="50"/>
  <c r="AI244" i="50"/>
  <c r="AJ296" i="50"/>
  <c r="AJ291" i="50"/>
  <c r="AJ293" i="50"/>
  <c r="AI293" i="50"/>
  <c r="AI303" i="50"/>
  <c r="AO303" i="50" s="1"/>
  <c r="AJ302" i="50"/>
  <c r="AK302" i="50"/>
  <c r="AR67" i="42"/>
  <c r="AS77" i="42"/>
  <c r="AS74" i="42"/>
  <c r="AR78" i="42"/>
  <c r="AM68" i="42"/>
  <c r="BI68" i="42" s="1"/>
  <c r="AJ68" i="42"/>
  <c r="AX68" i="42" s="1"/>
  <c r="B510" i="40"/>
  <c r="B228" i="65"/>
  <c r="AL304" i="50"/>
  <c r="AI295" i="50"/>
  <c r="AO295" i="50" s="1"/>
  <c r="AP295" i="50" s="1"/>
  <c r="AQ295" i="50" s="1"/>
  <c r="AL70" i="42"/>
  <c r="AI291" i="50"/>
  <c r="AJ305" i="50"/>
  <c r="AK305" i="50"/>
  <c r="AJ69" i="42"/>
  <c r="BF69" i="42" s="1"/>
  <c r="AK297" i="50"/>
  <c r="AL295" i="50"/>
  <c r="AI304" i="50"/>
  <c r="AI302" i="50"/>
  <c r="AL305" i="50"/>
  <c r="AL301" i="50"/>
  <c r="AI306" i="50"/>
  <c r="AK283" i="50"/>
  <c r="AJ292" i="50"/>
  <c r="AJ304" i="50"/>
  <c r="AO305" i="50"/>
  <c r="AI301" i="50"/>
  <c r="AK304" i="50"/>
  <c r="AK300" i="50"/>
  <c r="AL281" i="50"/>
  <c r="AI274" i="50"/>
  <c r="AJ299" i="50"/>
  <c r="AJ294" i="50"/>
  <c r="AL297" i="50"/>
  <c r="AK303" i="50"/>
  <c r="AI300" i="50"/>
  <c r="AJ303" i="50"/>
  <c r="AL228" i="50"/>
  <c r="AJ235" i="50"/>
  <c r="AL237" i="50"/>
  <c r="AJ226" i="50"/>
  <c r="AJ245" i="50"/>
  <c r="AH220" i="50"/>
  <c r="AN220" i="50" s="1"/>
  <c r="AL227" i="50"/>
  <c r="AL256" i="50"/>
  <c r="AI266" i="50"/>
  <c r="AO266" i="50" s="1"/>
  <c r="BA266" i="50" s="1"/>
  <c r="AK276" i="50"/>
  <c r="AH278" i="50"/>
  <c r="AN278" i="50" s="1"/>
  <c r="AL275" i="50"/>
  <c r="AL290" i="50"/>
  <c r="AJ297" i="50"/>
  <c r="AO291" i="50"/>
  <c r="AL291" i="50"/>
  <c r="AK299" i="50"/>
  <c r="AJ298" i="50"/>
  <c r="AK294" i="50"/>
  <c r="AO293" i="50"/>
  <c r="AP293" i="50" s="1"/>
  <c r="AK298" i="50"/>
  <c r="AK293" i="50"/>
  <c r="AI296" i="50"/>
  <c r="AL235" i="50"/>
  <c r="AL259" i="50"/>
  <c r="AH258" i="50"/>
  <c r="AN258" i="50" s="1"/>
  <c r="M100" i="66" s="1"/>
  <c r="AK261" i="50"/>
  <c r="AH260" i="50"/>
  <c r="AN260" i="50" s="1"/>
  <c r="AO260" i="50" s="1"/>
  <c r="AH257" i="50"/>
  <c r="AN257" i="50" s="1"/>
  <c r="AK255" i="50"/>
  <c r="AK264" i="50"/>
  <c r="AH263" i="50"/>
  <c r="AN263" i="50" s="1"/>
  <c r="AO263" i="50" s="1"/>
  <c r="AI283" i="50"/>
  <c r="AO283" i="50" s="1"/>
  <c r="BA283" i="50" s="1"/>
  <c r="AK287" i="50"/>
  <c r="AI281" i="50"/>
  <c r="AK290" i="50"/>
  <c r="AL292" i="50"/>
  <c r="AK291" i="50"/>
  <c r="AI299" i="50"/>
  <c r="AL255" i="50"/>
  <c r="AI251" i="50"/>
  <c r="AI257" i="50"/>
  <c r="AJ290" i="50"/>
  <c r="AK296" i="50"/>
  <c r="AI298" i="50"/>
  <c r="AI297" i="50"/>
  <c r="AL293" i="50"/>
  <c r="BI75" i="42"/>
  <c r="BH78" i="42"/>
  <c r="AY75" i="42"/>
  <c r="BG76" i="42"/>
  <c r="BI77" i="42"/>
  <c r="AJ73" i="42"/>
  <c r="AN70" i="42"/>
  <c r="AK69" i="42"/>
  <c r="AQ69" i="42" s="1"/>
  <c r="AR69" i="42" s="1"/>
  <c r="AM67" i="42"/>
  <c r="BG74" i="42"/>
  <c r="AN77" i="42"/>
  <c r="BJ77" i="42" s="1"/>
  <c r="AX78" i="42"/>
  <c r="BF78" i="42"/>
  <c r="BI72" i="42"/>
  <c r="AL68" i="42"/>
  <c r="BG78" i="42"/>
  <c r="AM79" i="42"/>
  <c r="BG71" i="42"/>
  <c r="AN68" i="42"/>
  <c r="BJ68" i="42" s="1"/>
  <c r="AM70" i="42"/>
  <c r="AM69" i="42"/>
  <c r="AK68" i="42"/>
  <c r="AQ68" i="42" s="1"/>
  <c r="AN67" i="42"/>
  <c r="BJ67" i="42" s="1"/>
  <c r="BH77" i="42"/>
  <c r="BH74" i="42"/>
  <c r="AL75" i="42"/>
  <c r="AR75" i="42" s="1"/>
  <c r="AS75" i="42" s="1"/>
  <c r="AJ75" i="42"/>
  <c r="AJ76" i="42"/>
  <c r="AJ70" i="42"/>
  <c r="AJ67" i="42"/>
  <c r="AM71" i="42"/>
  <c r="AN72" i="42"/>
  <c r="BJ72" i="42" s="1"/>
  <c r="AL72" i="42"/>
  <c r="BH67" i="42"/>
  <c r="AN79" i="42"/>
  <c r="BJ79" i="42" s="1"/>
  <c r="BH69" i="42"/>
  <c r="BG67" i="42"/>
  <c r="AN71" i="42"/>
  <c r="BI76" i="42"/>
  <c r="AN74" i="42"/>
  <c r="BJ74" i="42" s="1"/>
  <c r="AL73" i="42"/>
  <c r="AR73" i="42" s="1"/>
  <c r="AS73" i="42" s="1"/>
  <c r="AT73" i="42" s="1"/>
  <c r="AJ74" i="42"/>
  <c r="AJ79" i="42"/>
  <c r="M133" i="25" s="1"/>
  <c r="AJ77" i="42"/>
  <c r="AX71" i="42"/>
  <c r="BF71" i="42"/>
  <c r="AI235" i="50"/>
  <c r="AH246" i="50"/>
  <c r="AK249" i="50"/>
  <c r="AK226" i="50"/>
  <c r="AL222" i="50"/>
  <c r="AJ244" i="50"/>
  <c r="AI221" i="50"/>
  <c r="AH265" i="50"/>
  <c r="AN265" i="50" s="1"/>
  <c r="AL269" i="50"/>
  <c r="AK268" i="50"/>
  <c r="AL244" i="50"/>
  <c r="AJ223" i="50"/>
  <c r="AJ221" i="50"/>
  <c r="AL220" i="50"/>
  <c r="AL224" i="50"/>
  <c r="AI225" i="50"/>
  <c r="AH273" i="50"/>
  <c r="AN273" i="50" s="1"/>
  <c r="AK241" i="50"/>
  <c r="AJ229" i="50"/>
  <c r="AL234" i="50"/>
  <c r="AH245" i="50"/>
  <c r="AH267" i="50"/>
  <c r="AI279" i="50"/>
  <c r="AH248" i="50"/>
  <c r="AL252" i="50"/>
  <c r="AK256" i="50"/>
  <c r="AJ264" i="50"/>
  <c r="AK275" i="50"/>
  <c r="AH288" i="50"/>
  <c r="AN288" i="50" s="1"/>
  <c r="AK274" i="50"/>
  <c r="AL286" i="50"/>
  <c r="AH269" i="50"/>
  <c r="AN269" i="50" s="1"/>
  <c r="AL254" i="50"/>
  <c r="AL231" i="50"/>
  <c r="AH268" i="50"/>
  <c r="AI230" i="50"/>
  <c r="AK235" i="50"/>
  <c r="AH224" i="50"/>
  <c r="AK220" i="50"/>
  <c r="AL249" i="50"/>
  <c r="AK238" i="50"/>
  <c r="BC238" i="50" s="1"/>
  <c r="AJ261" i="50"/>
  <c r="AL266" i="50"/>
  <c r="AJ253" i="50"/>
  <c r="AJ269" i="50"/>
  <c r="AK272" i="50"/>
  <c r="AI280" i="50"/>
  <c r="AK278" i="50"/>
  <c r="AL277" i="50"/>
  <c r="AL233" i="50"/>
  <c r="AI236" i="50"/>
  <c r="AL236" i="50"/>
  <c r="AH243" i="50"/>
  <c r="AN243" i="50" s="1"/>
  <c r="AK223" i="50"/>
  <c r="AI240" i="50"/>
  <c r="AJ246" i="50"/>
  <c r="AI269" i="50"/>
  <c r="AI232" i="50"/>
  <c r="AO232" i="50" s="1"/>
  <c r="AI229" i="50"/>
  <c r="AH240" i="50"/>
  <c r="AN240" i="50" s="1"/>
  <c r="AK267" i="50"/>
  <c r="AI288" i="50"/>
  <c r="AK286" i="50"/>
  <c r="AH286" i="50"/>
  <c r="AH281" i="50"/>
  <c r="AN281" i="50" s="1"/>
  <c r="M101" i="66" s="1"/>
  <c r="AR156" i="50"/>
  <c r="AJ273" i="50"/>
  <c r="AI228" i="50"/>
  <c r="AJ232" i="50"/>
  <c r="AJ238" i="50"/>
  <c r="AL221" i="50"/>
  <c r="AK254" i="50"/>
  <c r="AH287" i="50"/>
  <c r="AI285" i="50"/>
  <c r="AJ286" i="50"/>
  <c r="AH89" i="50"/>
  <c r="AN89" i="50" s="1"/>
  <c r="AK229" i="50"/>
  <c r="AH227" i="50"/>
  <c r="AL225" i="50"/>
  <c r="AJ224" i="50"/>
  <c r="AJ265" i="50"/>
  <c r="AK260" i="50"/>
  <c r="AJ256" i="50"/>
  <c r="AK253" i="50"/>
  <c r="AK285" i="50"/>
  <c r="AI276" i="50"/>
  <c r="AI278" i="50"/>
  <c r="AK234" i="50"/>
  <c r="AI238" i="50"/>
  <c r="AJ225" i="50"/>
  <c r="AL246" i="50"/>
  <c r="AH222" i="50"/>
  <c r="AL267" i="50"/>
  <c r="AL272" i="50"/>
  <c r="AL253" i="50"/>
  <c r="AI258" i="50"/>
  <c r="AJ267" i="50"/>
  <c r="AI262" i="50"/>
  <c r="AH276" i="50"/>
  <c r="AN276" i="50" s="1"/>
  <c r="AK279" i="50"/>
  <c r="AI277" i="50"/>
  <c r="AJ282" i="50"/>
  <c r="AL283" i="50"/>
  <c r="AJ279" i="50"/>
  <c r="AK228" i="50"/>
  <c r="AJ230" i="50"/>
  <c r="AZ223" i="50"/>
  <c r="AH238" i="50"/>
  <c r="AN238" i="50" s="1"/>
  <c r="AH239" i="50"/>
  <c r="AN239" i="50" s="1"/>
  <c r="AI249" i="50"/>
  <c r="AI220" i="50"/>
  <c r="AJ237" i="50"/>
  <c r="AK224" i="50"/>
  <c r="AL240" i="50"/>
  <c r="AK244" i="50"/>
  <c r="AK246" i="50"/>
  <c r="AJ222" i="50"/>
  <c r="AL243" i="50"/>
  <c r="AL223" i="50"/>
  <c r="AJ218" i="50"/>
  <c r="AL250" i="50"/>
  <c r="AL268" i="50"/>
  <c r="BD268" i="50" s="1"/>
  <c r="AZ264" i="50"/>
  <c r="AK270" i="50"/>
  <c r="AJ258" i="50"/>
  <c r="AH252" i="50"/>
  <c r="AN252" i="50" s="1"/>
  <c r="AL273" i="50"/>
  <c r="AJ268" i="50"/>
  <c r="AI254" i="50"/>
  <c r="AK258" i="50"/>
  <c r="AI252" i="50"/>
  <c r="AL260" i="50"/>
  <c r="AH251" i="50"/>
  <c r="AN251" i="50" s="1"/>
  <c r="AH262" i="50"/>
  <c r="AN262" i="50" s="1"/>
  <c r="AL264" i="50"/>
  <c r="AI270" i="50"/>
  <c r="AL261" i="50"/>
  <c r="AJ252" i="50"/>
  <c r="AI272" i="50"/>
  <c r="AI273" i="50"/>
  <c r="AL288" i="50"/>
  <c r="AL274" i="50"/>
  <c r="AH284" i="50"/>
  <c r="AN284" i="50" s="1"/>
  <c r="AL276" i="50"/>
  <c r="AJ278" i="50"/>
  <c r="AJ281" i="50"/>
  <c r="AH282" i="50"/>
  <c r="AN282" i="50" s="1"/>
  <c r="AJ233" i="50"/>
  <c r="AJ236" i="50"/>
  <c r="AH230" i="50"/>
  <c r="AN230" i="50" s="1"/>
  <c r="AI233" i="50"/>
  <c r="AJ228" i="50"/>
  <c r="AI231" i="50"/>
  <c r="AH225" i="50"/>
  <c r="AN225" i="50" s="1"/>
  <c r="AI224" i="50"/>
  <c r="AL239" i="50"/>
  <c r="AH249" i="50"/>
  <c r="AN249" i="50" s="1"/>
  <c r="AK245" i="50"/>
  <c r="AH235" i="50"/>
  <c r="AN235" i="50" s="1"/>
  <c r="AK222" i="50"/>
  <c r="AK221" i="50"/>
  <c r="AJ262" i="50"/>
  <c r="AK259" i="50"/>
  <c r="AH261" i="50"/>
  <c r="AN261" i="50" s="1"/>
  <c r="AK252" i="50"/>
  <c r="AJ251" i="50"/>
  <c r="AI253" i="50"/>
  <c r="AK257" i="50"/>
  <c r="AH255" i="50"/>
  <c r="AN255" i="50" s="1"/>
  <c r="AH290" i="50"/>
  <c r="AN290" i="50" s="1"/>
  <c r="AJ276" i="50"/>
  <c r="AI284" i="50"/>
  <c r="AI282" i="50"/>
  <c r="AK277" i="50"/>
  <c r="AK233" i="50"/>
  <c r="AH234" i="50"/>
  <c r="AN234" i="50" s="1"/>
  <c r="AJ231" i="50"/>
  <c r="AK236" i="50"/>
  <c r="AH233" i="50"/>
  <c r="AN233" i="50" s="1"/>
  <c r="AH231" i="50"/>
  <c r="AN231" i="50" s="1"/>
  <c r="AI248" i="50"/>
  <c r="AH226" i="50"/>
  <c r="AN226" i="50" s="1"/>
  <c r="AH218" i="50"/>
  <c r="AN218" i="50" s="1"/>
  <c r="AJ241" i="50"/>
  <c r="AJ243" i="50"/>
  <c r="AJ239" i="50"/>
  <c r="AK248" i="50"/>
  <c r="AJ227" i="50"/>
  <c r="AK237" i="50"/>
  <c r="AI237" i="50"/>
  <c r="AK239" i="50"/>
  <c r="AL248" i="50"/>
  <c r="AJ254" i="50"/>
  <c r="AJ263" i="50"/>
  <c r="AH253" i="50"/>
  <c r="AN253" i="50" s="1"/>
  <c r="AJ255" i="50"/>
  <c r="AL265" i="50"/>
  <c r="AJ266" i="50"/>
  <c r="AH270" i="50"/>
  <c r="AN270" i="50" s="1"/>
  <c r="AJ272" i="50"/>
  <c r="AK269" i="50"/>
  <c r="AL263" i="50"/>
  <c r="AH254" i="50"/>
  <c r="AN254" i="50" s="1"/>
  <c r="AI259" i="50"/>
  <c r="AK284" i="50"/>
  <c r="AI290" i="50"/>
  <c r="AK280" i="50"/>
  <c r="AL278" i="50"/>
  <c r="AO275" i="50"/>
  <c r="AP275" i="50" s="1"/>
  <c r="AI287" i="50"/>
  <c r="AJ288" i="50"/>
  <c r="AL280" i="50"/>
  <c r="AH279" i="50"/>
  <c r="AN279" i="50" s="1"/>
  <c r="AH285" i="50"/>
  <c r="AN285" i="50" s="1"/>
  <c r="AL284" i="50"/>
  <c r="AO196" i="50"/>
  <c r="AK231" i="50"/>
  <c r="AL230" i="50"/>
  <c r="AI234" i="50"/>
  <c r="AJ234" i="50"/>
  <c r="AH228" i="50"/>
  <c r="AN228" i="50" s="1"/>
  <c r="AK227" i="50"/>
  <c r="AH244" i="50"/>
  <c r="AN244" i="50" s="1"/>
  <c r="AJ249" i="50"/>
  <c r="AH221" i="50"/>
  <c r="AN221" i="50" s="1"/>
  <c r="AJ250" i="50"/>
  <c r="AH237" i="50"/>
  <c r="AN237" i="50" s="1"/>
  <c r="AI243" i="50"/>
  <c r="AI223" i="50"/>
  <c r="AI218" i="50"/>
  <c r="AH241" i="50"/>
  <c r="AN241" i="50" s="1"/>
  <c r="AK250" i="50"/>
  <c r="AH250" i="50"/>
  <c r="AN250" i="50" s="1"/>
  <c r="AI246" i="50"/>
  <c r="AK243" i="50"/>
  <c r="AI239" i="50"/>
  <c r="AI241" i="50"/>
  <c r="AJ248" i="50"/>
  <c r="AZ259" i="50"/>
  <c r="AL251" i="50"/>
  <c r="AI256" i="50"/>
  <c r="AJ257" i="50"/>
  <c r="AI265" i="50"/>
  <c r="AH272" i="50"/>
  <c r="AN272" i="50" s="1"/>
  <c r="AH256" i="50"/>
  <c r="AN256" i="50" s="1"/>
  <c r="AI264" i="50"/>
  <c r="AK265" i="50"/>
  <c r="AJ260" i="50"/>
  <c r="AJ283" i="50"/>
  <c r="AL287" i="50"/>
  <c r="AJ285" i="50"/>
  <c r="AH274" i="50"/>
  <c r="AN274" i="50" s="1"/>
  <c r="AJ284" i="50"/>
  <c r="AL279" i="50"/>
  <c r="AH280" i="50"/>
  <c r="AN280" i="50" s="1"/>
  <c r="AL285" i="50"/>
  <c r="AK188" i="50"/>
  <c r="AL190" i="50"/>
  <c r="AK196" i="50"/>
  <c r="AL162" i="50"/>
  <c r="AJ141" i="50"/>
  <c r="AP141" i="50" s="1"/>
  <c r="AL149" i="50"/>
  <c r="AI187" i="50"/>
  <c r="AL187" i="50"/>
  <c r="AK187" i="50"/>
  <c r="AI195" i="50"/>
  <c r="AI197" i="50"/>
  <c r="AO197" i="50" s="1"/>
  <c r="AL196" i="50"/>
  <c r="AK166" i="50"/>
  <c r="AQ166" i="50" s="1"/>
  <c r="AR166" i="50" s="1"/>
  <c r="AI129" i="50"/>
  <c r="AO129" i="50" s="1"/>
  <c r="AH113" i="50"/>
  <c r="AN113" i="50" s="1"/>
  <c r="AL194" i="50"/>
  <c r="AJ194" i="50"/>
  <c r="AI194" i="50"/>
  <c r="AJ187" i="50"/>
  <c r="AH194" i="50"/>
  <c r="AN194" i="50" s="1"/>
  <c r="AJ188" i="50"/>
  <c r="AJ195" i="50"/>
  <c r="AH195" i="50"/>
  <c r="AN195" i="50" s="1"/>
  <c r="AL170" i="50"/>
  <c r="AR170" i="50" s="1"/>
  <c r="AL197" i="50"/>
  <c r="AL174" i="50"/>
  <c r="AR174" i="50" s="1"/>
  <c r="AK191" i="50"/>
  <c r="AQ191" i="50" s="1"/>
  <c r="AJ190" i="50"/>
  <c r="AJ189" i="50"/>
  <c r="AH106" i="50"/>
  <c r="AN106" i="50" s="1"/>
  <c r="AK192" i="50"/>
  <c r="AQ192" i="50" s="1"/>
  <c r="AL165" i="50"/>
  <c r="AR165" i="50" s="1"/>
  <c r="AK160" i="50"/>
  <c r="AQ160" i="50" s="1"/>
  <c r="AL193" i="50"/>
  <c r="AR193" i="50" s="1"/>
  <c r="AK197" i="50"/>
  <c r="AL167" i="50"/>
  <c r="AK195" i="50"/>
  <c r="AK164" i="50"/>
  <c r="AQ164" i="50" s="1"/>
  <c r="AL180" i="50"/>
  <c r="AR180" i="50" s="1"/>
  <c r="AL176" i="50"/>
  <c r="AR176" i="50" s="1"/>
  <c r="AK137" i="50"/>
  <c r="AL195" i="50"/>
  <c r="AL188" i="50"/>
  <c r="AH188" i="50"/>
  <c r="AN188" i="50" s="1"/>
  <c r="AL160" i="50"/>
  <c r="AL164" i="50"/>
  <c r="AL159" i="50"/>
  <c r="AL183" i="50"/>
  <c r="AR183" i="50" s="1"/>
  <c r="AJ196" i="50"/>
  <c r="AH189" i="50"/>
  <c r="AN189" i="50" s="1"/>
  <c r="AJ197" i="50"/>
  <c r="AL177" i="50"/>
  <c r="AR177" i="50" s="1"/>
  <c r="AK199" i="50"/>
  <c r="AQ199" i="50" s="1"/>
  <c r="AK162" i="50"/>
  <c r="AQ162" i="50" s="1"/>
  <c r="AL189" i="50"/>
  <c r="AL200" i="50"/>
  <c r="AR200" i="50" s="1"/>
  <c r="AH187" i="50"/>
  <c r="AN187" i="50" s="1"/>
  <c r="AL179" i="50"/>
  <c r="AR179" i="50" s="1"/>
  <c r="AI190" i="50"/>
  <c r="AO190" i="50" s="1"/>
  <c r="AL172" i="50"/>
  <c r="AR172" i="50" s="1"/>
  <c r="AI189" i="50"/>
  <c r="AL171" i="50"/>
  <c r="AR171" i="50" s="1"/>
  <c r="AK159" i="50"/>
  <c r="AQ159" i="50" s="1"/>
  <c r="AR159" i="50" s="1"/>
  <c r="AL168" i="50"/>
  <c r="AL191" i="50"/>
  <c r="AI188" i="50"/>
  <c r="AK189" i="50"/>
  <c r="AK161" i="50"/>
  <c r="AQ161" i="50" s="1"/>
  <c r="AL192" i="50"/>
  <c r="AL178" i="50"/>
  <c r="AR178" i="50" s="1"/>
  <c r="AL186" i="50"/>
  <c r="AR186" i="50" s="1"/>
  <c r="AK167" i="50"/>
  <c r="AQ167" i="50" s="1"/>
  <c r="AR167" i="50" s="1"/>
  <c r="AJ198" i="50"/>
  <c r="AP198" i="50" s="1"/>
  <c r="AQ198" i="50" s="1"/>
  <c r="AK190" i="50"/>
  <c r="AL173" i="50"/>
  <c r="AR173" i="50" s="1"/>
  <c r="AL161" i="50"/>
  <c r="AL198" i="50"/>
  <c r="AL184" i="50"/>
  <c r="AR184" i="50" s="1"/>
  <c r="AK168" i="50"/>
  <c r="AQ168" i="50" s="1"/>
  <c r="AH105" i="50"/>
  <c r="AN105" i="50" s="1"/>
  <c r="AI123" i="50"/>
  <c r="AO123" i="50" s="1"/>
  <c r="AI105" i="50"/>
  <c r="AK118" i="50"/>
  <c r="AI116" i="50"/>
  <c r="AO116" i="50" s="1"/>
  <c r="AJ120" i="50"/>
  <c r="AI101" i="50"/>
  <c r="AL153" i="50"/>
  <c r="AI110" i="50"/>
  <c r="AH102" i="50"/>
  <c r="AN102" i="50" s="1"/>
  <c r="AI99" i="50"/>
  <c r="AH98" i="50"/>
  <c r="AN98" i="50" s="1"/>
  <c r="AI107" i="50"/>
  <c r="AK123" i="50"/>
  <c r="AJ149" i="50"/>
  <c r="AP149" i="50" s="1"/>
  <c r="AJ148" i="50"/>
  <c r="AP148" i="50" s="1"/>
  <c r="AI104" i="50"/>
  <c r="AK149" i="50"/>
  <c r="AI119" i="50"/>
  <c r="AO119" i="50" s="1"/>
  <c r="AJ122" i="50"/>
  <c r="AK141" i="50"/>
  <c r="AK116" i="50"/>
  <c r="AJ113" i="50"/>
  <c r="AJ143" i="50"/>
  <c r="AP143" i="50" s="1"/>
  <c r="AJ123" i="50"/>
  <c r="AI122" i="50"/>
  <c r="AO122" i="50" s="1"/>
  <c r="AJ111" i="50"/>
  <c r="AI102" i="50"/>
  <c r="AK119" i="50"/>
  <c r="AL147" i="50"/>
  <c r="AL155" i="50"/>
  <c r="AH101" i="50"/>
  <c r="AN101" i="50" s="1"/>
  <c r="AJ142" i="50"/>
  <c r="AP142" i="50" s="1"/>
  <c r="AH99" i="50"/>
  <c r="AN99" i="50" s="1"/>
  <c r="AJ136" i="50"/>
  <c r="AP136" i="50" s="1"/>
  <c r="AH104" i="50"/>
  <c r="AN104" i="50" s="1"/>
  <c r="AK153" i="50"/>
  <c r="AQ153" i="50" s="1"/>
  <c r="AL154" i="50"/>
  <c r="AR154" i="50" s="1"/>
  <c r="AH96" i="50"/>
  <c r="AN96" i="50" s="1"/>
  <c r="AO96" i="50" s="1"/>
  <c r="AI98" i="50"/>
  <c r="AJ137" i="50"/>
  <c r="AP137" i="50" s="1"/>
  <c r="AJ117" i="50"/>
  <c r="AH112" i="50"/>
  <c r="AN112" i="50" s="1"/>
  <c r="AK143" i="50"/>
  <c r="AL142" i="50"/>
  <c r="AL141" i="50"/>
  <c r="AK152" i="50"/>
  <c r="AQ152" i="50" s="1"/>
  <c r="AK155" i="50"/>
  <c r="AQ155" i="50" s="1"/>
  <c r="AH90" i="50"/>
  <c r="AN90" i="50" s="1"/>
  <c r="AI100" i="50"/>
  <c r="AK120" i="50"/>
  <c r="AI113" i="50"/>
  <c r="AH111" i="50"/>
  <c r="AN111" i="50" s="1"/>
  <c r="AO111" i="50" s="1"/>
  <c r="AJ116" i="50"/>
  <c r="AH110" i="50"/>
  <c r="AN110" i="50" s="1"/>
  <c r="AJ119" i="50"/>
  <c r="AL140" i="50"/>
  <c r="AK158" i="50"/>
  <c r="AQ158" i="50" s="1"/>
  <c r="AK146" i="50"/>
  <c r="AQ146" i="50" s="1"/>
  <c r="AJ147" i="50"/>
  <c r="AP147" i="50" s="1"/>
  <c r="AQ147" i="50" s="1"/>
  <c r="AH95" i="50"/>
  <c r="AN95" i="50" s="1"/>
  <c r="AO95" i="50" s="1"/>
  <c r="AH107" i="50"/>
  <c r="AN107" i="50" s="1"/>
  <c r="AI130" i="50"/>
  <c r="AO130" i="50" s="1"/>
  <c r="AI106" i="50"/>
  <c r="AJ110" i="50"/>
  <c r="AJ107" i="50"/>
  <c r="AJ114" i="50"/>
  <c r="AJ118" i="50"/>
  <c r="AK122" i="50"/>
  <c r="AJ112" i="50"/>
  <c r="AL138" i="50"/>
  <c r="AJ150" i="50"/>
  <c r="AP150" i="50" s="1"/>
  <c r="AL144" i="50"/>
  <c r="AL146" i="50"/>
  <c r="AL148" i="50"/>
  <c r="AL152" i="50"/>
  <c r="AH88" i="50"/>
  <c r="AN88" i="50" s="1"/>
  <c r="AI120" i="50"/>
  <c r="AO120" i="50" s="1"/>
  <c r="AP120" i="50" s="1"/>
  <c r="AH114" i="50"/>
  <c r="AN114" i="50" s="1"/>
  <c r="AI112" i="50"/>
  <c r="AI128" i="50"/>
  <c r="AO128" i="50" s="1"/>
  <c r="AI118" i="50"/>
  <c r="AO118" i="50" s="1"/>
  <c r="AJ129" i="50"/>
  <c r="AJ106" i="50"/>
  <c r="AJ130" i="50"/>
  <c r="AH108" i="50"/>
  <c r="AN108" i="50" s="1"/>
  <c r="AO108" i="50" s="1"/>
  <c r="AP108" i="50" s="1"/>
  <c r="AK130" i="50"/>
  <c r="AH100" i="50"/>
  <c r="AN100" i="50" s="1"/>
  <c r="AI114" i="50"/>
  <c r="AI117" i="50"/>
  <c r="AO117" i="50" s="1"/>
  <c r="AP117" i="50" s="1"/>
  <c r="AK117" i="50"/>
  <c r="AK140" i="50"/>
  <c r="AQ140" i="50" s="1"/>
  <c r="AK138" i="50"/>
  <c r="AJ138" i="50"/>
  <c r="AP138" i="50" s="1"/>
  <c r="AK142" i="50"/>
  <c r="AL143" i="50"/>
  <c r="AL158" i="50"/>
  <c r="AJ144" i="50"/>
  <c r="AP144" i="50" s="1"/>
  <c r="AK144" i="50"/>
  <c r="AL150" i="50"/>
  <c r="AK148" i="50"/>
  <c r="AM61" i="42"/>
  <c r="BI61" i="42" s="1"/>
  <c r="AH124" i="50"/>
  <c r="AJ94" i="50"/>
  <c r="AK88" i="50"/>
  <c r="AJ101" i="50"/>
  <c r="AJ64" i="42"/>
  <c r="AM62" i="42"/>
  <c r="BI62" i="42" s="1"/>
  <c r="AJ105" i="50"/>
  <c r="AL104" i="50"/>
  <c r="AL134" i="50"/>
  <c r="AL62" i="42"/>
  <c r="BH62" i="42" s="1"/>
  <c r="AN63" i="42"/>
  <c r="BJ63" i="42" s="1"/>
  <c r="AK110" i="50"/>
  <c r="AK75" i="50"/>
  <c r="AJ127" i="50"/>
  <c r="AI86" i="50"/>
  <c r="AH125" i="50"/>
  <c r="AJ67" i="50"/>
  <c r="AJ63" i="50"/>
  <c r="AK111" i="50"/>
  <c r="AK94" i="50"/>
  <c r="AL72" i="50"/>
  <c r="AL137" i="50"/>
  <c r="AL99" i="50"/>
  <c r="AH70" i="50"/>
  <c r="AN70" i="50" s="1"/>
  <c r="AL133" i="50"/>
  <c r="AJ91" i="50"/>
  <c r="AN62" i="42"/>
  <c r="BJ62" i="42" s="1"/>
  <c r="AN65" i="42"/>
  <c r="BJ65" i="42" s="1"/>
  <c r="AL65" i="42"/>
  <c r="BH65" i="42" s="1"/>
  <c r="AL63" i="42"/>
  <c r="BH63" i="42" s="1"/>
  <c r="AJ62" i="42"/>
  <c r="AJ65" i="42"/>
  <c r="AP65" i="42" s="1"/>
  <c r="AM64" i="42"/>
  <c r="BI64" i="42" s="1"/>
  <c r="AK65" i="42"/>
  <c r="BG65" i="42" s="1"/>
  <c r="AM65" i="42"/>
  <c r="BI65" i="42" s="1"/>
  <c r="AJ61" i="42"/>
  <c r="AJ63" i="42"/>
  <c r="AP63" i="42" s="1"/>
  <c r="AL61" i="42"/>
  <c r="BH61" i="42" s="1"/>
  <c r="AN61" i="42"/>
  <c r="BJ61" i="42" s="1"/>
  <c r="AM63" i="42"/>
  <c r="BI63" i="42" s="1"/>
  <c r="AN64" i="42"/>
  <c r="BJ64" i="42" s="1"/>
  <c r="AK63" i="42"/>
  <c r="BG63" i="42" s="1"/>
  <c r="AL64" i="42"/>
  <c r="BH64" i="42" s="1"/>
  <c r="AK61" i="42"/>
  <c r="AK62" i="42"/>
  <c r="AK64" i="42"/>
  <c r="AI64" i="50"/>
  <c r="AK77" i="50"/>
  <c r="AL63" i="50"/>
  <c r="AI62" i="50"/>
  <c r="AL88" i="50"/>
  <c r="AK64" i="50"/>
  <c r="AL70" i="50"/>
  <c r="AL128" i="50"/>
  <c r="AH87" i="50"/>
  <c r="AN87" i="50" s="1"/>
  <c r="AJ87" i="50"/>
  <c r="AJ71" i="50"/>
  <c r="AK133" i="50"/>
  <c r="AL115" i="50"/>
  <c r="AJ66" i="50"/>
  <c r="AJ135" i="50"/>
  <c r="AP135" i="50" s="1"/>
  <c r="AJ90" i="50"/>
  <c r="AJ82" i="50"/>
  <c r="AL127" i="50"/>
  <c r="AK112" i="50"/>
  <c r="AK86" i="50"/>
  <c r="AK71" i="50"/>
  <c r="AJ134" i="50"/>
  <c r="AP134" i="50" s="1"/>
  <c r="AL79" i="50"/>
  <c r="AI79" i="50"/>
  <c r="AJ77" i="50"/>
  <c r="AK83" i="50"/>
  <c r="AK66" i="50"/>
  <c r="AI127" i="50"/>
  <c r="AL126" i="50"/>
  <c r="AH63" i="50"/>
  <c r="AN63" i="50" s="1"/>
  <c r="AJ133" i="50"/>
  <c r="AL105" i="50"/>
  <c r="AJ102" i="50"/>
  <c r="AK103" i="50"/>
  <c r="AK134" i="50"/>
  <c r="AL97" i="50"/>
  <c r="AL114" i="50"/>
  <c r="AJ89" i="50"/>
  <c r="AJ132" i="50"/>
  <c r="AP132" i="50" s="1"/>
  <c r="AH78" i="50"/>
  <c r="AN78" i="50" s="1"/>
  <c r="AL75" i="50"/>
  <c r="AL64" i="50"/>
  <c r="AK89" i="50"/>
  <c r="AI87" i="50"/>
  <c r="AI69" i="50"/>
  <c r="AH64" i="50"/>
  <c r="AN64" i="50" s="1"/>
  <c r="AJ95" i="50"/>
  <c r="AL71" i="50"/>
  <c r="AJ81" i="50"/>
  <c r="AJ75" i="50"/>
  <c r="AI133" i="50"/>
  <c r="AH132" i="50"/>
  <c r="AJ84" i="50"/>
  <c r="AJ80" i="50"/>
  <c r="AJ74" i="50"/>
  <c r="AH62" i="50"/>
  <c r="AN62" i="50" s="1"/>
  <c r="AL132" i="50"/>
  <c r="AI82" i="50"/>
  <c r="AL101" i="50"/>
  <c r="AH72" i="50"/>
  <c r="AN72" i="50" s="1"/>
  <c r="AK104" i="50"/>
  <c r="AL123" i="50"/>
  <c r="AJ124" i="50"/>
  <c r="AL124" i="50"/>
  <c r="AL90" i="50"/>
  <c r="AH77" i="50"/>
  <c r="AN77" i="50" s="1"/>
  <c r="AK109" i="50"/>
  <c r="AL67" i="50"/>
  <c r="AL108" i="50"/>
  <c r="AJ99" i="50"/>
  <c r="AK114" i="50"/>
  <c r="AL80" i="50"/>
  <c r="AL100" i="50"/>
  <c r="AI89" i="50"/>
  <c r="AK131" i="50"/>
  <c r="AL113" i="50"/>
  <c r="AL91" i="50"/>
  <c r="AK90" i="50"/>
  <c r="AK127" i="50"/>
  <c r="AH75" i="50"/>
  <c r="AN75" i="50" s="1"/>
  <c r="AI68" i="50"/>
  <c r="AJ103" i="50"/>
  <c r="AJ76" i="50"/>
  <c r="AK100" i="50"/>
  <c r="AL131" i="50"/>
  <c r="AL107" i="50"/>
  <c r="AL135" i="50"/>
  <c r="AJ73" i="50"/>
  <c r="AK128" i="50"/>
  <c r="AJ92" i="50"/>
  <c r="AJ70" i="50"/>
  <c r="AL87" i="50"/>
  <c r="AL118" i="50"/>
  <c r="AH81" i="50"/>
  <c r="AN81" i="50" s="1"/>
  <c r="AH65" i="50"/>
  <c r="AN65" i="50" s="1"/>
  <c r="AO65" i="50" s="1"/>
  <c r="AP65" i="50" s="1"/>
  <c r="AL65" i="50"/>
  <c r="AH69" i="50"/>
  <c r="AN69" i="50" s="1"/>
  <c r="AO69" i="50" s="1"/>
  <c r="AK69" i="50"/>
  <c r="AK85" i="50"/>
  <c r="AI77" i="50"/>
  <c r="AI90" i="50"/>
  <c r="AL111" i="50"/>
  <c r="AI75" i="50"/>
  <c r="AL106" i="50"/>
  <c r="AL130" i="50"/>
  <c r="AK63" i="50"/>
  <c r="AL76" i="50"/>
  <c r="AL85" i="50"/>
  <c r="AK132" i="50"/>
  <c r="AH74" i="50"/>
  <c r="AN74" i="50" s="1"/>
  <c r="AI66" i="50"/>
  <c r="AH80" i="50"/>
  <c r="AN80" i="50" s="1"/>
  <c r="AJ86" i="50"/>
  <c r="AI88" i="50"/>
  <c r="AJ98" i="50"/>
  <c r="AK106" i="50"/>
  <c r="AI134" i="50"/>
  <c r="AL73" i="50"/>
  <c r="AJ78" i="50"/>
  <c r="AH82" i="50"/>
  <c r="AN82" i="50" s="1"/>
  <c r="AK126" i="50"/>
  <c r="AI71" i="50"/>
  <c r="AK78" i="50"/>
  <c r="AL94" i="50"/>
  <c r="AL136" i="50"/>
  <c r="AL129" i="50"/>
  <c r="AH85" i="50"/>
  <c r="AK97" i="50"/>
  <c r="AK105" i="50"/>
  <c r="AL121" i="50"/>
  <c r="AL81" i="50"/>
  <c r="AI85" i="50"/>
  <c r="AL95" i="50"/>
  <c r="AL125" i="50"/>
  <c r="AH133" i="50"/>
  <c r="AJ69" i="50"/>
  <c r="AI131" i="50"/>
  <c r="AO131" i="50" s="1"/>
  <c r="AP131" i="50" s="1"/>
  <c r="AK65" i="50"/>
  <c r="AI124" i="50"/>
  <c r="AO124" i="50" s="1"/>
  <c r="AP124" i="50" s="1"/>
  <c r="AJ125" i="50"/>
  <c r="AL74" i="50"/>
  <c r="AK73" i="50"/>
  <c r="AL68" i="50"/>
  <c r="AK136" i="50"/>
  <c r="AI76" i="50"/>
  <c r="AL66" i="50"/>
  <c r="AJ97" i="50"/>
  <c r="AJ88" i="50"/>
  <c r="AK68" i="50"/>
  <c r="AK76" i="50"/>
  <c r="AI70" i="50"/>
  <c r="AJ72" i="50"/>
  <c r="AJ104" i="50"/>
  <c r="AH86" i="50"/>
  <c r="AN86" i="50" s="1"/>
  <c r="AK92" i="50"/>
  <c r="AH126" i="50"/>
  <c r="AI67" i="50"/>
  <c r="BA67" i="50" s="1"/>
  <c r="AI72" i="50"/>
  <c r="AJ100" i="50"/>
  <c r="AJ126" i="50"/>
  <c r="AK72" i="50"/>
  <c r="AL78" i="50"/>
  <c r="AK96" i="50"/>
  <c r="AK102" i="50"/>
  <c r="AI81" i="50"/>
  <c r="AI93" i="50"/>
  <c r="AO93" i="50" s="1"/>
  <c r="AK107" i="50"/>
  <c r="AI125" i="50"/>
  <c r="AO125" i="50" s="1"/>
  <c r="AP125" i="50" s="1"/>
  <c r="AK81" i="50"/>
  <c r="AJ85" i="50"/>
  <c r="AK95" i="50"/>
  <c r="AL69" i="50"/>
  <c r="AH131" i="50"/>
  <c r="AK124" i="50"/>
  <c r="AL109" i="50"/>
  <c r="AL77" i="50"/>
  <c r="AL86" i="50"/>
  <c r="AK70" i="50"/>
  <c r="AI74" i="50"/>
  <c r="AH83" i="50"/>
  <c r="AN83" i="50" s="1"/>
  <c r="AL120" i="50"/>
  <c r="AL96" i="50"/>
  <c r="AI84" i="50"/>
  <c r="AK74" i="50"/>
  <c r="AK62" i="50"/>
  <c r="AK125" i="50"/>
  <c r="AL122" i="50"/>
  <c r="AL84" i="50"/>
  <c r="AI73" i="50"/>
  <c r="AL117" i="50"/>
  <c r="AJ62" i="50"/>
  <c r="AK84" i="50"/>
  <c r="AL102" i="50"/>
  <c r="AI80" i="50"/>
  <c r="AI78" i="50"/>
  <c r="AJ96" i="50"/>
  <c r="AL112" i="50"/>
  <c r="AH67" i="50"/>
  <c r="AK93" i="50"/>
  <c r="AJ79" i="50"/>
  <c r="AK91" i="50"/>
  <c r="AK99" i="50"/>
  <c r="AH79" i="50"/>
  <c r="AJ83" i="50"/>
  <c r="AK87" i="50"/>
  <c r="AL89" i="50"/>
  <c r="AL93" i="50"/>
  <c r="AL103" i="50"/>
  <c r="AK129" i="50"/>
  <c r="AI83" i="50"/>
  <c r="AH68" i="50"/>
  <c r="AN68" i="50" s="1"/>
  <c r="AH73" i="50"/>
  <c r="AJ64" i="50"/>
  <c r="AI63" i="50"/>
  <c r="AI92" i="50"/>
  <c r="AO92" i="50" s="1"/>
  <c r="AH76" i="50"/>
  <c r="AN76" i="50" s="1"/>
  <c r="AH66" i="50"/>
  <c r="AN66" i="50" s="1"/>
  <c r="AL119" i="50"/>
  <c r="AL110" i="50"/>
  <c r="AJ68" i="50"/>
  <c r="AK108" i="50"/>
  <c r="AL62" i="50"/>
  <c r="AH84" i="50"/>
  <c r="AN84" i="50" s="1"/>
  <c r="AO84" i="50" s="1"/>
  <c r="AI94" i="50"/>
  <c r="AO94" i="50" s="1"/>
  <c r="AI126" i="50"/>
  <c r="AO126" i="50" s="1"/>
  <c r="AJ128" i="50"/>
  <c r="AH71" i="50"/>
  <c r="AN71" i="50" s="1"/>
  <c r="AK80" i="50"/>
  <c r="AK98" i="50"/>
  <c r="AL116" i="50"/>
  <c r="AL92" i="50"/>
  <c r="AL98" i="50"/>
  <c r="AK79" i="50"/>
  <c r="AL83" i="50"/>
  <c r="AI91" i="50"/>
  <c r="AK113" i="50"/>
  <c r="AK135" i="50"/>
  <c r="AJ93" i="50"/>
  <c r="AR199" i="50" l="1"/>
  <c r="AP94" i="50"/>
  <c r="AO62" i="50"/>
  <c r="AQ150" i="50"/>
  <c r="BA303" i="50"/>
  <c r="BF72" i="42"/>
  <c r="BG70" i="42"/>
  <c r="AT75" i="42"/>
  <c r="AX69" i="42"/>
  <c r="BN69" i="42" s="1"/>
  <c r="AR72" i="42"/>
  <c r="AS72" i="42" s="1"/>
  <c r="AT72" i="42" s="1"/>
  <c r="AR68" i="42"/>
  <c r="AS68" i="42" s="1"/>
  <c r="AT68" i="42" s="1"/>
  <c r="BF68" i="42"/>
  <c r="BN68" i="42" s="1"/>
  <c r="BG72" i="42"/>
  <c r="BH71" i="42"/>
  <c r="BG75" i="42"/>
  <c r="AR70" i="42"/>
  <c r="AS70" i="42" s="1"/>
  <c r="AT70" i="42" s="1"/>
  <c r="BB70" i="42" s="1"/>
  <c r="AS78" i="42"/>
  <c r="AT78" i="42" s="1"/>
  <c r="BB78" i="42" s="1"/>
  <c r="BR78" i="42" s="1"/>
  <c r="BZ78" i="42" s="1"/>
  <c r="AY73" i="42"/>
  <c r="BG73" i="42"/>
  <c r="BG77" i="42"/>
  <c r="AP294" i="50"/>
  <c r="AQ294" i="50" s="1"/>
  <c r="AR294" i="50" s="1"/>
  <c r="BD294" i="50" s="1"/>
  <c r="AR295" i="50"/>
  <c r="BD295" i="50" s="1"/>
  <c r="AP291" i="50"/>
  <c r="BB291" i="50" s="1"/>
  <c r="AP305" i="50"/>
  <c r="AQ305" i="50" s="1"/>
  <c r="AR305" i="50" s="1"/>
  <c r="BD305" i="50" s="1"/>
  <c r="BP71" i="42"/>
  <c r="AQ79" i="42"/>
  <c r="AP232" i="50"/>
  <c r="AQ232" i="50" s="1"/>
  <c r="AR232" i="50" s="1"/>
  <c r="BD232" i="50" s="1"/>
  <c r="O105" i="66"/>
  <c r="BH70" i="42"/>
  <c r="AT74" i="42"/>
  <c r="BB74" i="42" s="1"/>
  <c r="BR74" i="42" s="1"/>
  <c r="BZ74" i="42" s="1"/>
  <c r="AQ63" i="42"/>
  <c r="AR63" i="42" s="1"/>
  <c r="AS63" i="42" s="1"/>
  <c r="AT63" i="42" s="1"/>
  <c r="BF64" i="42"/>
  <c r="AP64" i="42"/>
  <c r="AQ64" i="42" s="1"/>
  <c r="AR64" i="42" s="1"/>
  <c r="AS64" i="42" s="1"/>
  <c r="AT64" i="42" s="1"/>
  <c r="AS69" i="42"/>
  <c r="AT69" i="42" s="1"/>
  <c r="AT77" i="42"/>
  <c r="BB77" i="42" s="1"/>
  <c r="BR77" i="42" s="1"/>
  <c r="BZ77" i="42" s="1"/>
  <c r="BF61" i="42"/>
  <c r="AP61" i="42"/>
  <c r="AQ61" i="42" s="1"/>
  <c r="AR61" i="42" s="1"/>
  <c r="AS61" i="42" s="1"/>
  <c r="AT61" i="42" s="1"/>
  <c r="AQ65" i="42"/>
  <c r="AR65" i="42" s="1"/>
  <c r="AS65" i="42" s="1"/>
  <c r="AT65" i="42" s="1"/>
  <c r="AS71" i="42"/>
  <c r="AT71" i="42" s="1"/>
  <c r="AS67" i="42"/>
  <c r="AT67" i="42" s="1"/>
  <c r="AP62" i="42"/>
  <c r="AQ62" i="42" s="1"/>
  <c r="AR62" i="42" s="1"/>
  <c r="AS62" i="42" s="1"/>
  <c r="AT62" i="42" s="1"/>
  <c r="B511" i="40"/>
  <c r="B229" i="65"/>
  <c r="BC295" i="50"/>
  <c r="BO73" i="42"/>
  <c r="AZ74" i="42"/>
  <c r="BP74" i="42" s="1"/>
  <c r="AZ243" i="50"/>
  <c r="AN222" i="50"/>
  <c r="AZ222" i="50" s="1"/>
  <c r="AN286" i="50"/>
  <c r="AO286" i="50" s="1"/>
  <c r="AN248" i="50"/>
  <c r="AZ248" i="50" s="1"/>
  <c r="AP292" i="50"/>
  <c r="AQ292" i="50" s="1"/>
  <c r="AR292" i="50" s="1"/>
  <c r="BD292" i="50" s="1"/>
  <c r="BA305" i="50"/>
  <c r="AO306" i="50"/>
  <c r="AP306" i="50" s="1"/>
  <c r="AN268" i="50"/>
  <c r="AO268" i="50" s="1"/>
  <c r="AO302" i="50"/>
  <c r="AP302" i="50" s="1"/>
  <c r="AN287" i="50"/>
  <c r="AZ287" i="50" s="1"/>
  <c r="AN227" i="50"/>
  <c r="AO227" i="50" s="1"/>
  <c r="BA227" i="50" s="1"/>
  <c r="AN224" i="50"/>
  <c r="AZ224" i="50" s="1"/>
  <c r="AN267" i="50"/>
  <c r="AO267" i="50" s="1"/>
  <c r="AN246" i="50"/>
  <c r="AZ246" i="50" s="1"/>
  <c r="AY78" i="42"/>
  <c r="BO78" i="42" s="1"/>
  <c r="AZ76" i="42"/>
  <c r="BP76" i="42" s="1"/>
  <c r="BN72" i="42"/>
  <c r="AP303" i="50"/>
  <c r="AQ303" i="50" s="1"/>
  <c r="AR303" i="50" s="1"/>
  <c r="BD303" i="50" s="1"/>
  <c r="AO304" i="50"/>
  <c r="AP304" i="50" s="1"/>
  <c r="AQ304" i="50" s="1"/>
  <c r="AR304" i="50" s="1"/>
  <c r="BD304" i="50" s="1"/>
  <c r="AN245" i="50"/>
  <c r="AO245" i="50" s="1"/>
  <c r="AQ293" i="50"/>
  <c r="AR293" i="50" s="1"/>
  <c r="BD293" i="50" s="1"/>
  <c r="AO300" i="50"/>
  <c r="AP300" i="50" s="1"/>
  <c r="AO301" i="50"/>
  <c r="AP301" i="50" s="1"/>
  <c r="BB294" i="50"/>
  <c r="BA294" i="50"/>
  <c r="BA295" i="50"/>
  <c r="AZ258" i="50"/>
  <c r="AO281" i="50"/>
  <c r="N101" i="66" s="1"/>
  <c r="AO257" i="50"/>
  <c r="BA257" i="50" s="1"/>
  <c r="AZ229" i="50"/>
  <c r="BA292" i="50"/>
  <c r="BA293" i="50"/>
  <c r="AO298" i="50"/>
  <c r="N102" i="66" s="1"/>
  <c r="AO296" i="50"/>
  <c r="AP296" i="50" s="1"/>
  <c r="BB293" i="50"/>
  <c r="BB295" i="50"/>
  <c r="BC294" i="50"/>
  <c r="BA291" i="50"/>
  <c r="AO297" i="50"/>
  <c r="AP297" i="50" s="1"/>
  <c r="AQ297" i="50" s="1"/>
  <c r="AO299" i="50"/>
  <c r="AP299" i="50" s="1"/>
  <c r="BF74" i="42"/>
  <c r="AX74" i="42"/>
  <c r="AY67" i="42"/>
  <c r="BO67" i="42" s="1"/>
  <c r="BH72" i="42"/>
  <c r="BF67" i="42"/>
  <c r="AX67" i="42"/>
  <c r="BH75" i="42"/>
  <c r="BI70" i="42"/>
  <c r="BJ70" i="42"/>
  <c r="BA77" i="42"/>
  <c r="BQ77" i="42" s="1"/>
  <c r="BO75" i="42"/>
  <c r="BN71" i="42"/>
  <c r="BH73" i="42"/>
  <c r="BJ71" i="42"/>
  <c r="BF70" i="42"/>
  <c r="AX70" i="42"/>
  <c r="BI79" i="42"/>
  <c r="BH68" i="42"/>
  <c r="AY77" i="42"/>
  <c r="AY76" i="42"/>
  <c r="BO76" i="42" s="1"/>
  <c r="BF77" i="42"/>
  <c r="AX77" i="42"/>
  <c r="AZ67" i="42"/>
  <c r="BP67" i="42" s="1"/>
  <c r="BI71" i="42"/>
  <c r="AX76" i="42"/>
  <c r="BF76" i="42"/>
  <c r="BG68" i="42"/>
  <c r="BB71" i="42"/>
  <c r="BI67" i="42"/>
  <c r="BF79" i="42"/>
  <c r="AX79" i="42"/>
  <c r="BA76" i="42"/>
  <c r="BQ76" i="42" s="1"/>
  <c r="AY70" i="42"/>
  <c r="BO70" i="42" s="1"/>
  <c r="BF75" i="42"/>
  <c r="AX75" i="42"/>
  <c r="AZ77" i="42"/>
  <c r="BP77" i="42" s="1"/>
  <c r="BI69" i="42"/>
  <c r="AY71" i="42"/>
  <c r="BO71" i="42" s="1"/>
  <c r="BN78" i="42"/>
  <c r="AY74" i="42"/>
  <c r="BO74" i="42" s="1"/>
  <c r="BG69" i="42"/>
  <c r="AX73" i="42"/>
  <c r="BF73" i="42"/>
  <c r="AY72" i="42"/>
  <c r="AZ78" i="42"/>
  <c r="BP78" i="42" s="1"/>
  <c r="BA74" i="42"/>
  <c r="BQ74" i="42" s="1"/>
  <c r="AO89" i="50"/>
  <c r="AP89" i="50" s="1"/>
  <c r="AQ89" i="50" s="1"/>
  <c r="AR89" i="50" s="1"/>
  <c r="AQ275" i="50"/>
  <c r="AR275" i="50" s="1"/>
  <c r="BD275" i="50" s="1"/>
  <c r="AO277" i="50"/>
  <c r="AP277" i="50" s="1"/>
  <c r="BB277" i="50" s="1"/>
  <c r="AO269" i="50"/>
  <c r="AP269" i="50" s="1"/>
  <c r="BB269" i="50" s="1"/>
  <c r="AO236" i="50"/>
  <c r="BA236" i="50" s="1"/>
  <c r="AO220" i="50"/>
  <c r="AP220" i="50" s="1"/>
  <c r="AQ220" i="50" s="1"/>
  <c r="AR220" i="50" s="1"/>
  <c r="BD220" i="50" s="1"/>
  <c r="AO288" i="50"/>
  <c r="BA288" i="50" s="1"/>
  <c r="AO240" i="50"/>
  <c r="AP240" i="50" s="1"/>
  <c r="AQ240" i="50" s="1"/>
  <c r="AR240" i="50" s="1"/>
  <c r="BD240" i="50" s="1"/>
  <c r="AZ236" i="50"/>
  <c r="BA232" i="50"/>
  <c r="AZ275" i="50"/>
  <c r="BA275" i="50"/>
  <c r="AO66" i="50"/>
  <c r="AP66" i="50" s="1"/>
  <c r="AQ66" i="50" s="1"/>
  <c r="AR66" i="50" s="1"/>
  <c r="AQ131" i="50"/>
  <c r="AR131" i="50" s="1"/>
  <c r="AP111" i="50"/>
  <c r="AQ111" i="50" s="1"/>
  <c r="AR111" i="50" s="1"/>
  <c r="AO105" i="50"/>
  <c r="AP105" i="50" s="1"/>
  <c r="AQ105" i="50" s="1"/>
  <c r="AR105" i="50" s="1"/>
  <c r="BD105" i="50" s="1"/>
  <c r="AO194" i="50"/>
  <c r="AP194" i="50" s="1"/>
  <c r="AQ194" i="50" s="1"/>
  <c r="AR194" i="50" s="1"/>
  <c r="BD194" i="50" s="1"/>
  <c r="AQ142" i="50"/>
  <c r="AR142" i="50" s="1"/>
  <c r="AO188" i="50"/>
  <c r="AP188" i="50" s="1"/>
  <c r="AQ188" i="50" s="1"/>
  <c r="AR188" i="50" s="1"/>
  <c r="AO75" i="50"/>
  <c r="AP75" i="50" s="1"/>
  <c r="AQ75" i="50" s="1"/>
  <c r="AR75" i="50" s="1"/>
  <c r="AP62" i="50"/>
  <c r="AO78" i="50"/>
  <c r="AP78" i="50" s="1"/>
  <c r="AQ78" i="50" s="1"/>
  <c r="AR78" i="50" s="1"/>
  <c r="AR155" i="50"/>
  <c r="BD155" i="50" s="1"/>
  <c r="AO101" i="50"/>
  <c r="BA101" i="50" s="1"/>
  <c r="AO195" i="50"/>
  <c r="AP195" i="50" s="1"/>
  <c r="AQ195" i="50" s="1"/>
  <c r="AR195" i="50" s="1"/>
  <c r="AZ288" i="50"/>
  <c r="AZ281" i="50"/>
  <c r="AZ240" i="50"/>
  <c r="AZ257" i="50"/>
  <c r="AZ232" i="50"/>
  <c r="AO276" i="50"/>
  <c r="AP276" i="50" s="1"/>
  <c r="AQ276" i="50" s="1"/>
  <c r="AR276" i="50" s="1"/>
  <c r="BD276" i="50" s="1"/>
  <c r="AO88" i="50"/>
  <c r="AP88" i="50" s="1"/>
  <c r="AQ88" i="50" s="1"/>
  <c r="AR88" i="50" s="1"/>
  <c r="AQ137" i="50"/>
  <c r="AR137" i="50" s="1"/>
  <c r="AP116" i="50"/>
  <c r="AQ116" i="50" s="1"/>
  <c r="AR116" i="50" s="1"/>
  <c r="AP93" i="50"/>
  <c r="AQ93" i="50" s="1"/>
  <c r="AR93" i="50" s="1"/>
  <c r="BD93" i="50" s="1"/>
  <c r="AQ94" i="50"/>
  <c r="AR94" i="50" s="1"/>
  <c r="AO80" i="50"/>
  <c r="AP80" i="50" s="1"/>
  <c r="AQ80" i="50" s="1"/>
  <c r="AO104" i="50"/>
  <c r="AP104" i="50" s="1"/>
  <c r="AQ104" i="50" s="1"/>
  <c r="AR104" i="50" s="1"/>
  <c r="AR168" i="50"/>
  <c r="AR192" i="50"/>
  <c r="BD192" i="50" s="1"/>
  <c r="AR191" i="50"/>
  <c r="AO278" i="50"/>
  <c r="AP278" i="50" s="1"/>
  <c r="AQ278" i="50" s="1"/>
  <c r="BC278" i="50" s="1"/>
  <c r="AP196" i="50"/>
  <c r="AQ196" i="50" s="1"/>
  <c r="AR196" i="50" s="1"/>
  <c r="BD196" i="50" s="1"/>
  <c r="AZ227" i="50"/>
  <c r="AP263" i="50"/>
  <c r="AQ263" i="50" s="1"/>
  <c r="AR263" i="50" s="1"/>
  <c r="BD263" i="50" s="1"/>
  <c r="AO76" i="50"/>
  <c r="AP76" i="50" s="1"/>
  <c r="AQ76" i="50" s="1"/>
  <c r="AR76" i="50" s="1"/>
  <c r="AO83" i="50"/>
  <c r="AP83" i="50" s="1"/>
  <c r="AQ83" i="50" s="1"/>
  <c r="AR83" i="50" s="1"/>
  <c r="AQ125" i="50"/>
  <c r="AR125" i="50" s="1"/>
  <c r="BD125" i="50" s="1"/>
  <c r="AO82" i="50"/>
  <c r="AP82" i="50" s="1"/>
  <c r="AQ82" i="50" s="1"/>
  <c r="AR82" i="50" s="1"/>
  <c r="AO72" i="50"/>
  <c r="AP72" i="50" s="1"/>
  <c r="AQ72" i="50" s="1"/>
  <c r="AR72" i="50" s="1"/>
  <c r="BD72" i="50" s="1"/>
  <c r="AR140" i="50"/>
  <c r="BD140" i="50" s="1"/>
  <c r="AO100" i="50"/>
  <c r="AP100" i="50" s="1"/>
  <c r="AQ100" i="50" s="1"/>
  <c r="AR100" i="50" s="1"/>
  <c r="AR147" i="50"/>
  <c r="AQ143" i="50"/>
  <c r="AR143" i="50" s="1"/>
  <c r="AQ148" i="50"/>
  <c r="AR148" i="50" s="1"/>
  <c r="AP190" i="50"/>
  <c r="AQ190" i="50" s="1"/>
  <c r="AR190" i="50" s="1"/>
  <c r="AO71" i="50"/>
  <c r="AP71" i="50" s="1"/>
  <c r="AQ71" i="50" s="1"/>
  <c r="AR71" i="50" s="1"/>
  <c r="AP92" i="50"/>
  <c r="AQ92" i="50" s="1"/>
  <c r="AQ124" i="50"/>
  <c r="AR124" i="50" s="1"/>
  <c r="AQ65" i="50"/>
  <c r="AR65" i="50" s="1"/>
  <c r="AQ132" i="50"/>
  <c r="AR132" i="50" s="1"/>
  <c r="BD132" i="50" s="1"/>
  <c r="AR146" i="50"/>
  <c r="AQ149" i="50"/>
  <c r="AR149" i="50" s="1"/>
  <c r="AR162" i="50"/>
  <c r="AO189" i="50"/>
  <c r="AP189" i="50" s="1"/>
  <c r="AQ189" i="50" s="1"/>
  <c r="AR189" i="50" s="1"/>
  <c r="AO259" i="50"/>
  <c r="AP259" i="50" s="1"/>
  <c r="AQ259" i="50" s="1"/>
  <c r="AR259" i="50" s="1"/>
  <c r="BD259" i="50" s="1"/>
  <c r="AZ277" i="50"/>
  <c r="AO273" i="50"/>
  <c r="AP273" i="50" s="1"/>
  <c r="AZ268" i="50"/>
  <c r="AZ269" i="50"/>
  <c r="AP260" i="50"/>
  <c r="AQ260" i="50" s="1"/>
  <c r="AR260" i="50" s="1"/>
  <c r="BD260" i="50" s="1"/>
  <c r="AR150" i="50"/>
  <c r="AO98" i="50"/>
  <c r="AP98" i="50" s="1"/>
  <c r="AQ98" i="50" s="1"/>
  <c r="AR98" i="50" s="1"/>
  <c r="BD98" i="50" s="1"/>
  <c r="AO113" i="50"/>
  <c r="AP113" i="50" s="1"/>
  <c r="AQ113" i="50" s="1"/>
  <c r="AR113" i="50" s="1"/>
  <c r="BD113" i="50" s="1"/>
  <c r="AP197" i="50"/>
  <c r="AQ197" i="50" s="1"/>
  <c r="AR197" i="50" s="1"/>
  <c r="BD197" i="50" s="1"/>
  <c r="AO280" i="50"/>
  <c r="AO274" i="50"/>
  <c r="AO256" i="50"/>
  <c r="AP256" i="50" s="1"/>
  <c r="AO241" i="50"/>
  <c r="AP241" i="50" s="1"/>
  <c r="AQ241" i="50" s="1"/>
  <c r="AO237" i="50"/>
  <c r="AP237" i="50" s="1"/>
  <c r="AQ237" i="50" s="1"/>
  <c r="AR237" i="50" s="1"/>
  <c r="BD237" i="50" s="1"/>
  <c r="AO221" i="50"/>
  <c r="AO285" i="50"/>
  <c r="AO270" i="50"/>
  <c r="AP270" i="50" s="1"/>
  <c r="AO226" i="50"/>
  <c r="AO290" i="50"/>
  <c r="AP290" i="50" s="1"/>
  <c r="AO255" i="50"/>
  <c r="AO230" i="50"/>
  <c r="AO282" i="50"/>
  <c r="AP282" i="50" s="1"/>
  <c r="AP84" i="50"/>
  <c r="AQ84" i="50" s="1"/>
  <c r="AR84" i="50" s="1"/>
  <c r="AQ135" i="50"/>
  <c r="AR135" i="50" s="1"/>
  <c r="BD135" i="50" s="1"/>
  <c r="AO114" i="50"/>
  <c r="AP114" i="50" s="1"/>
  <c r="AQ114" i="50" s="1"/>
  <c r="AR114" i="50" s="1"/>
  <c r="AP130" i="50"/>
  <c r="AQ130" i="50" s="1"/>
  <c r="AR130" i="50" s="1"/>
  <c r="AO110" i="50"/>
  <c r="AP110" i="50" s="1"/>
  <c r="AQ110" i="50" s="1"/>
  <c r="AR110" i="50" s="1"/>
  <c r="AR152" i="50"/>
  <c r="AO112" i="50"/>
  <c r="AP112" i="50" s="1"/>
  <c r="AQ112" i="50" s="1"/>
  <c r="AR112" i="50" s="1"/>
  <c r="AP96" i="50"/>
  <c r="AQ96" i="50" s="1"/>
  <c r="AR96" i="50" s="1"/>
  <c r="BD96" i="50" s="1"/>
  <c r="AQ136" i="50"/>
  <c r="AR136" i="50" s="1"/>
  <c r="BD136" i="50" s="1"/>
  <c r="AP119" i="50"/>
  <c r="AQ119" i="50" s="1"/>
  <c r="AR119" i="50" s="1"/>
  <c r="AR164" i="50"/>
  <c r="AO106" i="50"/>
  <c r="AP106" i="50" s="1"/>
  <c r="AQ106" i="50" s="1"/>
  <c r="AR106" i="50" s="1"/>
  <c r="BD106" i="50" s="1"/>
  <c r="AP129" i="50"/>
  <c r="AQ129" i="50" s="1"/>
  <c r="AR129" i="50" s="1"/>
  <c r="BD129" i="50" s="1"/>
  <c r="BA260" i="50"/>
  <c r="AO244" i="50"/>
  <c r="AO228" i="50"/>
  <c r="AO279" i="50"/>
  <c r="AP266" i="50"/>
  <c r="AQ266" i="50" s="1"/>
  <c r="AO253" i="50"/>
  <c r="AP253" i="50" s="1"/>
  <c r="AO248" i="50"/>
  <c r="AP248" i="50" s="1"/>
  <c r="AQ248" i="50" s="1"/>
  <c r="AR248" i="50" s="1"/>
  <c r="BD248" i="50" s="1"/>
  <c r="AO249" i="50"/>
  <c r="AP249" i="50" s="1"/>
  <c r="AQ249" i="50" s="1"/>
  <c r="AO225" i="50"/>
  <c r="BA225" i="50" s="1"/>
  <c r="AO224" i="50"/>
  <c r="AP224" i="50" s="1"/>
  <c r="AZ284" i="50"/>
  <c r="AO251" i="50"/>
  <c r="AO252" i="50"/>
  <c r="AP252" i="50" s="1"/>
  <c r="AQ252" i="50" s="1"/>
  <c r="AR252" i="50" s="1"/>
  <c r="BD252" i="50" s="1"/>
  <c r="AZ260" i="50"/>
  <c r="AO265" i="50"/>
  <c r="AP265" i="50" s="1"/>
  <c r="AO239" i="50"/>
  <c r="AP239" i="50" s="1"/>
  <c r="AQ239" i="50" s="1"/>
  <c r="AR239" i="50" s="1"/>
  <c r="BD239" i="50" s="1"/>
  <c r="AO229" i="50"/>
  <c r="N99" i="66" s="1"/>
  <c r="AO68" i="50"/>
  <c r="AP68" i="50" s="1"/>
  <c r="AO86" i="50"/>
  <c r="AP86" i="50" s="1"/>
  <c r="AQ86" i="50" s="1"/>
  <c r="AO74" i="50"/>
  <c r="AP74" i="50" s="1"/>
  <c r="AO81" i="50"/>
  <c r="AP81" i="50" s="1"/>
  <c r="AQ81" i="50" s="1"/>
  <c r="AR81" i="50" s="1"/>
  <c r="AO77" i="50"/>
  <c r="AP77" i="50" s="1"/>
  <c r="AQ77" i="50" s="1"/>
  <c r="AR77" i="50" s="1"/>
  <c r="BD77" i="50" s="1"/>
  <c r="AO64" i="50"/>
  <c r="AP64" i="50" s="1"/>
  <c r="AQ64" i="50" s="1"/>
  <c r="AR64" i="50" s="1"/>
  <c r="AO63" i="50"/>
  <c r="AP63" i="50" s="1"/>
  <c r="AQ63" i="50" s="1"/>
  <c r="AR63" i="50" s="1"/>
  <c r="AQ134" i="50"/>
  <c r="AR134" i="50" s="1"/>
  <c r="AO70" i="50"/>
  <c r="AP70" i="50" s="1"/>
  <c r="AQ70" i="50" s="1"/>
  <c r="AR70" i="50" s="1"/>
  <c r="AQ144" i="50"/>
  <c r="AR144" i="50" s="1"/>
  <c r="AQ138" i="50"/>
  <c r="AR138" i="50" s="1"/>
  <c r="AQ117" i="50"/>
  <c r="AR117" i="50" s="1"/>
  <c r="AQ108" i="50"/>
  <c r="AR108" i="50" s="1"/>
  <c r="AP118" i="50"/>
  <c r="AQ118" i="50" s="1"/>
  <c r="AR118" i="50" s="1"/>
  <c r="AQ120" i="50"/>
  <c r="AR120" i="50" s="1"/>
  <c r="AO107" i="50"/>
  <c r="AP107" i="50" s="1"/>
  <c r="AQ107" i="50" s="1"/>
  <c r="AR107" i="50" s="1"/>
  <c r="AR158" i="50"/>
  <c r="AO99" i="50"/>
  <c r="AP99" i="50" s="1"/>
  <c r="AQ99" i="50" s="1"/>
  <c r="AR99" i="50" s="1"/>
  <c r="AP122" i="50"/>
  <c r="AQ122" i="50" s="1"/>
  <c r="AR122" i="50" s="1"/>
  <c r="AO102" i="50"/>
  <c r="AP102" i="50" s="1"/>
  <c r="AQ102" i="50" s="1"/>
  <c r="AR102" i="50" s="1"/>
  <c r="AP123" i="50"/>
  <c r="AQ123" i="50" s="1"/>
  <c r="AR123" i="50" s="1"/>
  <c r="AR198" i="50"/>
  <c r="AO187" i="50"/>
  <c r="AP187" i="50" s="1"/>
  <c r="AQ187" i="50" s="1"/>
  <c r="AR187" i="50" s="1"/>
  <c r="AR160" i="50"/>
  <c r="BD160" i="50" s="1"/>
  <c r="AQ141" i="50"/>
  <c r="AR141" i="50" s="1"/>
  <c r="AZ278" i="50"/>
  <c r="AO264" i="50"/>
  <c r="AP264" i="50" s="1"/>
  <c r="AO272" i="50"/>
  <c r="AP272" i="50" s="1"/>
  <c r="AQ272" i="50" s="1"/>
  <c r="AO250" i="50"/>
  <c r="AZ220" i="50"/>
  <c r="AZ266" i="50"/>
  <c r="AO231" i="50"/>
  <c r="AP231" i="50" s="1"/>
  <c r="AQ231" i="50" s="1"/>
  <c r="AR231" i="50" s="1"/>
  <c r="BD231" i="50" s="1"/>
  <c r="AO234" i="50"/>
  <c r="AP234" i="50" s="1"/>
  <c r="AQ234" i="50" s="1"/>
  <c r="AZ286" i="50"/>
  <c r="AO261" i="50"/>
  <c r="AZ273" i="50"/>
  <c r="BB275" i="50"/>
  <c r="AZ283" i="50"/>
  <c r="AO262" i="50"/>
  <c r="BA263" i="50"/>
  <c r="AZ265" i="50"/>
  <c r="AO238" i="50"/>
  <c r="AO243" i="50"/>
  <c r="AP243" i="50" s="1"/>
  <c r="AQ243" i="50" s="1"/>
  <c r="AR243" i="50" s="1"/>
  <c r="BD243" i="50" s="1"/>
  <c r="AP126" i="50"/>
  <c r="AQ126" i="50" s="1"/>
  <c r="AR126" i="50" s="1"/>
  <c r="BD126" i="50" s="1"/>
  <c r="AP69" i="50"/>
  <c r="AQ69" i="50" s="1"/>
  <c r="AR69" i="50" s="1"/>
  <c r="AO87" i="50"/>
  <c r="AP87" i="50" s="1"/>
  <c r="AQ87" i="50" s="1"/>
  <c r="AR87" i="50" s="1"/>
  <c r="BD87" i="50" s="1"/>
  <c r="AP128" i="50"/>
  <c r="AQ128" i="50" s="1"/>
  <c r="AR128" i="50" s="1"/>
  <c r="AP95" i="50"/>
  <c r="AQ95" i="50" s="1"/>
  <c r="AR95" i="50" s="1"/>
  <c r="BD95" i="50" s="1"/>
  <c r="AO90" i="50"/>
  <c r="AP90" i="50" s="1"/>
  <c r="AQ90" i="50" s="1"/>
  <c r="AR90" i="50" s="1"/>
  <c r="AR153" i="50"/>
  <c r="BD153" i="50" s="1"/>
  <c r="AR161" i="50"/>
  <c r="BD161" i="50" s="1"/>
  <c r="AZ276" i="50"/>
  <c r="AO254" i="50"/>
  <c r="AP254" i="50" s="1"/>
  <c r="AQ254" i="50" s="1"/>
  <c r="AO218" i="50"/>
  <c r="AP218" i="50" s="1"/>
  <c r="AQ218" i="50" s="1"/>
  <c r="AO233" i="50"/>
  <c r="AP233" i="50" s="1"/>
  <c r="AQ233" i="50" s="1"/>
  <c r="AR233" i="50" s="1"/>
  <c r="BD233" i="50" s="1"/>
  <c r="AO235" i="50"/>
  <c r="BC220" i="50"/>
  <c r="BA281" i="50"/>
  <c r="AP283" i="50"/>
  <c r="AQ283" i="50" s="1"/>
  <c r="AZ263" i="50"/>
  <c r="AO258" i="50"/>
  <c r="N100" i="66" s="1"/>
  <c r="AO223" i="50"/>
  <c r="AZ124" i="50"/>
  <c r="BD193" i="50"/>
  <c r="BC164" i="50"/>
  <c r="BD174" i="50"/>
  <c r="BC166" i="50"/>
  <c r="BD180" i="50"/>
  <c r="BD166" i="50"/>
  <c r="BD182" i="50"/>
  <c r="BC191" i="50"/>
  <c r="BD170" i="50"/>
  <c r="BD185" i="50"/>
  <c r="BB191" i="50"/>
  <c r="BD165" i="50"/>
  <c r="BC192" i="50"/>
  <c r="BC160" i="50"/>
  <c r="AZ196" i="50"/>
  <c r="BD199" i="50"/>
  <c r="BD167" i="50"/>
  <c r="AZ194" i="50"/>
  <c r="BA123" i="50"/>
  <c r="BD159" i="50"/>
  <c r="AZ195" i="50"/>
  <c r="BB143" i="50"/>
  <c r="AZ98" i="50"/>
  <c r="BA197" i="50"/>
  <c r="BC165" i="50"/>
  <c r="BA196" i="50"/>
  <c r="BA194" i="50"/>
  <c r="AZ102" i="50"/>
  <c r="AZ101" i="50"/>
  <c r="AZ94" i="50"/>
  <c r="AZ93" i="50"/>
  <c r="AZ105" i="50"/>
  <c r="AZ92" i="50"/>
  <c r="AZ113" i="50"/>
  <c r="BA129" i="50"/>
  <c r="BB146" i="50"/>
  <c r="BB140" i="50"/>
  <c r="BD154" i="50"/>
  <c r="BC154" i="50"/>
  <c r="BB149" i="50"/>
  <c r="BB141" i="50"/>
  <c r="BC153" i="50"/>
  <c r="AZ106" i="50"/>
  <c r="AZ89" i="50"/>
  <c r="BD156" i="50"/>
  <c r="BC156" i="50"/>
  <c r="BA119" i="50"/>
  <c r="BA122" i="50"/>
  <c r="BC116" i="50"/>
  <c r="BA116" i="50"/>
  <c r="BF62" i="42"/>
  <c r="BF63" i="42"/>
  <c r="AZ125" i="50"/>
  <c r="BA62" i="50"/>
  <c r="AZ87" i="50"/>
  <c r="BD115" i="50"/>
  <c r="BA127" i="50"/>
  <c r="AZ78" i="50"/>
  <c r="BD97" i="50"/>
  <c r="AZ70" i="50"/>
  <c r="BC109" i="50"/>
  <c r="BB127" i="50"/>
  <c r="BF65" i="42"/>
  <c r="AX65" i="42"/>
  <c r="AX63" i="42"/>
  <c r="BG61" i="42"/>
  <c r="BG62" i="42"/>
  <c r="BG64" i="42"/>
  <c r="AZ64" i="50"/>
  <c r="AZ62" i="50"/>
  <c r="AZ72" i="50"/>
  <c r="BB135" i="50"/>
  <c r="AZ63" i="50"/>
  <c r="AZ81" i="50"/>
  <c r="BD85" i="50"/>
  <c r="BD133" i="50"/>
  <c r="BD109" i="50"/>
  <c r="AZ77" i="50"/>
  <c r="AZ133" i="50"/>
  <c r="J209" i="50" s="1"/>
  <c r="J342" i="50" s="1"/>
  <c r="AZ126" i="50"/>
  <c r="F48" i="25"/>
  <c r="L40" i="25"/>
  <c r="M41" i="25"/>
  <c r="N42" i="25"/>
  <c r="O43" i="25"/>
  <c r="P44" i="25"/>
  <c r="Q45" i="25"/>
  <c r="K39" i="25"/>
  <c r="P105" i="66" l="1"/>
  <c r="L332" i="50"/>
  <c r="AQ291" i="50"/>
  <c r="AR291" i="50" s="1"/>
  <c r="BD291" i="50" s="1"/>
  <c r="O103" i="66"/>
  <c r="AP257" i="50"/>
  <c r="AQ257" i="50" s="1"/>
  <c r="AR257" i="50" s="1"/>
  <c r="BD257" i="50" s="1"/>
  <c r="BC232" i="50"/>
  <c r="AO287" i="50"/>
  <c r="AP287" i="50" s="1"/>
  <c r="BB287" i="50" s="1"/>
  <c r="AZ245" i="50"/>
  <c r="AZ267" i="50"/>
  <c r="BB232" i="50"/>
  <c r="BA105" i="50"/>
  <c r="BA89" i="50"/>
  <c r="AR79" i="42"/>
  <c r="N133" i="25"/>
  <c r="AZ70" i="42"/>
  <c r="BO72" i="42"/>
  <c r="BA78" i="42"/>
  <c r="BQ78" i="42" s="1"/>
  <c r="BO77" i="42"/>
  <c r="BC305" i="50"/>
  <c r="BB305" i="50"/>
  <c r="BA276" i="50"/>
  <c r="BA220" i="50"/>
  <c r="AP281" i="50"/>
  <c r="AP227" i="50"/>
  <c r="AQ227" i="50" s="1"/>
  <c r="AR227" i="50" s="1"/>
  <c r="BD227" i="50" s="1"/>
  <c r="BA267" i="50"/>
  <c r="AP267" i="50"/>
  <c r="AQ267" i="50" s="1"/>
  <c r="AR267" i="50" s="1"/>
  <c r="BD267" i="50" s="1"/>
  <c r="BB220" i="50"/>
  <c r="BC293" i="50"/>
  <c r="AY79" i="42"/>
  <c r="BO79" i="42" s="1"/>
  <c r="BC292" i="50"/>
  <c r="BB292" i="50"/>
  <c r="AY61" i="42"/>
  <c r="AX64" i="42"/>
  <c r="BN64" i="42" s="1"/>
  <c r="BP70" i="42"/>
  <c r="AS79" i="42"/>
  <c r="AP236" i="50"/>
  <c r="AQ236" i="50" s="1"/>
  <c r="AR236" i="50" s="1"/>
  <c r="BD236" i="50" s="1"/>
  <c r="AO222" i="50"/>
  <c r="AO246" i="50"/>
  <c r="AP246" i="50" s="1"/>
  <c r="AQ246" i="50" s="1"/>
  <c r="BB278" i="50"/>
  <c r="BB260" i="50"/>
  <c r="BB303" i="50"/>
  <c r="AX62" i="42"/>
  <c r="BN62" i="42" s="1"/>
  <c r="BV62" i="42" s="1"/>
  <c r="BA71" i="42"/>
  <c r="BQ71" i="42" s="1"/>
  <c r="BR71" i="42"/>
  <c r="BZ71" i="42" s="1"/>
  <c r="BN74" i="42"/>
  <c r="B512" i="40"/>
  <c r="B230" i="65"/>
  <c r="BC303" i="50"/>
  <c r="BR70" i="42"/>
  <c r="BZ70" i="42" s="1"/>
  <c r="AZ72" i="42"/>
  <c r="AP245" i="50"/>
  <c r="BA245" i="50"/>
  <c r="BA268" i="50"/>
  <c r="AP268" i="50"/>
  <c r="AQ268" i="50" s="1"/>
  <c r="BC268" i="50" s="1"/>
  <c r="BA286" i="50"/>
  <c r="AP286" i="50"/>
  <c r="AQ286" i="50" s="1"/>
  <c r="AR286" i="50" s="1"/>
  <c r="BD286" i="50" s="1"/>
  <c r="AZ73" i="42"/>
  <c r="BP73" i="42" s="1"/>
  <c r="BP72" i="42"/>
  <c r="BA300" i="50"/>
  <c r="BA302" i="50"/>
  <c r="BA301" i="50"/>
  <c r="AQ300" i="50"/>
  <c r="BB300" i="50"/>
  <c r="BC304" i="50"/>
  <c r="AQ302" i="50"/>
  <c r="BB302" i="50"/>
  <c r="BA306" i="50"/>
  <c r="BB236" i="50"/>
  <c r="BN75" i="42"/>
  <c r="BN79" i="42"/>
  <c r="BX79" i="42" s="1"/>
  <c r="BN76" i="42"/>
  <c r="BN77" i="42"/>
  <c r="BN67" i="42"/>
  <c r="AP298" i="50"/>
  <c r="O102" i="66" s="1"/>
  <c r="AQ301" i="50"/>
  <c r="BB301" i="50"/>
  <c r="BA304" i="50"/>
  <c r="AQ306" i="50"/>
  <c r="BB306" i="50"/>
  <c r="BB72" i="42"/>
  <c r="BR72" i="42" s="1"/>
  <c r="BZ72" i="42" s="1"/>
  <c r="BA72" i="42"/>
  <c r="BQ72" i="42" s="1"/>
  <c r="BA70" i="42"/>
  <c r="BQ70" i="42" s="1"/>
  <c r="BB304" i="50"/>
  <c r="BA252" i="50"/>
  <c r="AP288" i="50"/>
  <c r="AQ288" i="50" s="1"/>
  <c r="BC288" i="50" s="1"/>
  <c r="BB276" i="50"/>
  <c r="BA298" i="50"/>
  <c r="BC291" i="50"/>
  <c r="BA277" i="50"/>
  <c r="BA297" i="50"/>
  <c r="BA256" i="50"/>
  <c r="AQ299" i="50"/>
  <c r="BB299" i="50"/>
  <c r="AQ296" i="50"/>
  <c r="BB296" i="50"/>
  <c r="AR297" i="50"/>
  <c r="BD297" i="50" s="1"/>
  <c r="BC297" i="50"/>
  <c r="AQ277" i="50"/>
  <c r="AR277" i="50" s="1"/>
  <c r="BD277" i="50" s="1"/>
  <c r="BC275" i="50"/>
  <c r="BA299" i="50"/>
  <c r="BA296" i="50"/>
  <c r="K331" i="50" s="1"/>
  <c r="BB297" i="50"/>
  <c r="AZ69" i="42"/>
  <c r="BP69" i="42" s="1"/>
  <c r="BB68" i="42"/>
  <c r="BR68" i="42" s="1"/>
  <c r="BZ68" i="42" s="1"/>
  <c r="BA68" i="42"/>
  <c r="BQ68" i="42" s="1"/>
  <c r="BB75" i="42"/>
  <c r="BR75" i="42" s="1"/>
  <c r="BZ75" i="42" s="1"/>
  <c r="BA75" i="42"/>
  <c r="BQ75" i="42" s="1"/>
  <c r="BN73" i="42"/>
  <c r="BN70" i="42"/>
  <c r="BB73" i="42"/>
  <c r="BR73" i="42" s="1"/>
  <c r="BZ73" i="42" s="1"/>
  <c r="BA73" i="42"/>
  <c r="BQ73" i="42" s="1"/>
  <c r="AY69" i="42"/>
  <c r="BO69" i="42" s="1"/>
  <c r="AY68" i="42"/>
  <c r="BO68" i="42" s="1"/>
  <c r="AZ68" i="42"/>
  <c r="BP68" i="42" s="1"/>
  <c r="AZ75" i="42"/>
  <c r="BP75" i="42" s="1"/>
  <c r="BC260" i="50"/>
  <c r="BA272" i="50"/>
  <c r="BA253" i="50"/>
  <c r="BB249" i="50"/>
  <c r="BC239" i="50"/>
  <c r="BA239" i="50"/>
  <c r="BA241" i="50"/>
  <c r="BB263" i="50"/>
  <c r="AP101" i="50"/>
  <c r="AQ101" i="50" s="1"/>
  <c r="AR101" i="50" s="1"/>
  <c r="Q130" i="25" s="1"/>
  <c r="BB240" i="50"/>
  <c r="BA64" i="50"/>
  <c r="BC118" i="50"/>
  <c r="AQ269" i="50"/>
  <c r="AR269" i="50" s="1"/>
  <c r="BD269" i="50" s="1"/>
  <c r="BA269" i="50"/>
  <c r="AR278" i="50"/>
  <c r="BD278" i="50" s="1"/>
  <c r="BB237" i="50"/>
  <c r="BC137" i="50"/>
  <c r="BB197" i="50"/>
  <c r="BC197" i="50"/>
  <c r="BA195" i="50"/>
  <c r="BA102" i="50"/>
  <c r="BC240" i="50"/>
  <c r="BC276" i="50"/>
  <c r="BA243" i="50"/>
  <c r="BA278" i="50"/>
  <c r="BA240" i="50"/>
  <c r="AZ221" i="50"/>
  <c r="AZ226" i="50"/>
  <c r="BC259" i="50"/>
  <c r="BB239" i="50"/>
  <c r="BA259" i="50"/>
  <c r="BA290" i="50"/>
  <c r="BB259" i="50"/>
  <c r="BC263" i="50"/>
  <c r="BB105" i="50"/>
  <c r="AZ279" i="50"/>
  <c r="BB233" i="50"/>
  <c r="AZ261" i="50"/>
  <c r="AZ249" i="50"/>
  <c r="AZ274" i="50"/>
  <c r="BA231" i="50"/>
  <c r="BC231" i="50"/>
  <c r="AZ252" i="50"/>
  <c r="AZ280" i="50"/>
  <c r="BC233" i="50"/>
  <c r="BA249" i="50"/>
  <c r="AQ273" i="50"/>
  <c r="BB273" i="50"/>
  <c r="BA248" i="50"/>
  <c r="BB283" i="50"/>
  <c r="AZ262" i="50"/>
  <c r="BA224" i="50"/>
  <c r="AZ250" i="50"/>
  <c r="BA273" i="50"/>
  <c r="AZ225" i="50"/>
  <c r="AZ253" i="50"/>
  <c r="AZ230" i="50"/>
  <c r="AZ290" i="50"/>
  <c r="AZ270" i="50"/>
  <c r="BA265" i="50"/>
  <c r="BA70" i="50"/>
  <c r="AZ233" i="50"/>
  <c r="BC248" i="50"/>
  <c r="BC119" i="50"/>
  <c r="BA104" i="50"/>
  <c r="AZ218" i="50"/>
  <c r="BA270" i="50"/>
  <c r="BB241" i="50"/>
  <c r="BC252" i="50"/>
  <c r="BB248" i="50"/>
  <c r="BB252" i="50"/>
  <c r="AZ285" i="50"/>
  <c r="AP235" i="50"/>
  <c r="BA235" i="50"/>
  <c r="BB234" i="50"/>
  <c r="AP229" i="50"/>
  <c r="O99" i="66" s="1"/>
  <c r="BA229" i="50"/>
  <c r="AP251" i="50"/>
  <c r="BA251" i="50"/>
  <c r="AP244" i="50"/>
  <c r="BA244" i="50"/>
  <c r="AR254" i="50"/>
  <c r="BD254" i="50" s="1"/>
  <c r="BC254" i="50"/>
  <c r="AR234" i="50"/>
  <c r="BD234" i="50" s="1"/>
  <c r="BC234" i="50"/>
  <c r="AR272" i="50"/>
  <c r="BD272" i="50" s="1"/>
  <c r="BC272" i="50"/>
  <c r="AP258" i="50"/>
  <c r="O100" i="66" s="1"/>
  <c r="BA258" i="50"/>
  <c r="AR283" i="50"/>
  <c r="BD283" i="50" s="1"/>
  <c r="BC283" i="50"/>
  <c r="AR218" i="50"/>
  <c r="BD218" i="50" s="1"/>
  <c r="BC218" i="50"/>
  <c r="AZ254" i="50"/>
  <c r="BA234" i="50"/>
  <c r="AZ238" i="50"/>
  <c r="AP262" i="50"/>
  <c r="BA262" i="50"/>
  <c r="AO284" i="50"/>
  <c r="AZ231" i="50"/>
  <c r="AP250" i="50"/>
  <c r="BA250" i="50"/>
  <c r="AZ272" i="50"/>
  <c r="BB246" i="50"/>
  <c r="AZ251" i="50"/>
  <c r="AP225" i="50"/>
  <c r="AR266" i="50"/>
  <c r="BD266" i="50" s="1"/>
  <c r="BC266" i="50"/>
  <c r="AZ228" i="50"/>
  <c r="AZ282" i="50"/>
  <c r="AP255" i="50"/>
  <c r="BA255" i="50"/>
  <c r="BA282" i="50"/>
  <c r="BA237" i="50"/>
  <c r="AR241" i="50"/>
  <c r="BD241" i="50" s="1"/>
  <c r="BC241" i="50"/>
  <c r="AQ256" i="50"/>
  <c r="BB256" i="50"/>
  <c r="AP274" i="50"/>
  <c r="BA274" i="50"/>
  <c r="BB243" i="50"/>
  <c r="AP238" i="50"/>
  <c r="BB238" i="50" s="1"/>
  <c r="BA238" i="50"/>
  <c r="AP261" i="50"/>
  <c r="BA261" i="50"/>
  <c r="BA264" i="50"/>
  <c r="BB218" i="50"/>
  <c r="BA233" i="50"/>
  <c r="BC237" i="50"/>
  <c r="AP228" i="50"/>
  <c r="BA228" i="50"/>
  <c r="BA218" i="50"/>
  <c r="AQ282" i="50"/>
  <c r="BB282" i="50"/>
  <c r="AZ255" i="50"/>
  <c r="BB254" i="50"/>
  <c r="AP221" i="50"/>
  <c r="BA221" i="50"/>
  <c r="AZ241" i="50"/>
  <c r="AZ256" i="50"/>
  <c r="BA223" i="50"/>
  <c r="AP223" i="50"/>
  <c r="AZ235" i="50"/>
  <c r="AQ287" i="50"/>
  <c r="BB272" i="50"/>
  <c r="AZ234" i="50"/>
  <c r="AQ264" i="50"/>
  <c r="BB264" i="50"/>
  <c r="AZ239" i="50"/>
  <c r="BB265" i="50"/>
  <c r="AQ265" i="50"/>
  <c r="BA254" i="50"/>
  <c r="AQ224" i="50"/>
  <c r="BB224" i="50"/>
  <c r="AR249" i="50"/>
  <c r="BD249" i="50" s="1"/>
  <c r="BC249" i="50"/>
  <c r="BB231" i="50"/>
  <c r="AQ253" i="50"/>
  <c r="BB253" i="50"/>
  <c r="BB266" i="50"/>
  <c r="AP279" i="50"/>
  <c r="BA279" i="50"/>
  <c r="AZ244" i="50"/>
  <c r="AP230" i="50"/>
  <c r="BA230" i="50"/>
  <c r="AQ290" i="50"/>
  <c r="BB290" i="50"/>
  <c r="AP226" i="50"/>
  <c r="BA226" i="50"/>
  <c r="AQ270" i="50"/>
  <c r="BB270" i="50"/>
  <c r="AP285" i="50"/>
  <c r="BA285" i="50"/>
  <c r="AZ237" i="50"/>
  <c r="BC243" i="50"/>
  <c r="AP280" i="50"/>
  <c r="BA280" i="50"/>
  <c r="BB194" i="50"/>
  <c r="BC194" i="50"/>
  <c r="BD164" i="50"/>
  <c r="BB142" i="50"/>
  <c r="BD168" i="50"/>
  <c r="BD191" i="50"/>
  <c r="BD179" i="50"/>
  <c r="AZ189" i="50"/>
  <c r="BA100" i="50"/>
  <c r="BD176" i="50"/>
  <c r="BB196" i="50"/>
  <c r="BC196" i="50"/>
  <c r="BD152" i="50"/>
  <c r="AZ104" i="50"/>
  <c r="BC140" i="50"/>
  <c r="BB136" i="50"/>
  <c r="BD178" i="50"/>
  <c r="BD173" i="50"/>
  <c r="BD183" i="50"/>
  <c r="BA190" i="50"/>
  <c r="BD186" i="50"/>
  <c r="BD177" i="50"/>
  <c r="BB198" i="50"/>
  <c r="BB148" i="50"/>
  <c r="BD102" i="50"/>
  <c r="BD171" i="50"/>
  <c r="AZ188" i="50"/>
  <c r="BC199" i="50"/>
  <c r="BB102" i="50"/>
  <c r="BA96" i="50"/>
  <c r="BD200" i="50"/>
  <c r="BD184" i="50"/>
  <c r="BC168" i="50"/>
  <c r="BA188" i="50"/>
  <c r="BA187" i="50"/>
  <c r="AZ63" i="42"/>
  <c r="BP63" i="42" s="1"/>
  <c r="BC161" i="50"/>
  <c r="AZ187" i="50"/>
  <c r="BA189" i="50"/>
  <c r="BD172" i="50"/>
  <c r="BC162" i="50"/>
  <c r="BD162" i="50"/>
  <c r="BD142" i="50"/>
  <c r="BB189" i="50"/>
  <c r="BB190" i="50"/>
  <c r="BC159" i="50"/>
  <c r="BC167" i="50"/>
  <c r="BB188" i="50"/>
  <c r="BB195" i="50"/>
  <c r="BD198" i="50"/>
  <c r="BC198" i="50"/>
  <c r="AZ64" i="42"/>
  <c r="BP64" i="42" s="1"/>
  <c r="BA95" i="50"/>
  <c r="BC146" i="50"/>
  <c r="BD146" i="50"/>
  <c r="BD148" i="50"/>
  <c r="BA113" i="50"/>
  <c r="AZ99" i="50"/>
  <c r="BB113" i="50"/>
  <c r="BB114" i="50"/>
  <c r="BB61" i="42"/>
  <c r="BR61" i="42" s="1"/>
  <c r="BZ61" i="42" s="1"/>
  <c r="BA99" i="50"/>
  <c r="BD99" i="50"/>
  <c r="BD144" i="50"/>
  <c r="BB130" i="50"/>
  <c r="BD143" i="50"/>
  <c r="AZ88" i="50"/>
  <c r="BB147" i="50"/>
  <c r="BC130" i="50"/>
  <c r="BC158" i="50"/>
  <c r="AZ112" i="50"/>
  <c r="AZ90" i="50"/>
  <c r="AZ110" i="50"/>
  <c r="BA128" i="50"/>
  <c r="BB112" i="50"/>
  <c r="AZ95" i="50"/>
  <c r="BD118" i="50"/>
  <c r="BD137" i="50"/>
  <c r="BC117" i="50"/>
  <c r="BA130" i="50"/>
  <c r="BB129" i="50"/>
  <c r="BA106" i="50"/>
  <c r="AZ100" i="50"/>
  <c r="BD130" i="50"/>
  <c r="BD158" i="50"/>
  <c r="BC138" i="50"/>
  <c r="BB137" i="50"/>
  <c r="AZ111" i="50"/>
  <c r="BD138" i="50"/>
  <c r="BB138" i="50"/>
  <c r="AZ114" i="50"/>
  <c r="BB106" i="50"/>
  <c r="BB96" i="50"/>
  <c r="BC152" i="50"/>
  <c r="BA112" i="50"/>
  <c r="BC155" i="50"/>
  <c r="BB119" i="50"/>
  <c r="BC148" i="50"/>
  <c r="BA118" i="50"/>
  <c r="BA108" i="50"/>
  <c r="BB144" i="50"/>
  <c r="BB117" i="50"/>
  <c r="BB116" i="50"/>
  <c r="BD150" i="50"/>
  <c r="BC150" i="50"/>
  <c r="BA120" i="50"/>
  <c r="BC144" i="50"/>
  <c r="BD114" i="50"/>
  <c r="BB122" i="50"/>
  <c r="BA107" i="50"/>
  <c r="BD141" i="50"/>
  <c r="BC141" i="50"/>
  <c r="BB123" i="50"/>
  <c r="BB118" i="50"/>
  <c r="BB120" i="50"/>
  <c r="BD116" i="50"/>
  <c r="BB95" i="50"/>
  <c r="BA110" i="50"/>
  <c r="BD100" i="50"/>
  <c r="BC143" i="50"/>
  <c r="BD147" i="50"/>
  <c r="BC147" i="50"/>
  <c r="BA114" i="50"/>
  <c r="BA117" i="50"/>
  <c r="BA98" i="50"/>
  <c r="BC142" i="50"/>
  <c r="BD112" i="50"/>
  <c r="AZ96" i="50"/>
  <c r="AZ107" i="50"/>
  <c r="BA111" i="50"/>
  <c r="BD149" i="50"/>
  <c r="BC149" i="50"/>
  <c r="AZ108" i="50"/>
  <c r="BB150" i="50"/>
  <c r="BD119" i="50"/>
  <c r="BN63" i="42"/>
  <c r="BV63" i="42" s="1"/>
  <c r="BC97" i="50"/>
  <c r="BB87" i="50"/>
  <c r="BA87" i="50"/>
  <c r="BD127" i="50"/>
  <c r="BB83" i="50"/>
  <c r="BB133" i="50"/>
  <c r="BA78" i="50"/>
  <c r="BC96" i="50"/>
  <c r="BD89" i="50"/>
  <c r="BC89" i="50"/>
  <c r="BD81" i="50"/>
  <c r="BC103" i="50"/>
  <c r="BA77" i="50"/>
  <c r="BA81" i="50"/>
  <c r="BB89" i="50"/>
  <c r="BB64" i="50"/>
  <c r="BB99" i="50"/>
  <c r="AY63" i="42"/>
  <c r="BO63" i="42" s="1"/>
  <c r="BN65" i="42"/>
  <c r="BV65" i="42" s="1"/>
  <c r="AX61" i="42"/>
  <c r="BN61" i="42" s="1"/>
  <c r="BV61" i="42" s="1"/>
  <c r="AY62" i="42"/>
  <c r="BO62" i="42" s="1"/>
  <c r="BW62" i="42" s="1"/>
  <c r="BB63" i="42"/>
  <c r="BR63" i="42" s="1"/>
  <c r="BZ63" i="42" s="1"/>
  <c r="BA63" i="42"/>
  <c r="BQ63" i="42" s="1"/>
  <c r="BY63" i="42" s="1"/>
  <c r="BW63" i="42"/>
  <c r="AY65" i="42"/>
  <c r="BO65" i="42" s="1"/>
  <c r="BW65" i="42" s="1"/>
  <c r="AZ62" i="42"/>
  <c r="BP62" i="42" s="1"/>
  <c r="BO61" i="42"/>
  <c r="BW61" i="42" s="1"/>
  <c r="BC133" i="50"/>
  <c r="BA132" i="50"/>
  <c r="BB78" i="50"/>
  <c r="BB77" i="50"/>
  <c r="BC87" i="50"/>
  <c r="BC77" i="50"/>
  <c r="BA133" i="50"/>
  <c r="AZ132" i="50"/>
  <c r="AZ131" i="50"/>
  <c r="BB132" i="50"/>
  <c r="BA72" i="50"/>
  <c r="BB72" i="50"/>
  <c r="BB103" i="50"/>
  <c r="BC72" i="50"/>
  <c r="BB85" i="50"/>
  <c r="AZ75" i="50"/>
  <c r="BB75" i="50"/>
  <c r="BA73" i="50"/>
  <c r="BB70" i="50"/>
  <c r="BD70" i="50"/>
  <c r="AZ71" i="50"/>
  <c r="BC78" i="50"/>
  <c r="BC95" i="50"/>
  <c r="BA71" i="50"/>
  <c r="AZ83" i="50"/>
  <c r="AZ65" i="50"/>
  <c r="AZ68" i="50"/>
  <c r="BC81" i="50"/>
  <c r="BB81" i="50"/>
  <c r="AZ76" i="50"/>
  <c r="BA94" i="50"/>
  <c r="BD78" i="50"/>
  <c r="BC132" i="50"/>
  <c r="AZ66" i="50"/>
  <c r="BC113" i="50"/>
  <c r="BC99" i="50"/>
  <c r="BC136" i="50"/>
  <c r="BD103" i="50"/>
  <c r="BA75" i="50"/>
  <c r="BA88" i="50"/>
  <c r="AZ82" i="50"/>
  <c r="BB128" i="50"/>
  <c r="AZ67" i="50"/>
  <c r="BA66" i="50"/>
  <c r="BB74" i="50"/>
  <c r="AZ80" i="50"/>
  <c r="BC106" i="50"/>
  <c r="AZ74" i="50"/>
  <c r="BA134" i="50"/>
  <c r="AZ79" i="50"/>
  <c r="BA63" i="50"/>
  <c r="BA126" i="50"/>
  <c r="BA82" i="50"/>
  <c r="BB97" i="50"/>
  <c r="BB104" i="50"/>
  <c r="BB126" i="50"/>
  <c r="BD75" i="50"/>
  <c r="BC75" i="50"/>
  <c r="BA92" i="50"/>
  <c r="AZ84" i="50"/>
  <c r="BB71" i="50"/>
  <c r="BC105" i="50"/>
  <c r="BA124" i="50"/>
  <c r="BB94" i="50"/>
  <c r="BB93" i="50"/>
  <c r="BB67" i="50"/>
  <c r="BA69" i="50"/>
  <c r="BB131" i="50"/>
  <c r="BA74" i="50"/>
  <c r="BC135" i="50"/>
  <c r="BA76" i="50"/>
  <c r="BB91" i="50"/>
  <c r="BA85" i="50"/>
  <c r="BB124" i="50"/>
  <c r="BA84" i="50"/>
  <c r="BC125" i="50"/>
  <c r="BB73" i="50"/>
  <c r="BB80" i="50"/>
  <c r="BD121" i="50"/>
  <c r="BA93" i="50"/>
  <c r="BA65" i="50"/>
  <c r="AZ69" i="50"/>
  <c r="BA131" i="50"/>
  <c r="BB76" i="50"/>
  <c r="BB66" i="50"/>
  <c r="BD88" i="50"/>
  <c r="BC88" i="50"/>
  <c r="BB88" i="50"/>
  <c r="BA125" i="50"/>
  <c r="BA68" i="50"/>
  <c r="BD128" i="50"/>
  <c r="BC128" i="50"/>
  <c r="BA91" i="50"/>
  <c r="BC98" i="50"/>
  <c r="BC85" i="50"/>
  <c r="BB98" i="50"/>
  <c r="BC126" i="50"/>
  <c r="BA86" i="50"/>
  <c r="BD83" i="50"/>
  <c r="BC83" i="50"/>
  <c r="BD117" i="50"/>
  <c r="BC129" i="50"/>
  <c r="AZ73" i="50"/>
  <c r="BB134" i="50"/>
  <c r="BC93" i="50"/>
  <c r="BA79" i="50"/>
  <c r="BB63" i="50"/>
  <c r="BD104" i="50"/>
  <c r="BC104" i="50"/>
  <c r="BA80" i="50"/>
  <c r="BB92" i="50"/>
  <c r="BB84" i="50"/>
  <c r="AZ85" i="50"/>
  <c r="BB125" i="50"/>
  <c r="AZ86" i="50"/>
  <c r="BA83" i="50"/>
  <c r="N332" i="50" l="1"/>
  <c r="BB257" i="50"/>
  <c r="J330" i="50"/>
  <c r="BB267" i="50"/>
  <c r="BC257" i="50"/>
  <c r="AQ281" i="50"/>
  <c r="O101" i="66"/>
  <c r="Q105" i="66" s="1"/>
  <c r="K209" i="50"/>
  <c r="K342" i="50" s="1"/>
  <c r="M332" i="50"/>
  <c r="L209" i="50"/>
  <c r="L342" i="50" s="1"/>
  <c r="J329" i="50"/>
  <c r="BA287" i="50"/>
  <c r="K330" i="50" s="1"/>
  <c r="BC227" i="50"/>
  <c r="BB281" i="50"/>
  <c r="BC267" i="50"/>
  <c r="AT79" i="42"/>
  <c r="P133" i="25"/>
  <c r="AZ79" i="42"/>
  <c r="BP79" i="42" s="1"/>
  <c r="O133" i="25"/>
  <c r="BC236" i="50"/>
  <c r="BB286" i="50"/>
  <c r="BB227" i="50"/>
  <c r="BC277" i="50"/>
  <c r="BA79" i="42"/>
  <c r="BQ79" i="42" s="1"/>
  <c r="AR288" i="50"/>
  <c r="BD288" i="50" s="1"/>
  <c r="BA246" i="50"/>
  <c r="K329" i="50" s="1"/>
  <c r="BA222" i="50"/>
  <c r="AP222" i="50"/>
  <c r="BB288" i="50"/>
  <c r="BB268" i="50"/>
  <c r="BC286" i="50"/>
  <c r="B513" i="40"/>
  <c r="B231" i="65"/>
  <c r="AR306" i="50"/>
  <c r="BD306" i="50" s="1"/>
  <c r="BC306" i="50"/>
  <c r="AQ298" i="50"/>
  <c r="BB298" i="50"/>
  <c r="L331" i="50" s="1"/>
  <c r="BA67" i="42"/>
  <c r="BQ67" i="42" s="1"/>
  <c r="AR301" i="50"/>
  <c r="BD301" i="50" s="1"/>
  <c r="BC301" i="50"/>
  <c r="AR302" i="50"/>
  <c r="BD302" i="50" s="1"/>
  <c r="BC302" i="50"/>
  <c r="BB245" i="50"/>
  <c r="AQ245" i="50"/>
  <c r="AR300" i="50"/>
  <c r="BD300" i="50" s="1"/>
  <c r="BC300" i="50"/>
  <c r="AR299" i="50"/>
  <c r="BD299" i="50" s="1"/>
  <c r="BC299" i="50"/>
  <c r="AR296" i="50"/>
  <c r="BD296" i="50" s="1"/>
  <c r="BC296" i="50"/>
  <c r="BB69" i="42"/>
  <c r="BR69" i="42" s="1"/>
  <c r="BZ69" i="42" s="1"/>
  <c r="BA69" i="42"/>
  <c r="BQ69" i="42" s="1"/>
  <c r="BC269" i="50"/>
  <c r="AR273" i="50"/>
  <c r="BD273" i="50" s="1"/>
  <c r="BC273" i="50"/>
  <c r="AQ221" i="50"/>
  <c r="BB221" i="50"/>
  <c r="AQ228" i="50"/>
  <c r="BB228" i="50"/>
  <c r="AQ255" i="50"/>
  <c r="BB255" i="50"/>
  <c r="AQ250" i="50"/>
  <c r="BB250" i="50"/>
  <c r="AQ229" i="50"/>
  <c r="BB229" i="50"/>
  <c r="AQ280" i="50"/>
  <c r="BB280" i="50"/>
  <c r="AQ285" i="50"/>
  <c r="BB285" i="50"/>
  <c r="AQ226" i="50"/>
  <c r="BB226" i="50"/>
  <c r="AR253" i="50"/>
  <c r="BD253" i="50" s="1"/>
  <c r="BC253" i="50"/>
  <c r="AR265" i="50"/>
  <c r="BD265" i="50" s="1"/>
  <c r="BC265" i="50"/>
  <c r="AR287" i="50"/>
  <c r="BD287" i="50" s="1"/>
  <c r="BC287" i="50"/>
  <c r="AR282" i="50"/>
  <c r="BD282" i="50" s="1"/>
  <c r="BC282" i="50"/>
  <c r="AR256" i="50"/>
  <c r="BD256" i="50" s="1"/>
  <c r="BC256" i="50"/>
  <c r="AR246" i="50"/>
  <c r="BD246" i="50" s="1"/>
  <c r="BC246" i="50"/>
  <c r="AQ262" i="50"/>
  <c r="BB262" i="50"/>
  <c r="AQ251" i="50"/>
  <c r="BB251" i="50"/>
  <c r="AQ230" i="50"/>
  <c r="BB230" i="50"/>
  <c r="AQ279" i="50"/>
  <c r="BB279" i="50"/>
  <c r="AR264" i="50"/>
  <c r="BD264" i="50" s="1"/>
  <c r="BC264" i="50"/>
  <c r="AQ261" i="50"/>
  <c r="BB261" i="50"/>
  <c r="AQ225" i="50"/>
  <c r="BB225" i="50"/>
  <c r="AR270" i="50"/>
  <c r="BD270" i="50" s="1"/>
  <c r="BC270" i="50"/>
  <c r="AR290" i="50"/>
  <c r="BD290" i="50" s="1"/>
  <c r="BC290" i="50"/>
  <c r="AR224" i="50"/>
  <c r="BD224" i="50" s="1"/>
  <c r="BC224" i="50"/>
  <c r="AQ223" i="50"/>
  <c r="BB223" i="50"/>
  <c r="AQ274" i="50"/>
  <c r="BB274" i="50"/>
  <c r="AP284" i="50"/>
  <c r="BA284" i="50"/>
  <c r="AQ258" i="50"/>
  <c r="BB258" i="50"/>
  <c r="AQ244" i="50"/>
  <c r="BB244" i="50"/>
  <c r="AQ235" i="50"/>
  <c r="BB235" i="50"/>
  <c r="BA90" i="50"/>
  <c r="K206" i="50" s="1"/>
  <c r="BB90" i="50"/>
  <c r="BA61" i="42"/>
  <c r="BQ61" i="42" s="1"/>
  <c r="AY64" i="42"/>
  <c r="BO64" i="42" s="1"/>
  <c r="BW64" i="42" s="1"/>
  <c r="BC102" i="50"/>
  <c r="BA64" i="42"/>
  <c r="BQ64" i="42" s="1"/>
  <c r="K208" i="50"/>
  <c r="K341" i="50" s="1"/>
  <c r="J207" i="50"/>
  <c r="K207" i="50"/>
  <c r="BB101" i="50"/>
  <c r="BD195" i="50"/>
  <c r="BC195" i="50"/>
  <c r="BD189" i="50"/>
  <c r="BC189" i="50"/>
  <c r="L208" i="50"/>
  <c r="BD188" i="50"/>
  <c r="BC188" i="50"/>
  <c r="BD190" i="50"/>
  <c r="BC190" i="50"/>
  <c r="BB187" i="50"/>
  <c r="J206" i="50"/>
  <c r="AZ61" i="42"/>
  <c r="BP61" i="42" s="1"/>
  <c r="BC100" i="50"/>
  <c r="BB100" i="50"/>
  <c r="BC101" i="50"/>
  <c r="BD101" i="50"/>
  <c r="BC114" i="50"/>
  <c r="BC120" i="50"/>
  <c r="BD120" i="50"/>
  <c r="BB110" i="50"/>
  <c r="BD122" i="50"/>
  <c r="BC122" i="50"/>
  <c r="BB111" i="50"/>
  <c r="BC112" i="50"/>
  <c r="BC123" i="50"/>
  <c r="BD123" i="50"/>
  <c r="BB107" i="50"/>
  <c r="BB108" i="50"/>
  <c r="BB62" i="50"/>
  <c r="BC127" i="50"/>
  <c r="BB62" i="42"/>
  <c r="BR62" i="42" s="1"/>
  <c r="BZ62" i="42" s="1"/>
  <c r="BA62" i="42"/>
  <c r="BQ62" i="42" s="1"/>
  <c r="BY62" i="42" s="1"/>
  <c r="AZ65" i="42"/>
  <c r="BP65" i="42" s="1"/>
  <c r="BC70" i="50"/>
  <c r="BD62" i="50"/>
  <c r="BC62" i="50"/>
  <c r="BD92" i="50"/>
  <c r="BC92" i="50"/>
  <c r="BD84" i="50"/>
  <c r="BC84" i="50"/>
  <c r="BD66" i="50"/>
  <c r="BC66" i="50"/>
  <c r="BD131" i="50"/>
  <c r="BC131" i="50"/>
  <c r="BD80" i="50"/>
  <c r="BC80" i="50"/>
  <c r="BD73" i="50"/>
  <c r="BC73" i="50"/>
  <c r="BD94" i="50"/>
  <c r="BC94" i="50"/>
  <c r="BD63" i="50"/>
  <c r="BC63" i="50"/>
  <c r="BB79" i="50"/>
  <c r="BB86" i="50"/>
  <c r="BD76" i="50"/>
  <c r="BC76" i="50"/>
  <c r="BD91" i="50"/>
  <c r="BC91" i="50"/>
  <c r="BD90" i="50"/>
  <c r="BC90" i="50"/>
  <c r="BB69" i="50"/>
  <c r="BD67" i="50"/>
  <c r="BC67" i="50"/>
  <c r="BD71" i="50"/>
  <c r="BC71" i="50"/>
  <c r="BB82" i="50"/>
  <c r="BD134" i="50"/>
  <c r="N209" i="50" s="1"/>
  <c r="BC134" i="50"/>
  <c r="M209" i="50" s="1"/>
  <c r="BB68" i="50"/>
  <c r="BB65" i="50"/>
  <c r="BD124" i="50"/>
  <c r="BC124" i="50"/>
  <c r="BD74" i="50"/>
  <c r="BC74" i="50"/>
  <c r="AV60" i="42"/>
  <c r="M342" i="50" l="1"/>
  <c r="M331" i="50"/>
  <c r="L330" i="50"/>
  <c r="N342" i="50"/>
  <c r="L329" i="50"/>
  <c r="BC281" i="50"/>
  <c r="AR281" i="50"/>
  <c r="BD281" i="50" s="1"/>
  <c r="BB79" i="42"/>
  <c r="BR79" i="42" s="1"/>
  <c r="BZ79" i="42" s="1"/>
  <c r="Q133" i="25"/>
  <c r="BY64" i="42"/>
  <c r="BY61" i="42"/>
  <c r="AQ222" i="50"/>
  <c r="BB222" i="50"/>
  <c r="L341" i="50"/>
  <c r="B514" i="40"/>
  <c r="B232" i="65"/>
  <c r="AR298" i="50"/>
  <c r="BD298" i="50" s="1"/>
  <c r="N331" i="50" s="1"/>
  <c r="BC298" i="50"/>
  <c r="AR245" i="50"/>
  <c r="BD245" i="50" s="1"/>
  <c r="BC245" i="50"/>
  <c r="BB67" i="42"/>
  <c r="BR67" i="42" s="1"/>
  <c r="BZ67" i="42" s="1"/>
  <c r="M36" i="32" s="1"/>
  <c r="AR235" i="50"/>
  <c r="BD235" i="50" s="1"/>
  <c r="BC235" i="50"/>
  <c r="AR258" i="50"/>
  <c r="BD258" i="50" s="1"/>
  <c r="BC258" i="50"/>
  <c r="AR274" i="50"/>
  <c r="BD274" i="50" s="1"/>
  <c r="BC274" i="50"/>
  <c r="AR261" i="50"/>
  <c r="BD261" i="50" s="1"/>
  <c r="BC261" i="50"/>
  <c r="AR279" i="50"/>
  <c r="BD279" i="50" s="1"/>
  <c r="BC279" i="50"/>
  <c r="AR251" i="50"/>
  <c r="BD251" i="50" s="1"/>
  <c r="BC251" i="50"/>
  <c r="AR226" i="50"/>
  <c r="BD226" i="50" s="1"/>
  <c r="BC226" i="50"/>
  <c r="AR280" i="50"/>
  <c r="BD280" i="50" s="1"/>
  <c r="BC280" i="50"/>
  <c r="AR250" i="50"/>
  <c r="BD250" i="50" s="1"/>
  <c r="BC250" i="50"/>
  <c r="AR228" i="50"/>
  <c r="BD228" i="50" s="1"/>
  <c r="BC228" i="50"/>
  <c r="AR244" i="50"/>
  <c r="BD244" i="50" s="1"/>
  <c r="N329" i="50" s="1"/>
  <c r="BC244" i="50"/>
  <c r="AQ284" i="50"/>
  <c r="BB284" i="50"/>
  <c r="AR223" i="50"/>
  <c r="BD223" i="50" s="1"/>
  <c r="BC223" i="50"/>
  <c r="AR225" i="50"/>
  <c r="BD225" i="50" s="1"/>
  <c r="BC225" i="50"/>
  <c r="AR230" i="50"/>
  <c r="BD230" i="50" s="1"/>
  <c r="BC230" i="50"/>
  <c r="AR262" i="50"/>
  <c r="BD262" i="50" s="1"/>
  <c r="BC262" i="50"/>
  <c r="AR285" i="50"/>
  <c r="BD285" i="50" s="1"/>
  <c r="BC285" i="50"/>
  <c r="AR229" i="50"/>
  <c r="BD229" i="50" s="1"/>
  <c r="BC229" i="50"/>
  <c r="AR255" i="50"/>
  <c r="BD255" i="50" s="1"/>
  <c r="BC255" i="50"/>
  <c r="AR221" i="50"/>
  <c r="BD221" i="50" s="1"/>
  <c r="BC221" i="50"/>
  <c r="BB64" i="42"/>
  <c r="BR64" i="42" s="1"/>
  <c r="BZ64" i="42" s="1"/>
  <c r="N208" i="50"/>
  <c r="L207" i="50"/>
  <c r="M208" i="50"/>
  <c r="M341" i="50" s="1"/>
  <c r="BD187" i="50"/>
  <c r="BC187" i="50"/>
  <c r="L206" i="50"/>
  <c r="BD108" i="50"/>
  <c r="BC108" i="50"/>
  <c r="BD110" i="50"/>
  <c r="BC110" i="50"/>
  <c r="BD107" i="50"/>
  <c r="BC107" i="50"/>
  <c r="BD111" i="50"/>
  <c r="BC111" i="50"/>
  <c r="J340" i="50"/>
  <c r="BC64" i="50"/>
  <c r="BB65" i="42"/>
  <c r="BR65" i="42" s="1"/>
  <c r="BZ65" i="42" s="1"/>
  <c r="BA65" i="42"/>
  <c r="BQ65" i="42" s="1"/>
  <c r="BY65" i="42" s="1"/>
  <c r="BD65" i="50"/>
  <c r="BC65" i="50"/>
  <c r="BD82" i="50"/>
  <c r="BC82" i="50"/>
  <c r="BD86" i="50"/>
  <c r="BC86" i="50"/>
  <c r="BD68" i="50"/>
  <c r="BC68" i="50"/>
  <c r="BD69" i="50"/>
  <c r="BC69" i="50"/>
  <c r="BD79" i="50"/>
  <c r="BC79" i="50"/>
  <c r="BL60" i="42"/>
  <c r="M329" i="50" l="1"/>
  <c r="M330" i="50"/>
  <c r="N330" i="50"/>
  <c r="AR222" i="50"/>
  <c r="BD222" i="50" s="1"/>
  <c r="BC222" i="50"/>
  <c r="B515" i="40"/>
  <c r="B233" i="65"/>
  <c r="N341" i="50"/>
  <c r="AR284" i="50"/>
  <c r="BD284" i="50" s="1"/>
  <c r="BC284" i="50"/>
  <c r="M207" i="50"/>
  <c r="N207" i="50"/>
  <c r="M206" i="50"/>
  <c r="N206" i="50"/>
  <c r="BD64" i="50"/>
  <c r="F177" i="24"/>
  <c r="F72" i="36" s="1"/>
  <c r="F176" i="24"/>
  <c r="F71" i="36" s="1"/>
  <c r="F70" i="36"/>
  <c r="F174" i="24"/>
  <c r="F69" i="36" s="1"/>
  <c r="F106" i="24"/>
  <c r="F27" i="34" s="1"/>
  <c r="L37" i="65"/>
  <c r="K36" i="65"/>
  <c r="J35" i="65"/>
  <c r="I34" i="65"/>
  <c r="B516" i="40" l="1"/>
  <c r="B234" i="65"/>
  <c r="H31" i="37"/>
  <c r="J24" i="32"/>
  <c r="L35" i="37"/>
  <c r="L26" i="32"/>
  <c r="I32" i="37"/>
  <c r="I23" i="32"/>
  <c r="K25" i="32"/>
  <c r="M36" i="37"/>
  <c r="M27" i="32"/>
  <c r="J18" i="68"/>
  <c r="J33" i="37"/>
  <c r="K19" i="68"/>
  <c r="K34" i="37"/>
  <c r="N36" i="50"/>
  <c r="N34" i="42"/>
  <c r="Q44" i="25"/>
  <c r="I29" i="42"/>
  <c r="I31" i="50"/>
  <c r="L39" i="25"/>
  <c r="J30" i="42"/>
  <c r="J32" i="50"/>
  <c r="M40" i="25"/>
  <c r="F77" i="36"/>
  <c r="F76" i="36"/>
  <c r="L32" i="42"/>
  <c r="L34" i="50"/>
  <c r="O42" i="25"/>
  <c r="K33" i="50"/>
  <c r="K31" i="42"/>
  <c r="N41" i="25"/>
  <c r="M33" i="42"/>
  <c r="M35" i="50"/>
  <c r="P43" i="25"/>
  <c r="B517" i="40" l="1"/>
  <c r="B235" i="65"/>
  <c r="L36" i="65"/>
  <c r="L392" i="65" s="1"/>
  <c r="M44" i="32" s="1"/>
  <c r="L20" i="68"/>
  <c r="K35" i="65"/>
  <c r="J34" i="65"/>
  <c r="L31" i="42"/>
  <c r="M32" i="42"/>
  <c r="O41" i="25"/>
  <c r="L33" i="50"/>
  <c r="P42" i="25"/>
  <c r="M34" i="50"/>
  <c r="I31" i="37"/>
  <c r="J32" i="37"/>
  <c r="J846" i="37" s="1"/>
  <c r="J23" i="32"/>
  <c r="L24" i="32"/>
  <c r="L34" i="37"/>
  <c r="L25" i="32"/>
  <c r="K33" i="37"/>
  <c r="K24" i="32"/>
  <c r="M35" i="37"/>
  <c r="M26" i="32"/>
  <c r="M34" i="37"/>
  <c r="M25" i="32"/>
  <c r="BE60" i="42"/>
  <c r="K32" i="50"/>
  <c r="K30" i="42"/>
  <c r="N40" i="25"/>
  <c r="N35" i="50"/>
  <c r="N33" i="42"/>
  <c r="Q43" i="25"/>
  <c r="J29" i="42"/>
  <c r="J31" i="50"/>
  <c r="M39" i="25"/>
  <c r="P41" i="25"/>
  <c r="N32" i="42"/>
  <c r="N34" i="50"/>
  <c r="Q42" i="25"/>
  <c r="E758" i="40"/>
  <c r="G670" i="40"/>
  <c r="G674" i="40" s="1"/>
  <c r="H670" i="40"/>
  <c r="H675" i="40" s="1"/>
  <c r="I670" i="40"/>
  <c r="I676" i="40" s="1"/>
  <c r="J670" i="40"/>
  <c r="J677" i="40" s="1"/>
  <c r="K670" i="40"/>
  <c r="K678" i="40" s="1"/>
  <c r="L670" i="40"/>
  <c r="L679" i="40" s="1"/>
  <c r="M670" i="40"/>
  <c r="M680" i="40" s="1"/>
  <c r="N670" i="40"/>
  <c r="N681" i="40" s="1"/>
  <c r="O670" i="40"/>
  <c r="O682" i="40" s="1"/>
  <c r="P670" i="40"/>
  <c r="P683" i="40" s="1"/>
  <c r="Q670" i="40"/>
  <c r="Q684" i="40" s="1"/>
  <c r="R670" i="40"/>
  <c r="R685" i="40" s="1"/>
  <c r="S670" i="40"/>
  <c r="S686" i="40" s="1"/>
  <c r="T670" i="40"/>
  <c r="T687" i="40" s="1"/>
  <c r="U670" i="40"/>
  <c r="U688" i="40" s="1"/>
  <c r="V670" i="40"/>
  <c r="V689" i="40" s="1"/>
  <c r="W670" i="40"/>
  <c r="W690" i="40" s="1"/>
  <c r="X670" i="40"/>
  <c r="X691" i="40" s="1"/>
  <c r="Y670" i="40"/>
  <c r="Y692" i="40" s="1"/>
  <c r="Z670" i="40"/>
  <c r="Z693" i="40" s="1"/>
  <c r="AA670" i="40"/>
  <c r="AA694" i="40" s="1"/>
  <c r="AB670" i="40"/>
  <c r="AB695" i="40" s="1"/>
  <c r="AC670" i="40"/>
  <c r="AC696" i="40" s="1"/>
  <c r="AD670" i="40"/>
  <c r="AD697" i="40" s="1"/>
  <c r="AE670" i="40"/>
  <c r="AE698" i="40" s="1"/>
  <c r="AF670" i="40"/>
  <c r="AF699" i="40" s="1"/>
  <c r="AG670" i="40"/>
  <c r="AG700" i="40" s="1"/>
  <c r="AH670" i="40"/>
  <c r="AH701" i="40" s="1"/>
  <c r="AI670" i="40"/>
  <c r="AI702" i="40" s="1"/>
  <c r="AJ670" i="40"/>
  <c r="AJ703" i="40" s="1"/>
  <c r="AK670" i="40"/>
  <c r="AK704" i="40" s="1"/>
  <c r="AL670" i="40"/>
  <c r="AL705" i="40" s="1"/>
  <c r="AM670" i="40"/>
  <c r="AM706" i="40" s="1"/>
  <c r="AN670" i="40"/>
  <c r="AN707" i="40" s="1"/>
  <c r="AO670" i="40"/>
  <c r="AO708" i="40" s="1"/>
  <c r="AP670" i="40"/>
  <c r="AP709" i="40" s="1"/>
  <c r="AQ670" i="40"/>
  <c r="AQ710" i="40" s="1"/>
  <c r="AR670" i="40"/>
  <c r="AR711" i="40" s="1"/>
  <c r="AS670" i="40"/>
  <c r="AS712" i="40" s="1"/>
  <c r="AT670" i="40"/>
  <c r="AT713" i="40" s="1"/>
  <c r="AU670" i="40"/>
  <c r="AU714" i="40" s="1"/>
  <c r="AV670" i="40"/>
  <c r="AV715" i="40" s="1"/>
  <c r="AW670" i="40"/>
  <c r="AW716" i="40" s="1"/>
  <c r="AX670" i="40"/>
  <c r="AX717" i="40" s="1"/>
  <c r="AY670" i="40"/>
  <c r="AY718" i="40" s="1"/>
  <c r="AZ670" i="40"/>
  <c r="AZ719" i="40" s="1"/>
  <c r="BA670" i="40"/>
  <c r="BA720" i="40" s="1"/>
  <c r="BB670" i="40"/>
  <c r="BB721" i="40" s="1"/>
  <c r="BC670" i="40"/>
  <c r="BC722" i="40" s="1"/>
  <c r="BE670" i="40"/>
  <c r="BE724" i="40" s="1"/>
  <c r="BF670" i="40"/>
  <c r="BF725" i="40" s="1"/>
  <c r="BG670" i="40"/>
  <c r="BG726" i="40" s="1"/>
  <c r="BH670" i="40"/>
  <c r="BH727" i="40" s="1"/>
  <c r="BI670" i="40"/>
  <c r="BI728" i="40" s="1"/>
  <c r="BJ670" i="40"/>
  <c r="BJ729" i="40" s="1"/>
  <c r="BL670" i="40"/>
  <c r="BL731" i="40" s="1"/>
  <c r="BM670" i="40"/>
  <c r="BM732" i="40" s="1"/>
  <c r="BN670" i="40"/>
  <c r="BN733" i="40" s="1"/>
  <c r="BO670" i="40"/>
  <c r="BO734" i="40" s="1"/>
  <c r="BP670" i="40"/>
  <c r="BP735" i="40" s="1"/>
  <c r="BQ670" i="40"/>
  <c r="BQ736" i="40" s="1"/>
  <c r="BR670" i="40"/>
  <c r="BS670" i="40"/>
  <c r="BT670" i="40"/>
  <c r="BU670" i="40"/>
  <c r="BV670" i="40"/>
  <c r="BW670" i="40"/>
  <c r="BX670" i="40"/>
  <c r="BY670" i="40"/>
  <c r="BZ670" i="40"/>
  <c r="CA670" i="40"/>
  <c r="CB670" i="40"/>
  <c r="F670" i="40"/>
  <c r="F673" i="40" s="1"/>
  <c r="E670" i="40"/>
  <c r="BK670" i="40"/>
  <c r="BK730" i="40" s="1"/>
  <c r="BD670" i="40"/>
  <c r="BD723" i="40" s="1"/>
  <c r="M42" i="32" l="1"/>
  <c r="M39" i="32"/>
  <c r="M38" i="32"/>
  <c r="M45" i="32"/>
  <c r="B518" i="40"/>
  <c r="B236" i="65"/>
  <c r="BY66" i="42"/>
  <c r="BY73" i="42"/>
  <c r="BY78" i="42"/>
  <c r="BY79" i="42"/>
  <c r="BY67" i="42"/>
  <c r="BY71" i="42"/>
  <c r="BY75" i="42"/>
  <c r="BY74" i="42"/>
  <c r="BY70" i="42"/>
  <c r="BY76" i="42"/>
  <c r="BY72" i="42"/>
  <c r="BY77" i="42"/>
  <c r="BY68" i="42"/>
  <c r="BY69" i="42"/>
  <c r="L35" i="65"/>
  <c r="L19" i="68"/>
  <c r="L34" i="65"/>
  <c r="L18" i="68"/>
  <c r="K34" i="65"/>
  <c r="K18" i="68"/>
  <c r="M31" i="42"/>
  <c r="M33" i="50"/>
  <c r="BX61" i="42"/>
  <c r="BX63" i="42"/>
  <c r="BX62" i="42"/>
  <c r="BX64" i="42"/>
  <c r="BX65" i="42"/>
  <c r="AZ123" i="50"/>
  <c r="L33" i="37"/>
  <c r="M33" i="37"/>
  <c r="M24" i="32"/>
  <c r="K32" i="37"/>
  <c r="K23" i="32"/>
  <c r="J31" i="37"/>
  <c r="K340" i="50"/>
  <c r="K31" i="50"/>
  <c r="K29" i="42"/>
  <c r="N39" i="25"/>
  <c r="N31" i="42"/>
  <c r="N33" i="50"/>
  <c r="Q41" i="25"/>
  <c r="AW60" i="42"/>
  <c r="L32" i="50"/>
  <c r="L30" i="42"/>
  <c r="O40" i="25"/>
  <c r="CB747" i="40"/>
  <c r="BX743" i="40"/>
  <c r="BY743" i="40" s="1"/>
  <c r="BT739" i="40"/>
  <c r="BU739" i="40" s="1"/>
  <c r="CA746" i="40"/>
  <c r="CB746" i="40" s="1"/>
  <c r="BW742" i="40"/>
  <c r="BX742" i="40" s="1"/>
  <c r="BS738" i="40"/>
  <c r="BT738" i="40" s="1"/>
  <c r="BV741" i="40"/>
  <c r="BW741" i="40" s="1"/>
  <c r="BZ745" i="40"/>
  <c r="CA745" i="40" s="1"/>
  <c r="BR737" i="40"/>
  <c r="BS737" i="40" s="1"/>
  <c r="BT737" i="40" s="1"/>
  <c r="BU737" i="40" s="1"/>
  <c r="BV737" i="40" s="1"/>
  <c r="BW737" i="40" s="1"/>
  <c r="BX737" i="40" s="1"/>
  <c r="BY737" i="40" s="1"/>
  <c r="BZ737" i="40" s="1"/>
  <c r="CA737" i="40" s="1"/>
  <c r="BY744" i="40"/>
  <c r="BZ744" i="40" s="1"/>
  <c r="BU740" i="40"/>
  <c r="BV740" i="40" s="1"/>
  <c r="I675" i="40"/>
  <c r="J675" i="40" s="1"/>
  <c r="K675" i="40" s="1"/>
  <c r="L675" i="40" s="1"/>
  <c r="M675" i="40" s="1"/>
  <c r="N675" i="40" s="1"/>
  <c r="O675" i="40" s="1"/>
  <c r="P675" i="40" s="1"/>
  <c r="Q675" i="40" s="1"/>
  <c r="R675" i="40" s="1"/>
  <c r="S675" i="40" s="1"/>
  <c r="T675" i="40" s="1"/>
  <c r="U675" i="40" s="1"/>
  <c r="V675" i="40" s="1"/>
  <c r="W675" i="40" s="1"/>
  <c r="X675" i="40" s="1"/>
  <c r="Y675" i="40" s="1"/>
  <c r="Z675" i="40" s="1"/>
  <c r="AA675" i="40" s="1"/>
  <c r="AB675" i="40" s="1"/>
  <c r="AC675" i="40" s="1"/>
  <c r="AD675" i="40" s="1"/>
  <c r="AE675" i="40" s="1"/>
  <c r="AF675" i="40" s="1"/>
  <c r="AG675" i="40" s="1"/>
  <c r="AH675" i="40" s="1"/>
  <c r="AI675" i="40" s="1"/>
  <c r="AJ675" i="40" s="1"/>
  <c r="AK675" i="40" s="1"/>
  <c r="AL675" i="40" s="1"/>
  <c r="AM675" i="40" s="1"/>
  <c r="AN675" i="40" s="1"/>
  <c r="AO675" i="40" s="1"/>
  <c r="AP675" i="40" s="1"/>
  <c r="AQ675" i="40" s="1"/>
  <c r="AR675" i="40" s="1"/>
  <c r="AS675" i="40" s="1"/>
  <c r="AT675" i="40" s="1"/>
  <c r="AU675" i="40" s="1"/>
  <c r="AV675" i="40" s="1"/>
  <c r="AW675" i="40" s="1"/>
  <c r="AX675" i="40" s="1"/>
  <c r="AY675" i="40" s="1"/>
  <c r="AZ675" i="40" s="1"/>
  <c r="BA675" i="40" s="1"/>
  <c r="BB675" i="40" s="1"/>
  <c r="BC675" i="40" s="1"/>
  <c r="BD675" i="40" s="1"/>
  <c r="BE675" i="40" s="1"/>
  <c r="BF675" i="40" s="1"/>
  <c r="BG675" i="40" s="1"/>
  <c r="BH675" i="40" s="1"/>
  <c r="BI675" i="40" s="1"/>
  <c r="BJ675" i="40" s="1"/>
  <c r="BK675" i="40" s="1"/>
  <c r="BL675" i="40" s="1"/>
  <c r="BM675" i="40" s="1"/>
  <c r="BN675" i="40" s="1"/>
  <c r="BO675" i="40" s="1"/>
  <c r="BP675" i="40" s="1"/>
  <c r="BQ675" i="40" s="1"/>
  <c r="BR675" i="40" s="1"/>
  <c r="BS675" i="40" s="1"/>
  <c r="BT675" i="40" s="1"/>
  <c r="BU675" i="40" s="1"/>
  <c r="BV675" i="40" s="1"/>
  <c r="BW675" i="40" s="1"/>
  <c r="BX675" i="40" s="1"/>
  <c r="BY675" i="40" s="1"/>
  <c r="BZ675" i="40" s="1"/>
  <c r="CA675" i="40" s="1"/>
  <c r="CB675" i="40" s="1"/>
  <c r="AO707" i="40"/>
  <c r="AP707" i="40" s="1"/>
  <c r="AQ707" i="40" s="1"/>
  <c r="AR707" i="40" s="1"/>
  <c r="AS707" i="40" s="1"/>
  <c r="AT707" i="40" s="1"/>
  <c r="AU707" i="40" s="1"/>
  <c r="AV707" i="40" s="1"/>
  <c r="AW707" i="40" s="1"/>
  <c r="AX707" i="40" s="1"/>
  <c r="AY707" i="40" s="1"/>
  <c r="AZ707" i="40" s="1"/>
  <c r="BA707" i="40" s="1"/>
  <c r="BB707" i="40" s="1"/>
  <c r="BC707" i="40" s="1"/>
  <c r="BD707" i="40" s="1"/>
  <c r="BE707" i="40" s="1"/>
  <c r="BF707" i="40" s="1"/>
  <c r="BG707" i="40" s="1"/>
  <c r="BH707" i="40" s="1"/>
  <c r="BI707" i="40" s="1"/>
  <c r="BJ707" i="40" s="1"/>
  <c r="BK707" i="40" s="1"/>
  <c r="BL707" i="40" s="1"/>
  <c r="BM707" i="40" s="1"/>
  <c r="BN707" i="40" s="1"/>
  <c r="BO707" i="40" s="1"/>
  <c r="BP707" i="40" s="1"/>
  <c r="BQ707" i="40" s="1"/>
  <c r="BR707" i="40" s="1"/>
  <c r="BS707" i="40" s="1"/>
  <c r="BT707" i="40" s="1"/>
  <c r="BU707" i="40" s="1"/>
  <c r="BV707" i="40" s="1"/>
  <c r="BW707" i="40" s="1"/>
  <c r="BX707" i="40" s="1"/>
  <c r="BY707" i="40" s="1"/>
  <c r="BZ707" i="40" s="1"/>
  <c r="CA707" i="40" s="1"/>
  <c r="U687" i="40"/>
  <c r="V687" i="40" s="1"/>
  <c r="W687" i="40" s="1"/>
  <c r="X687" i="40" s="1"/>
  <c r="Y687" i="40" s="1"/>
  <c r="Z687" i="40" s="1"/>
  <c r="AA687" i="40" s="1"/>
  <c r="AB687" i="40" s="1"/>
  <c r="AC687" i="40" s="1"/>
  <c r="AD687" i="40" s="1"/>
  <c r="AE687" i="40" s="1"/>
  <c r="AF687" i="40" s="1"/>
  <c r="AG687" i="40" s="1"/>
  <c r="AH687" i="40" s="1"/>
  <c r="AI687" i="40" s="1"/>
  <c r="AJ687" i="40" s="1"/>
  <c r="AK687" i="40" s="1"/>
  <c r="AL687" i="40" s="1"/>
  <c r="AM687" i="40" s="1"/>
  <c r="AN687" i="40" s="1"/>
  <c r="AO687" i="40" s="1"/>
  <c r="AP687" i="40" s="1"/>
  <c r="AQ687" i="40" s="1"/>
  <c r="AR687" i="40" s="1"/>
  <c r="AS687" i="40" s="1"/>
  <c r="AT687" i="40" s="1"/>
  <c r="AU687" i="40" s="1"/>
  <c r="AV687" i="40" s="1"/>
  <c r="AW687" i="40" s="1"/>
  <c r="AX687" i="40" s="1"/>
  <c r="AY687" i="40" s="1"/>
  <c r="AZ687" i="40" s="1"/>
  <c r="BA687" i="40" s="1"/>
  <c r="BB687" i="40" s="1"/>
  <c r="BC687" i="40" s="1"/>
  <c r="BD687" i="40" s="1"/>
  <c r="BE687" i="40" s="1"/>
  <c r="BF687" i="40" s="1"/>
  <c r="BG687" i="40" s="1"/>
  <c r="BH687" i="40" s="1"/>
  <c r="BI687" i="40" s="1"/>
  <c r="BJ687" i="40" s="1"/>
  <c r="BK687" i="40" s="1"/>
  <c r="BL687" i="40" s="1"/>
  <c r="BM687" i="40" s="1"/>
  <c r="BN687" i="40" s="1"/>
  <c r="BO687" i="40" s="1"/>
  <c r="BP687" i="40" s="1"/>
  <c r="BQ687" i="40" s="1"/>
  <c r="BR687" i="40" s="1"/>
  <c r="BS687" i="40" s="1"/>
  <c r="BT687" i="40" s="1"/>
  <c r="BU687" i="40" s="1"/>
  <c r="BV687" i="40" s="1"/>
  <c r="BW687" i="40" s="1"/>
  <c r="BX687" i="40" s="1"/>
  <c r="BY687" i="40" s="1"/>
  <c r="BZ687" i="40" s="1"/>
  <c r="CA687" i="40" s="1"/>
  <c r="BE723" i="40"/>
  <c r="BF723" i="40" s="1"/>
  <c r="BG723" i="40" s="1"/>
  <c r="BH723" i="40" s="1"/>
  <c r="BI723" i="40" s="1"/>
  <c r="BJ723" i="40" s="1"/>
  <c r="BK723" i="40" s="1"/>
  <c r="BL723" i="40" s="1"/>
  <c r="BM723" i="40" s="1"/>
  <c r="BN723" i="40" s="1"/>
  <c r="BO723" i="40" s="1"/>
  <c r="BP723" i="40" s="1"/>
  <c r="BQ723" i="40" s="1"/>
  <c r="BR723" i="40" s="1"/>
  <c r="BS723" i="40" s="1"/>
  <c r="BT723" i="40" s="1"/>
  <c r="BU723" i="40" s="1"/>
  <c r="BV723" i="40" s="1"/>
  <c r="BW723" i="40" s="1"/>
  <c r="BX723" i="40" s="1"/>
  <c r="BY723" i="40" s="1"/>
  <c r="BZ723" i="40" s="1"/>
  <c r="CA723" i="40" s="1"/>
  <c r="AK703" i="40"/>
  <c r="AL703" i="40" s="1"/>
  <c r="AM703" i="40" s="1"/>
  <c r="AN703" i="40" s="1"/>
  <c r="AO703" i="40" s="1"/>
  <c r="AP703" i="40" s="1"/>
  <c r="AQ703" i="40" s="1"/>
  <c r="AR703" i="40" s="1"/>
  <c r="AS703" i="40" s="1"/>
  <c r="AT703" i="40" s="1"/>
  <c r="AU703" i="40" s="1"/>
  <c r="AV703" i="40" s="1"/>
  <c r="AW703" i="40" s="1"/>
  <c r="AX703" i="40" s="1"/>
  <c r="AY703" i="40" s="1"/>
  <c r="AZ703" i="40" s="1"/>
  <c r="BA703" i="40" s="1"/>
  <c r="BB703" i="40" s="1"/>
  <c r="BC703" i="40" s="1"/>
  <c r="BD703" i="40" s="1"/>
  <c r="BE703" i="40" s="1"/>
  <c r="BF703" i="40" s="1"/>
  <c r="BG703" i="40" s="1"/>
  <c r="BH703" i="40" s="1"/>
  <c r="BI703" i="40" s="1"/>
  <c r="BJ703" i="40" s="1"/>
  <c r="BK703" i="40" s="1"/>
  <c r="BL703" i="40" s="1"/>
  <c r="BM703" i="40" s="1"/>
  <c r="BN703" i="40" s="1"/>
  <c r="BO703" i="40" s="1"/>
  <c r="BP703" i="40" s="1"/>
  <c r="BQ703" i="40" s="1"/>
  <c r="BR703" i="40" s="1"/>
  <c r="BS703" i="40" s="1"/>
  <c r="BT703" i="40" s="1"/>
  <c r="BU703" i="40" s="1"/>
  <c r="BV703" i="40" s="1"/>
  <c r="BW703" i="40" s="1"/>
  <c r="BX703" i="40" s="1"/>
  <c r="BY703" i="40" s="1"/>
  <c r="BZ703" i="40" s="1"/>
  <c r="CA703" i="40" s="1"/>
  <c r="BQ735" i="40"/>
  <c r="BR735" i="40" s="1"/>
  <c r="BS735" i="40" s="1"/>
  <c r="BT735" i="40" s="1"/>
  <c r="BU735" i="40" s="1"/>
  <c r="BV735" i="40" s="1"/>
  <c r="BW735" i="40" s="1"/>
  <c r="BX735" i="40" s="1"/>
  <c r="BY735" i="40" s="1"/>
  <c r="BZ735" i="40" s="1"/>
  <c r="CA735" i="40" s="1"/>
  <c r="Q683" i="40"/>
  <c r="R683" i="40" s="1"/>
  <c r="S683" i="40" s="1"/>
  <c r="T683" i="40" s="1"/>
  <c r="U683" i="40" s="1"/>
  <c r="V683" i="40" s="1"/>
  <c r="W683" i="40" s="1"/>
  <c r="X683" i="40" s="1"/>
  <c r="Y683" i="40" s="1"/>
  <c r="Z683" i="40" s="1"/>
  <c r="AA683" i="40" s="1"/>
  <c r="AB683" i="40" s="1"/>
  <c r="AC683" i="40" s="1"/>
  <c r="AD683" i="40" s="1"/>
  <c r="AE683" i="40" s="1"/>
  <c r="AF683" i="40" s="1"/>
  <c r="AG683" i="40" s="1"/>
  <c r="AH683" i="40" s="1"/>
  <c r="AI683" i="40" s="1"/>
  <c r="AJ683" i="40" s="1"/>
  <c r="AK683" i="40" s="1"/>
  <c r="AL683" i="40" s="1"/>
  <c r="AM683" i="40" s="1"/>
  <c r="AN683" i="40" s="1"/>
  <c r="AO683" i="40" s="1"/>
  <c r="AP683" i="40" s="1"/>
  <c r="AQ683" i="40" s="1"/>
  <c r="AR683" i="40" s="1"/>
  <c r="AS683" i="40" s="1"/>
  <c r="AT683" i="40" s="1"/>
  <c r="AU683" i="40" s="1"/>
  <c r="AV683" i="40" s="1"/>
  <c r="AW683" i="40" s="1"/>
  <c r="AX683" i="40" s="1"/>
  <c r="AY683" i="40" s="1"/>
  <c r="AZ683" i="40" s="1"/>
  <c r="BA683" i="40" s="1"/>
  <c r="BB683" i="40" s="1"/>
  <c r="BC683" i="40" s="1"/>
  <c r="BD683" i="40" s="1"/>
  <c r="BE683" i="40" s="1"/>
  <c r="BF683" i="40" s="1"/>
  <c r="BG683" i="40" s="1"/>
  <c r="BH683" i="40" s="1"/>
  <c r="BI683" i="40" s="1"/>
  <c r="BJ683" i="40" s="1"/>
  <c r="BK683" i="40" s="1"/>
  <c r="BL683" i="40" s="1"/>
  <c r="BM683" i="40" s="1"/>
  <c r="BN683" i="40" s="1"/>
  <c r="BO683" i="40" s="1"/>
  <c r="BP683" i="40" s="1"/>
  <c r="BQ683" i="40" s="1"/>
  <c r="BR683" i="40" s="1"/>
  <c r="BS683" i="40" s="1"/>
  <c r="BT683" i="40" s="1"/>
  <c r="BU683" i="40" s="1"/>
  <c r="BV683" i="40" s="1"/>
  <c r="BW683" i="40" s="1"/>
  <c r="BX683" i="40" s="1"/>
  <c r="BY683" i="40" s="1"/>
  <c r="BZ683" i="40" s="1"/>
  <c r="CA683" i="40" s="1"/>
  <c r="CB683" i="40" s="1"/>
  <c r="AG699" i="40"/>
  <c r="AH699" i="40" s="1"/>
  <c r="AI699" i="40" s="1"/>
  <c r="AJ699" i="40" s="1"/>
  <c r="AK699" i="40" s="1"/>
  <c r="AL699" i="40" s="1"/>
  <c r="AM699" i="40" s="1"/>
  <c r="AN699" i="40" s="1"/>
  <c r="AO699" i="40" s="1"/>
  <c r="AP699" i="40" s="1"/>
  <c r="AQ699" i="40" s="1"/>
  <c r="AR699" i="40" s="1"/>
  <c r="AS699" i="40" s="1"/>
  <c r="AT699" i="40" s="1"/>
  <c r="AU699" i="40" s="1"/>
  <c r="AV699" i="40" s="1"/>
  <c r="AW699" i="40" s="1"/>
  <c r="AX699" i="40" s="1"/>
  <c r="AY699" i="40" s="1"/>
  <c r="AZ699" i="40" s="1"/>
  <c r="BA699" i="40" s="1"/>
  <c r="BB699" i="40" s="1"/>
  <c r="BC699" i="40" s="1"/>
  <c r="BD699" i="40" s="1"/>
  <c r="BE699" i="40" s="1"/>
  <c r="BF699" i="40" s="1"/>
  <c r="BG699" i="40" s="1"/>
  <c r="BH699" i="40" s="1"/>
  <c r="BI699" i="40" s="1"/>
  <c r="BJ699" i="40" s="1"/>
  <c r="BK699" i="40" s="1"/>
  <c r="BL699" i="40" s="1"/>
  <c r="BM699" i="40" s="1"/>
  <c r="BN699" i="40" s="1"/>
  <c r="BO699" i="40" s="1"/>
  <c r="BP699" i="40" s="1"/>
  <c r="BQ699" i="40" s="1"/>
  <c r="BR699" i="40" s="1"/>
  <c r="BS699" i="40" s="1"/>
  <c r="BT699" i="40" s="1"/>
  <c r="BU699" i="40" s="1"/>
  <c r="BV699" i="40" s="1"/>
  <c r="BW699" i="40" s="1"/>
  <c r="BX699" i="40" s="1"/>
  <c r="BY699" i="40" s="1"/>
  <c r="BZ699" i="40" s="1"/>
  <c r="CA699" i="40" s="1"/>
  <c r="AW715" i="40"/>
  <c r="AX715" i="40" s="1"/>
  <c r="AY715" i="40" s="1"/>
  <c r="AZ715" i="40" s="1"/>
  <c r="BA715" i="40" s="1"/>
  <c r="BB715" i="40" s="1"/>
  <c r="BC715" i="40" s="1"/>
  <c r="BD715" i="40" s="1"/>
  <c r="BE715" i="40" s="1"/>
  <c r="BF715" i="40" s="1"/>
  <c r="BG715" i="40" s="1"/>
  <c r="BH715" i="40" s="1"/>
  <c r="BI715" i="40" s="1"/>
  <c r="BJ715" i="40" s="1"/>
  <c r="BK715" i="40" s="1"/>
  <c r="BL715" i="40" s="1"/>
  <c r="BM715" i="40" s="1"/>
  <c r="BN715" i="40" s="1"/>
  <c r="BO715" i="40" s="1"/>
  <c r="BP715" i="40" s="1"/>
  <c r="BQ715" i="40" s="1"/>
  <c r="BR715" i="40" s="1"/>
  <c r="BS715" i="40" s="1"/>
  <c r="BT715" i="40" s="1"/>
  <c r="BU715" i="40" s="1"/>
  <c r="BV715" i="40" s="1"/>
  <c r="BW715" i="40" s="1"/>
  <c r="BX715" i="40" s="1"/>
  <c r="BY715" i="40" s="1"/>
  <c r="BZ715" i="40" s="1"/>
  <c r="CA715" i="40" s="1"/>
  <c r="BM731" i="40"/>
  <c r="BN731" i="40" s="1"/>
  <c r="BO731" i="40" s="1"/>
  <c r="BP731" i="40" s="1"/>
  <c r="BQ731" i="40" s="1"/>
  <c r="BR731" i="40" s="1"/>
  <c r="BS731" i="40" s="1"/>
  <c r="BT731" i="40" s="1"/>
  <c r="BU731" i="40" s="1"/>
  <c r="BV731" i="40" s="1"/>
  <c r="BW731" i="40" s="1"/>
  <c r="BX731" i="40" s="1"/>
  <c r="BY731" i="40" s="1"/>
  <c r="BZ731" i="40" s="1"/>
  <c r="CA731" i="40" s="1"/>
  <c r="Y691" i="40"/>
  <c r="Z691" i="40" s="1"/>
  <c r="AA691" i="40" s="1"/>
  <c r="AB691" i="40" s="1"/>
  <c r="AC691" i="40" s="1"/>
  <c r="AD691" i="40" s="1"/>
  <c r="AE691" i="40" s="1"/>
  <c r="AF691" i="40" s="1"/>
  <c r="AG691" i="40" s="1"/>
  <c r="AH691" i="40" s="1"/>
  <c r="AI691" i="40" s="1"/>
  <c r="AJ691" i="40" s="1"/>
  <c r="AK691" i="40" s="1"/>
  <c r="AL691" i="40" s="1"/>
  <c r="AM691" i="40" s="1"/>
  <c r="AN691" i="40" s="1"/>
  <c r="AO691" i="40" s="1"/>
  <c r="AP691" i="40" s="1"/>
  <c r="AQ691" i="40" s="1"/>
  <c r="AR691" i="40" s="1"/>
  <c r="AS691" i="40" s="1"/>
  <c r="AT691" i="40" s="1"/>
  <c r="AU691" i="40" s="1"/>
  <c r="AV691" i="40" s="1"/>
  <c r="AW691" i="40" s="1"/>
  <c r="AX691" i="40" s="1"/>
  <c r="AY691" i="40" s="1"/>
  <c r="AZ691" i="40" s="1"/>
  <c r="BA691" i="40" s="1"/>
  <c r="BB691" i="40" s="1"/>
  <c r="BC691" i="40" s="1"/>
  <c r="BD691" i="40" s="1"/>
  <c r="BE691" i="40" s="1"/>
  <c r="BF691" i="40" s="1"/>
  <c r="BG691" i="40" s="1"/>
  <c r="BH691" i="40" s="1"/>
  <c r="BI691" i="40" s="1"/>
  <c r="BJ691" i="40" s="1"/>
  <c r="BK691" i="40" s="1"/>
  <c r="BL691" i="40" s="1"/>
  <c r="BM691" i="40" s="1"/>
  <c r="BN691" i="40" s="1"/>
  <c r="BO691" i="40" s="1"/>
  <c r="BP691" i="40" s="1"/>
  <c r="BQ691" i="40" s="1"/>
  <c r="BR691" i="40" s="1"/>
  <c r="BS691" i="40" s="1"/>
  <c r="BT691" i="40" s="1"/>
  <c r="BU691" i="40" s="1"/>
  <c r="BV691" i="40" s="1"/>
  <c r="BW691" i="40" s="1"/>
  <c r="BX691" i="40" s="1"/>
  <c r="BY691" i="40" s="1"/>
  <c r="BZ691" i="40" s="1"/>
  <c r="CA691" i="40" s="1"/>
  <c r="BJ728" i="40"/>
  <c r="BK728" i="40" s="1"/>
  <c r="BL728" i="40" s="1"/>
  <c r="BM728" i="40" s="1"/>
  <c r="BN728" i="40" s="1"/>
  <c r="BO728" i="40" s="1"/>
  <c r="BP728" i="40" s="1"/>
  <c r="BQ728" i="40" s="1"/>
  <c r="BR728" i="40" s="1"/>
  <c r="BS728" i="40" s="1"/>
  <c r="BT728" i="40" s="1"/>
  <c r="BU728" i="40" s="1"/>
  <c r="BV728" i="40" s="1"/>
  <c r="BW728" i="40" s="1"/>
  <c r="BX728" i="40" s="1"/>
  <c r="BY728" i="40" s="1"/>
  <c r="BZ728" i="40" s="1"/>
  <c r="CA728" i="40" s="1"/>
  <c r="BA719" i="40"/>
  <c r="BB719" i="40" s="1"/>
  <c r="BC719" i="40" s="1"/>
  <c r="BD719" i="40" s="1"/>
  <c r="BE719" i="40" s="1"/>
  <c r="BF719" i="40" s="1"/>
  <c r="BG719" i="40" s="1"/>
  <c r="BH719" i="40" s="1"/>
  <c r="BI719" i="40" s="1"/>
  <c r="BJ719" i="40" s="1"/>
  <c r="BK719" i="40" s="1"/>
  <c r="BL719" i="40" s="1"/>
  <c r="BM719" i="40" s="1"/>
  <c r="BN719" i="40" s="1"/>
  <c r="BO719" i="40" s="1"/>
  <c r="BP719" i="40" s="1"/>
  <c r="BQ719" i="40" s="1"/>
  <c r="BR719" i="40" s="1"/>
  <c r="BS719" i="40" s="1"/>
  <c r="BT719" i="40" s="1"/>
  <c r="BU719" i="40" s="1"/>
  <c r="BV719" i="40" s="1"/>
  <c r="BW719" i="40" s="1"/>
  <c r="BX719" i="40" s="1"/>
  <c r="BY719" i="40" s="1"/>
  <c r="BZ719" i="40" s="1"/>
  <c r="CA719" i="40" s="1"/>
  <c r="M679" i="40"/>
  <c r="N679" i="40" s="1"/>
  <c r="O679" i="40" s="1"/>
  <c r="P679" i="40" s="1"/>
  <c r="Q679" i="40" s="1"/>
  <c r="R679" i="40" s="1"/>
  <c r="S679" i="40" s="1"/>
  <c r="T679" i="40" s="1"/>
  <c r="U679" i="40" s="1"/>
  <c r="V679" i="40" s="1"/>
  <c r="W679" i="40" s="1"/>
  <c r="X679" i="40" s="1"/>
  <c r="Y679" i="40" s="1"/>
  <c r="Z679" i="40" s="1"/>
  <c r="AA679" i="40" s="1"/>
  <c r="AB679" i="40" s="1"/>
  <c r="AC679" i="40" s="1"/>
  <c r="AD679" i="40" s="1"/>
  <c r="AE679" i="40" s="1"/>
  <c r="AF679" i="40" s="1"/>
  <c r="AG679" i="40" s="1"/>
  <c r="AH679" i="40" s="1"/>
  <c r="AI679" i="40" s="1"/>
  <c r="AJ679" i="40" s="1"/>
  <c r="AK679" i="40" s="1"/>
  <c r="AL679" i="40" s="1"/>
  <c r="AM679" i="40" s="1"/>
  <c r="AN679" i="40" s="1"/>
  <c r="AO679" i="40" s="1"/>
  <c r="AP679" i="40" s="1"/>
  <c r="AQ679" i="40" s="1"/>
  <c r="AR679" i="40" s="1"/>
  <c r="AS679" i="40" s="1"/>
  <c r="AT679" i="40" s="1"/>
  <c r="AU679" i="40" s="1"/>
  <c r="AV679" i="40" s="1"/>
  <c r="AW679" i="40" s="1"/>
  <c r="AX679" i="40" s="1"/>
  <c r="AY679" i="40" s="1"/>
  <c r="AZ679" i="40" s="1"/>
  <c r="BA679" i="40" s="1"/>
  <c r="BB679" i="40" s="1"/>
  <c r="BC679" i="40" s="1"/>
  <c r="BD679" i="40" s="1"/>
  <c r="BE679" i="40" s="1"/>
  <c r="BF679" i="40" s="1"/>
  <c r="BG679" i="40" s="1"/>
  <c r="BH679" i="40" s="1"/>
  <c r="BI679" i="40" s="1"/>
  <c r="BJ679" i="40" s="1"/>
  <c r="BK679" i="40" s="1"/>
  <c r="BL679" i="40" s="1"/>
  <c r="BM679" i="40" s="1"/>
  <c r="BN679" i="40" s="1"/>
  <c r="BO679" i="40" s="1"/>
  <c r="BP679" i="40" s="1"/>
  <c r="BQ679" i="40" s="1"/>
  <c r="BR679" i="40" s="1"/>
  <c r="BS679" i="40" s="1"/>
  <c r="BT679" i="40" s="1"/>
  <c r="BU679" i="40" s="1"/>
  <c r="BV679" i="40" s="1"/>
  <c r="BW679" i="40" s="1"/>
  <c r="BX679" i="40" s="1"/>
  <c r="BY679" i="40" s="1"/>
  <c r="BZ679" i="40" s="1"/>
  <c r="CA679" i="40" s="1"/>
  <c r="CB679" i="40" s="1"/>
  <c r="AC695" i="40"/>
  <c r="AD695" i="40" s="1"/>
  <c r="AE695" i="40" s="1"/>
  <c r="AF695" i="40" s="1"/>
  <c r="AG695" i="40" s="1"/>
  <c r="AH695" i="40" s="1"/>
  <c r="AI695" i="40" s="1"/>
  <c r="AJ695" i="40" s="1"/>
  <c r="AK695" i="40" s="1"/>
  <c r="AL695" i="40" s="1"/>
  <c r="AM695" i="40" s="1"/>
  <c r="AN695" i="40" s="1"/>
  <c r="AO695" i="40" s="1"/>
  <c r="AP695" i="40" s="1"/>
  <c r="AQ695" i="40" s="1"/>
  <c r="AR695" i="40" s="1"/>
  <c r="AS695" i="40" s="1"/>
  <c r="AT695" i="40" s="1"/>
  <c r="AU695" i="40" s="1"/>
  <c r="AV695" i="40" s="1"/>
  <c r="AW695" i="40" s="1"/>
  <c r="AX695" i="40" s="1"/>
  <c r="AY695" i="40" s="1"/>
  <c r="AZ695" i="40" s="1"/>
  <c r="BA695" i="40" s="1"/>
  <c r="BB695" i="40" s="1"/>
  <c r="BC695" i="40" s="1"/>
  <c r="BD695" i="40" s="1"/>
  <c r="BE695" i="40" s="1"/>
  <c r="BF695" i="40" s="1"/>
  <c r="BG695" i="40" s="1"/>
  <c r="BH695" i="40" s="1"/>
  <c r="BI695" i="40" s="1"/>
  <c r="BJ695" i="40" s="1"/>
  <c r="BK695" i="40" s="1"/>
  <c r="BL695" i="40" s="1"/>
  <c r="BM695" i="40" s="1"/>
  <c r="BN695" i="40" s="1"/>
  <c r="BO695" i="40" s="1"/>
  <c r="BP695" i="40" s="1"/>
  <c r="BQ695" i="40" s="1"/>
  <c r="BR695" i="40" s="1"/>
  <c r="BS695" i="40" s="1"/>
  <c r="BT695" i="40" s="1"/>
  <c r="BU695" i="40" s="1"/>
  <c r="BV695" i="40" s="1"/>
  <c r="BW695" i="40" s="1"/>
  <c r="BX695" i="40" s="1"/>
  <c r="BY695" i="40" s="1"/>
  <c r="BZ695" i="40" s="1"/>
  <c r="CA695" i="40" s="1"/>
  <c r="AS711" i="40"/>
  <c r="AT711" i="40" s="1"/>
  <c r="AU711" i="40" s="1"/>
  <c r="AV711" i="40" s="1"/>
  <c r="AW711" i="40" s="1"/>
  <c r="AX711" i="40" s="1"/>
  <c r="AY711" i="40" s="1"/>
  <c r="AZ711" i="40" s="1"/>
  <c r="BA711" i="40" s="1"/>
  <c r="BB711" i="40" s="1"/>
  <c r="BC711" i="40" s="1"/>
  <c r="BD711" i="40" s="1"/>
  <c r="BE711" i="40" s="1"/>
  <c r="BF711" i="40" s="1"/>
  <c r="BG711" i="40" s="1"/>
  <c r="BH711" i="40" s="1"/>
  <c r="BI711" i="40" s="1"/>
  <c r="BJ711" i="40" s="1"/>
  <c r="BK711" i="40" s="1"/>
  <c r="BL711" i="40" s="1"/>
  <c r="BM711" i="40" s="1"/>
  <c r="BN711" i="40" s="1"/>
  <c r="BO711" i="40" s="1"/>
  <c r="BP711" i="40" s="1"/>
  <c r="BQ711" i="40" s="1"/>
  <c r="BR711" i="40" s="1"/>
  <c r="BS711" i="40" s="1"/>
  <c r="BT711" i="40" s="1"/>
  <c r="BU711" i="40" s="1"/>
  <c r="BV711" i="40" s="1"/>
  <c r="BW711" i="40" s="1"/>
  <c r="BX711" i="40" s="1"/>
  <c r="BY711" i="40" s="1"/>
  <c r="BZ711" i="40" s="1"/>
  <c r="CA711" i="40" s="1"/>
  <c r="CB711" i="40" s="1"/>
  <c r="BI727" i="40"/>
  <c r="BJ727" i="40" s="1"/>
  <c r="BK727" i="40" s="1"/>
  <c r="BL727" i="40" s="1"/>
  <c r="BM727" i="40" s="1"/>
  <c r="BN727" i="40" s="1"/>
  <c r="BO727" i="40" s="1"/>
  <c r="BP727" i="40" s="1"/>
  <c r="BQ727" i="40" s="1"/>
  <c r="BR727" i="40" s="1"/>
  <c r="BS727" i="40" s="1"/>
  <c r="BT727" i="40" s="1"/>
  <c r="BU727" i="40" s="1"/>
  <c r="BV727" i="40" s="1"/>
  <c r="BW727" i="40" s="1"/>
  <c r="BX727" i="40" s="1"/>
  <c r="BY727" i="40" s="1"/>
  <c r="BZ727" i="40" s="1"/>
  <c r="CA727" i="40" s="1"/>
  <c r="H674" i="40"/>
  <c r="I674" i="40" s="1"/>
  <c r="J674" i="40" s="1"/>
  <c r="K674" i="40" s="1"/>
  <c r="L674" i="40" s="1"/>
  <c r="M674" i="40" s="1"/>
  <c r="N674" i="40" s="1"/>
  <c r="O674" i="40" s="1"/>
  <c r="P674" i="40" s="1"/>
  <c r="Q674" i="40" s="1"/>
  <c r="R674" i="40" s="1"/>
  <c r="S674" i="40" s="1"/>
  <c r="T674" i="40" s="1"/>
  <c r="U674" i="40" s="1"/>
  <c r="V674" i="40" s="1"/>
  <c r="W674" i="40" s="1"/>
  <c r="X674" i="40" s="1"/>
  <c r="Y674" i="40" s="1"/>
  <c r="Z674" i="40" s="1"/>
  <c r="AA674" i="40" s="1"/>
  <c r="AB674" i="40" s="1"/>
  <c r="AC674" i="40" s="1"/>
  <c r="AD674" i="40" s="1"/>
  <c r="AE674" i="40" s="1"/>
  <c r="AF674" i="40" s="1"/>
  <c r="AG674" i="40" s="1"/>
  <c r="AH674" i="40" s="1"/>
  <c r="AI674" i="40" s="1"/>
  <c r="AJ674" i="40" s="1"/>
  <c r="AK674" i="40" s="1"/>
  <c r="AL674" i="40" s="1"/>
  <c r="AM674" i="40" s="1"/>
  <c r="AN674" i="40" s="1"/>
  <c r="AO674" i="40" s="1"/>
  <c r="AP674" i="40" s="1"/>
  <c r="AQ674" i="40" s="1"/>
  <c r="AR674" i="40" s="1"/>
  <c r="AS674" i="40" s="1"/>
  <c r="AT674" i="40" s="1"/>
  <c r="AU674" i="40" s="1"/>
  <c r="AV674" i="40" s="1"/>
  <c r="AW674" i="40" s="1"/>
  <c r="AX674" i="40" s="1"/>
  <c r="AY674" i="40" s="1"/>
  <c r="AZ674" i="40" s="1"/>
  <c r="BA674" i="40" s="1"/>
  <c r="BB674" i="40" s="1"/>
  <c r="BC674" i="40" s="1"/>
  <c r="BD674" i="40" s="1"/>
  <c r="BE674" i="40" s="1"/>
  <c r="BF674" i="40" s="1"/>
  <c r="BG674" i="40" s="1"/>
  <c r="BH674" i="40" s="1"/>
  <c r="BI674" i="40" s="1"/>
  <c r="BJ674" i="40" s="1"/>
  <c r="BK674" i="40" s="1"/>
  <c r="BL674" i="40" s="1"/>
  <c r="BM674" i="40" s="1"/>
  <c r="BN674" i="40" s="1"/>
  <c r="BO674" i="40" s="1"/>
  <c r="BP674" i="40" s="1"/>
  <c r="BQ674" i="40" s="1"/>
  <c r="BR674" i="40" s="1"/>
  <c r="BS674" i="40" s="1"/>
  <c r="BT674" i="40" s="1"/>
  <c r="BU674" i="40" s="1"/>
  <c r="BV674" i="40" s="1"/>
  <c r="BW674" i="40" s="1"/>
  <c r="BX674" i="40" s="1"/>
  <c r="BY674" i="40" s="1"/>
  <c r="BZ674" i="40" s="1"/>
  <c r="CA674" i="40" s="1"/>
  <c r="CB674" i="40" s="1"/>
  <c r="L678" i="40"/>
  <c r="M678" i="40" s="1"/>
  <c r="N678" i="40" s="1"/>
  <c r="O678" i="40" s="1"/>
  <c r="P678" i="40" s="1"/>
  <c r="Q678" i="40" s="1"/>
  <c r="R678" i="40" s="1"/>
  <c r="S678" i="40" s="1"/>
  <c r="T678" i="40" s="1"/>
  <c r="U678" i="40" s="1"/>
  <c r="V678" i="40" s="1"/>
  <c r="W678" i="40" s="1"/>
  <c r="X678" i="40" s="1"/>
  <c r="Y678" i="40" s="1"/>
  <c r="Z678" i="40" s="1"/>
  <c r="AA678" i="40" s="1"/>
  <c r="AB678" i="40" s="1"/>
  <c r="AC678" i="40" s="1"/>
  <c r="AD678" i="40" s="1"/>
  <c r="AE678" i="40" s="1"/>
  <c r="AF678" i="40" s="1"/>
  <c r="AG678" i="40" s="1"/>
  <c r="AH678" i="40" s="1"/>
  <c r="AI678" i="40" s="1"/>
  <c r="AJ678" i="40" s="1"/>
  <c r="AK678" i="40" s="1"/>
  <c r="AL678" i="40" s="1"/>
  <c r="AM678" i="40" s="1"/>
  <c r="AN678" i="40" s="1"/>
  <c r="AO678" i="40" s="1"/>
  <c r="AP678" i="40" s="1"/>
  <c r="AQ678" i="40" s="1"/>
  <c r="AR678" i="40" s="1"/>
  <c r="AS678" i="40" s="1"/>
  <c r="AT678" i="40" s="1"/>
  <c r="AU678" i="40" s="1"/>
  <c r="AV678" i="40" s="1"/>
  <c r="AW678" i="40" s="1"/>
  <c r="AX678" i="40" s="1"/>
  <c r="AY678" i="40" s="1"/>
  <c r="AZ678" i="40" s="1"/>
  <c r="BA678" i="40" s="1"/>
  <c r="BB678" i="40" s="1"/>
  <c r="BC678" i="40" s="1"/>
  <c r="BD678" i="40" s="1"/>
  <c r="BE678" i="40" s="1"/>
  <c r="BF678" i="40" s="1"/>
  <c r="BG678" i="40" s="1"/>
  <c r="BH678" i="40" s="1"/>
  <c r="BI678" i="40" s="1"/>
  <c r="BJ678" i="40" s="1"/>
  <c r="BK678" i="40" s="1"/>
  <c r="BL678" i="40" s="1"/>
  <c r="BM678" i="40" s="1"/>
  <c r="BN678" i="40" s="1"/>
  <c r="BO678" i="40" s="1"/>
  <c r="BP678" i="40" s="1"/>
  <c r="BQ678" i="40" s="1"/>
  <c r="BR678" i="40" s="1"/>
  <c r="BS678" i="40" s="1"/>
  <c r="BT678" i="40" s="1"/>
  <c r="BU678" i="40" s="1"/>
  <c r="BV678" i="40" s="1"/>
  <c r="BW678" i="40" s="1"/>
  <c r="BX678" i="40" s="1"/>
  <c r="BY678" i="40" s="1"/>
  <c r="BZ678" i="40" s="1"/>
  <c r="CA678" i="40" s="1"/>
  <c r="CB678" i="40" s="1"/>
  <c r="P682" i="40"/>
  <c r="Q682" i="40" s="1"/>
  <c r="R682" i="40" s="1"/>
  <c r="S682" i="40" s="1"/>
  <c r="T682" i="40" s="1"/>
  <c r="U682" i="40" s="1"/>
  <c r="V682" i="40" s="1"/>
  <c r="W682" i="40" s="1"/>
  <c r="X682" i="40" s="1"/>
  <c r="Y682" i="40" s="1"/>
  <c r="Z682" i="40" s="1"/>
  <c r="AA682" i="40" s="1"/>
  <c r="AB682" i="40" s="1"/>
  <c r="AC682" i="40" s="1"/>
  <c r="AD682" i="40" s="1"/>
  <c r="AE682" i="40" s="1"/>
  <c r="AF682" i="40" s="1"/>
  <c r="AG682" i="40" s="1"/>
  <c r="AH682" i="40" s="1"/>
  <c r="AI682" i="40" s="1"/>
  <c r="AJ682" i="40" s="1"/>
  <c r="AK682" i="40" s="1"/>
  <c r="AL682" i="40" s="1"/>
  <c r="AM682" i="40" s="1"/>
  <c r="AN682" i="40" s="1"/>
  <c r="AO682" i="40" s="1"/>
  <c r="AP682" i="40" s="1"/>
  <c r="AQ682" i="40" s="1"/>
  <c r="AR682" i="40" s="1"/>
  <c r="AS682" i="40" s="1"/>
  <c r="AT682" i="40" s="1"/>
  <c r="AU682" i="40" s="1"/>
  <c r="AV682" i="40" s="1"/>
  <c r="AW682" i="40" s="1"/>
  <c r="AX682" i="40" s="1"/>
  <c r="AY682" i="40" s="1"/>
  <c r="AZ682" i="40" s="1"/>
  <c r="BA682" i="40" s="1"/>
  <c r="BB682" i="40" s="1"/>
  <c r="BC682" i="40" s="1"/>
  <c r="BD682" i="40" s="1"/>
  <c r="BE682" i="40" s="1"/>
  <c r="BF682" i="40" s="1"/>
  <c r="BG682" i="40" s="1"/>
  <c r="BH682" i="40" s="1"/>
  <c r="BI682" i="40" s="1"/>
  <c r="BJ682" i="40" s="1"/>
  <c r="BK682" i="40" s="1"/>
  <c r="BL682" i="40" s="1"/>
  <c r="BM682" i="40" s="1"/>
  <c r="BN682" i="40" s="1"/>
  <c r="BO682" i="40" s="1"/>
  <c r="BP682" i="40" s="1"/>
  <c r="BQ682" i="40" s="1"/>
  <c r="BR682" i="40" s="1"/>
  <c r="BS682" i="40" s="1"/>
  <c r="BT682" i="40" s="1"/>
  <c r="BU682" i="40" s="1"/>
  <c r="BV682" i="40" s="1"/>
  <c r="BW682" i="40" s="1"/>
  <c r="BX682" i="40" s="1"/>
  <c r="BY682" i="40" s="1"/>
  <c r="BZ682" i="40" s="1"/>
  <c r="CA682" i="40" s="1"/>
  <c r="T686" i="40"/>
  <c r="U686" i="40" s="1"/>
  <c r="V686" i="40" s="1"/>
  <c r="W686" i="40" s="1"/>
  <c r="X686" i="40" s="1"/>
  <c r="Y686" i="40" s="1"/>
  <c r="Z686" i="40" s="1"/>
  <c r="AA686" i="40" s="1"/>
  <c r="AB686" i="40" s="1"/>
  <c r="AC686" i="40" s="1"/>
  <c r="AD686" i="40" s="1"/>
  <c r="AE686" i="40" s="1"/>
  <c r="AF686" i="40" s="1"/>
  <c r="AG686" i="40" s="1"/>
  <c r="AH686" i="40" s="1"/>
  <c r="AI686" i="40" s="1"/>
  <c r="AJ686" i="40" s="1"/>
  <c r="AK686" i="40" s="1"/>
  <c r="AL686" i="40" s="1"/>
  <c r="AM686" i="40" s="1"/>
  <c r="AN686" i="40" s="1"/>
  <c r="AO686" i="40" s="1"/>
  <c r="AP686" i="40" s="1"/>
  <c r="AQ686" i="40" s="1"/>
  <c r="AR686" i="40" s="1"/>
  <c r="AS686" i="40" s="1"/>
  <c r="AT686" i="40" s="1"/>
  <c r="AU686" i="40" s="1"/>
  <c r="AV686" i="40" s="1"/>
  <c r="AW686" i="40" s="1"/>
  <c r="AX686" i="40" s="1"/>
  <c r="AY686" i="40" s="1"/>
  <c r="AZ686" i="40" s="1"/>
  <c r="BA686" i="40" s="1"/>
  <c r="BB686" i="40" s="1"/>
  <c r="BC686" i="40" s="1"/>
  <c r="BD686" i="40" s="1"/>
  <c r="BE686" i="40" s="1"/>
  <c r="BF686" i="40" s="1"/>
  <c r="BG686" i="40" s="1"/>
  <c r="BH686" i="40" s="1"/>
  <c r="BI686" i="40" s="1"/>
  <c r="BJ686" i="40" s="1"/>
  <c r="BK686" i="40" s="1"/>
  <c r="BL686" i="40" s="1"/>
  <c r="BM686" i="40" s="1"/>
  <c r="BN686" i="40" s="1"/>
  <c r="BO686" i="40" s="1"/>
  <c r="BP686" i="40" s="1"/>
  <c r="BQ686" i="40" s="1"/>
  <c r="BR686" i="40" s="1"/>
  <c r="BS686" i="40" s="1"/>
  <c r="BT686" i="40" s="1"/>
  <c r="BU686" i="40" s="1"/>
  <c r="BV686" i="40" s="1"/>
  <c r="BW686" i="40" s="1"/>
  <c r="BX686" i="40" s="1"/>
  <c r="BY686" i="40" s="1"/>
  <c r="BZ686" i="40" s="1"/>
  <c r="CA686" i="40" s="1"/>
  <c r="X690" i="40"/>
  <c r="Y690" i="40" s="1"/>
  <c r="Z690" i="40" s="1"/>
  <c r="AA690" i="40" s="1"/>
  <c r="AB690" i="40" s="1"/>
  <c r="AC690" i="40" s="1"/>
  <c r="AD690" i="40" s="1"/>
  <c r="AE690" i="40" s="1"/>
  <c r="AF690" i="40" s="1"/>
  <c r="AG690" i="40" s="1"/>
  <c r="AH690" i="40" s="1"/>
  <c r="AI690" i="40" s="1"/>
  <c r="AJ690" i="40" s="1"/>
  <c r="AK690" i="40" s="1"/>
  <c r="AL690" i="40" s="1"/>
  <c r="AM690" i="40" s="1"/>
  <c r="AN690" i="40" s="1"/>
  <c r="AO690" i="40" s="1"/>
  <c r="AP690" i="40" s="1"/>
  <c r="AQ690" i="40" s="1"/>
  <c r="AR690" i="40" s="1"/>
  <c r="AS690" i="40" s="1"/>
  <c r="AT690" i="40" s="1"/>
  <c r="AU690" i="40" s="1"/>
  <c r="AV690" i="40" s="1"/>
  <c r="AW690" i="40" s="1"/>
  <c r="AX690" i="40" s="1"/>
  <c r="AY690" i="40" s="1"/>
  <c r="AZ690" i="40" s="1"/>
  <c r="BA690" i="40" s="1"/>
  <c r="BB690" i="40" s="1"/>
  <c r="BC690" i="40" s="1"/>
  <c r="BD690" i="40" s="1"/>
  <c r="BE690" i="40" s="1"/>
  <c r="BF690" i="40" s="1"/>
  <c r="BG690" i="40" s="1"/>
  <c r="BH690" i="40" s="1"/>
  <c r="BI690" i="40" s="1"/>
  <c r="BJ690" i="40" s="1"/>
  <c r="BK690" i="40" s="1"/>
  <c r="BL690" i="40" s="1"/>
  <c r="BM690" i="40" s="1"/>
  <c r="BN690" i="40" s="1"/>
  <c r="BO690" i="40" s="1"/>
  <c r="BP690" i="40" s="1"/>
  <c r="BQ690" i="40" s="1"/>
  <c r="BR690" i="40" s="1"/>
  <c r="BS690" i="40" s="1"/>
  <c r="BT690" i="40" s="1"/>
  <c r="BU690" i="40" s="1"/>
  <c r="BV690" i="40" s="1"/>
  <c r="BW690" i="40" s="1"/>
  <c r="BX690" i="40" s="1"/>
  <c r="BY690" i="40" s="1"/>
  <c r="BZ690" i="40" s="1"/>
  <c r="CA690" i="40" s="1"/>
  <c r="AB694" i="40"/>
  <c r="AC694" i="40" s="1"/>
  <c r="AD694" i="40" s="1"/>
  <c r="AE694" i="40" s="1"/>
  <c r="AF694" i="40" s="1"/>
  <c r="AG694" i="40" s="1"/>
  <c r="AH694" i="40" s="1"/>
  <c r="AI694" i="40" s="1"/>
  <c r="AJ694" i="40" s="1"/>
  <c r="AK694" i="40" s="1"/>
  <c r="AL694" i="40" s="1"/>
  <c r="AM694" i="40" s="1"/>
  <c r="AN694" i="40" s="1"/>
  <c r="AO694" i="40" s="1"/>
  <c r="AP694" i="40" s="1"/>
  <c r="AQ694" i="40" s="1"/>
  <c r="AR694" i="40" s="1"/>
  <c r="AS694" i="40" s="1"/>
  <c r="AT694" i="40" s="1"/>
  <c r="AU694" i="40" s="1"/>
  <c r="AV694" i="40" s="1"/>
  <c r="AW694" i="40" s="1"/>
  <c r="AX694" i="40" s="1"/>
  <c r="AY694" i="40" s="1"/>
  <c r="AZ694" i="40" s="1"/>
  <c r="BA694" i="40" s="1"/>
  <c r="BB694" i="40" s="1"/>
  <c r="BC694" i="40" s="1"/>
  <c r="BD694" i="40" s="1"/>
  <c r="BE694" i="40" s="1"/>
  <c r="BF694" i="40" s="1"/>
  <c r="BG694" i="40" s="1"/>
  <c r="BH694" i="40" s="1"/>
  <c r="BI694" i="40" s="1"/>
  <c r="BJ694" i="40" s="1"/>
  <c r="BK694" i="40" s="1"/>
  <c r="BL694" i="40" s="1"/>
  <c r="BM694" i="40" s="1"/>
  <c r="BN694" i="40" s="1"/>
  <c r="BO694" i="40" s="1"/>
  <c r="BP694" i="40" s="1"/>
  <c r="BQ694" i="40" s="1"/>
  <c r="BR694" i="40" s="1"/>
  <c r="BS694" i="40" s="1"/>
  <c r="BT694" i="40" s="1"/>
  <c r="BU694" i="40" s="1"/>
  <c r="BV694" i="40" s="1"/>
  <c r="BW694" i="40" s="1"/>
  <c r="BX694" i="40" s="1"/>
  <c r="BY694" i="40" s="1"/>
  <c r="BZ694" i="40" s="1"/>
  <c r="CA694" i="40" s="1"/>
  <c r="AF698" i="40"/>
  <c r="AG698" i="40" s="1"/>
  <c r="AH698" i="40" s="1"/>
  <c r="AI698" i="40" s="1"/>
  <c r="AJ698" i="40" s="1"/>
  <c r="AK698" i="40" s="1"/>
  <c r="AL698" i="40" s="1"/>
  <c r="AM698" i="40" s="1"/>
  <c r="AN698" i="40" s="1"/>
  <c r="AO698" i="40" s="1"/>
  <c r="AP698" i="40" s="1"/>
  <c r="AQ698" i="40" s="1"/>
  <c r="AR698" i="40" s="1"/>
  <c r="AS698" i="40" s="1"/>
  <c r="AT698" i="40" s="1"/>
  <c r="AU698" i="40" s="1"/>
  <c r="AV698" i="40" s="1"/>
  <c r="AW698" i="40" s="1"/>
  <c r="AX698" i="40" s="1"/>
  <c r="AY698" i="40" s="1"/>
  <c r="AZ698" i="40" s="1"/>
  <c r="BA698" i="40" s="1"/>
  <c r="BB698" i="40" s="1"/>
  <c r="BC698" i="40" s="1"/>
  <c r="BD698" i="40" s="1"/>
  <c r="BE698" i="40" s="1"/>
  <c r="BF698" i="40" s="1"/>
  <c r="BG698" i="40" s="1"/>
  <c r="BH698" i="40" s="1"/>
  <c r="BI698" i="40" s="1"/>
  <c r="BJ698" i="40" s="1"/>
  <c r="BK698" i="40" s="1"/>
  <c r="BL698" i="40" s="1"/>
  <c r="BM698" i="40" s="1"/>
  <c r="BN698" i="40" s="1"/>
  <c r="BO698" i="40" s="1"/>
  <c r="BP698" i="40" s="1"/>
  <c r="BQ698" i="40" s="1"/>
  <c r="BR698" i="40" s="1"/>
  <c r="BS698" i="40" s="1"/>
  <c r="BT698" i="40" s="1"/>
  <c r="BU698" i="40" s="1"/>
  <c r="BV698" i="40" s="1"/>
  <c r="BW698" i="40" s="1"/>
  <c r="BX698" i="40" s="1"/>
  <c r="BY698" i="40" s="1"/>
  <c r="BZ698" i="40" s="1"/>
  <c r="CA698" i="40" s="1"/>
  <c r="AJ702" i="40"/>
  <c r="AK702" i="40" s="1"/>
  <c r="AL702" i="40" s="1"/>
  <c r="AM702" i="40" s="1"/>
  <c r="AN702" i="40" s="1"/>
  <c r="AO702" i="40" s="1"/>
  <c r="AP702" i="40" s="1"/>
  <c r="AQ702" i="40" s="1"/>
  <c r="AR702" i="40" s="1"/>
  <c r="AS702" i="40" s="1"/>
  <c r="AT702" i="40" s="1"/>
  <c r="AU702" i="40" s="1"/>
  <c r="AV702" i="40" s="1"/>
  <c r="AW702" i="40" s="1"/>
  <c r="AX702" i="40" s="1"/>
  <c r="AY702" i="40" s="1"/>
  <c r="AZ702" i="40" s="1"/>
  <c r="BA702" i="40" s="1"/>
  <c r="BB702" i="40" s="1"/>
  <c r="BC702" i="40" s="1"/>
  <c r="BD702" i="40" s="1"/>
  <c r="BE702" i="40" s="1"/>
  <c r="BF702" i="40" s="1"/>
  <c r="BG702" i="40" s="1"/>
  <c r="BH702" i="40" s="1"/>
  <c r="BI702" i="40" s="1"/>
  <c r="BJ702" i="40" s="1"/>
  <c r="BK702" i="40" s="1"/>
  <c r="BL702" i="40" s="1"/>
  <c r="BM702" i="40" s="1"/>
  <c r="BN702" i="40" s="1"/>
  <c r="BO702" i="40" s="1"/>
  <c r="BP702" i="40" s="1"/>
  <c r="BQ702" i="40" s="1"/>
  <c r="BR702" i="40" s="1"/>
  <c r="BS702" i="40" s="1"/>
  <c r="BT702" i="40" s="1"/>
  <c r="BU702" i="40" s="1"/>
  <c r="BV702" i="40" s="1"/>
  <c r="BW702" i="40" s="1"/>
  <c r="BX702" i="40" s="1"/>
  <c r="BY702" i="40" s="1"/>
  <c r="BZ702" i="40" s="1"/>
  <c r="CA702" i="40" s="1"/>
  <c r="AN706" i="40"/>
  <c r="AO706" i="40" s="1"/>
  <c r="AP706" i="40" s="1"/>
  <c r="AQ706" i="40" s="1"/>
  <c r="AR706" i="40" s="1"/>
  <c r="AS706" i="40" s="1"/>
  <c r="AT706" i="40" s="1"/>
  <c r="AU706" i="40" s="1"/>
  <c r="AV706" i="40" s="1"/>
  <c r="AW706" i="40" s="1"/>
  <c r="AX706" i="40" s="1"/>
  <c r="AY706" i="40" s="1"/>
  <c r="AZ706" i="40" s="1"/>
  <c r="BA706" i="40" s="1"/>
  <c r="BB706" i="40" s="1"/>
  <c r="BC706" i="40" s="1"/>
  <c r="BD706" i="40" s="1"/>
  <c r="BE706" i="40" s="1"/>
  <c r="BF706" i="40" s="1"/>
  <c r="BG706" i="40" s="1"/>
  <c r="BH706" i="40" s="1"/>
  <c r="BI706" i="40" s="1"/>
  <c r="BJ706" i="40" s="1"/>
  <c r="BK706" i="40" s="1"/>
  <c r="BL706" i="40" s="1"/>
  <c r="BM706" i="40" s="1"/>
  <c r="BN706" i="40" s="1"/>
  <c r="BO706" i="40" s="1"/>
  <c r="BP706" i="40" s="1"/>
  <c r="BQ706" i="40" s="1"/>
  <c r="BR706" i="40" s="1"/>
  <c r="BS706" i="40" s="1"/>
  <c r="BT706" i="40" s="1"/>
  <c r="BU706" i="40" s="1"/>
  <c r="BV706" i="40" s="1"/>
  <c r="BW706" i="40" s="1"/>
  <c r="BX706" i="40" s="1"/>
  <c r="BY706" i="40" s="1"/>
  <c r="BZ706" i="40" s="1"/>
  <c r="CA706" i="40" s="1"/>
  <c r="AR710" i="40"/>
  <c r="AS710" i="40" s="1"/>
  <c r="AT710" i="40" s="1"/>
  <c r="AU710" i="40" s="1"/>
  <c r="AV710" i="40" s="1"/>
  <c r="AW710" i="40" s="1"/>
  <c r="AX710" i="40" s="1"/>
  <c r="AY710" i="40" s="1"/>
  <c r="AZ710" i="40" s="1"/>
  <c r="BA710" i="40" s="1"/>
  <c r="BB710" i="40" s="1"/>
  <c r="BC710" i="40" s="1"/>
  <c r="BD710" i="40" s="1"/>
  <c r="BE710" i="40" s="1"/>
  <c r="BF710" i="40" s="1"/>
  <c r="BG710" i="40" s="1"/>
  <c r="BH710" i="40" s="1"/>
  <c r="BI710" i="40" s="1"/>
  <c r="BJ710" i="40" s="1"/>
  <c r="BK710" i="40" s="1"/>
  <c r="BL710" i="40" s="1"/>
  <c r="BM710" i="40" s="1"/>
  <c r="BN710" i="40" s="1"/>
  <c r="BO710" i="40" s="1"/>
  <c r="BP710" i="40" s="1"/>
  <c r="BQ710" i="40" s="1"/>
  <c r="BR710" i="40" s="1"/>
  <c r="BS710" i="40" s="1"/>
  <c r="BT710" i="40" s="1"/>
  <c r="BU710" i="40" s="1"/>
  <c r="BV710" i="40" s="1"/>
  <c r="BW710" i="40" s="1"/>
  <c r="BX710" i="40" s="1"/>
  <c r="BY710" i="40" s="1"/>
  <c r="BZ710" i="40" s="1"/>
  <c r="CA710" i="40" s="1"/>
  <c r="AV714" i="40"/>
  <c r="AW714" i="40" s="1"/>
  <c r="AX714" i="40" s="1"/>
  <c r="AY714" i="40" s="1"/>
  <c r="AZ714" i="40" s="1"/>
  <c r="BA714" i="40" s="1"/>
  <c r="BB714" i="40" s="1"/>
  <c r="BC714" i="40" s="1"/>
  <c r="BD714" i="40" s="1"/>
  <c r="BE714" i="40" s="1"/>
  <c r="BF714" i="40" s="1"/>
  <c r="BG714" i="40" s="1"/>
  <c r="BH714" i="40" s="1"/>
  <c r="BI714" i="40" s="1"/>
  <c r="BJ714" i="40" s="1"/>
  <c r="BK714" i="40" s="1"/>
  <c r="BL714" i="40" s="1"/>
  <c r="BM714" i="40" s="1"/>
  <c r="BN714" i="40" s="1"/>
  <c r="BO714" i="40" s="1"/>
  <c r="BP714" i="40" s="1"/>
  <c r="BQ714" i="40" s="1"/>
  <c r="BR714" i="40" s="1"/>
  <c r="BS714" i="40" s="1"/>
  <c r="BT714" i="40" s="1"/>
  <c r="BU714" i="40" s="1"/>
  <c r="BV714" i="40" s="1"/>
  <c r="BW714" i="40" s="1"/>
  <c r="BX714" i="40" s="1"/>
  <c r="BY714" i="40" s="1"/>
  <c r="BZ714" i="40" s="1"/>
  <c r="CA714" i="40" s="1"/>
  <c r="AZ718" i="40"/>
  <c r="BA718" i="40" s="1"/>
  <c r="BB718" i="40" s="1"/>
  <c r="BC718" i="40" s="1"/>
  <c r="BD718" i="40" s="1"/>
  <c r="BE718" i="40" s="1"/>
  <c r="BF718" i="40" s="1"/>
  <c r="BG718" i="40" s="1"/>
  <c r="BH718" i="40" s="1"/>
  <c r="BI718" i="40" s="1"/>
  <c r="BJ718" i="40" s="1"/>
  <c r="BK718" i="40" s="1"/>
  <c r="BL718" i="40" s="1"/>
  <c r="BM718" i="40" s="1"/>
  <c r="BN718" i="40" s="1"/>
  <c r="BO718" i="40" s="1"/>
  <c r="BP718" i="40" s="1"/>
  <c r="BQ718" i="40" s="1"/>
  <c r="BR718" i="40" s="1"/>
  <c r="BS718" i="40" s="1"/>
  <c r="BT718" i="40" s="1"/>
  <c r="BU718" i="40" s="1"/>
  <c r="BV718" i="40" s="1"/>
  <c r="BW718" i="40" s="1"/>
  <c r="BX718" i="40" s="1"/>
  <c r="BY718" i="40" s="1"/>
  <c r="BZ718" i="40" s="1"/>
  <c r="CA718" i="40" s="1"/>
  <c r="CB718" i="40" s="1"/>
  <c r="BD722" i="40"/>
  <c r="BE722" i="40" s="1"/>
  <c r="BF722" i="40" s="1"/>
  <c r="BG722" i="40" s="1"/>
  <c r="BH722" i="40" s="1"/>
  <c r="BI722" i="40" s="1"/>
  <c r="BJ722" i="40" s="1"/>
  <c r="BK722" i="40" s="1"/>
  <c r="BL722" i="40" s="1"/>
  <c r="BM722" i="40" s="1"/>
  <c r="BN722" i="40" s="1"/>
  <c r="BO722" i="40" s="1"/>
  <c r="BP722" i="40" s="1"/>
  <c r="BQ722" i="40" s="1"/>
  <c r="BR722" i="40" s="1"/>
  <c r="BS722" i="40" s="1"/>
  <c r="BT722" i="40" s="1"/>
  <c r="BU722" i="40" s="1"/>
  <c r="BV722" i="40" s="1"/>
  <c r="BW722" i="40" s="1"/>
  <c r="BX722" i="40" s="1"/>
  <c r="BY722" i="40" s="1"/>
  <c r="BZ722" i="40" s="1"/>
  <c r="CA722" i="40" s="1"/>
  <c r="BH726" i="40"/>
  <c r="BI726" i="40" s="1"/>
  <c r="BJ726" i="40" s="1"/>
  <c r="BK726" i="40" s="1"/>
  <c r="BL726" i="40" s="1"/>
  <c r="BM726" i="40" s="1"/>
  <c r="BN726" i="40" s="1"/>
  <c r="BO726" i="40" s="1"/>
  <c r="BP726" i="40" s="1"/>
  <c r="BQ726" i="40" s="1"/>
  <c r="BR726" i="40" s="1"/>
  <c r="BS726" i="40" s="1"/>
  <c r="BT726" i="40" s="1"/>
  <c r="BU726" i="40" s="1"/>
  <c r="BV726" i="40" s="1"/>
  <c r="BW726" i="40" s="1"/>
  <c r="BX726" i="40" s="1"/>
  <c r="BY726" i="40" s="1"/>
  <c r="BZ726" i="40" s="1"/>
  <c r="CA726" i="40" s="1"/>
  <c r="BL730" i="40"/>
  <c r="BM730" i="40" s="1"/>
  <c r="BN730" i="40" s="1"/>
  <c r="BO730" i="40" s="1"/>
  <c r="BP730" i="40" s="1"/>
  <c r="BQ730" i="40" s="1"/>
  <c r="BR730" i="40" s="1"/>
  <c r="BS730" i="40" s="1"/>
  <c r="BT730" i="40" s="1"/>
  <c r="BU730" i="40" s="1"/>
  <c r="BV730" i="40" s="1"/>
  <c r="BW730" i="40" s="1"/>
  <c r="BX730" i="40" s="1"/>
  <c r="BY730" i="40" s="1"/>
  <c r="BZ730" i="40" s="1"/>
  <c r="CA730" i="40" s="1"/>
  <c r="BP734" i="40"/>
  <c r="BQ734" i="40" s="1"/>
  <c r="BR734" i="40" s="1"/>
  <c r="BS734" i="40" s="1"/>
  <c r="BT734" i="40" s="1"/>
  <c r="BU734" i="40" s="1"/>
  <c r="BV734" i="40" s="1"/>
  <c r="BW734" i="40" s="1"/>
  <c r="BX734" i="40" s="1"/>
  <c r="BY734" i="40" s="1"/>
  <c r="BZ734" i="40" s="1"/>
  <c r="CA734" i="40" s="1"/>
  <c r="CB734" i="40" s="1"/>
  <c r="J676" i="40"/>
  <c r="K676" i="40" s="1"/>
  <c r="L676" i="40" s="1"/>
  <c r="M676" i="40" s="1"/>
  <c r="N676" i="40" s="1"/>
  <c r="O676" i="40" s="1"/>
  <c r="P676" i="40" s="1"/>
  <c r="Q676" i="40" s="1"/>
  <c r="R676" i="40" s="1"/>
  <c r="S676" i="40" s="1"/>
  <c r="T676" i="40" s="1"/>
  <c r="U676" i="40" s="1"/>
  <c r="V676" i="40" s="1"/>
  <c r="W676" i="40" s="1"/>
  <c r="X676" i="40" s="1"/>
  <c r="Y676" i="40" s="1"/>
  <c r="Z676" i="40" s="1"/>
  <c r="AA676" i="40" s="1"/>
  <c r="AB676" i="40" s="1"/>
  <c r="AC676" i="40" s="1"/>
  <c r="AD676" i="40" s="1"/>
  <c r="AE676" i="40" s="1"/>
  <c r="AF676" i="40" s="1"/>
  <c r="AG676" i="40" s="1"/>
  <c r="AH676" i="40" s="1"/>
  <c r="AI676" i="40" s="1"/>
  <c r="AJ676" i="40" s="1"/>
  <c r="AK676" i="40" s="1"/>
  <c r="AL676" i="40" s="1"/>
  <c r="AM676" i="40" s="1"/>
  <c r="AN676" i="40" s="1"/>
  <c r="AO676" i="40" s="1"/>
  <c r="AP676" i="40" s="1"/>
  <c r="AQ676" i="40" s="1"/>
  <c r="AR676" i="40" s="1"/>
  <c r="AS676" i="40" s="1"/>
  <c r="AT676" i="40" s="1"/>
  <c r="AU676" i="40" s="1"/>
  <c r="AV676" i="40" s="1"/>
  <c r="AW676" i="40" s="1"/>
  <c r="AX676" i="40" s="1"/>
  <c r="AY676" i="40" s="1"/>
  <c r="AZ676" i="40" s="1"/>
  <c r="BA676" i="40" s="1"/>
  <c r="BB676" i="40" s="1"/>
  <c r="BC676" i="40" s="1"/>
  <c r="BD676" i="40" s="1"/>
  <c r="BE676" i="40" s="1"/>
  <c r="BF676" i="40" s="1"/>
  <c r="BG676" i="40" s="1"/>
  <c r="BH676" i="40" s="1"/>
  <c r="BI676" i="40" s="1"/>
  <c r="BJ676" i="40" s="1"/>
  <c r="BK676" i="40" s="1"/>
  <c r="BL676" i="40" s="1"/>
  <c r="BM676" i="40" s="1"/>
  <c r="BN676" i="40" s="1"/>
  <c r="BO676" i="40" s="1"/>
  <c r="BP676" i="40" s="1"/>
  <c r="BQ676" i="40" s="1"/>
  <c r="BR676" i="40" s="1"/>
  <c r="BS676" i="40" s="1"/>
  <c r="BT676" i="40" s="1"/>
  <c r="BU676" i="40" s="1"/>
  <c r="BV676" i="40" s="1"/>
  <c r="BW676" i="40" s="1"/>
  <c r="BX676" i="40" s="1"/>
  <c r="BY676" i="40" s="1"/>
  <c r="BZ676" i="40" s="1"/>
  <c r="CA676" i="40" s="1"/>
  <c r="CB676" i="40" s="1"/>
  <c r="Z692" i="40"/>
  <c r="AA692" i="40" s="1"/>
  <c r="AB692" i="40" s="1"/>
  <c r="AC692" i="40" s="1"/>
  <c r="AD692" i="40" s="1"/>
  <c r="AE692" i="40" s="1"/>
  <c r="AF692" i="40" s="1"/>
  <c r="AG692" i="40" s="1"/>
  <c r="AH692" i="40" s="1"/>
  <c r="AI692" i="40" s="1"/>
  <c r="AJ692" i="40" s="1"/>
  <c r="AK692" i="40" s="1"/>
  <c r="AL692" i="40" s="1"/>
  <c r="AM692" i="40" s="1"/>
  <c r="AN692" i="40" s="1"/>
  <c r="AO692" i="40" s="1"/>
  <c r="AP692" i="40" s="1"/>
  <c r="AQ692" i="40" s="1"/>
  <c r="AR692" i="40" s="1"/>
  <c r="AS692" i="40" s="1"/>
  <c r="AT692" i="40" s="1"/>
  <c r="AU692" i="40" s="1"/>
  <c r="AV692" i="40" s="1"/>
  <c r="AW692" i="40" s="1"/>
  <c r="AX692" i="40" s="1"/>
  <c r="AY692" i="40" s="1"/>
  <c r="AZ692" i="40" s="1"/>
  <c r="BA692" i="40" s="1"/>
  <c r="BB692" i="40" s="1"/>
  <c r="BC692" i="40" s="1"/>
  <c r="BD692" i="40" s="1"/>
  <c r="BE692" i="40" s="1"/>
  <c r="BF692" i="40" s="1"/>
  <c r="BG692" i="40" s="1"/>
  <c r="BH692" i="40" s="1"/>
  <c r="BI692" i="40" s="1"/>
  <c r="BJ692" i="40" s="1"/>
  <c r="BK692" i="40" s="1"/>
  <c r="BL692" i="40" s="1"/>
  <c r="BM692" i="40" s="1"/>
  <c r="BN692" i="40" s="1"/>
  <c r="BO692" i="40" s="1"/>
  <c r="BP692" i="40" s="1"/>
  <c r="BQ692" i="40" s="1"/>
  <c r="BR692" i="40" s="1"/>
  <c r="BS692" i="40" s="1"/>
  <c r="BT692" i="40" s="1"/>
  <c r="BU692" i="40" s="1"/>
  <c r="BV692" i="40" s="1"/>
  <c r="BW692" i="40" s="1"/>
  <c r="BX692" i="40" s="1"/>
  <c r="BY692" i="40" s="1"/>
  <c r="BZ692" i="40" s="1"/>
  <c r="CA692" i="40" s="1"/>
  <c r="AP708" i="40"/>
  <c r="AQ708" i="40" s="1"/>
  <c r="AR708" i="40" s="1"/>
  <c r="AS708" i="40" s="1"/>
  <c r="AT708" i="40" s="1"/>
  <c r="AU708" i="40" s="1"/>
  <c r="AV708" i="40" s="1"/>
  <c r="AW708" i="40" s="1"/>
  <c r="AX708" i="40" s="1"/>
  <c r="AY708" i="40" s="1"/>
  <c r="AZ708" i="40" s="1"/>
  <c r="BA708" i="40" s="1"/>
  <c r="BB708" i="40" s="1"/>
  <c r="BC708" i="40" s="1"/>
  <c r="BD708" i="40" s="1"/>
  <c r="BE708" i="40" s="1"/>
  <c r="BF708" i="40" s="1"/>
  <c r="BG708" i="40" s="1"/>
  <c r="BH708" i="40" s="1"/>
  <c r="BI708" i="40" s="1"/>
  <c r="BJ708" i="40" s="1"/>
  <c r="BK708" i="40" s="1"/>
  <c r="BL708" i="40" s="1"/>
  <c r="BM708" i="40" s="1"/>
  <c r="BN708" i="40" s="1"/>
  <c r="BO708" i="40" s="1"/>
  <c r="BP708" i="40" s="1"/>
  <c r="BQ708" i="40" s="1"/>
  <c r="BR708" i="40" s="1"/>
  <c r="BS708" i="40" s="1"/>
  <c r="BT708" i="40" s="1"/>
  <c r="BU708" i="40" s="1"/>
  <c r="BV708" i="40" s="1"/>
  <c r="BW708" i="40" s="1"/>
  <c r="BX708" i="40" s="1"/>
  <c r="BY708" i="40" s="1"/>
  <c r="BZ708" i="40" s="1"/>
  <c r="CA708" i="40" s="1"/>
  <c r="CB708" i="40" s="1"/>
  <c r="BF724" i="40"/>
  <c r="BG724" i="40" s="1"/>
  <c r="BH724" i="40" s="1"/>
  <c r="BI724" i="40" s="1"/>
  <c r="BJ724" i="40" s="1"/>
  <c r="BK724" i="40" s="1"/>
  <c r="BL724" i="40" s="1"/>
  <c r="BM724" i="40" s="1"/>
  <c r="BN724" i="40" s="1"/>
  <c r="BO724" i="40" s="1"/>
  <c r="BP724" i="40" s="1"/>
  <c r="BQ724" i="40" s="1"/>
  <c r="BR724" i="40" s="1"/>
  <c r="BS724" i="40" s="1"/>
  <c r="BT724" i="40" s="1"/>
  <c r="BU724" i="40" s="1"/>
  <c r="BV724" i="40" s="1"/>
  <c r="BW724" i="40" s="1"/>
  <c r="BX724" i="40" s="1"/>
  <c r="BY724" i="40" s="1"/>
  <c r="BZ724" i="40" s="1"/>
  <c r="CA724" i="40" s="1"/>
  <c r="N680" i="40"/>
  <c r="O680" i="40" s="1"/>
  <c r="P680" i="40" s="1"/>
  <c r="Q680" i="40" s="1"/>
  <c r="R680" i="40" s="1"/>
  <c r="S680" i="40" s="1"/>
  <c r="T680" i="40" s="1"/>
  <c r="U680" i="40" s="1"/>
  <c r="V680" i="40" s="1"/>
  <c r="W680" i="40" s="1"/>
  <c r="X680" i="40" s="1"/>
  <c r="Y680" i="40" s="1"/>
  <c r="Z680" i="40" s="1"/>
  <c r="AA680" i="40" s="1"/>
  <c r="AB680" i="40" s="1"/>
  <c r="AC680" i="40" s="1"/>
  <c r="AD680" i="40" s="1"/>
  <c r="AE680" i="40" s="1"/>
  <c r="AF680" i="40" s="1"/>
  <c r="AG680" i="40" s="1"/>
  <c r="AH680" i="40" s="1"/>
  <c r="AI680" i="40" s="1"/>
  <c r="AJ680" i="40" s="1"/>
  <c r="AK680" i="40" s="1"/>
  <c r="AL680" i="40" s="1"/>
  <c r="AM680" i="40" s="1"/>
  <c r="AN680" i="40" s="1"/>
  <c r="AO680" i="40" s="1"/>
  <c r="AP680" i="40" s="1"/>
  <c r="AQ680" i="40" s="1"/>
  <c r="AR680" i="40" s="1"/>
  <c r="AS680" i="40" s="1"/>
  <c r="AT680" i="40" s="1"/>
  <c r="AU680" i="40" s="1"/>
  <c r="AV680" i="40" s="1"/>
  <c r="AW680" i="40" s="1"/>
  <c r="AX680" i="40" s="1"/>
  <c r="AY680" i="40" s="1"/>
  <c r="AZ680" i="40" s="1"/>
  <c r="BA680" i="40" s="1"/>
  <c r="BB680" i="40" s="1"/>
  <c r="BC680" i="40" s="1"/>
  <c r="BD680" i="40" s="1"/>
  <c r="BE680" i="40" s="1"/>
  <c r="BF680" i="40" s="1"/>
  <c r="BG680" i="40" s="1"/>
  <c r="BH680" i="40" s="1"/>
  <c r="BI680" i="40" s="1"/>
  <c r="BJ680" i="40" s="1"/>
  <c r="BK680" i="40" s="1"/>
  <c r="BL680" i="40" s="1"/>
  <c r="BM680" i="40" s="1"/>
  <c r="BN680" i="40" s="1"/>
  <c r="BO680" i="40" s="1"/>
  <c r="BP680" i="40" s="1"/>
  <c r="BQ680" i="40" s="1"/>
  <c r="BR680" i="40" s="1"/>
  <c r="BS680" i="40" s="1"/>
  <c r="BT680" i="40" s="1"/>
  <c r="BU680" i="40" s="1"/>
  <c r="BV680" i="40" s="1"/>
  <c r="BW680" i="40" s="1"/>
  <c r="BX680" i="40" s="1"/>
  <c r="BY680" i="40" s="1"/>
  <c r="BZ680" i="40" s="1"/>
  <c r="CA680" i="40" s="1"/>
  <c r="CB680" i="40" s="1"/>
  <c r="AD696" i="40"/>
  <c r="AE696" i="40" s="1"/>
  <c r="AF696" i="40" s="1"/>
  <c r="AG696" i="40" s="1"/>
  <c r="AH696" i="40" s="1"/>
  <c r="AI696" i="40" s="1"/>
  <c r="AJ696" i="40" s="1"/>
  <c r="AK696" i="40" s="1"/>
  <c r="AL696" i="40" s="1"/>
  <c r="AM696" i="40" s="1"/>
  <c r="AN696" i="40" s="1"/>
  <c r="AO696" i="40" s="1"/>
  <c r="AP696" i="40" s="1"/>
  <c r="AQ696" i="40" s="1"/>
  <c r="AR696" i="40" s="1"/>
  <c r="AS696" i="40" s="1"/>
  <c r="AT696" i="40" s="1"/>
  <c r="AU696" i="40" s="1"/>
  <c r="AV696" i="40" s="1"/>
  <c r="AW696" i="40" s="1"/>
  <c r="AX696" i="40" s="1"/>
  <c r="AY696" i="40" s="1"/>
  <c r="AZ696" i="40" s="1"/>
  <c r="BA696" i="40" s="1"/>
  <c r="BB696" i="40" s="1"/>
  <c r="BC696" i="40" s="1"/>
  <c r="BD696" i="40" s="1"/>
  <c r="BE696" i="40" s="1"/>
  <c r="BF696" i="40" s="1"/>
  <c r="BG696" i="40" s="1"/>
  <c r="BH696" i="40" s="1"/>
  <c r="BI696" i="40" s="1"/>
  <c r="BJ696" i="40" s="1"/>
  <c r="BK696" i="40" s="1"/>
  <c r="BL696" i="40" s="1"/>
  <c r="BM696" i="40" s="1"/>
  <c r="BN696" i="40" s="1"/>
  <c r="BO696" i="40" s="1"/>
  <c r="BP696" i="40" s="1"/>
  <c r="BQ696" i="40" s="1"/>
  <c r="BR696" i="40" s="1"/>
  <c r="BS696" i="40" s="1"/>
  <c r="BT696" i="40" s="1"/>
  <c r="BU696" i="40" s="1"/>
  <c r="BV696" i="40" s="1"/>
  <c r="BW696" i="40" s="1"/>
  <c r="BX696" i="40" s="1"/>
  <c r="BY696" i="40" s="1"/>
  <c r="BZ696" i="40" s="1"/>
  <c r="CA696" i="40" s="1"/>
  <c r="AT712" i="40"/>
  <c r="AU712" i="40" s="1"/>
  <c r="AV712" i="40" s="1"/>
  <c r="AW712" i="40" s="1"/>
  <c r="AX712" i="40" s="1"/>
  <c r="AY712" i="40" s="1"/>
  <c r="AZ712" i="40" s="1"/>
  <c r="BA712" i="40" s="1"/>
  <c r="BB712" i="40" s="1"/>
  <c r="BC712" i="40" s="1"/>
  <c r="BD712" i="40" s="1"/>
  <c r="BE712" i="40" s="1"/>
  <c r="BF712" i="40" s="1"/>
  <c r="BG712" i="40" s="1"/>
  <c r="BH712" i="40" s="1"/>
  <c r="BI712" i="40" s="1"/>
  <c r="BJ712" i="40" s="1"/>
  <c r="BK712" i="40" s="1"/>
  <c r="BL712" i="40" s="1"/>
  <c r="BM712" i="40" s="1"/>
  <c r="BN712" i="40" s="1"/>
  <c r="BO712" i="40" s="1"/>
  <c r="BP712" i="40" s="1"/>
  <c r="BQ712" i="40" s="1"/>
  <c r="BR712" i="40" s="1"/>
  <c r="BS712" i="40" s="1"/>
  <c r="BT712" i="40" s="1"/>
  <c r="BU712" i="40" s="1"/>
  <c r="BV712" i="40" s="1"/>
  <c r="BW712" i="40" s="1"/>
  <c r="BX712" i="40" s="1"/>
  <c r="BY712" i="40" s="1"/>
  <c r="BZ712" i="40" s="1"/>
  <c r="CA712" i="40" s="1"/>
  <c r="R684" i="40"/>
  <c r="S684" i="40" s="1"/>
  <c r="T684" i="40" s="1"/>
  <c r="U684" i="40" s="1"/>
  <c r="V684" i="40" s="1"/>
  <c r="W684" i="40" s="1"/>
  <c r="X684" i="40" s="1"/>
  <c r="Y684" i="40" s="1"/>
  <c r="Z684" i="40" s="1"/>
  <c r="AA684" i="40" s="1"/>
  <c r="AB684" i="40" s="1"/>
  <c r="AC684" i="40" s="1"/>
  <c r="AD684" i="40" s="1"/>
  <c r="AE684" i="40" s="1"/>
  <c r="AF684" i="40" s="1"/>
  <c r="AG684" i="40" s="1"/>
  <c r="AH684" i="40" s="1"/>
  <c r="AI684" i="40" s="1"/>
  <c r="AJ684" i="40" s="1"/>
  <c r="AK684" i="40" s="1"/>
  <c r="AL684" i="40" s="1"/>
  <c r="AM684" i="40" s="1"/>
  <c r="AN684" i="40" s="1"/>
  <c r="AO684" i="40" s="1"/>
  <c r="AP684" i="40" s="1"/>
  <c r="AQ684" i="40" s="1"/>
  <c r="AR684" i="40" s="1"/>
  <c r="AS684" i="40" s="1"/>
  <c r="AT684" i="40" s="1"/>
  <c r="AU684" i="40" s="1"/>
  <c r="AV684" i="40" s="1"/>
  <c r="AW684" i="40" s="1"/>
  <c r="AX684" i="40" s="1"/>
  <c r="AY684" i="40" s="1"/>
  <c r="AZ684" i="40" s="1"/>
  <c r="BA684" i="40" s="1"/>
  <c r="BB684" i="40" s="1"/>
  <c r="BC684" i="40" s="1"/>
  <c r="BD684" i="40" s="1"/>
  <c r="BE684" i="40" s="1"/>
  <c r="BF684" i="40" s="1"/>
  <c r="BG684" i="40" s="1"/>
  <c r="BH684" i="40" s="1"/>
  <c r="BI684" i="40" s="1"/>
  <c r="BJ684" i="40" s="1"/>
  <c r="BK684" i="40" s="1"/>
  <c r="BL684" i="40" s="1"/>
  <c r="BM684" i="40" s="1"/>
  <c r="BN684" i="40" s="1"/>
  <c r="BO684" i="40" s="1"/>
  <c r="BP684" i="40" s="1"/>
  <c r="BQ684" i="40" s="1"/>
  <c r="BR684" i="40" s="1"/>
  <c r="BS684" i="40" s="1"/>
  <c r="BT684" i="40" s="1"/>
  <c r="BU684" i="40" s="1"/>
  <c r="BV684" i="40" s="1"/>
  <c r="BW684" i="40" s="1"/>
  <c r="BX684" i="40" s="1"/>
  <c r="BY684" i="40" s="1"/>
  <c r="BZ684" i="40" s="1"/>
  <c r="CA684" i="40" s="1"/>
  <c r="AH700" i="40"/>
  <c r="AI700" i="40" s="1"/>
  <c r="AJ700" i="40" s="1"/>
  <c r="AK700" i="40" s="1"/>
  <c r="AL700" i="40" s="1"/>
  <c r="AM700" i="40" s="1"/>
  <c r="AN700" i="40" s="1"/>
  <c r="AO700" i="40" s="1"/>
  <c r="AP700" i="40" s="1"/>
  <c r="AQ700" i="40" s="1"/>
  <c r="AR700" i="40" s="1"/>
  <c r="AS700" i="40" s="1"/>
  <c r="AT700" i="40" s="1"/>
  <c r="AU700" i="40" s="1"/>
  <c r="AV700" i="40" s="1"/>
  <c r="AW700" i="40" s="1"/>
  <c r="AX700" i="40" s="1"/>
  <c r="AY700" i="40" s="1"/>
  <c r="AZ700" i="40" s="1"/>
  <c r="BA700" i="40" s="1"/>
  <c r="BB700" i="40" s="1"/>
  <c r="BC700" i="40" s="1"/>
  <c r="BD700" i="40" s="1"/>
  <c r="BE700" i="40" s="1"/>
  <c r="BF700" i="40" s="1"/>
  <c r="BG700" i="40" s="1"/>
  <c r="BH700" i="40" s="1"/>
  <c r="BI700" i="40" s="1"/>
  <c r="BJ700" i="40" s="1"/>
  <c r="BK700" i="40" s="1"/>
  <c r="BL700" i="40" s="1"/>
  <c r="BM700" i="40" s="1"/>
  <c r="BN700" i="40" s="1"/>
  <c r="BO700" i="40" s="1"/>
  <c r="BP700" i="40" s="1"/>
  <c r="BQ700" i="40" s="1"/>
  <c r="BR700" i="40" s="1"/>
  <c r="BS700" i="40" s="1"/>
  <c r="BT700" i="40" s="1"/>
  <c r="BU700" i="40" s="1"/>
  <c r="BV700" i="40" s="1"/>
  <c r="BW700" i="40" s="1"/>
  <c r="BX700" i="40" s="1"/>
  <c r="BY700" i="40" s="1"/>
  <c r="BZ700" i="40" s="1"/>
  <c r="CA700" i="40" s="1"/>
  <c r="AX716" i="40"/>
  <c r="AY716" i="40" s="1"/>
  <c r="AZ716" i="40" s="1"/>
  <c r="BA716" i="40" s="1"/>
  <c r="BB716" i="40" s="1"/>
  <c r="BC716" i="40" s="1"/>
  <c r="BD716" i="40" s="1"/>
  <c r="BE716" i="40" s="1"/>
  <c r="BF716" i="40" s="1"/>
  <c r="BG716" i="40" s="1"/>
  <c r="BH716" i="40" s="1"/>
  <c r="BI716" i="40" s="1"/>
  <c r="BJ716" i="40" s="1"/>
  <c r="BK716" i="40" s="1"/>
  <c r="BL716" i="40" s="1"/>
  <c r="BM716" i="40" s="1"/>
  <c r="BN716" i="40" s="1"/>
  <c r="BO716" i="40" s="1"/>
  <c r="BP716" i="40" s="1"/>
  <c r="BQ716" i="40" s="1"/>
  <c r="BR716" i="40" s="1"/>
  <c r="BS716" i="40" s="1"/>
  <c r="BT716" i="40" s="1"/>
  <c r="BU716" i="40" s="1"/>
  <c r="BV716" i="40" s="1"/>
  <c r="BW716" i="40" s="1"/>
  <c r="BX716" i="40" s="1"/>
  <c r="BY716" i="40" s="1"/>
  <c r="BZ716" i="40" s="1"/>
  <c r="CA716" i="40" s="1"/>
  <c r="G673" i="40"/>
  <c r="H673" i="40" s="1"/>
  <c r="I673" i="40" s="1"/>
  <c r="J673" i="40" s="1"/>
  <c r="K673" i="40" s="1"/>
  <c r="L673" i="40" s="1"/>
  <c r="M673" i="40" s="1"/>
  <c r="N673" i="40" s="1"/>
  <c r="O673" i="40" s="1"/>
  <c r="P673" i="40" s="1"/>
  <c r="Q673" i="40" s="1"/>
  <c r="R673" i="40" s="1"/>
  <c r="S673" i="40" s="1"/>
  <c r="T673" i="40" s="1"/>
  <c r="U673" i="40" s="1"/>
  <c r="V673" i="40" s="1"/>
  <c r="W673" i="40" s="1"/>
  <c r="X673" i="40" s="1"/>
  <c r="Y673" i="40" s="1"/>
  <c r="Z673" i="40" s="1"/>
  <c r="AA673" i="40" s="1"/>
  <c r="AB673" i="40" s="1"/>
  <c r="AC673" i="40" s="1"/>
  <c r="AD673" i="40" s="1"/>
  <c r="AE673" i="40" s="1"/>
  <c r="AF673" i="40" s="1"/>
  <c r="AG673" i="40" s="1"/>
  <c r="AH673" i="40" s="1"/>
  <c r="AI673" i="40" s="1"/>
  <c r="AJ673" i="40" s="1"/>
  <c r="AK673" i="40" s="1"/>
  <c r="AL673" i="40" s="1"/>
  <c r="AM673" i="40" s="1"/>
  <c r="AN673" i="40" s="1"/>
  <c r="AO673" i="40" s="1"/>
  <c r="AP673" i="40" s="1"/>
  <c r="AQ673" i="40" s="1"/>
  <c r="AR673" i="40" s="1"/>
  <c r="AS673" i="40" s="1"/>
  <c r="AT673" i="40" s="1"/>
  <c r="AU673" i="40" s="1"/>
  <c r="AV673" i="40" s="1"/>
  <c r="AW673" i="40" s="1"/>
  <c r="AX673" i="40" s="1"/>
  <c r="AY673" i="40" s="1"/>
  <c r="AZ673" i="40" s="1"/>
  <c r="BA673" i="40" s="1"/>
  <c r="BB673" i="40" s="1"/>
  <c r="BC673" i="40" s="1"/>
  <c r="BD673" i="40" s="1"/>
  <c r="BE673" i="40" s="1"/>
  <c r="BF673" i="40" s="1"/>
  <c r="BG673" i="40" s="1"/>
  <c r="BH673" i="40" s="1"/>
  <c r="BI673" i="40" s="1"/>
  <c r="BJ673" i="40" s="1"/>
  <c r="BK673" i="40" s="1"/>
  <c r="BL673" i="40" s="1"/>
  <c r="BM673" i="40" s="1"/>
  <c r="BN673" i="40" s="1"/>
  <c r="BO673" i="40" s="1"/>
  <c r="BP673" i="40" s="1"/>
  <c r="BQ673" i="40" s="1"/>
  <c r="BR673" i="40" s="1"/>
  <c r="BS673" i="40" s="1"/>
  <c r="BT673" i="40" s="1"/>
  <c r="BU673" i="40" s="1"/>
  <c r="BV673" i="40" s="1"/>
  <c r="BW673" i="40" s="1"/>
  <c r="BX673" i="40" s="1"/>
  <c r="BY673" i="40" s="1"/>
  <c r="BZ673" i="40" s="1"/>
  <c r="CA673" i="40" s="1"/>
  <c r="CB673" i="40" s="1"/>
  <c r="K677" i="40"/>
  <c r="L677" i="40" s="1"/>
  <c r="M677" i="40" s="1"/>
  <c r="N677" i="40" s="1"/>
  <c r="O677" i="40" s="1"/>
  <c r="P677" i="40" s="1"/>
  <c r="Q677" i="40" s="1"/>
  <c r="R677" i="40" s="1"/>
  <c r="S677" i="40" s="1"/>
  <c r="T677" i="40" s="1"/>
  <c r="U677" i="40" s="1"/>
  <c r="V677" i="40" s="1"/>
  <c r="W677" i="40" s="1"/>
  <c r="X677" i="40" s="1"/>
  <c r="Y677" i="40" s="1"/>
  <c r="Z677" i="40" s="1"/>
  <c r="AA677" i="40" s="1"/>
  <c r="AB677" i="40" s="1"/>
  <c r="AC677" i="40" s="1"/>
  <c r="AD677" i="40" s="1"/>
  <c r="AE677" i="40" s="1"/>
  <c r="AF677" i="40" s="1"/>
  <c r="AG677" i="40" s="1"/>
  <c r="AH677" i="40" s="1"/>
  <c r="AI677" i="40" s="1"/>
  <c r="AJ677" i="40" s="1"/>
  <c r="AK677" i="40" s="1"/>
  <c r="AL677" i="40" s="1"/>
  <c r="AM677" i="40" s="1"/>
  <c r="AN677" i="40" s="1"/>
  <c r="AO677" i="40" s="1"/>
  <c r="AP677" i="40" s="1"/>
  <c r="AQ677" i="40" s="1"/>
  <c r="AR677" i="40" s="1"/>
  <c r="AS677" i="40" s="1"/>
  <c r="AT677" i="40" s="1"/>
  <c r="AU677" i="40" s="1"/>
  <c r="AV677" i="40" s="1"/>
  <c r="AW677" i="40" s="1"/>
  <c r="AX677" i="40" s="1"/>
  <c r="AY677" i="40" s="1"/>
  <c r="AZ677" i="40" s="1"/>
  <c r="BA677" i="40" s="1"/>
  <c r="BB677" i="40" s="1"/>
  <c r="BC677" i="40" s="1"/>
  <c r="BD677" i="40" s="1"/>
  <c r="BE677" i="40" s="1"/>
  <c r="BF677" i="40" s="1"/>
  <c r="BG677" i="40" s="1"/>
  <c r="BH677" i="40" s="1"/>
  <c r="BI677" i="40" s="1"/>
  <c r="BJ677" i="40" s="1"/>
  <c r="BK677" i="40" s="1"/>
  <c r="BL677" i="40" s="1"/>
  <c r="BM677" i="40" s="1"/>
  <c r="BN677" i="40" s="1"/>
  <c r="BO677" i="40" s="1"/>
  <c r="BP677" i="40" s="1"/>
  <c r="BQ677" i="40" s="1"/>
  <c r="BR677" i="40" s="1"/>
  <c r="BS677" i="40" s="1"/>
  <c r="BT677" i="40" s="1"/>
  <c r="BU677" i="40" s="1"/>
  <c r="BV677" i="40" s="1"/>
  <c r="BW677" i="40" s="1"/>
  <c r="BX677" i="40" s="1"/>
  <c r="BY677" i="40" s="1"/>
  <c r="BZ677" i="40" s="1"/>
  <c r="CA677" i="40" s="1"/>
  <c r="CB677" i="40" s="1"/>
  <c r="O681" i="40"/>
  <c r="P681" i="40" s="1"/>
  <c r="Q681" i="40" s="1"/>
  <c r="R681" i="40" s="1"/>
  <c r="S681" i="40" s="1"/>
  <c r="T681" i="40" s="1"/>
  <c r="U681" i="40" s="1"/>
  <c r="V681" i="40" s="1"/>
  <c r="W681" i="40" s="1"/>
  <c r="X681" i="40" s="1"/>
  <c r="Y681" i="40" s="1"/>
  <c r="Z681" i="40" s="1"/>
  <c r="AA681" i="40" s="1"/>
  <c r="AB681" i="40" s="1"/>
  <c r="AC681" i="40" s="1"/>
  <c r="AD681" i="40" s="1"/>
  <c r="AE681" i="40" s="1"/>
  <c r="AF681" i="40" s="1"/>
  <c r="AG681" i="40" s="1"/>
  <c r="AH681" i="40" s="1"/>
  <c r="AI681" i="40" s="1"/>
  <c r="AJ681" i="40" s="1"/>
  <c r="AK681" i="40" s="1"/>
  <c r="AL681" i="40" s="1"/>
  <c r="AM681" i="40" s="1"/>
  <c r="AN681" i="40" s="1"/>
  <c r="AO681" i="40" s="1"/>
  <c r="AP681" i="40" s="1"/>
  <c r="AQ681" i="40" s="1"/>
  <c r="AR681" i="40" s="1"/>
  <c r="AS681" i="40" s="1"/>
  <c r="AT681" i="40" s="1"/>
  <c r="AU681" i="40" s="1"/>
  <c r="AV681" i="40" s="1"/>
  <c r="AW681" i="40" s="1"/>
  <c r="AX681" i="40" s="1"/>
  <c r="AY681" i="40" s="1"/>
  <c r="AZ681" i="40" s="1"/>
  <c r="BA681" i="40" s="1"/>
  <c r="BB681" i="40" s="1"/>
  <c r="BC681" i="40" s="1"/>
  <c r="BD681" i="40" s="1"/>
  <c r="BE681" i="40" s="1"/>
  <c r="BF681" i="40" s="1"/>
  <c r="BG681" i="40" s="1"/>
  <c r="BH681" i="40" s="1"/>
  <c r="BI681" i="40" s="1"/>
  <c r="BJ681" i="40" s="1"/>
  <c r="BK681" i="40" s="1"/>
  <c r="BL681" i="40" s="1"/>
  <c r="BM681" i="40" s="1"/>
  <c r="BN681" i="40" s="1"/>
  <c r="BO681" i="40" s="1"/>
  <c r="BP681" i="40" s="1"/>
  <c r="BQ681" i="40" s="1"/>
  <c r="BR681" i="40" s="1"/>
  <c r="BS681" i="40" s="1"/>
  <c r="BT681" i="40" s="1"/>
  <c r="BU681" i="40" s="1"/>
  <c r="BV681" i="40" s="1"/>
  <c r="BW681" i="40" s="1"/>
  <c r="BX681" i="40" s="1"/>
  <c r="BY681" i="40" s="1"/>
  <c r="BZ681" i="40" s="1"/>
  <c r="CA681" i="40" s="1"/>
  <c r="CB681" i="40" s="1"/>
  <c r="S685" i="40"/>
  <c r="T685" i="40" s="1"/>
  <c r="U685" i="40" s="1"/>
  <c r="V685" i="40" s="1"/>
  <c r="W685" i="40" s="1"/>
  <c r="X685" i="40" s="1"/>
  <c r="Y685" i="40" s="1"/>
  <c r="Z685" i="40" s="1"/>
  <c r="AA685" i="40" s="1"/>
  <c r="AB685" i="40" s="1"/>
  <c r="AC685" i="40" s="1"/>
  <c r="AD685" i="40" s="1"/>
  <c r="AE685" i="40" s="1"/>
  <c r="AF685" i="40" s="1"/>
  <c r="AG685" i="40" s="1"/>
  <c r="AH685" i="40" s="1"/>
  <c r="AI685" i="40" s="1"/>
  <c r="AJ685" i="40" s="1"/>
  <c r="AK685" i="40" s="1"/>
  <c r="AL685" i="40" s="1"/>
  <c r="AM685" i="40" s="1"/>
  <c r="AN685" i="40" s="1"/>
  <c r="AO685" i="40" s="1"/>
  <c r="AP685" i="40" s="1"/>
  <c r="AQ685" i="40" s="1"/>
  <c r="AR685" i="40" s="1"/>
  <c r="AS685" i="40" s="1"/>
  <c r="AT685" i="40" s="1"/>
  <c r="AU685" i="40" s="1"/>
  <c r="AV685" i="40" s="1"/>
  <c r="AW685" i="40" s="1"/>
  <c r="AX685" i="40" s="1"/>
  <c r="AY685" i="40" s="1"/>
  <c r="AZ685" i="40" s="1"/>
  <c r="BA685" i="40" s="1"/>
  <c r="BB685" i="40" s="1"/>
  <c r="BC685" i="40" s="1"/>
  <c r="BD685" i="40" s="1"/>
  <c r="BE685" i="40" s="1"/>
  <c r="BF685" i="40" s="1"/>
  <c r="BG685" i="40" s="1"/>
  <c r="BH685" i="40" s="1"/>
  <c r="BI685" i="40" s="1"/>
  <c r="BJ685" i="40" s="1"/>
  <c r="BK685" i="40" s="1"/>
  <c r="BL685" i="40" s="1"/>
  <c r="BM685" i="40" s="1"/>
  <c r="BN685" i="40" s="1"/>
  <c r="BO685" i="40" s="1"/>
  <c r="BP685" i="40" s="1"/>
  <c r="BQ685" i="40" s="1"/>
  <c r="BR685" i="40" s="1"/>
  <c r="BS685" i="40" s="1"/>
  <c r="BT685" i="40" s="1"/>
  <c r="BU685" i="40" s="1"/>
  <c r="BV685" i="40" s="1"/>
  <c r="BW685" i="40" s="1"/>
  <c r="BX685" i="40" s="1"/>
  <c r="BY685" i="40" s="1"/>
  <c r="BZ685" i="40" s="1"/>
  <c r="CA685" i="40" s="1"/>
  <c r="W689" i="40"/>
  <c r="X689" i="40" s="1"/>
  <c r="Y689" i="40" s="1"/>
  <c r="Z689" i="40" s="1"/>
  <c r="AA689" i="40" s="1"/>
  <c r="AB689" i="40" s="1"/>
  <c r="AC689" i="40" s="1"/>
  <c r="AD689" i="40" s="1"/>
  <c r="AE689" i="40" s="1"/>
  <c r="AF689" i="40" s="1"/>
  <c r="AG689" i="40" s="1"/>
  <c r="AH689" i="40" s="1"/>
  <c r="AI689" i="40" s="1"/>
  <c r="AJ689" i="40" s="1"/>
  <c r="AK689" i="40" s="1"/>
  <c r="AL689" i="40" s="1"/>
  <c r="AM689" i="40" s="1"/>
  <c r="AN689" i="40" s="1"/>
  <c r="AO689" i="40" s="1"/>
  <c r="AP689" i="40" s="1"/>
  <c r="AQ689" i="40" s="1"/>
  <c r="AR689" i="40" s="1"/>
  <c r="AS689" i="40" s="1"/>
  <c r="AT689" i="40" s="1"/>
  <c r="AU689" i="40" s="1"/>
  <c r="AV689" i="40" s="1"/>
  <c r="AW689" i="40" s="1"/>
  <c r="AX689" i="40" s="1"/>
  <c r="AY689" i="40" s="1"/>
  <c r="AZ689" i="40" s="1"/>
  <c r="BA689" i="40" s="1"/>
  <c r="BB689" i="40" s="1"/>
  <c r="BC689" i="40" s="1"/>
  <c r="BD689" i="40" s="1"/>
  <c r="BE689" i="40" s="1"/>
  <c r="BF689" i="40" s="1"/>
  <c r="BG689" i="40" s="1"/>
  <c r="BH689" i="40" s="1"/>
  <c r="BI689" i="40" s="1"/>
  <c r="BJ689" i="40" s="1"/>
  <c r="BK689" i="40" s="1"/>
  <c r="BL689" i="40" s="1"/>
  <c r="BM689" i="40" s="1"/>
  <c r="BN689" i="40" s="1"/>
  <c r="BO689" i="40" s="1"/>
  <c r="BP689" i="40" s="1"/>
  <c r="BQ689" i="40" s="1"/>
  <c r="BR689" i="40" s="1"/>
  <c r="BS689" i="40" s="1"/>
  <c r="BT689" i="40" s="1"/>
  <c r="BU689" i="40" s="1"/>
  <c r="BV689" i="40" s="1"/>
  <c r="BW689" i="40" s="1"/>
  <c r="BX689" i="40" s="1"/>
  <c r="BY689" i="40" s="1"/>
  <c r="BZ689" i="40" s="1"/>
  <c r="CA689" i="40" s="1"/>
  <c r="CB689" i="40" s="1"/>
  <c r="AA693" i="40"/>
  <c r="AB693" i="40" s="1"/>
  <c r="AC693" i="40" s="1"/>
  <c r="AD693" i="40" s="1"/>
  <c r="AE693" i="40" s="1"/>
  <c r="AF693" i="40" s="1"/>
  <c r="AG693" i="40" s="1"/>
  <c r="AH693" i="40" s="1"/>
  <c r="AI693" i="40" s="1"/>
  <c r="AJ693" i="40" s="1"/>
  <c r="AK693" i="40" s="1"/>
  <c r="AL693" i="40" s="1"/>
  <c r="AM693" i="40" s="1"/>
  <c r="AN693" i="40" s="1"/>
  <c r="AO693" i="40" s="1"/>
  <c r="AP693" i="40" s="1"/>
  <c r="AQ693" i="40" s="1"/>
  <c r="AR693" i="40" s="1"/>
  <c r="AS693" i="40" s="1"/>
  <c r="AT693" i="40" s="1"/>
  <c r="AU693" i="40" s="1"/>
  <c r="AV693" i="40" s="1"/>
  <c r="AW693" i="40" s="1"/>
  <c r="AX693" i="40" s="1"/>
  <c r="AY693" i="40" s="1"/>
  <c r="AZ693" i="40" s="1"/>
  <c r="BA693" i="40" s="1"/>
  <c r="BB693" i="40" s="1"/>
  <c r="BC693" i="40" s="1"/>
  <c r="BD693" i="40" s="1"/>
  <c r="BE693" i="40" s="1"/>
  <c r="BF693" i="40" s="1"/>
  <c r="BG693" i="40" s="1"/>
  <c r="BH693" i="40" s="1"/>
  <c r="BI693" i="40" s="1"/>
  <c r="BJ693" i="40" s="1"/>
  <c r="BK693" i="40" s="1"/>
  <c r="BL693" i="40" s="1"/>
  <c r="BM693" i="40" s="1"/>
  <c r="BN693" i="40" s="1"/>
  <c r="BO693" i="40" s="1"/>
  <c r="BP693" i="40" s="1"/>
  <c r="BQ693" i="40" s="1"/>
  <c r="BR693" i="40" s="1"/>
  <c r="BS693" i="40" s="1"/>
  <c r="BT693" i="40" s="1"/>
  <c r="BU693" i="40" s="1"/>
  <c r="BV693" i="40" s="1"/>
  <c r="BW693" i="40" s="1"/>
  <c r="BX693" i="40" s="1"/>
  <c r="BY693" i="40" s="1"/>
  <c r="BZ693" i="40" s="1"/>
  <c r="CA693" i="40" s="1"/>
  <c r="AE697" i="40"/>
  <c r="AF697" i="40" s="1"/>
  <c r="AG697" i="40" s="1"/>
  <c r="AH697" i="40" s="1"/>
  <c r="AI697" i="40" s="1"/>
  <c r="AJ697" i="40" s="1"/>
  <c r="AK697" i="40" s="1"/>
  <c r="AL697" i="40" s="1"/>
  <c r="AM697" i="40" s="1"/>
  <c r="AN697" i="40" s="1"/>
  <c r="AO697" i="40" s="1"/>
  <c r="AP697" i="40" s="1"/>
  <c r="AQ697" i="40" s="1"/>
  <c r="AR697" i="40" s="1"/>
  <c r="AS697" i="40" s="1"/>
  <c r="AT697" i="40" s="1"/>
  <c r="AU697" i="40" s="1"/>
  <c r="AV697" i="40" s="1"/>
  <c r="AW697" i="40" s="1"/>
  <c r="AX697" i="40" s="1"/>
  <c r="AY697" i="40" s="1"/>
  <c r="AZ697" i="40" s="1"/>
  <c r="BA697" i="40" s="1"/>
  <c r="BB697" i="40" s="1"/>
  <c r="BC697" i="40" s="1"/>
  <c r="BD697" i="40" s="1"/>
  <c r="BE697" i="40" s="1"/>
  <c r="BF697" i="40" s="1"/>
  <c r="BG697" i="40" s="1"/>
  <c r="BH697" i="40" s="1"/>
  <c r="BI697" i="40" s="1"/>
  <c r="BJ697" i="40" s="1"/>
  <c r="BK697" i="40" s="1"/>
  <c r="BL697" i="40" s="1"/>
  <c r="BM697" i="40" s="1"/>
  <c r="BN697" i="40" s="1"/>
  <c r="BO697" i="40" s="1"/>
  <c r="BP697" i="40" s="1"/>
  <c r="BQ697" i="40" s="1"/>
  <c r="BR697" i="40" s="1"/>
  <c r="BS697" i="40" s="1"/>
  <c r="BT697" i="40" s="1"/>
  <c r="BU697" i="40" s="1"/>
  <c r="BV697" i="40" s="1"/>
  <c r="BW697" i="40" s="1"/>
  <c r="BX697" i="40" s="1"/>
  <c r="BY697" i="40" s="1"/>
  <c r="BZ697" i="40" s="1"/>
  <c r="CA697" i="40" s="1"/>
  <c r="D865" i="40" s="1"/>
  <c r="AI701" i="40"/>
  <c r="AJ701" i="40" s="1"/>
  <c r="AK701" i="40" s="1"/>
  <c r="AL701" i="40" s="1"/>
  <c r="AM701" i="40" s="1"/>
  <c r="AN701" i="40" s="1"/>
  <c r="AO701" i="40" s="1"/>
  <c r="AP701" i="40" s="1"/>
  <c r="AQ701" i="40" s="1"/>
  <c r="AR701" i="40" s="1"/>
  <c r="AS701" i="40" s="1"/>
  <c r="AT701" i="40" s="1"/>
  <c r="AU701" i="40" s="1"/>
  <c r="AV701" i="40" s="1"/>
  <c r="AW701" i="40" s="1"/>
  <c r="AX701" i="40" s="1"/>
  <c r="AY701" i="40" s="1"/>
  <c r="AZ701" i="40" s="1"/>
  <c r="BA701" i="40" s="1"/>
  <c r="BB701" i="40" s="1"/>
  <c r="BC701" i="40" s="1"/>
  <c r="BD701" i="40" s="1"/>
  <c r="BE701" i="40" s="1"/>
  <c r="BF701" i="40" s="1"/>
  <c r="BG701" i="40" s="1"/>
  <c r="BH701" i="40" s="1"/>
  <c r="BI701" i="40" s="1"/>
  <c r="BJ701" i="40" s="1"/>
  <c r="BK701" i="40" s="1"/>
  <c r="BL701" i="40" s="1"/>
  <c r="BM701" i="40" s="1"/>
  <c r="BN701" i="40" s="1"/>
  <c r="BO701" i="40" s="1"/>
  <c r="BP701" i="40" s="1"/>
  <c r="BQ701" i="40" s="1"/>
  <c r="BR701" i="40" s="1"/>
  <c r="BS701" i="40" s="1"/>
  <c r="BT701" i="40" s="1"/>
  <c r="BU701" i="40" s="1"/>
  <c r="BV701" i="40" s="1"/>
  <c r="BW701" i="40" s="1"/>
  <c r="BX701" i="40" s="1"/>
  <c r="BY701" i="40" s="1"/>
  <c r="BZ701" i="40" s="1"/>
  <c r="CA701" i="40" s="1"/>
  <c r="AM705" i="40"/>
  <c r="AN705" i="40" s="1"/>
  <c r="AO705" i="40" s="1"/>
  <c r="AP705" i="40" s="1"/>
  <c r="AQ705" i="40" s="1"/>
  <c r="AR705" i="40" s="1"/>
  <c r="AS705" i="40" s="1"/>
  <c r="AT705" i="40" s="1"/>
  <c r="AU705" i="40" s="1"/>
  <c r="AV705" i="40" s="1"/>
  <c r="AW705" i="40" s="1"/>
  <c r="AX705" i="40" s="1"/>
  <c r="AY705" i="40" s="1"/>
  <c r="AZ705" i="40" s="1"/>
  <c r="BA705" i="40" s="1"/>
  <c r="BB705" i="40" s="1"/>
  <c r="BC705" i="40" s="1"/>
  <c r="BD705" i="40" s="1"/>
  <c r="BE705" i="40" s="1"/>
  <c r="BF705" i="40" s="1"/>
  <c r="BG705" i="40" s="1"/>
  <c r="BH705" i="40" s="1"/>
  <c r="BI705" i="40" s="1"/>
  <c r="BJ705" i="40" s="1"/>
  <c r="BK705" i="40" s="1"/>
  <c r="BL705" i="40" s="1"/>
  <c r="BM705" i="40" s="1"/>
  <c r="BN705" i="40" s="1"/>
  <c r="BO705" i="40" s="1"/>
  <c r="BP705" i="40" s="1"/>
  <c r="BQ705" i="40" s="1"/>
  <c r="BR705" i="40" s="1"/>
  <c r="BS705" i="40" s="1"/>
  <c r="BT705" i="40" s="1"/>
  <c r="BU705" i="40" s="1"/>
  <c r="BV705" i="40" s="1"/>
  <c r="BW705" i="40" s="1"/>
  <c r="BX705" i="40" s="1"/>
  <c r="BY705" i="40" s="1"/>
  <c r="BZ705" i="40" s="1"/>
  <c r="CA705" i="40" s="1"/>
  <c r="AQ709" i="40"/>
  <c r="AR709" i="40" s="1"/>
  <c r="AS709" i="40" s="1"/>
  <c r="AT709" i="40" s="1"/>
  <c r="AU709" i="40" s="1"/>
  <c r="AV709" i="40" s="1"/>
  <c r="AW709" i="40" s="1"/>
  <c r="AX709" i="40" s="1"/>
  <c r="AY709" i="40" s="1"/>
  <c r="AZ709" i="40" s="1"/>
  <c r="BA709" i="40" s="1"/>
  <c r="BB709" i="40" s="1"/>
  <c r="BC709" i="40" s="1"/>
  <c r="BD709" i="40" s="1"/>
  <c r="BE709" i="40" s="1"/>
  <c r="BF709" i="40" s="1"/>
  <c r="BG709" i="40" s="1"/>
  <c r="BH709" i="40" s="1"/>
  <c r="BI709" i="40" s="1"/>
  <c r="BJ709" i="40" s="1"/>
  <c r="BK709" i="40" s="1"/>
  <c r="BL709" i="40" s="1"/>
  <c r="BM709" i="40" s="1"/>
  <c r="BN709" i="40" s="1"/>
  <c r="BO709" i="40" s="1"/>
  <c r="BP709" i="40" s="1"/>
  <c r="BQ709" i="40" s="1"/>
  <c r="BR709" i="40" s="1"/>
  <c r="BS709" i="40" s="1"/>
  <c r="BT709" i="40" s="1"/>
  <c r="BU709" i="40" s="1"/>
  <c r="BV709" i="40" s="1"/>
  <c r="BW709" i="40" s="1"/>
  <c r="BX709" i="40" s="1"/>
  <c r="BY709" i="40" s="1"/>
  <c r="BZ709" i="40" s="1"/>
  <c r="CA709" i="40" s="1"/>
  <c r="AU713" i="40"/>
  <c r="AV713" i="40" s="1"/>
  <c r="AW713" i="40" s="1"/>
  <c r="AX713" i="40" s="1"/>
  <c r="AY713" i="40" s="1"/>
  <c r="AZ713" i="40" s="1"/>
  <c r="BA713" i="40" s="1"/>
  <c r="BB713" i="40" s="1"/>
  <c r="BC713" i="40" s="1"/>
  <c r="BD713" i="40" s="1"/>
  <c r="BE713" i="40" s="1"/>
  <c r="BF713" i="40" s="1"/>
  <c r="BG713" i="40" s="1"/>
  <c r="BH713" i="40" s="1"/>
  <c r="BI713" i="40" s="1"/>
  <c r="BJ713" i="40" s="1"/>
  <c r="BK713" i="40" s="1"/>
  <c r="BL713" i="40" s="1"/>
  <c r="BM713" i="40" s="1"/>
  <c r="BN713" i="40" s="1"/>
  <c r="BO713" i="40" s="1"/>
  <c r="BP713" i="40" s="1"/>
  <c r="BQ713" i="40" s="1"/>
  <c r="BR713" i="40" s="1"/>
  <c r="BS713" i="40" s="1"/>
  <c r="BT713" i="40" s="1"/>
  <c r="BU713" i="40" s="1"/>
  <c r="BV713" i="40" s="1"/>
  <c r="BW713" i="40" s="1"/>
  <c r="BX713" i="40" s="1"/>
  <c r="BY713" i="40" s="1"/>
  <c r="BZ713" i="40" s="1"/>
  <c r="CA713" i="40" s="1"/>
  <c r="AY717" i="40"/>
  <c r="AZ717" i="40" s="1"/>
  <c r="BA717" i="40" s="1"/>
  <c r="BB717" i="40" s="1"/>
  <c r="BC717" i="40" s="1"/>
  <c r="BD717" i="40" s="1"/>
  <c r="BE717" i="40" s="1"/>
  <c r="BF717" i="40" s="1"/>
  <c r="BG717" i="40" s="1"/>
  <c r="BH717" i="40" s="1"/>
  <c r="BI717" i="40" s="1"/>
  <c r="BJ717" i="40" s="1"/>
  <c r="BK717" i="40" s="1"/>
  <c r="BL717" i="40" s="1"/>
  <c r="BM717" i="40" s="1"/>
  <c r="BN717" i="40" s="1"/>
  <c r="BO717" i="40" s="1"/>
  <c r="BP717" i="40" s="1"/>
  <c r="BQ717" i="40" s="1"/>
  <c r="BR717" i="40" s="1"/>
  <c r="BS717" i="40" s="1"/>
  <c r="BT717" i="40" s="1"/>
  <c r="BU717" i="40" s="1"/>
  <c r="BV717" i="40" s="1"/>
  <c r="BW717" i="40" s="1"/>
  <c r="BX717" i="40" s="1"/>
  <c r="BY717" i="40" s="1"/>
  <c r="BZ717" i="40" s="1"/>
  <c r="CA717" i="40" s="1"/>
  <c r="CB717" i="40" s="1"/>
  <c r="BC721" i="40"/>
  <c r="BD721" i="40" s="1"/>
  <c r="BE721" i="40" s="1"/>
  <c r="BF721" i="40" s="1"/>
  <c r="BG721" i="40" s="1"/>
  <c r="BH721" i="40" s="1"/>
  <c r="BI721" i="40" s="1"/>
  <c r="BJ721" i="40" s="1"/>
  <c r="BK721" i="40" s="1"/>
  <c r="BL721" i="40" s="1"/>
  <c r="BM721" i="40" s="1"/>
  <c r="BN721" i="40" s="1"/>
  <c r="BO721" i="40" s="1"/>
  <c r="BP721" i="40" s="1"/>
  <c r="BQ721" i="40" s="1"/>
  <c r="BR721" i="40" s="1"/>
  <c r="BS721" i="40" s="1"/>
  <c r="BT721" i="40" s="1"/>
  <c r="BU721" i="40" s="1"/>
  <c r="BV721" i="40" s="1"/>
  <c r="BW721" i="40" s="1"/>
  <c r="BX721" i="40" s="1"/>
  <c r="BY721" i="40" s="1"/>
  <c r="BZ721" i="40" s="1"/>
  <c r="CA721" i="40" s="1"/>
  <c r="BG725" i="40"/>
  <c r="BH725" i="40" s="1"/>
  <c r="BI725" i="40" s="1"/>
  <c r="BJ725" i="40" s="1"/>
  <c r="BK725" i="40" s="1"/>
  <c r="BL725" i="40" s="1"/>
  <c r="BM725" i="40" s="1"/>
  <c r="BN725" i="40" s="1"/>
  <c r="BO725" i="40" s="1"/>
  <c r="BP725" i="40" s="1"/>
  <c r="BQ725" i="40" s="1"/>
  <c r="BR725" i="40" s="1"/>
  <c r="BS725" i="40" s="1"/>
  <c r="BT725" i="40" s="1"/>
  <c r="BU725" i="40" s="1"/>
  <c r="BV725" i="40" s="1"/>
  <c r="BW725" i="40" s="1"/>
  <c r="BX725" i="40" s="1"/>
  <c r="BY725" i="40" s="1"/>
  <c r="BZ725" i="40" s="1"/>
  <c r="CA725" i="40" s="1"/>
  <c r="BK729" i="40"/>
  <c r="BL729" i="40" s="1"/>
  <c r="BM729" i="40" s="1"/>
  <c r="BN729" i="40" s="1"/>
  <c r="BO729" i="40" s="1"/>
  <c r="BP729" i="40" s="1"/>
  <c r="BQ729" i="40" s="1"/>
  <c r="BR729" i="40" s="1"/>
  <c r="BS729" i="40" s="1"/>
  <c r="BT729" i="40" s="1"/>
  <c r="BU729" i="40" s="1"/>
  <c r="BV729" i="40" s="1"/>
  <c r="BW729" i="40" s="1"/>
  <c r="BX729" i="40" s="1"/>
  <c r="BY729" i="40" s="1"/>
  <c r="BZ729" i="40" s="1"/>
  <c r="CA729" i="40" s="1"/>
  <c r="BO733" i="40"/>
  <c r="BP733" i="40" s="1"/>
  <c r="BQ733" i="40" s="1"/>
  <c r="BR733" i="40" s="1"/>
  <c r="BS733" i="40" s="1"/>
  <c r="BT733" i="40" s="1"/>
  <c r="BU733" i="40" s="1"/>
  <c r="BV733" i="40" s="1"/>
  <c r="BW733" i="40" s="1"/>
  <c r="BX733" i="40" s="1"/>
  <c r="BY733" i="40" s="1"/>
  <c r="BZ733" i="40" s="1"/>
  <c r="CA733" i="40" s="1"/>
  <c r="V688" i="40"/>
  <c r="W688" i="40" s="1"/>
  <c r="X688" i="40" s="1"/>
  <c r="Y688" i="40" s="1"/>
  <c r="Z688" i="40" s="1"/>
  <c r="AA688" i="40" s="1"/>
  <c r="AB688" i="40" s="1"/>
  <c r="AC688" i="40" s="1"/>
  <c r="AD688" i="40" s="1"/>
  <c r="AE688" i="40" s="1"/>
  <c r="AF688" i="40" s="1"/>
  <c r="AG688" i="40" s="1"/>
  <c r="AH688" i="40" s="1"/>
  <c r="AI688" i="40" s="1"/>
  <c r="AJ688" i="40" s="1"/>
  <c r="AK688" i="40" s="1"/>
  <c r="AL688" i="40" s="1"/>
  <c r="AM688" i="40" s="1"/>
  <c r="AN688" i="40" s="1"/>
  <c r="AO688" i="40" s="1"/>
  <c r="AP688" i="40" s="1"/>
  <c r="AQ688" i="40" s="1"/>
  <c r="AR688" i="40" s="1"/>
  <c r="AS688" i="40" s="1"/>
  <c r="AT688" i="40" s="1"/>
  <c r="AU688" i="40" s="1"/>
  <c r="AV688" i="40" s="1"/>
  <c r="AW688" i="40" s="1"/>
  <c r="AX688" i="40" s="1"/>
  <c r="AY688" i="40" s="1"/>
  <c r="AZ688" i="40" s="1"/>
  <c r="BA688" i="40" s="1"/>
  <c r="BB688" i="40" s="1"/>
  <c r="BC688" i="40" s="1"/>
  <c r="BD688" i="40" s="1"/>
  <c r="BE688" i="40" s="1"/>
  <c r="BF688" i="40" s="1"/>
  <c r="BG688" i="40" s="1"/>
  <c r="BH688" i="40" s="1"/>
  <c r="BI688" i="40" s="1"/>
  <c r="BJ688" i="40" s="1"/>
  <c r="BK688" i="40" s="1"/>
  <c r="BL688" i="40" s="1"/>
  <c r="BM688" i="40" s="1"/>
  <c r="BN688" i="40" s="1"/>
  <c r="BO688" i="40" s="1"/>
  <c r="BP688" i="40" s="1"/>
  <c r="BQ688" i="40" s="1"/>
  <c r="BR688" i="40" s="1"/>
  <c r="BS688" i="40" s="1"/>
  <c r="BT688" i="40" s="1"/>
  <c r="BU688" i="40" s="1"/>
  <c r="BV688" i="40" s="1"/>
  <c r="BW688" i="40" s="1"/>
  <c r="BX688" i="40" s="1"/>
  <c r="BY688" i="40" s="1"/>
  <c r="BZ688" i="40" s="1"/>
  <c r="CA688" i="40" s="1"/>
  <c r="AL704" i="40"/>
  <c r="AM704" i="40" s="1"/>
  <c r="AN704" i="40" s="1"/>
  <c r="AO704" i="40" s="1"/>
  <c r="AP704" i="40" s="1"/>
  <c r="AQ704" i="40" s="1"/>
  <c r="AR704" i="40" s="1"/>
  <c r="AS704" i="40" s="1"/>
  <c r="AT704" i="40" s="1"/>
  <c r="AU704" i="40" s="1"/>
  <c r="AV704" i="40" s="1"/>
  <c r="AW704" i="40" s="1"/>
  <c r="AX704" i="40" s="1"/>
  <c r="AY704" i="40" s="1"/>
  <c r="AZ704" i="40" s="1"/>
  <c r="BA704" i="40" s="1"/>
  <c r="BB704" i="40" s="1"/>
  <c r="BC704" i="40" s="1"/>
  <c r="BD704" i="40" s="1"/>
  <c r="BE704" i="40" s="1"/>
  <c r="BF704" i="40" s="1"/>
  <c r="BG704" i="40" s="1"/>
  <c r="BH704" i="40" s="1"/>
  <c r="BI704" i="40" s="1"/>
  <c r="BJ704" i="40" s="1"/>
  <c r="BK704" i="40" s="1"/>
  <c r="BL704" i="40" s="1"/>
  <c r="BM704" i="40" s="1"/>
  <c r="BN704" i="40" s="1"/>
  <c r="BO704" i="40" s="1"/>
  <c r="BP704" i="40" s="1"/>
  <c r="BQ704" i="40" s="1"/>
  <c r="BR704" i="40" s="1"/>
  <c r="BS704" i="40" s="1"/>
  <c r="BT704" i="40" s="1"/>
  <c r="BU704" i="40" s="1"/>
  <c r="BV704" i="40" s="1"/>
  <c r="BW704" i="40" s="1"/>
  <c r="BX704" i="40" s="1"/>
  <c r="BY704" i="40" s="1"/>
  <c r="BZ704" i="40" s="1"/>
  <c r="CA704" i="40" s="1"/>
  <c r="BB720" i="40"/>
  <c r="BC720" i="40" s="1"/>
  <c r="BD720" i="40" s="1"/>
  <c r="BE720" i="40" s="1"/>
  <c r="BF720" i="40" s="1"/>
  <c r="BG720" i="40" s="1"/>
  <c r="BH720" i="40" s="1"/>
  <c r="BI720" i="40" s="1"/>
  <c r="BJ720" i="40" s="1"/>
  <c r="BK720" i="40" s="1"/>
  <c r="BL720" i="40" s="1"/>
  <c r="BM720" i="40" s="1"/>
  <c r="BN720" i="40" s="1"/>
  <c r="BO720" i="40" s="1"/>
  <c r="BP720" i="40" s="1"/>
  <c r="BQ720" i="40" s="1"/>
  <c r="BR720" i="40" s="1"/>
  <c r="BS720" i="40" s="1"/>
  <c r="BT720" i="40" s="1"/>
  <c r="BU720" i="40" s="1"/>
  <c r="BV720" i="40" s="1"/>
  <c r="BW720" i="40" s="1"/>
  <c r="BX720" i="40" s="1"/>
  <c r="BY720" i="40" s="1"/>
  <c r="BZ720" i="40" s="1"/>
  <c r="CA720" i="40" s="1"/>
  <c r="BN732" i="40"/>
  <c r="BO732" i="40" s="1"/>
  <c r="BP732" i="40" s="1"/>
  <c r="BQ732" i="40" s="1"/>
  <c r="BR732" i="40" s="1"/>
  <c r="BS732" i="40" s="1"/>
  <c r="BT732" i="40" s="1"/>
  <c r="BU732" i="40" s="1"/>
  <c r="BV732" i="40" s="1"/>
  <c r="BW732" i="40" s="1"/>
  <c r="BX732" i="40" s="1"/>
  <c r="BY732" i="40" s="1"/>
  <c r="BZ732" i="40" s="1"/>
  <c r="CA732" i="40" s="1"/>
  <c r="BR736" i="40"/>
  <c r="BS736" i="40" s="1"/>
  <c r="BT736" i="40" s="1"/>
  <c r="BU736" i="40" s="1"/>
  <c r="BV736" i="40" s="1"/>
  <c r="BW736" i="40" s="1"/>
  <c r="BX736" i="40" s="1"/>
  <c r="BY736" i="40" s="1"/>
  <c r="BZ736" i="40" s="1"/>
  <c r="CA736" i="40" s="1"/>
  <c r="CB736" i="40" s="1"/>
  <c r="Q90" i="25" l="1"/>
  <c r="R16" i="59" s="1"/>
  <c r="Q93" i="25"/>
  <c r="B519" i="40"/>
  <c r="B237" i="65"/>
  <c r="CB682" i="40"/>
  <c r="D758" i="40"/>
  <c r="AJ61" i="50"/>
  <c r="AH217" i="50"/>
  <c r="J339" i="50"/>
  <c r="L32" i="37"/>
  <c r="L23" i="32"/>
  <c r="K31" i="37"/>
  <c r="L340" i="50"/>
  <c r="AL60" i="42"/>
  <c r="D871" i="40"/>
  <c r="D931" i="40"/>
  <c r="D870" i="40"/>
  <c r="AI61" i="50"/>
  <c r="AK61" i="50"/>
  <c r="AL61" i="50"/>
  <c r="BM60" i="42"/>
  <c r="AL217" i="50"/>
  <c r="AK217" i="50"/>
  <c r="AM60" i="42"/>
  <c r="AN60" i="42"/>
  <c r="AJ60" i="42"/>
  <c r="AP60" i="42" s="1"/>
  <c r="AK60" i="42"/>
  <c r="BG60" i="42" s="1"/>
  <c r="M30" i="42"/>
  <c r="M32" i="50"/>
  <c r="P40" i="25"/>
  <c r="AI217" i="50"/>
  <c r="AJ217" i="50"/>
  <c r="L29" i="42"/>
  <c r="L31" i="50"/>
  <c r="O39" i="25"/>
  <c r="D866" i="40"/>
  <c r="CB691" i="40"/>
  <c r="D862" i="40"/>
  <c r="CB725" i="40"/>
  <c r="D818" i="40"/>
  <c r="D851" i="40"/>
  <c r="D850" i="40"/>
  <c r="K109" i="66" s="1"/>
  <c r="D837" i="40"/>
  <c r="D852" i="40"/>
  <c r="CB709" i="40"/>
  <c r="D812" i="40"/>
  <c r="CB724" i="40"/>
  <c r="D861" i="40"/>
  <c r="CB722" i="40"/>
  <c r="D879" i="40" s="1"/>
  <c r="D846" i="40"/>
  <c r="D817" i="40"/>
  <c r="D847" i="40"/>
  <c r="CB690" i="40"/>
  <c r="D763" i="40"/>
  <c r="CB687" i="40"/>
  <c r="D762" i="40"/>
  <c r="CB721" i="40"/>
  <c r="D844" i="40"/>
  <c r="D845" i="40"/>
  <c r="CB686" i="40"/>
  <c r="D761" i="40"/>
  <c r="CB727" i="40"/>
  <c r="D839" i="40"/>
  <c r="CB731" i="40"/>
  <c r="D942" i="40" s="1"/>
  <c r="D795" i="40"/>
  <c r="D821" i="40"/>
  <c r="CB707" i="40"/>
  <c r="D971" i="40" s="1"/>
  <c r="D783" i="40"/>
  <c r="CB737" i="40"/>
  <c r="D855" i="40"/>
  <c r="D833" i="40"/>
  <c r="D856" i="40"/>
  <c r="CB720" i="40"/>
  <c r="D878" i="40" s="1"/>
  <c r="D860" i="40"/>
  <c r="CB733" i="40"/>
  <c r="D1008" i="40" s="1"/>
  <c r="D822" i="40"/>
  <c r="CB701" i="40"/>
  <c r="D778" i="40"/>
  <c r="D807" i="40"/>
  <c r="CB685" i="40"/>
  <c r="D760" i="40"/>
  <c r="CB716" i="40"/>
  <c r="D788" i="40"/>
  <c r="CB696" i="40"/>
  <c r="D864" i="40"/>
  <c r="D803" i="40"/>
  <c r="D770" i="40"/>
  <c r="D769" i="40"/>
  <c r="CB692" i="40"/>
  <c r="D863" i="40"/>
  <c r="D799" i="40"/>
  <c r="D764" i="40"/>
  <c r="CB730" i="40"/>
  <c r="D836" i="40"/>
  <c r="D794" i="40"/>
  <c r="D820" i="40"/>
  <c r="D831" i="40"/>
  <c r="CB714" i="40"/>
  <c r="D786" i="40"/>
  <c r="D815" i="40"/>
  <c r="CB698" i="40"/>
  <c r="D805" i="40"/>
  <c r="D840" i="40"/>
  <c r="D841" i="40"/>
  <c r="D773" i="40"/>
  <c r="D772" i="40"/>
  <c r="CB728" i="40"/>
  <c r="D792" i="40"/>
  <c r="CB715" i="40"/>
  <c r="D787" i="40"/>
  <c r="CB703" i="40"/>
  <c r="D781" i="40"/>
  <c r="D809" i="40"/>
  <c r="CB688" i="40"/>
  <c r="D828" i="40"/>
  <c r="CB693" i="40"/>
  <c r="D765" i="40"/>
  <c r="D800" i="40"/>
  <c r="D766" i="40"/>
  <c r="CB684" i="40"/>
  <c r="D759" i="40"/>
  <c r="CB706" i="40"/>
  <c r="D811" i="40"/>
  <c r="CB732" i="40"/>
  <c r="D796" i="40"/>
  <c r="D832" i="40"/>
  <c r="CB705" i="40"/>
  <c r="CB712" i="40"/>
  <c r="D814" i="40"/>
  <c r="CB702" i="40"/>
  <c r="D780" i="40"/>
  <c r="D779" i="40"/>
  <c r="D808" i="40"/>
  <c r="CB719" i="40"/>
  <c r="D877" i="40" s="1"/>
  <c r="D816" i="40"/>
  <c r="D789" i="40"/>
  <c r="D830" i="40"/>
  <c r="CB735" i="40"/>
  <c r="D1071" i="40" s="1"/>
  <c r="D854" i="40"/>
  <c r="D853" i="40"/>
  <c r="D823" i="40"/>
  <c r="CB704" i="40"/>
  <c r="D843" i="40"/>
  <c r="D859" i="40"/>
  <c r="D782" i="40"/>
  <c r="D810" i="40"/>
  <c r="D842" i="40"/>
  <c r="CB729" i="40"/>
  <c r="D819" i="40"/>
  <c r="D793" i="40"/>
  <c r="CB713" i="40"/>
  <c r="CB697" i="40"/>
  <c r="D921" i="40" s="1"/>
  <c r="D771" i="40"/>
  <c r="D804" i="40"/>
  <c r="CB700" i="40"/>
  <c r="D777" i="40"/>
  <c r="D776" i="40"/>
  <c r="CB726" i="40"/>
  <c r="D838" i="40"/>
  <c r="CB710" i="40"/>
  <c r="D813" i="40"/>
  <c r="CB694" i="40"/>
  <c r="D827" i="40"/>
  <c r="D801" i="40"/>
  <c r="D767" i="40"/>
  <c r="CB695" i="40"/>
  <c r="D802" i="40"/>
  <c r="D768" i="40"/>
  <c r="D829" i="40"/>
  <c r="CB699" i="40"/>
  <c r="D806" i="40"/>
  <c r="D775" i="40"/>
  <c r="D774" i="40"/>
  <c r="CB723" i="40"/>
  <c r="BX741" i="40"/>
  <c r="BW740" i="40"/>
  <c r="CB745" i="40"/>
  <c r="D1070" i="40" s="1"/>
  <c r="CA744" i="40"/>
  <c r="D835" i="40" s="1"/>
  <c r="BY742" i="40"/>
  <c r="BU738" i="40"/>
  <c r="BV739" i="40"/>
  <c r="BZ743" i="40"/>
  <c r="CD670" i="40"/>
  <c r="CD749" i="40" s="1"/>
  <c r="CE670" i="40"/>
  <c r="CE750" i="40" s="1"/>
  <c r="CF670" i="40"/>
  <c r="CF751" i="40" s="1"/>
  <c r="CG670" i="40"/>
  <c r="CG752" i="40" s="1"/>
  <c r="CC670" i="40"/>
  <c r="O111" i="66" l="1"/>
  <c r="AQ60" i="42"/>
  <c r="B520" i="40"/>
  <c r="B238" i="65"/>
  <c r="AN217" i="50"/>
  <c r="M131" i="25" s="1"/>
  <c r="D1060" i="40"/>
  <c r="D903" i="40"/>
  <c r="D897" i="40"/>
  <c r="D1058" i="40"/>
  <c r="D1065" i="40"/>
  <c r="D1009" i="40"/>
  <c r="AH61" i="50"/>
  <c r="D1016" i="40"/>
  <c r="M340" i="50"/>
  <c r="L31" i="37"/>
  <c r="M32" i="37"/>
  <c r="M23" i="32"/>
  <c r="BH60" i="42"/>
  <c r="D1029" i="40"/>
  <c r="D1027" i="40"/>
  <c r="D1063" i="40"/>
  <c r="D970" i="40"/>
  <c r="D1062" i="40"/>
  <c r="D1057" i="40"/>
  <c r="D1066" i="40"/>
  <c r="D1061" i="40"/>
  <c r="D953" i="40"/>
  <c r="D936" i="40"/>
  <c r="D1056" i="40"/>
  <c r="D1064" i="40"/>
  <c r="D1010" i="40"/>
  <c r="D1059" i="40"/>
  <c r="D1023" i="40"/>
  <c r="D977" i="40"/>
  <c r="D1011" i="40"/>
  <c r="D1024" i="40"/>
  <c r="D1026" i="40"/>
  <c r="K339" i="50"/>
  <c r="D1038" i="40"/>
  <c r="D911" i="40"/>
  <c r="D928" i="40"/>
  <c r="D930" i="40"/>
  <c r="D1043" i="40"/>
  <c r="D946" i="40"/>
  <c r="D1036" i="40"/>
  <c r="D995" i="40"/>
  <c r="D881" i="40"/>
  <c r="D967" i="40"/>
  <c r="D938" i="40"/>
  <c r="D918" i="40"/>
  <c r="D1033" i="40"/>
  <c r="D1007" i="40"/>
  <c r="D945" i="40"/>
  <c r="D925" i="40"/>
  <c r="D1041" i="40"/>
  <c r="D1049" i="40"/>
  <c r="D1021" i="40"/>
  <c r="D1037" i="40"/>
  <c r="D882" i="40"/>
  <c r="D996" i="40"/>
  <c r="D1028" i="40"/>
  <c r="D1017" i="40"/>
  <c r="D922" i="40"/>
  <c r="D914" i="40"/>
  <c r="D889" i="40"/>
  <c r="D968" i="40"/>
  <c r="D1055" i="40"/>
  <c r="D944" i="40"/>
  <c r="D902" i="40"/>
  <c r="D992" i="40"/>
  <c r="D954" i="40"/>
  <c r="D909" i="40"/>
  <c r="D999" i="40"/>
  <c r="D885" i="40"/>
  <c r="D965" i="40"/>
  <c r="D910" i="40"/>
  <c r="D886" i="40"/>
  <c r="D956" i="40"/>
  <c r="D929" i="40"/>
  <c r="D880" i="40"/>
  <c r="D904" i="40"/>
  <c r="D1040" i="40"/>
  <c r="D913" i="40"/>
  <c r="D966" i="40"/>
  <c r="D1018" i="40"/>
  <c r="D923" i="40"/>
  <c r="D898" i="40"/>
  <c r="D972" i="40"/>
  <c r="D1050" i="40"/>
  <c r="D894" i="40"/>
  <c r="D979" i="40"/>
  <c r="D941" i="40"/>
  <c r="D926" i="40"/>
  <c r="D1051" i="40"/>
  <c r="D1022" i="40"/>
  <c r="D997" i="40"/>
  <c r="D883" i="40"/>
  <c r="D912" i="40"/>
  <c r="D1039" i="40"/>
  <c r="D884" i="40"/>
  <c r="D998" i="40"/>
  <c r="D908" i="40"/>
  <c r="D955" i="40"/>
  <c r="D927" i="40"/>
  <c r="D1048" i="40"/>
  <c r="D1012" i="40"/>
  <c r="D969" i="40"/>
  <c r="D1042" i="40"/>
  <c r="D1025" i="40"/>
  <c r="D957" i="40"/>
  <c r="D895" i="40"/>
  <c r="D893" i="40"/>
  <c r="D1019" i="40"/>
  <c r="D1020" i="40"/>
  <c r="D1034" i="40"/>
  <c r="D924" i="40"/>
  <c r="D994" i="40"/>
  <c r="D1035" i="40"/>
  <c r="BF60" i="42"/>
  <c r="M29" i="42"/>
  <c r="M31" i="50"/>
  <c r="P39" i="25"/>
  <c r="N32" i="50"/>
  <c r="N30" i="42"/>
  <c r="Q40" i="25"/>
  <c r="CA743" i="40"/>
  <c r="BV738" i="40"/>
  <c r="CB744" i="40"/>
  <c r="D917" i="40" s="1"/>
  <c r="BX740" i="40"/>
  <c r="BW739" i="40"/>
  <c r="BZ742" i="40"/>
  <c r="BY741" i="40"/>
  <c r="CF750" i="40"/>
  <c r="CG750" i="40" s="1"/>
  <c r="CE749" i="40"/>
  <c r="CG751" i="40"/>
  <c r="CC748" i="40"/>
  <c r="CD748" i="40" s="1"/>
  <c r="CE748" i="40" s="1"/>
  <c r="CF748" i="40" s="1"/>
  <c r="CG748" i="40" s="1"/>
  <c r="CC747" i="40"/>
  <c r="CD747" i="40" s="1"/>
  <c r="CE747" i="40" s="1"/>
  <c r="CC693" i="40"/>
  <c r="D1108" i="40" s="1"/>
  <c r="CC705" i="40"/>
  <c r="CC708" i="40"/>
  <c r="D1122" i="40" s="1"/>
  <c r="CC698" i="40"/>
  <c r="CC683" i="40"/>
  <c r="CD683" i="40" s="1"/>
  <c r="CE683" i="40" s="1"/>
  <c r="CF683" i="40" s="1"/>
  <c r="CG683" i="40" s="1"/>
  <c r="CC736" i="40"/>
  <c r="D1102" i="40" s="1"/>
  <c r="CC701" i="40"/>
  <c r="CC692" i="40"/>
  <c r="D1107" i="40" s="1"/>
  <c r="CC694" i="40"/>
  <c r="CC731" i="40"/>
  <c r="D1100" i="40" s="1"/>
  <c r="CC709" i="40"/>
  <c r="D1123" i="40" s="1"/>
  <c r="CC729" i="40"/>
  <c r="CC700" i="40"/>
  <c r="D1115" i="40" s="1"/>
  <c r="CC722" i="40"/>
  <c r="D1162" i="40" s="1"/>
  <c r="CC695" i="40"/>
  <c r="CC707" i="40"/>
  <c r="CC734" i="40"/>
  <c r="D1138" i="40" s="1"/>
  <c r="CC703" i="40"/>
  <c r="CC687" i="40"/>
  <c r="CC680" i="40"/>
  <c r="CD680" i="40" s="1"/>
  <c r="CE680" i="40" s="1"/>
  <c r="CF680" i="40" s="1"/>
  <c r="CG680" i="40" s="1"/>
  <c r="CC706" i="40"/>
  <c r="D1120" i="40" s="1"/>
  <c r="CC718" i="40"/>
  <c r="CC679" i="40"/>
  <c r="CD679" i="40" s="1"/>
  <c r="CE679" i="40" s="1"/>
  <c r="CF679" i="40" s="1"/>
  <c r="CG679" i="40" s="1"/>
  <c r="CC675" i="40"/>
  <c r="CD675" i="40" s="1"/>
  <c r="CE675" i="40" s="1"/>
  <c r="CF675" i="40" s="1"/>
  <c r="CG675" i="40" s="1"/>
  <c r="CC737" i="40"/>
  <c r="CC730" i="40"/>
  <c r="D1136" i="40" s="1"/>
  <c r="CC733" i="40"/>
  <c r="CD733" i="40" s="1"/>
  <c r="CC711" i="40"/>
  <c r="D1124" i="40" s="1"/>
  <c r="CC697" i="40"/>
  <c r="CC684" i="40"/>
  <c r="CD684" i="40" s="1"/>
  <c r="CE684" i="40" s="1"/>
  <c r="CF684" i="40" s="1"/>
  <c r="CG684" i="40" s="1"/>
  <c r="CC688" i="40"/>
  <c r="CD688" i="40" s="1"/>
  <c r="CE688" i="40" s="1"/>
  <c r="CC689" i="40"/>
  <c r="CD689" i="40" s="1"/>
  <c r="CE689" i="40" s="1"/>
  <c r="CF689" i="40" s="1"/>
  <c r="CG689" i="40" s="1"/>
  <c r="CC746" i="40"/>
  <c r="D1149" i="40" s="1"/>
  <c r="CC682" i="40"/>
  <c r="CC723" i="40"/>
  <c r="D1132" i="40" s="1"/>
  <c r="CC732" i="40"/>
  <c r="CC685" i="40"/>
  <c r="CD685" i="40" s="1"/>
  <c r="D1167" i="40" s="1"/>
  <c r="CC678" i="40"/>
  <c r="CC713" i="40"/>
  <c r="CC677" i="40"/>
  <c r="CD677" i="40" s="1"/>
  <c r="CE677" i="40" s="1"/>
  <c r="CF677" i="40" s="1"/>
  <c r="CG677" i="40" s="1"/>
  <c r="CC727" i="40"/>
  <c r="D1134" i="40" s="1"/>
  <c r="CC726" i="40"/>
  <c r="CD726" i="40" s="1"/>
  <c r="CC720" i="40"/>
  <c r="D1129" i="40" s="1"/>
  <c r="CC690" i="40"/>
  <c r="CD690" i="40" s="1"/>
  <c r="CE690" i="40" s="1"/>
  <c r="CF690" i="40" s="1"/>
  <c r="CG690" i="40" s="1"/>
  <c r="CC702" i="40"/>
  <c r="CC721" i="40"/>
  <c r="CC712" i="40"/>
  <c r="CD712" i="40" s="1"/>
  <c r="CC714" i="40"/>
  <c r="CC719" i="40"/>
  <c r="D1128" i="40" s="1"/>
  <c r="CC725" i="40"/>
  <c r="D1148" i="40" s="1"/>
  <c r="CC717" i="40"/>
  <c r="D1126" i="40" s="1"/>
  <c r="CC696" i="40"/>
  <c r="CC710" i="40"/>
  <c r="D1153" i="40" s="1"/>
  <c r="CC728" i="40"/>
  <c r="D1098" i="40" s="1"/>
  <c r="CC745" i="40"/>
  <c r="CD745" i="40" s="1"/>
  <c r="CE745" i="40" s="1"/>
  <c r="CF745" i="40" s="1"/>
  <c r="CG745" i="40" s="1"/>
  <c r="CC681" i="40"/>
  <c r="CD681" i="40" s="1"/>
  <c r="D1165" i="40" s="1"/>
  <c r="CC674" i="40"/>
  <c r="CD674" i="40" s="1"/>
  <c r="CE674" i="40" s="1"/>
  <c r="CF674" i="40" s="1"/>
  <c r="CG674" i="40" s="1"/>
  <c r="CC735" i="40"/>
  <c r="CD735" i="40" s="1"/>
  <c r="CC724" i="40"/>
  <c r="CC686" i="40"/>
  <c r="CD686" i="40" s="1"/>
  <c r="CC699" i="40"/>
  <c r="CC673" i="40"/>
  <c r="CD673" i="40" s="1"/>
  <c r="CE673" i="40" s="1"/>
  <c r="CC716" i="40"/>
  <c r="D1125" i="40" s="1"/>
  <c r="CC704" i="40"/>
  <c r="CC676" i="40"/>
  <c r="CD676" i="40" s="1"/>
  <c r="CE676" i="40" s="1"/>
  <c r="CC715" i="40"/>
  <c r="CD715" i="40" s="1"/>
  <c r="CC691" i="40"/>
  <c r="CF747" i="40" l="1"/>
  <c r="CG747" i="40" s="1"/>
  <c r="D1399" i="40"/>
  <c r="D1382" i="40"/>
  <c r="D1338" i="40"/>
  <c r="CF688" i="40"/>
  <c r="CG688" i="40" s="1"/>
  <c r="D1292" i="40"/>
  <c r="CF673" i="40"/>
  <c r="CG673" i="40" s="1"/>
  <c r="D1289" i="40"/>
  <c r="CF676" i="40"/>
  <c r="CG676" i="40" s="1"/>
  <c r="D1290" i="40"/>
  <c r="CF749" i="40"/>
  <c r="CG749" i="40" s="1"/>
  <c r="D1400" i="40"/>
  <c r="M111" i="66"/>
  <c r="N111" i="66"/>
  <c r="AO217" i="50"/>
  <c r="N131" i="25" s="1"/>
  <c r="AR60" i="42"/>
  <c r="B521" i="40"/>
  <c r="B239" i="65"/>
  <c r="CE686" i="40"/>
  <c r="CF686" i="40" s="1"/>
  <c r="CG686" i="40" s="1"/>
  <c r="D1168" i="40"/>
  <c r="D1178" i="40"/>
  <c r="D1244" i="40"/>
  <c r="CE733" i="40"/>
  <c r="D1234" i="40"/>
  <c r="D1188" i="40"/>
  <c r="D1255" i="40"/>
  <c r="D1179" i="40"/>
  <c r="D1245" i="40"/>
  <c r="CE726" i="40"/>
  <c r="CF726" i="40" s="1"/>
  <c r="CG726" i="40" s="1"/>
  <c r="D1184" i="40"/>
  <c r="CE735" i="40"/>
  <c r="D1235" i="40"/>
  <c r="D1257" i="40"/>
  <c r="CE685" i="40"/>
  <c r="CE681" i="40"/>
  <c r="CF681" i="40" s="1"/>
  <c r="CG681" i="40" s="1"/>
  <c r="CE712" i="40"/>
  <c r="CE715" i="40"/>
  <c r="D1092" i="40"/>
  <c r="D1164" i="40"/>
  <c r="M130" i="25"/>
  <c r="O137" i="25" s="1"/>
  <c r="D1152" i="40"/>
  <c r="D1161" i="40"/>
  <c r="D1094" i="40"/>
  <c r="D1127" i="40"/>
  <c r="D1089" i="40"/>
  <c r="D1118" i="40"/>
  <c r="D1096" i="40"/>
  <c r="D1131" i="40"/>
  <c r="D1157" i="40"/>
  <c r="D1110" i="40"/>
  <c r="D1116" i="40"/>
  <c r="D1144" i="40"/>
  <c r="D1087" i="40"/>
  <c r="D1160" i="40"/>
  <c r="D1142" i="40"/>
  <c r="D1112" i="40"/>
  <c r="D1103" i="40"/>
  <c r="D1139" i="40"/>
  <c r="D1155" i="40"/>
  <c r="D1150" i="40"/>
  <c r="D1133" i="40"/>
  <c r="D1097" i="40"/>
  <c r="D1145" i="40"/>
  <c r="D1095" i="40"/>
  <c r="D1130" i="40"/>
  <c r="D1159" i="40"/>
  <c r="D1114" i="40"/>
  <c r="D1088" i="40"/>
  <c r="D1117" i="40"/>
  <c r="D1156" i="40"/>
  <c r="D1109" i="40"/>
  <c r="D1090" i="40"/>
  <c r="D1151" i="40"/>
  <c r="D1119" i="40"/>
  <c r="D1147" i="40"/>
  <c r="M109" i="66" s="1"/>
  <c r="D1111" i="40"/>
  <c r="D1158" i="40"/>
  <c r="D1154" i="40"/>
  <c r="D1093" i="40"/>
  <c r="D1101" i="40"/>
  <c r="D1137" i="40"/>
  <c r="D1121" i="40"/>
  <c r="D1091" i="40"/>
  <c r="D1141" i="40"/>
  <c r="D1099" i="40"/>
  <c r="D1135" i="40"/>
  <c r="D1143" i="40"/>
  <c r="D1113" i="40"/>
  <c r="CD717" i="40"/>
  <c r="CD720" i="40"/>
  <c r="CD713" i="40"/>
  <c r="CD723" i="40"/>
  <c r="CD709" i="40"/>
  <c r="CD708" i="40"/>
  <c r="CE708" i="40" s="1"/>
  <c r="CD714" i="40"/>
  <c r="CD732" i="40"/>
  <c r="CD711" i="40"/>
  <c r="CE711" i="40" s="1"/>
  <c r="CD729" i="40"/>
  <c r="CD716" i="40"/>
  <c r="CD724" i="40"/>
  <c r="CD728" i="40"/>
  <c r="CD725" i="40"/>
  <c r="CD721" i="40"/>
  <c r="CE721" i="40" s="1"/>
  <c r="CD730" i="40"/>
  <c r="CD718" i="40"/>
  <c r="CE718" i="40" s="1"/>
  <c r="CF718" i="40" s="1"/>
  <c r="CG718" i="40" s="1"/>
  <c r="CD722" i="40"/>
  <c r="CD731" i="40"/>
  <c r="CD736" i="40"/>
  <c r="CD705" i="40"/>
  <c r="CD704" i="40"/>
  <c r="CD710" i="40"/>
  <c r="CD719" i="40"/>
  <c r="CD727" i="40"/>
  <c r="CE727" i="40" s="1"/>
  <c r="CD737" i="40"/>
  <c r="CD706" i="40"/>
  <c r="CD734" i="40"/>
  <c r="D1288" i="40" s="1"/>
  <c r="CD687" i="40"/>
  <c r="CE687" i="40" s="1"/>
  <c r="CF687" i="40" s="1"/>
  <c r="CG687" i="40" s="1"/>
  <c r="D1076" i="40"/>
  <c r="CD678" i="40"/>
  <c r="CE678" i="40" s="1"/>
  <c r="CF678" i="40" s="1"/>
  <c r="CG678" i="40" s="1"/>
  <c r="D1074" i="40"/>
  <c r="CD682" i="40"/>
  <c r="D1166" i="40" s="1"/>
  <c r="D1075" i="40"/>
  <c r="CD703" i="40"/>
  <c r="CD695" i="40"/>
  <c r="D1081" i="40"/>
  <c r="CD699" i="40"/>
  <c r="D1085" i="40"/>
  <c r="CD702" i="40"/>
  <c r="CD697" i="40"/>
  <c r="D1083" i="40"/>
  <c r="CD700" i="40"/>
  <c r="D1086" i="40"/>
  <c r="CD694" i="40"/>
  <c r="D1080" i="40"/>
  <c r="CD693" i="40"/>
  <c r="D1079" i="40"/>
  <c r="CD691" i="40"/>
  <c r="D1077" i="40"/>
  <c r="CD701" i="40"/>
  <c r="D1280" i="40" s="1"/>
  <c r="CD696" i="40"/>
  <c r="D1082" i="40"/>
  <c r="CD692" i="40"/>
  <c r="D1078" i="40"/>
  <c r="CD698" i="40"/>
  <c r="D1084" i="40"/>
  <c r="AZ217" i="50"/>
  <c r="J328" i="50" s="1"/>
  <c r="CD707" i="40"/>
  <c r="D1073" i="40"/>
  <c r="M31" i="37"/>
  <c r="N340" i="50"/>
  <c r="CD746" i="40"/>
  <c r="CE746" i="40" s="1"/>
  <c r="CF746" i="40" s="1"/>
  <c r="CG746" i="40" s="1"/>
  <c r="D1072" i="40"/>
  <c r="D961" i="40"/>
  <c r="D1069" i="40"/>
  <c r="D875" i="40"/>
  <c r="D872" i="40"/>
  <c r="L339" i="50"/>
  <c r="CC744" i="40"/>
  <c r="CD744" i="40" s="1"/>
  <c r="CE744" i="40" s="1"/>
  <c r="D1054" i="40"/>
  <c r="BA217" i="50"/>
  <c r="K328" i="50" s="1"/>
  <c r="D874" i="40"/>
  <c r="D873" i="40"/>
  <c r="AX60" i="42"/>
  <c r="BN60" i="42" s="1"/>
  <c r="BV60" i="42" s="1"/>
  <c r="N29" i="42"/>
  <c r="N31" i="50"/>
  <c r="Q39" i="25"/>
  <c r="BI60" i="42"/>
  <c r="BZ741" i="40"/>
  <c r="BX739" i="40"/>
  <c r="BY740" i="40"/>
  <c r="BW738" i="40"/>
  <c r="CA742" i="40"/>
  <c r="CB743" i="40"/>
  <c r="CF712" i="40" l="1"/>
  <c r="CG712" i="40" s="1"/>
  <c r="D1307" i="40"/>
  <c r="CF721" i="40"/>
  <c r="CG721" i="40" s="1"/>
  <c r="D1386" i="40"/>
  <c r="CF735" i="40"/>
  <c r="CG735" i="40" s="1"/>
  <c r="D1397" i="40"/>
  <c r="D1370" i="40"/>
  <c r="D1344" i="40"/>
  <c r="D1371" i="40"/>
  <c r="CF733" i="40"/>
  <c r="CG733" i="40" s="1"/>
  <c r="D1389" i="40"/>
  <c r="D1314" i="40"/>
  <c r="D1368" i="40"/>
  <c r="CF744" i="40"/>
  <c r="CG744" i="40" s="1"/>
  <c r="D1337" i="40"/>
  <c r="D1381" i="40"/>
  <c r="CF708" i="40"/>
  <c r="CG708" i="40" s="1"/>
  <c r="D1328" i="40"/>
  <c r="CF685" i="40"/>
  <c r="CG685" i="40" s="1"/>
  <c r="D1291" i="40"/>
  <c r="CF727" i="40"/>
  <c r="CG727" i="40" s="1"/>
  <c r="D1332" i="40"/>
  <c r="CF711" i="40"/>
  <c r="CG711" i="40" s="1"/>
  <c r="D1358" i="40"/>
  <c r="CF715" i="40"/>
  <c r="CG715" i="40" s="1"/>
  <c r="D1308" i="40"/>
  <c r="AP217" i="50"/>
  <c r="O131" i="25" s="1"/>
  <c r="N113" i="66"/>
  <c r="M113" i="66"/>
  <c r="O113" i="66"/>
  <c r="AS60" i="42"/>
  <c r="AY60" i="42"/>
  <c r="BO60" i="42" s="1"/>
  <c r="B522" i="40"/>
  <c r="B240" i="65"/>
  <c r="CE701" i="40"/>
  <c r="D1223" i="40"/>
  <c r="D1285" i="40"/>
  <c r="D1281" i="40"/>
  <c r="D1201" i="40"/>
  <c r="CE700" i="40"/>
  <c r="D1177" i="40"/>
  <c r="D1200" i="40"/>
  <c r="D1222" i="40"/>
  <c r="CE703" i="40"/>
  <c r="D1202" i="40"/>
  <c r="D1271" i="40"/>
  <c r="CE710" i="40"/>
  <c r="CF710" i="40" s="1"/>
  <c r="CG710" i="40" s="1"/>
  <c r="D1205" i="40"/>
  <c r="CE692" i="40"/>
  <c r="D1192" i="40"/>
  <c r="D1169" i="40"/>
  <c r="CE699" i="40"/>
  <c r="D1284" i="40"/>
  <c r="D1199" i="40"/>
  <c r="D1176" i="40"/>
  <c r="CE704" i="40"/>
  <c r="D1243" i="40"/>
  <c r="N109" i="66" s="1"/>
  <c r="D1224" i="40"/>
  <c r="CE725" i="40"/>
  <c r="D1250" i="40"/>
  <c r="D1183" i="40"/>
  <c r="D1230" i="40"/>
  <c r="CE729" i="40"/>
  <c r="D1231" i="40"/>
  <c r="D1279" i="40"/>
  <c r="D1185" i="40"/>
  <c r="CE720" i="40"/>
  <c r="D1182" i="40"/>
  <c r="D1277" i="40"/>
  <c r="D1209" i="40"/>
  <c r="CE691" i="40"/>
  <c r="D1265" i="40"/>
  <c r="CE694" i="40"/>
  <c r="D1194" i="40"/>
  <c r="D1267" i="40"/>
  <c r="D1171" i="40"/>
  <c r="D1283" i="40"/>
  <c r="D1218" i="40"/>
  <c r="D1219" i="40"/>
  <c r="D1174" i="40"/>
  <c r="D1268" i="40"/>
  <c r="D1197" i="40"/>
  <c r="CE705" i="40"/>
  <c r="D1272" i="40"/>
  <c r="D1225" i="40"/>
  <c r="CE728" i="40"/>
  <c r="D1251" i="40"/>
  <c r="CE709" i="40"/>
  <c r="D1274" i="40"/>
  <c r="D1207" i="40"/>
  <c r="D1228" i="40"/>
  <c r="D1246" i="40"/>
  <c r="CE707" i="40"/>
  <c r="D1273" i="40"/>
  <c r="D1226" i="40"/>
  <c r="D1204" i="40"/>
  <c r="CE693" i="40"/>
  <c r="D1266" i="40"/>
  <c r="D1170" i="40"/>
  <c r="D1282" i="40"/>
  <c r="D1193" i="40"/>
  <c r="CE706" i="40"/>
  <c r="D1287" i="40"/>
  <c r="D1203" i="40"/>
  <c r="CE731" i="40"/>
  <c r="D1186" i="40"/>
  <c r="D1253" i="40"/>
  <c r="D1232" i="40"/>
  <c r="CE716" i="40"/>
  <c r="CF716" i="40" s="1"/>
  <c r="CG716" i="40" s="1"/>
  <c r="D1227" i="40"/>
  <c r="D1180" i="40"/>
  <c r="CE714" i="40"/>
  <c r="CF714" i="40" s="1"/>
  <c r="CG714" i="40" s="1"/>
  <c r="D1276" i="40"/>
  <c r="CE713" i="40"/>
  <c r="D1275" i="40"/>
  <c r="D1206" i="40"/>
  <c r="CE737" i="40"/>
  <c r="D1237" i="40"/>
  <c r="D1248" i="40"/>
  <c r="D1210" i="40"/>
  <c r="CE698" i="40"/>
  <c r="D1175" i="40"/>
  <c r="D1269" i="40"/>
  <c r="D1221" i="40"/>
  <c r="D1220" i="40"/>
  <c r="D1198" i="40"/>
  <c r="CE696" i="40"/>
  <c r="D1173" i="40"/>
  <c r="D1196" i="40"/>
  <c r="CE702" i="40"/>
  <c r="D1270" i="40"/>
  <c r="D1286" i="40"/>
  <c r="CE695" i="40"/>
  <c r="D1172" i="40"/>
  <c r="D1195" i="40"/>
  <c r="CE734" i="40"/>
  <c r="D1256" i="40"/>
  <c r="D1214" i="40"/>
  <c r="D1216" i="40"/>
  <c r="D1208" i="40"/>
  <c r="D1247" i="40"/>
  <c r="D1229" i="40"/>
  <c r="D1181" i="40"/>
  <c r="CE736" i="40"/>
  <c r="D1215" i="40"/>
  <c r="D1189" i="40"/>
  <c r="D1236" i="40"/>
  <c r="D1258" i="40"/>
  <c r="CE730" i="40"/>
  <c r="D1252" i="40"/>
  <c r="D1217" i="40"/>
  <c r="D1212" i="40"/>
  <c r="CE724" i="40"/>
  <c r="D1211" i="40"/>
  <c r="CE732" i="40"/>
  <c r="D1254" i="40"/>
  <c r="D1187" i="40"/>
  <c r="D1233" i="40"/>
  <c r="D1213" i="40"/>
  <c r="D1278" i="40"/>
  <c r="D1249" i="40"/>
  <c r="CE719" i="40"/>
  <c r="CE722" i="40"/>
  <c r="CF722" i="40" s="1"/>
  <c r="CG722" i="40" s="1"/>
  <c r="CE697" i="40"/>
  <c r="CE682" i="40"/>
  <c r="CF682" i="40" s="1"/>
  <c r="CG682" i="40" s="1"/>
  <c r="CE717" i="40"/>
  <c r="CE723" i="40"/>
  <c r="BB217" i="50"/>
  <c r="L328" i="50" s="1"/>
  <c r="AQ217" i="50"/>
  <c r="P131" i="25" s="1"/>
  <c r="AZ61" i="50"/>
  <c r="D896" i="40"/>
  <c r="D952" i="40"/>
  <c r="D935" i="40"/>
  <c r="N130" i="25"/>
  <c r="P137" i="25" s="1"/>
  <c r="AZ122" i="50"/>
  <c r="J208" i="50" s="1"/>
  <c r="AZ60" i="42"/>
  <c r="BP60" i="42" s="1"/>
  <c r="BX60" i="42" s="1"/>
  <c r="BJ60" i="42"/>
  <c r="D849" i="40"/>
  <c r="D848" i="40"/>
  <c r="D1068" i="40"/>
  <c r="D1015" i="40"/>
  <c r="D975" i="40"/>
  <c r="D976" i="40"/>
  <c r="D1006" i="40"/>
  <c r="D1047" i="40"/>
  <c r="BW60" i="42"/>
  <c r="M339" i="50"/>
  <c r="D943" i="40"/>
  <c r="D1032" i="40"/>
  <c r="D991" i="40"/>
  <c r="D857" i="40"/>
  <c r="D826" i="40"/>
  <c r="D858" i="40"/>
  <c r="BX738" i="40"/>
  <c r="CC743" i="40"/>
  <c r="CD743" i="40" s="1"/>
  <c r="BY739" i="40"/>
  <c r="CB742" i="40"/>
  <c r="BZ740" i="40"/>
  <c r="CA741" i="40"/>
  <c r="CF695" i="40" l="1"/>
  <c r="CG695" i="40" s="1"/>
  <c r="D1321" i="40"/>
  <c r="D1393" i="40"/>
  <c r="D1296" i="40"/>
  <c r="CF693" i="40"/>
  <c r="CG693" i="40" s="1"/>
  <c r="D1294" i="40"/>
  <c r="D1392" i="40"/>
  <c r="CF694" i="40"/>
  <c r="CG694" i="40" s="1"/>
  <c r="D1295" i="40"/>
  <c r="D1320" i="40"/>
  <c r="CF692" i="40"/>
  <c r="CG692" i="40" s="1"/>
  <c r="D1293" i="40"/>
  <c r="CF724" i="40"/>
  <c r="CG724" i="40" s="1"/>
  <c r="D1330" i="40"/>
  <c r="D1361" i="40"/>
  <c r="CF737" i="40"/>
  <c r="CG737" i="40" s="1"/>
  <c r="D1373" i="40"/>
  <c r="D1317" i="40"/>
  <c r="D1335" i="40"/>
  <c r="D1398" i="40"/>
  <c r="D1346" i="40"/>
  <c r="CF707" i="40"/>
  <c r="CG707" i="40" s="1"/>
  <c r="D1356" i="40"/>
  <c r="CF697" i="40"/>
  <c r="CG697" i="40" s="1"/>
  <c r="D1323" i="40"/>
  <c r="D1298" i="40"/>
  <c r="D1394" i="40"/>
  <c r="D1350" i="40"/>
  <c r="CF736" i="40"/>
  <c r="CG736" i="40" s="1"/>
  <c r="D1345" i="40"/>
  <c r="D1372" i="40"/>
  <c r="D1316" i="40"/>
  <c r="CF734" i="40"/>
  <c r="CG734" i="40" s="1"/>
  <c r="D1369" i="40"/>
  <c r="D1315" i="40"/>
  <c r="D1334" i="40"/>
  <c r="D1343" i="40"/>
  <c r="CF709" i="40"/>
  <c r="CG709" i="40" s="1"/>
  <c r="D1357" i="40"/>
  <c r="CF704" i="40"/>
  <c r="CG704" i="40" s="1"/>
  <c r="D1305" i="40"/>
  <c r="D1354" i="40"/>
  <c r="CF699" i="40"/>
  <c r="CG699" i="40" s="1"/>
  <c r="D1325" i="40"/>
  <c r="D1383" i="40"/>
  <c r="D1352" i="40"/>
  <c r="D1300" i="40"/>
  <c r="CF703" i="40"/>
  <c r="CG703" i="40" s="1"/>
  <c r="D1304" i="40"/>
  <c r="D1327" i="40"/>
  <c r="CF700" i="40"/>
  <c r="CG700" i="40" s="1"/>
  <c r="D1353" i="40"/>
  <c r="D1402" i="40"/>
  <c r="D1301" i="40"/>
  <c r="CF732" i="40"/>
  <c r="CG732" i="40" s="1"/>
  <c r="D1367" i="40"/>
  <c r="D1342" i="40"/>
  <c r="D1388" i="40"/>
  <c r="CF705" i="40"/>
  <c r="CG705" i="40" s="1"/>
  <c r="D1355" i="40"/>
  <c r="CF691" i="40"/>
  <c r="CG691" i="40" s="1"/>
  <c r="D1401" i="40"/>
  <c r="D1391" i="40"/>
  <c r="CF720" i="40"/>
  <c r="CG720" i="40" s="1"/>
  <c r="D1385" i="40"/>
  <c r="D1311" i="40"/>
  <c r="CF729" i="40"/>
  <c r="CG729" i="40" s="1"/>
  <c r="D1364" i="40"/>
  <c r="CF725" i="40"/>
  <c r="CG725" i="40" s="1"/>
  <c r="D1405" i="40"/>
  <c r="D1341" i="40"/>
  <c r="D1339" i="40"/>
  <c r="D1362" i="40"/>
  <c r="D1347" i="40"/>
  <c r="D1331" i="40"/>
  <c r="D1312" i="40"/>
  <c r="CF701" i="40"/>
  <c r="CG701" i="40" s="1"/>
  <c r="D1302" i="40"/>
  <c r="CF730" i="40"/>
  <c r="CG730" i="40" s="1"/>
  <c r="D1349" i="40"/>
  <c r="D1365" i="40"/>
  <c r="CF698" i="40"/>
  <c r="CG698" i="40" s="1"/>
  <c r="D1299" i="40"/>
  <c r="D1395" i="40"/>
  <c r="D1351" i="40"/>
  <c r="D1324" i="40"/>
  <c r="CF731" i="40"/>
  <c r="CG731" i="40" s="1"/>
  <c r="D1366" i="40"/>
  <c r="D1313" i="40"/>
  <c r="CF723" i="40"/>
  <c r="CG723" i="40" s="1"/>
  <c r="D1360" i="40"/>
  <c r="D1340" i="40"/>
  <c r="CF696" i="40"/>
  <c r="CG696" i="40" s="1"/>
  <c r="D1297" i="40"/>
  <c r="D1322" i="40"/>
  <c r="CF717" i="40"/>
  <c r="CG717" i="40" s="1"/>
  <c r="D1309" i="40"/>
  <c r="D1359" i="40"/>
  <c r="CF719" i="40"/>
  <c r="CG719" i="40" s="1"/>
  <c r="D1310" i="40"/>
  <c r="D1396" i="40"/>
  <c r="CF702" i="40"/>
  <c r="CG702" i="40" s="1"/>
  <c r="D1303" i="40"/>
  <c r="D1326" i="40"/>
  <c r="CF713" i="40"/>
  <c r="CG713" i="40" s="1"/>
  <c r="D1329" i="40"/>
  <c r="D1403" i="40"/>
  <c r="CF706" i="40"/>
  <c r="CG706" i="40" s="1"/>
  <c r="D1384" i="40"/>
  <c r="D1306" i="40"/>
  <c r="CF728" i="40"/>
  <c r="CG728" i="40" s="1"/>
  <c r="D1333" i="40"/>
  <c r="D1363" i="40"/>
  <c r="D1348" i="40"/>
  <c r="D1387" i="40"/>
  <c r="O114" i="66"/>
  <c r="N114" i="66"/>
  <c r="AT60" i="42"/>
  <c r="B523" i="40"/>
  <c r="B241" i="65"/>
  <c r="CE743" i="40"/>
  <c r="D1242" i="40"/>
  <c r="D1264" i="40"/>
  <c r="J205" i="50"/>
  <c r="AR217" i="50"/>
  <c r="Q131" i="25" s="1"/>
  <c r="BC217" i="50"/>
  <c r="M328" i="50" s="1"/>
  <c r="O130" i="25"/>
  <c r="J341" i="50"/>
  <c r="D951" i="40"/>
  <c r="D907" i="40"/>
  <c r="BA61" i="50"/>
  <c r="K205" i="50" s="1"/>
  <c r="BA60" i="42"/>
  <c r="BQ60" i="42" s="1"/>
  <c r="BY60" i="42" s="1"/>
  <c r="BB61" i="50"/>
  <c r="L205" i="50" s="1"/>
  <c r="D1014" i="40"/>
  <c r="D982" i="40"/>
  <c r="N339" i="50"/>
  <c r="D1005" i="40"/>
  <c r="D1031" i="40"/>
  <c r="D990" i="40"/>
  <c r="CA740" i="40"/>
  <c r="D791" i="40" s="1"/>
  <c r="CB741" i="40"/>
  <c r="D1046" i="40" s="1"/>
  <c r="CC742" i="40"/>
  <c r="CD742" i="40" s="1"/>
  <c r="BZ739" i="40"/>
  <c r="BY738" i="40"/>
  <c r="CF743" i="40" l="1"/>
  <c r="CG743" i="40" s="1"/>
  <c r="D1319" i="40"/>
  <c r="D1380" i="40"/>
  <c r="Q137" i="25"/>
  <c r="M47" i="32" s="1"/>
  <c r="B524" i="40"/>
  <c r="B242" i="65"/>
  <c r="CE742" i="40"/>
  <c r="D1241" i="40"/>
  <c r="J338" i="50"/>
  <c r="J346" i="50" s="1"/>
  <c r="P130" i="25"/>
  <c r="D906" i="40"/>
  <c r="D950" i="40"/>
  <c r="K338" i="50"/>
  <c r="K346" i="50" s="1"/>
  <c r="BD217" i="50"/>
  <c r="N328" i="50" s="1"/>
  <c r="L338" i="50"/>
  <c r="L346" i="50" s="1"/>
  <c r="BB60" i="42"/>
  <c r="BR60" i="42" s="1"/>
  <c r="BZ60" i="42" s="1"/>
  <c r="N96" i="42" s="1"/>
  <c r="M37" i="32" s="1"/>
  <c r="BC61" i="50"/>
  <c r="M205" i="50" s="1"/>
  <c r="D798" i="40"/>
  <c r="D785" i="40"/>
  <c r="D1004" i="40"/>
  <c r="D1067" i="40"/>
  <c r="D981" i="40"/>
  <c r="D1052" i="40"/>
  <c r="D901" i="40"/>
  <c r="CA739" i="40"/>
  <c r="D876" i="40" s="1"/>
  <c r="CC741" i="40"/>
  <c r="CD741" i="40" s="1"/>
  <c r="BZ738" i="40"/>
  <c r="CB740" i="40"/>
  <c r="D934" i="40" s="1"/>
  <c r="CF742" i="40" l="1"/>
  <c r="CG742" i="40" s="1"/>
  <c r="D1379" i="40"/>
  <c r="B525" i="40"/>
  <c r="B243" i="65"/>
  <c r="CE741" i="40"/>
  <c r="D1263" i="40"/>
  <c r="D1240" i="40"/>
  <c r="D905" i="40"/>
  <c r="D1000" i="40"/>
  <c r="D892" i="40"/>
  <c r="M338" i="50"/>
  <c r="M346" i="50" s="1"/>
  <c r="BD61" i="50"/>
  <c r="D980" i="40"/>
  <c r="D1013" i="40"/>
  <c r="D985" i="40"/>
  <c r="D1045" i="40"/>
  <c r="D900" i="40"/>
  <c r="D1030" i="40"/>
  <c r="D867" i="40"/>
  <c r="D834" i="40"/>
  <c r="D825" i="40"/>
  <c r="CC740" i="40"/>
  <c r="D1106" i="40" s="1"/>
  <c r="CA738" i="40"/>
  <c r="D790" i="40" s="1"/>
  <c r="CB739" i="40"/>
  <c r="CF741" i="40" l="1"/>
  <c r="CG741" i="40" s="1"/>
  <c r="D1390" i="40"/>
  <c r="D1378" i="40"/>
  <c r="B526" i="40"/>
  <c r="B244" i="65"/>
  <c r="D891" i="40"/>
  <c r="D948" i="40"/>
  <c r="D888" i="40"/>
  <c r="D916" i="40"/>
  <c r="D949" i="40"/>
  <c r="D1053" i="40"/>
  <c r="CD740" i="40"/>
  <c r="N338" i="50"/>
  <c r="N346" i="50" s="1"/>
  <c r="M43" i="32" s="1"/>
  <c r="D937" i="40"/>
  <c r="D989" i="40"/>
  <c r="D868" i="40"/>
  <c r="D784" i="40"/>
  <c r="D1409" i="40" s="1"/>
  <c r="D984" i="40"/>
  <c r="D1003" i="40"/>
  <c r="D1002" i="40"/>
  <c r="D960" i="40"/>
  <c r="D987" i="40"/>
  <c r="D940" i="40"/>
  <c r="D869" i="40"/>
  <c r="D797" i="40"/>
  <c r="D1410" i="40" s="1"/>
  <c r="D824" i="40"/>
  <c r="CC739" i="40"/>
  <c r="D1163" i="40" s="1"/>
  <c r="CB738" i="40"/>
  <c r="D933" i="40" s="1"/>
  <c r="K111" i="25" l="1"/>
  <c r="Q114" i="25" s="1"/>
  <c r="B527" i="40"/>
  <c r="B245" i="65"/>
  <c r="CE740" i="40"/>
  <c r="D1262" i="40"/>
  <c r="D988" i="40"/>
  <c r="D890" i="40"/>
  <c r="D919" i="40"/>
  <c r="D947" i="40"/>
  <c r="D915" i="40"/>
  <c r="D887" i="40"/>
  <c r="E1409" i="40" s="1"/>
  <c r="D920" i="40"/>
  <c r="D1044" i="40"/>
  <c r="D939" i="40"/>
  <c r="D1105" i="40"/>
  <c r="D1140" i="40"/>
  <c r="F1410" i="40" s="1"/>
  <c r="CD739" i="40"/>
  <c r="K110" i="25"/>
  <c r="Q113" i="25" s="1"/>
  <c r="D993" i="40"/>
  <c r="D964" i="40"/>
  <c r="D974" i="40"/>
  <c r="D983" i="40"/>
  <c r="D1001" i="40"/>
  <c r="D959" i="40"/>
  <c r="D899" i="40"/>
  <c r="D973" i="40"/>
  <c r="D958" i="40"/>
  <c r="D986" i="40"/>
  <c r="D978" i="40"/>
  <c r="L109" i="66" s="1"/>
  <c r="D962" i="40"/>
  <c r="D963" i="40"/>
  <c r="D932" i="40"/>
  <c r="CC738" i="40"/>
  <c r="CF740" i="40" l="1"/>
  <c r="CG740" i="40" s="1"/>
  <c r="D1377" i="40"/>
  <c r="M112" i="66"/>
  <c r="O117" i="66" s="1"/>
  <c r="O128" i="66" s="1"/>
  <c r="N114" i="25"/>
  <c r="B528" i="40"/>
  <c r="B246" i="65"/>
  <c r="CE739" i="40"/>
  <c r="D1191" i="40"/>
  <c r="D1239" i="40"/>
  <c r="D1261" i="40"/>
  <c r="P113" i="25"/>
  <c r="N113" i="25"/>
  <c r="M113" i="25"/>
  <c r="O113" i="25"/>
  <c r="P114" i="25"/>
  <c r="O114" i="25"/>
  <c r="L110" i="25"/>
  <c r="D1104" i="40"/>
  <c r="F1409" i="40" s="1"/>
  <c r="D1146" i="40"/>
  <c r="CD738" i="40"/>
  <c r="D1259" i="40" s="1"/>
  <c r="M114" i="25"/>
  <c r="H16" i="32"/>
  <c r="F12" i="32"/>
  <c r="CF739" i="40" l="1"/>
  <c r="CG739" i="40" s="1"/>
  <c r="D1376" i="40"/>
  <c r="G1410" i="40"/>
  <c r="M124" i="25"/>
  <c r="O112" i="66"/>
  <c r="Q117" i="66" s="1"/>
  <c r="Q128" i="66" s="1"/>
  <c r="M52" i="32" s="1"/>
  <c r="M115" i="25"/>
  <c r="Q115" i="25"/>
  <c r="B529" i="40"/>
  <c r="B247" i="65"/>
  <c r="CE738" i="40"/>
  <c r="D1190" i="40"/>
  <c r="G1409" i="40" s="1"/>
  <c r="D1260" i="40"/>
  <c r="D1238" i="40"/>
  <c r="N112" i="66"/>
  <c r="P117" i="66" s="1"/>
  <c r="P128" i="66" s="1"/>
  <c r="I32" i="32"/>
  <c r="I59" i="32" s="1"/>
  <c r="M110" i="25"/>
  <c r="M111" i="25"/>
  <c r="N115" i="25"/>
  <c r="O115" i="25"/>
  <c r="P115" i="25"/>
  <c r="CF738" i="40" l="1"/>
  <c r="CG738" i="40" s="1"/>
  <c r="D1318" i="40"/>
  <c r="D1375" i="40"/>
  <c r="D1336" i="40"/>
  <c r="H1410" i="40" s="1"/>
  <c r="O111" i="25" s="1"/>
  <c r="D1374" i="40"/>
  <c r="D1404" i="40"/>
  <c r="N118" i="25"/>
  <c r="Q118" i="25"/>
  <c r="M117" i="25"/>
  <c r="Q117" i="25"/>
  <c r="J32" i="32"/>
  <c r="N111" i="25"/>
  <c r="B530" i="40"/>
  <c r="B248" i="65"/>
  <c r="N110" i="25"/>
  <c r="Q119" i="25" s="1"/>
  <c r="K32" i="32"/>
  <c r="K59" i="32" s="1"/>
  <c r="J59" i="32"/>
  <c r="P118" i="25"/>
  <c r="M118" i="25"/>
  <c r="O118" i="25"/>
  <c r="N117" i="25"/>
  <c r="O117" i="25"/>
  <c r="P117" i="25"/>
  <c r="Q122" i="25" l="1"/>
  <c r="O122" i="25"/>
  <c r="P122" i="25"/>
  <c r="H1409" i="40"/>
  <c r="O110" i="25" s="1"/>
  <c r="E1410" i="40"/>
  <c r="L111" i="25" s="1"/>
  <c r="Q120" i="25"/>
  <c r="P120" i="25"/>
  <c r="O120" i="25"/>
  <c r="N120" i="25"/>
  <c r="B531" i="40"/>
  <c r="B249" i="65"/>
  <c r="N119" i="25"/>
  <c r="P119" i="25"/>
  <c r="O119" i="25"/>
  <c r="Q116" i="25" l="1"/>
  <c r="N116" i="25"/>
  <c r="N124" i="25" s="1"/>
  <c r="M116" i="25"/>
  <c r="P116" i="25"/>
  <c r="P124" i="25" s="1"/>
  <c r="O116" i="25"/>
  <c r="P121" i="25"/>
  <c r="Q121" i="25"/>
  <c r="O121" i="25"/>
  <c r="B532" i="40"/>
  <c r="B250" i="65"/>
  <c r="Q124" i="25" l="1"/>
  <c r="M46" i="32" s="1"/>
  <c r="M59" i="32" s="1"/>
  <c r="M31" i="34" s="1"/>
  <c r="M34" i="34" s="1"/>
  <c r="O124" i="25"/>
  <c r="L59" i="32"/>
  <c r="B533" i="40"/>
  <c r="B251" i="65"/>
  <c r="M33" i="34" l="1"/>
  <c r="M51" i="34"/>
  <c r="M38" i="34"/>
  <c r="M39" i="34" s="1"/>
  <c r="M45" i="34" s="1"/>
  <c r="F89" i="36" s="1"/>
  <c r="B534" i="40"/>
  <c r="B252" i="65"/>
  <c r="M46" i="34" l="1"/>
  <c r="F90" i="36" s="1"/>
  <c r="M43" i="34"/>
  <c r="M44" i="34"/>
  <c r="F88" i="36" s="1"/>
  <c r="M47" i="34"/>
  <c r="F91" i="36" s="1"/>
  <c r="F87" i="36"/>
  <c r="N167" i="36" s="1"/>
  <c r="B535" i="40"/>
  <c r="B253" i="65"/>
  <c r="M52" i="34" l="1"/>
  <c r="M54" i="34" s="1"/>
  <c r="B536" i="40"/>
  <c r="B254" i="65"/>
  <c r="H150" i="36"/>
  <c r="B537" i="40" l="1"/>
  <c r="B255" i="65"/>
  <c r="R161" i="36"/>
  <c r="P160" i="36"/>
  <c r="R159" i="36"/>
  <c r="R158" i="36"/>
  <c r="P157" i="36"/>
  <c r="R156" i="36"/>
  <c r="R155" i="36"/>
  <c r="P154" i="36"/>
  <c r="R153" i="36"/>
  <c r="R152" i="36"/>
  <c r="P151" i="36"/>
  <c r="R150" i="36"/>
  <c r="N150" i="36"/>
  <c r="Q161" i="36"/>
  <c r="Q159" i="36"/>
  <c r="Q158" i="36"/>
  <c r="Q156" i="36"/>
  <c r="Q155" i="36"/>
  <c r="Q153" i="36"/>
  <c r="Q152" i="36"/>
  <c r="Q150" i="36"/>
  <c r="P161" i="36"/>
  <c r="R160" i="36"/>
  <c r="P159" i="36"/>
  <c r="P158" i="36"/>
  <c r="R157" i="36"/>
  <c r="P156" i="36"/>
  <c r="P155" i="36"/>
  <c r="R154" i="36"/>
  <c r="P153" i="36"/>
  <c r="P152" i="36"/>
  <c r="R151" i="36"/>
  <c r="P150" i="36"/>
  <c r="Q160" i="36"/>
  <c r="O159" i="36"/>
  <c r="Q157" i="36"/>
  <c r="O156" i="36"/>
  <c r="Q154" i="36"/>
  <c r="O153" i="36"/>
  <c r="Q151" i="36"/>
  <c r="O150" i="36"/>
  <c r="K161" i="36"/>
  <c r="L159" i="36"/>
  <c r="K158" i="36"/>
  <c r="L156" i="36"/>
  <c r="K155" i="36"/>
  <c r="L153" i="36"/>
  <c r="K152" i="36"/>
  <c r="I150" i="36"/>
  <c r="J161" i="36"/>
  <c r="L160" i="36"/>
  <c r="K159" i="36"/>
  <c r="J158" i="36"/>
  <c r="L157" i="36"/>
  <c r="K156" i="36"/>
  <c r="J155" i="36"/>
  <c r="L154" i="36"/>
  <c r="K153" i="36"/>
  <c r="J152" i="36"/>
  <c r="L151" i="36"/>
  <c r="L150" i="36"/>
  <c r="K160" i="36"/>
  <c r="J159" i="36"/>
  <c r="K157" i="36"/>
  <c r="J156" i="36"/>
  <c r="K154" i="36"/>
  <c r="J153" i="36"/>
  <c r="K151" i="36"/>
  <c r="K150" i="36"/>
  <c r="L161" i="36"/>
  <c r="J160" i="36"/>
  <c r="I159" i="36"/>
  <c r="L158" i="36"/>
  <c r="J157" i="36"/>
  <c r="I156" i="36"/>
  <c r="L155" i="36"/>
  <c r="J154" i="36"/>
  <c r="I153" i="36"/>
  <c r="L152" i="36"/>
  <c r="J151" i="36"/>
  <c r="J150" i="36"/>
  <c r="L117" i="36"/>
  <c r="L35" i="21" s="1"/>
  <c r="J119" i="36"/>
  <c r="J37" i="21" s="1"/>
  <c r="L123" i="36"/>
  <c r="L41" i="21" s="1"/>
  <c r="L126" i="36"/>
  <c r="L44" i="21" s="1"/>
  <c r="L115" i="36"/>
  <c r="L33" i="21" s="1"/>
  <c r="K125" i="36"/>
  <c r="K43" i="21" s="1"/>
  <c r="J126" i="36"/>
  <c r="J44" i="21" s="1"/>
  <c r="K121" i="36"/>
  <c r="K39" i="21" s="1"/>
  <c r="J122" i="36"/>
  <c r="J40" i="21" s="1"/>
  <c r="J117" i="36"/>
  <c r="J35" i="21" s="1"/>
  <c r="J116" i="36"/>
  <c r="J34" i="21" s="1"/>
  <c r="H67" i="21"/>
  <c r="L122" i="36"/>
  <c r="L40" i="21" s="1"/>
  <c r="K126" i="36"/>
  <c r="K44" i="21" s="1"/>
  <c r="I190" i="36"/>
  <c r="I107" i="21" s="1"/>
  <c r="J125" i="36"/>
  <c r="J43" i="21" s="1"/>
  <c r="K118" i="36"/>
  <c r="K36" i="21" s="1"/>
  <c r="J120" i="36"/>
  <c r="J38" i="21" s="1"/>
  <c r="I118" i="36"/>
  <c r="I36" i="21" s="1"/>
  <c r="K116" i="36"/>
  <c r="K34" i="21" s="1"/>
  <c r="J118" i="36"/>
  <c r="J36" i="21" s="1"/>
  <c r="K120" i="36"/>
  <c r="K38" i="21" s="1"/>
  <c r="J121" i="36"/>
  <c r="J39" i="21" s="1"/>
  <c r="J115" i="36"/>
  <c r="J33" i="21" s="1"/>
  <c r="L119" i="36"/>
  <c r="L37" i="21" s="1"/>
  <c r="I121" i="36"/>
  <c r="I39" i="21" s="1"/>
  <c r="J124" i="36"/>
  <c r="J42" i="21" s="1"/>
  <c r="L125" i="36"/>
  <c r="L43" i="21" s="1"/>
  <c r="K119" i="36"/>
  <c r="K37" i="21" s="1"/>
  <c r="L118" i="36"/>
  <c r="L36" i="21" s="1"/>
  <c r="K124" i="36"/>
  <c r="K42" i="21" s="1"/>
  <c r="L124" i="36"/>
  <c r="L42" i="21" s="1"/>
  <c r="K117" i="36"/>
  <c r="K35" i="21" s="1"/>
  <c r="L120" i="36"/>
  <c r="L38" i="21" s="1"/>
  <c r="K122" i="36"/>
  <c r="K40" i="21" s="1"/>
  <c r="L121" i="36"/>
  <c r="L39" i="21" s="1"/>
  <c r="J123" i="36"/>
  <c r="J41" i="21" s="1"/>
  <c r="I115" i="36"/>
  <c r="I33" i="21" s="1"/>
  <c r="K115" i="36"/>
  <c r="K33" i="21" s="1"/>
  <c r="I124" i="36"/>
  <c r="I42" i="21" s="1"/>
  <c r="L116" i="36"/>
  <c r="L34" i="21" s="1"/>
  <c r="K123" i="36"/>
  <c r="K41" i="21" s="1"/>
  <c r="H115" i="36"/>
  <c r="H33" i="21" s="1"/>
  <c r="T133" i="36"/>
  <c r="U97" i="36"/>
  <c r="U16" i="21" s="1"/>
  <c r="X97" i="36"/>
  <c r="X16" i="21" s="1"/>
  <c r="R108" i="36"/>
  <c r="R27" i="21" s="1"/>
  <c r="R106" i="36"/>
  <c r="R25" i="21" s="1"/>
  <c r="Q136" i="36"/>
  <c r="Q102" i="36"/>
  <c r="Q21" i="21" s="1"/>
  <c r="P103" i="36"/>
  <c r="P22" i="21" s="1"/>
  <c r="J184" i="36"/>
  <c r="J101" i="21" s="1"/>
  <c r="R136" i="36"/>
  <c r="O97" i="36"/>
  <c r="O16" i="21" s="1"/>
  <c r="O184" i="36"/>
  <c r="O101" i="21" s="1"/>
  <c r="O142" i="36"/>
  <c r="R103" i="36"/>
  <c r="R22" i="21" s="1"/>
  <c r="J186" i="36"/>
  <c r="J103" i="21" s="1"/>
  <c r="Q106" i="36"/>
  <c r="Q25" i="21" s="1"/>
  <c r="R101" i="36"/>
  <c r="R20" i="21" s="1"/>
  <c r="J191" i="36"/>
  <c r="J108" i="21" s="1"/>
  <c r="Q142" i="36"/>
  <c r="O103" i="36"/>
  <c r="O22" i="21" s="1"/>
  <c r="R105" i="36"/>
  <c r="R24" i="21" s="1"/>
  <c r="P142" i="36"/>
  <c r="I184" i="36"/>
  <c r="I101" i="21" s="1"/>
  <c r="J192" i="36"/>
  <c r="J109" i="21" s="1"/>
  <c r="O193" i="36"/>
  <c r="O110" i="21" s="1"/>
  <c r="Q105" i="36"/>
  <c r="Q24" i="21" s="1"/>
  <c r="P135" i="36"/>
  <c r="Q100" i="36"/>
  <c r="Q19" i="21" s="1"/>
  <c r="I193" i="36"/>
  <c r="I110" i="21" s="1"/>
  <c r="P140" i="36"/>
  <c r="O139" i="36"/>
  <c r="Q138" i="36"/>
  <c r="P106" i="36"/>
  <c r="P25" i="21" s="1"/>
  <c r="Q137" i="36"/>
  <c r="P143" i="36"/>
  <c r="Q101" i="36"/>
  <c r="Q20" i="21" s="1"/>
  <c r="Q134" i="36"/>
  <c r="P133" i="36"/>
  <c r="R98" i="36"/>
  <c r="R17" i="21" s="1"/>
  <c r="N133" i="36"/>
  <c r="Q139" i="36"/>
  <c r="O190" i="36"/>
  <c r="O107" i="21" s="1"/>
  <c r="O100" i="36"/>
  <c r="O19" i="21" s="1"/>
  <c r="J195" i="36"/>
  <c r="J112" i="21" s="1"/>
  <c r="Q108" i="36"/>
  <c r="Q27" i="21" s="1"/>
  <c r="P137" i="36"/>
  <c r="P191" i="36"/>
  <c r="P108" i="21" s="1"/>
  <c r="J188" i="36"/>
  <c r="J105" i="21" s="1"/>
  <c r="P136" i="36"/>
  <c r="J193" i="36"/>
  <c r="J110" i="21" s="1"/>
  <c r="R102" i="36"/>
  <c r="R21" i="21" s="1"/>
  <c r="H184" i="36"/>
  <c r="H101" i="21" s="1"/>
  <c r="Q133" i="36"/>
  <c r="R133" i="36"/>
  <c r="R135" i="36"/>
  <c r="R138" i="36"/>
  <c r="P195" i="36"/>
  <c r="P112" i="21" s="1"/>
  <c r="J185" i="36"/>
  <c r="J102" i="21" s="1"/>
  <c r="J187" i="36"/>
  <c r="J104" i="21" s="1"/>
  <c r="R126" i="36"/>
  <c r="R44" i="21" s="1"/>
  <c r="P120" i="36"/>
  <c r="P38" i="21" s="1"/>
  <c r="O118" i="36"/>
  <c r="O36" i="21" s="1"/>
  <c r="O115" i="36"/>
  <c r="O33" i="21" s="1"/>
  <c r="P115" i="36"/>
  <c r="P33" i="21" s="1"/>
  <c r="P118" i="36"/>
  <c r="P36" i="21" s="1"/>
  <c r="P125" i="36"/>
  <c r="P43" i="21" s="1"/>
  <c r="R120" i="36"/>
  <c r="R38" i="21" s="1"/>
  <c r="N115" i="36"/>
  <c r="N33" i="21" s="1"/>
  <c r="P122" i="36"/>
  <c r="P40" i="21" s="1"/>
  <c r="Q124" i="36"/>
  <c r="Q42" i="21" s="1"/>
  <c r="Q120" i="36"/>
  <c r="Q38" i="21" s="1"/>
  <c r="Q117" i="36"/>
  <c r="Q35" i="21" s="1"/>
  <c r="Q115" i="36"/>
  <c r="Q33" i="21" s="1"/>
  <c r="Q126" i="36"/>
  <c r="Q44" i="21" s="1"/>
  <c r="R116" i="36"/>
  <c r="R34" i="21" s="1"/>
  <c r="P126" i="36"/>
  <c r="P44" i="21" s="1"/>
  <c r="R123" i="36"/>
  <c r="R41" i="21" s="1"/>
  <c r="O124" i="36"/>
  <c r="O42" i="21" s="1"/>
  <c r="Q122" i="36"/>
  <c r="Q40" i="21" s="1"/>
  <c r="Q125" i="36"/>
  <c r="Q43" i="21" s="1"/>
  <c r="P116" i="36"/>
  <c r="P34" i="21" s="1"/>
  <c r="O121" i="36"/>
  <c r="O39" i="21" s="1"/>
  <c r="Q118" i="36"/>
  <c r="Q36" i="21" s="1"/>
  <c r="R117" i="36"/>
  <c r="R35" i="21" s="1"/>
  <c r="Q119" i="36"/>
  <c r="Q37" i="21" s="1"/>
  <c r="Q123" i="36"/>
  <c r="Q41" i="21" s="1"/>
  <c r="R124" i="36"/>
  <c r="R42" i="21" s="1"/>
  <c r="P119" i="36"/>
  <c r="P37" i="21" s="1"/>
  <c r="Q121" i="36"/>
  <c r="Q39" i="21" s="1"/>
  <c r="P123" i="36"/>
  <c r="P41" i="21" s="1"/>
  <c r="Q116" i="36"/>
  <c r="Q34" i="21" s="1"/>
  <c r="R125" i="36"/>
  <c r="R43" i="21" s="1"/>
  <c r="P124" i="36"/>
  <c r="P42" i="21" s="1"/>
  <c r="P117" i="36"/>
  <c r="P35" i="21" s="1"/>
  <c r="R119" i="36"/>
  <c r="R37" i="21" s="1"/>
  <c r="R118" i="36"/>
  <c r="R36" i="21" s="1"/>
  <c r="R115" i="36"/>
  <c r="R33" i="21" s="1"/>
  <c r="R122" i="36"/>
  <c r="R40" i="21" s="1"/>
  <c r="P121" i="36"/>
  <c r="P39" i="21" s="1"/>
  <c r="R121" i="36"/>
  <c r="R39" i="21" s="1"/>
  <c r="X104" i="36"/>
  <c r="X23" i="21" s="1"/>
  <c r="W136" i="36"/>
  <c r="U133" i="36"/>
  <c r="X144" i="36"/>
  <c r="V143" i="36"/>
  <c r="U106" i="36"/>
  <c r="U25" i="21" s="1"/>
  <c r="X98" i="36"/>
  <c r="X17" i="21" s="1"/>
  <c r="W101" i="36"/>
  <c r="W20" i="21" s="1"/>
  <c r="W139" i="36"/>
  <c r="W99" i="36"/>
  <c r="W18" i="21" s="1"/>
  <c r="V135" i="36"/>
  <c r="W143" i="36"/>
  <c r="V97" i="36"/>
  <c r="V16" i="21" s="1"/>
  <c r="W102" i="36"/>
  <c r="W21" i="21" s="1"/>
  <c r="X133" i="36"/>
  <c r="V105" i="36"/>
  <c r="V24" i="21" s="1"/>
  <c r="V144" i="36"/>
  <c r="X103" i="36"/>
  <c r="X22" i="21" s="1"/>
  <c r="V138" i="36"/>
  <c r="X105" i="36"/>
  <c r="X24" i="21" s="1"/>
  <c r="V142" i="36"/>
  <c r="W106" i="36"/>
  <c r="W25" i="21" s="1"/>
  <c r="V101" i="36"/>
  <c r="V20" i="21" s="1"/>
  <c r="X134" i="36"/>
  <c r="W138" i="36"/>
  <c r="W105" i="36"/>
  <c r="W24" i="21" s="1"/>
  <c r="V98" i="36"/>
  <c r="V17" i="21" s="1"/>
  <c r="V107" i="36"/>
  <c r="V26" i="21" s="1"/>
  <c r="X135" i="36"/>
  <c r="X137" i="36"/>
  <c r="W140" i="36"/>
  <c r="W100" i="36"/>
  <c r="W19" i="21" s="1"/>
  <c r="X99" i="36"/>
  <c r="X18" i="21" s="1"/>
  <c r="X100" i="36"/>
  <c r="X19" i="21" s="1"/>
  <c r="W144" i="36"/>
  <c r="V136" i="36"/>
  <c r="W141" i="36"/>
  <c r="U136" i="36"/>
  <c r="X142" i="36"/>
  <c r="V140" i="36"/>
  <c r="V139" i="36"/>
  <c r="X141" i="36"/>
  <c r="U142" i="36"/>
  <c r="X107" i="36"/>
  <c r="X26" i="21" s="1"/>
  <c r="X143" i="36"/>
  <c r="W135" i="36"/>
  <c r="V137" i="36"/>
  <c r="V106" i="36"/>
  <c r="V25" i="21" s="1"/>
  <c r="W108" i="36"/>
  <c r="W27" i="21" s="1"/>
  <c r="W98" i="36"/>
  <c r="W17" i="21" s="1"/>
  <c r="V141" i="36"/>
  <c r="W107" i="36"/>
  <c r="W26" i="21" s="1"/>
  <c r="W142" i="36"/>
  <c r="W133" i="36"/>
  <c r="W134" i="36"/>
  <c r="U103" i="36"/>
  <c r="U22" i="21" s="1"/>
  <c r="W137" i="36"/>
  <c r="X101" i="36"/>
  <c r="X20" i="21" s="1"/>
  <c r="V99" i="36"/>
  <c r="V18" i="21" s="1"/>
  <c r="T97" i="36"/>
  <c r="T16" i="21" s="1"/>
  <c r="U139" i="36"/>
  <c r="X136" i="36"/>
  <c r="X138" i="36"/>
  <c r="V102" i="36"/>
  <c r="V21" i="21" s="1"/>
  <c r="U100" i="36"/>
  <c r="U19" i="21" s="1"/>
  <c r="V133" i="36"/>
  <c r="X140" i="36"/>
  <c r="V100" i="36"/>
  <c r="V19" i="21" s="1"/>
  <c r="W97" i="36"/>
  <c r="W16" i="21" s="1"/>
  <c r="V103" i="36"/>
  <c r="V22" i="21" s="1"/>
  <c r="X108" i="36"/>
  <c r="X27" i="21" s="1"/>
  <c r="X102" i="36"/>
  <c r="X21" i="21" s="1"/>
  <c r="V134" i="36"/>
  <c r="X106" i="36"/>
  <c r="X25" i="21" s="1"/>
  <c r="V108" i="36"/>
  <c r="V27" i="21" s="1"/>
  <c r="X139" i="36"/>
  <c r="V104" i="36"/>
  <c r="V23" i="21" s="1"/>
  <c r="W104" i="36"/>
  <c r="W23" i="21" s="1"/>
  <c r="W103" i="36"/>
  <c r="W22" i="21" s="1"/>
  <c r="P194" i="36"/>
  <c r="P111" i="21" s="1"/>
  <c r="O187" i="36"/>
  <c r="O104" i="21" s="1"/>
  <c r="P184" i="36"/>
  <c r="P101" i="21" s="1"/>
  <c r="Q99" i="36"/>
  <c r="Q18" i="21" s="1"/>
  <c r="P105" i="36"/>
  <c r="P24" i="21" s="1"/>
  <c r="O106" i="36"/>
  <c r="O25" i="21" s="1"/>
  <c r="P188" i="36"/>
  <c r="P105" i="21" s="1"/>
  <c r="P185" i="36"/>
  <c r="P102" i="21" s="1"/>
  <c r="Q135" i="36"/>
  <c r="P101" i="36"/>
  <c r="P20" i="21" s="1"/>
  <c r="R107" i="36"/>
  <c r="R26" i="21" s="1"/>
  <c r="P99" i="36"/>
  <c r="P18" i="21" s="1"/>
  <c r="R99" i="36"/>
  <c r="R18" i="21" s="1"/>
  <c r="Q107" i="36"/>
  <c r="Q26" i="21" s="1"/>
  <c r="P107" i="36"/>
  <c r="P26" i="21" s="1"/>
  <c r="Q144" i="36"/>
  <c r="Q104" i="36"/>
  <c r="Q23" i="21" s="1"/>
  <c r="P190" i="36"/>
  <c r="P107" i="21" s="1"/>
  <c r="P193" i="36"/>
  <c r="P110" i="21" s="1"/>
  <c r="P192" i="36"/>
  <c r="P109" i="21" s="1"/>
  <c r="P102" i="36"/>
  <c r="P21" i="21" s="1"/>
  <c r="P144" i="36"/>
  <c r="P186" i="36"/>
  <c r="P103" i="21" s="1"/>
  <c r="P108" i="36"/>
  <c r="P27" i="21" s="1"/>
  <c r="P187" i="36"/>
  <c r="P104" i="21" s="1"/>
  <c r="R139" i="36"/>
  <c r="R142" i="36"/>
  <c r="R141" i="36"/>
  <c r="R140" i="36"/>
  <c r="R97" i="36"/>
  <c r="R16" i="21" s="1"/>
  <c r="Q103" i="36"/>
  <c r="Q22" i="21" s="1"/>
  <c r="P100" i="36"/>
  <c r="P19" i="21" s="1"/>
  <c r="P138" i="36"/>
  <c r="O133" i="36"/>
  <c r="Q98" i="36"/>
  <c r="Q17" i="21" s="1"/>
  <c r="Q141" i="36"/>
  <c r="O136" i="36"/>
  <c r="Q97" i="36"/>
  <c r="Q16" i="21" s="1"/>
  <c r="Q140" i="36"/>
  <c r="N184" i="36"/>
  <c r="N101" i="21" s="1"/>
  <c r="P139" i="36"/>
  <c r="R143" i="36"/>
  <c r="Q143" i="36"/>
  <c r="R144" i="36"/>
  <c r="R100" i="36"/>
  <c r="R19" i="21" s="1"/>
  <c r="P97" i="36"/>
  <c r="P16" i="21" s="1"/>
  <c r="N97" i="36"/>
  <c r="N16" i="21" s="1"/>
  <c r="R134" i="36"/>
  <c r="P134" i="36"/>
  <c r="P104" i="36"/>
  <c r="P23" i="21" s="1"/>
  <c r="P189" i="36"/>
  <c r="P106" i="21" s="1"/>
  <c r="P141" i="36"/>
  <c r="J194" i="36"/>
  <c r="J111" i="21" s="1"/>
  <c r="R104" i="36"/>
  <c r="R23" i="21" s="1"/>
  <c r="R137" i="36"/>
  <c r="P98" i="36"/>
  <c r="P17" i="21" s="1"/>
  <c r="I187" i="36"/>
  <c r="I104" i="21" s="1"/>
  <c r="J190" i="36"/>
  <c r="J107" i="21" s="1"/>
  <c r="J189" i="36"/>
  <c r="J106" i="21" s="1"/>
  <c r="I97" i="36" l="1"/>
  <c r="H167" i="36"/>
  <c r="H84" i="21" s="1"/>
  <c r="N84" i="2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B538" i="40"/>
  <c r="B256" i="65"/>
  <c r="I100" i="36"/>
  <c r="I19" i="21" s="1"/>
  <c r="L100" i="36"/>
  <c r="L19" i="21" s="1"/>
  <c r="O170" i="36"/>
  <c r="O87" i="21" s="1"/>
  <c r="J142" i="36"/>
  <c r="O176" i="36"/>
  <c r="O93" i="21" s="1"/>
  <c r="K106" i="36"/>
  <c r="K25" i="21" s="1"/>
  <c r="J103" i="36"/>
  <c r="J22" i="21" s="1"/>
  <c r="L141" i="36"/>
  <c r="L138" i="36"/>
  <c r="I106" i="36"/>
  <c r="I25" i="21" s="1"/>
  <c r="L106" i="36"/>
  <c r="L25" i="21" s="1"/>
  <c r="J98" i="36"/>
  <c r="J17" i="21" s="1"/>
  <c r="H133" i="36"/>
  <c r="O173" i="36"/>
  <c r="O90" i="21" s="1"/>
  <c r="K133" i="36"/>
  <c r="J104" i="36"/>
  <c r="J23" i="21" s="1"/>
  <c r="L102" i="36"/>
  <c r="L21" i="21" s="1"/>
  <c r="P171" i="36"/>
  <c r="P88" i="21" s="1"/>
  <c r="J102" i="36"/>
  <c r="J21" i="21" s="1"/>
  <c r="H97" i="36"/>
  <c r="H16" i="21" s="1"/>
  <c r="K139" i="36"/>
  <c r="L133" i="36"/>
  <c r="O167" i="36"/>
  <c r="O84" i="21" s="1"/>
  <c r="L142" i="36"/>
  <c r="K99" i="36"/>
  <c r="K18" i="21" s="1"/>
  <c r="J101" i="36"/>
  <c r="J20" i="21" s="1"/>
  <c r="J168" i="36"/>
  <c r="J85" i="21" s="1"/>
  <c r="K137" i="36"/>
  <c r="L103" i="36"/>
  <c r="L22" i="21" s="1"/>
  <c r="J170" i="36"/>
  <c r="J87" i="21" s="1"/>
  <c r="J143" i="36"/>
  <c r="K101" i="36"/>
  <c r="K20" i="21" s="1"/>
  <c r="J139" i="36"/>
  <c r="J108" i="36"/>
  <c r="J27" i="21" s="1"/>
  <c r="K108" i="36"/>
  <c r="K27" i="21" s="1"/>
  <c r="I173" i="36"/>
  <c r="I90" i="21" s="1"/>
  <c r="J107" i="36"/>
  <c r="J26" i="21" s="1"/>
  <c r="J97" i="36"/>
  <c r="J16" i="21" s="1"/>
  <c r="L140" i="36"/>
  <c r="L99" i="36"/>
  <c r="L18" i="21" s="1"/>
  <c r="P170" i="36"/>
  <c r="P87" i="21" s="1"/>
  <c r="J172" i="36"/>
  <c r="J89" i="21" s="1"/>
  <c r="J173" i="36"/>
  <c r="J90" i="21" s="1"/>
  <c r="P173" i="36"/>
  <c r="P90" i="21" s="1"/>
  <c r="J141" i="36"/>
  <c r="K142" i="36"/>
  <c r="K144" i="36"/>
  <c r="P167" i="36"/>
  <c r="P84" i="21" s="1"/>
  <c r="J176" i="36"/>
  <c r="J93" i="21" s="1"/>
  <c r="I16" i="21"/>
  <c r="J106" i="36"/>
  <c r="J25" i="21" s="1"/>
  <c r="K136" i="36"/>
  <c r="L144" i="36"/>
  <c r="J174" i="36"/>
  <c r="J91" i="21" s="1"/>
  <c r="K140" i="36"/>
  <c r="P177" i="36"/>
  <c r="P94" i="21" s="1"/>
  <c r="J100" i="36"/>
  <c r="J19" i="21" s="1"/>
  <c r="J138" i="36"/>
  <c r="J140" i="36"/>
  <c r="L143" i="36"/>
  <c r="I136" i="36"/>
  <c r="L97" i="36"/>
  <c r="L16" i="21" s="1"/>
  <c r="I167" i="36"/>
  <c r="I84" i="21" s="1"/>
  <c r="K104" i="36"/>
  <c r="K23" i="21" s="1"/>
  <c r="J171" i="36"/>
  <c r="J88" i="21" s="1"/>
  <c r="P174" i="36"/>
  <c r="P91" i="21" s="1"/>
  <c r="P169" i="36"/>
  <c r="P86" i="21" s="1"/>
  <c r="L101" i="36"/>
  <c r="L20" i="21" s="1"/>
  <c r="P172" i="36"/>
  <c r="P89" i="21" s="1"/>
  <c r="J144" i="36"/>
  <c r="I133" i="36"/>
  <c r="I176" i="36"/>
  <c r="I93" i="21" s="1"/>
  <c r="J105" i="36"/>
  <c r="J24" i="21" s="1"/>
  <c r="J177" i="36"/>
  <c r="J94" i="21" s="1"/>
  <c r="L107" i="36"/>
  <c r="L26" i="21" s="1"/>
  <c r="K100" i="36"/>
  <c r="K19" i="21" s="1"/>
  <c r="J99" i="36"/>
  <c r="J18" i="21" s="1"/>
  <c r="L139" i="36"/>
  <c r="L98" i="36"/>
  <c r="L17" i="21" s="1"/>
  <c r="K102" i="36"/>
  <c r="K21" i="21" s="1"/>
  <c r="J135" i="36"/>
  <c r="J178" i="36"/>
  <c r="J95" i="21" s="1"/>
  <c r="J175" i="36"/>
  <c r="J92" i="21" s="1"/>
  <c r="L137" i="36"/>
  <c r="K134" i="36"/>
  <c r="L108" i="36"/>
  <c r="L27" i="21" s="1"/>
  <c r="K143" i="36"/>
  <c r="K105" i="36"/>
  <c r="K24" i="21" s="1"/>
  <c r="J133" i="36"/>
  <c r="I170" i="36"/>
  <c r="I87" i="21" s="1"/>
  <c r="K141" i="36"/>
  <c r="I103" i="36"/>
  <c r="I22" i="21" s="1"/>
  <c r="K107" i="36"/>
  <c r="K26" i="21" s="1"/>
  <c r="K135" i="36"/>
  <c r="J167" i="36"/>
  <c r="J84" i="21" s="1"/>
  <c r="L105" i="36"/>
  <c r="L24" i="21" s="1"/>
  <c r="K138" i="36"/>
  <c r="P168" i="36"/>
  <c r="P85" i="21" s="1"/>
  <c r="I142" i="36"/>
  <c r="K98" i="36"/>
  <c r="K17" i="21" s="1"/>
  <c r="J137" i="36"/>
  <c r="L134" i="36"/>
  <c r="L136" i="36"/>
  <c r="J134" i="36"/>
  <c r="K97" i="36"/>
  <c r="K16" i="21" s="1"/>
  <c r="P176" i="36"/>
  <c r="P93" i="21" s="1"/>
  <c r="L135" i="36"/>
  <c r="P175" i="36"/>
  <c r="P92" i="21" s="1"/>
  <c r="K103" i="36"/>
  <c r="K22" i="21" s="1"/>
  <c r="J169" i="36"/>
  <c r="J86" i="21" s="1"/>
  <c r="P178" i="36"/>
  <c r="P95" i="21" s="1"/>
  <c r="L104" i="36"/>
  <c r="L23" i="21" s="1"/>
  <c r="J136" i="36"/>
  <c r="I139"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 r="B539" i="40"/>
  <c r="B257" i="65"/>
  <c r="B540" i="40" l="1"/>
  <c r="B258" i="65"/>
  <c r="B541" i="40" l="1"/>
  <c r="B259" i="65"/>
  <c r="B542" i="40" l="1"/>
  <c r="B260" i="65"/>
  <c r="B543" i="40" l="1"/>
  <c r="B261" i="65"/>
  <c r="B544" i="40" l="1"/>
  <c r="B262" i="65"/>
  <c r="B545" i="40" l="1"/>
  <c r="B263" i="65"/>
  <c r="B546" i="40" l="1"/>
  <c r="B264" i="65"/>
  <c r="B266" i="65" l="1"/>
  <c r="B17"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92" authorId="0" shapeId="0" xr:uid="{EC4D55ED-B1C7-4AFD-A620-63A8E49E1088}">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<sst xmlns="http://schemas.openxmlformats.org/spreadsheetml/2006/main" count="5556" uniqueCount="1139">
  <si>
    <t>Rekenmodule Tarieven GTS 2026</t>
  </si>
  <si>
    <t>Over dit bestand</t>
  </si>
  <si>
    <t>Zaaknummer</t>
  </si>
  <si>
    <t>ACM/24/192372</t>
  </si>
  <si>
    <t>Titel</t>
  </si>
  <si>
    <t>Ondertitel</t>
  </si>
  <si>
    <t>-</t>
  </si>
  <si>
    <t>Hoort bij besluit(en):</t>
  </si>
  <si>
    <t>Tarievenbesluit GTS 2026</t>
  </si>
  <si>
    <t>Hoort bij onderzoek/publicatie ACM:</t>
  </si>
  <si>
    <t>n.v.t.</t>
  </si>
  <si>
    <t>Kenmerk besluit(en)</t>
  </si>
  <si>
    <t>Samenhang met andere rekenbestanden</t>
  </si>
  <si>
    <t>Overig opmerkingen</t>
  </si>
  <si>
    <t>Over de status van dit bestand</t>
  </si>
  <si>
    <t>Definitief? (j/n)</t>
  </si>
  <si>
    <t>Nee</t>
  </si>
  <si>
    <t>Publicatie? (j/n)</t>
  </si>
  <si>
    <t>Nee; Definitieve versie wordt gepubliceerd</t>
  </si>
  <si>
    <t>Juridisch integraal onderdeel van bovenstaande besluit(en) (j/n)?</t>
  </si>
  <si>
    <t>Nee; Definitieve versie is onderdeel van bovenstaand besluit</t>
  </si>
  <si>
    <t>Bevat bedrijfsvertrouwelijke gegevens? (j/n)</t>
  </si>
  <si>
    <t>Opmerkingen openbare versiegeschiedenis</t>
  </si>
  <si>
    <t>Mogelijkheden van bezwaar en beroep staan open tegen het besluit waarbij dit bestand hoort (zie kenmerken hierboven)</t>
  </si>
  <si>
    <t>Contactgegevens ACM</t>
  </si>
  <si>
    <t>E-mailadres</t>
  </si>
  <si>
    <t>Telefoonnummer</t>
  </si>
  <si>
    <t>DTE-Tarievenbesluiten@acm.nl</t>
  </si>
  <si>
    <t>Toelichting bij dit bestand</t>
  </si>
  <si>
    <t>Toelichting bij de werking van dit model</t>
  </si>
  <si>
    <t>Deze rekenmodule wordt gebruikt bij het vaststellen van het Tarievenbesluit GTS 2026.</t>
  </si>
  <si>
    <t>Deze rekenmodule bevat alle gegevens die nodig zijn om de tarieven voor het landelijk gastransportnet te berekenen voor het jaar 2026.</t>
  </si>
  <si>
    <t>Schematische weergave en/of inhoudsopgave van de werking van dit model</t>
  </si>
  <si>
    <t>Toelichting samenhang tabbladen:</t>
  </si>
  <si>
    <t>Inputs</t>
  </si>
  <si>
    <t>Berekeningen</t>
  </si>
  <si>
    <t>Resultaten</t>
  </si>
  <si>
    <t>2. Parameters</t>
  </si>
  <si>
    <t>[Alle berekeningstabbladen]</t>
  </si>
  <si>
    <t>3. Input (des)investeringen</t>
  </si>
  <si>
    <t>4. Input nacalculaties</t>
  </si>
  <si>
    <t>16. WUI &amp; Ombouwtaak</t>
  </si>
  <si>
    <t>5. Input GAW-waarde desinvesteringen</t>
  </si>
  <si>
    <t>17. Nacalculatie bijschatten</t>
  </si>
  <si>
    <t>6. Input incidentele correctie WQA</t>
  </si>
  <si>
    <t>18. Nacalculatie desinv.</t>
  </si>
  <si>
    <t>25. Toegestane inkomsten</t>
  </si>
  <si>
    <t>26. RPM</t>
  </si>
  <si>
    <t>27. Entry- en exittarieven</t>
  </si>
  <si>
    <t>1. Entry- en exittarieven</t>
  </si>
  <si>
    <t>7. Input IC peakshaver</t>
  </si>
  <si>
    <t>19. Indexatie desinvesteringen</t>
  </si>
  <si>
    <t>8. Input IC huur Gasunie</t>
  </si>
  <si>
    <t>20. Nacalculaties</t>
  </si>
  <si>
    <t>9. Input incidentele correcties</t>
  </si>
  <si>
    <t>21. Correctie WQA</t>
  </si>
  <si>
    <t>10. Input capaciteit</t>
  </si>
  <si>
    <t>22. Correctie assetoverdracht</t>
  </si>
  <si>
    <t>11. Investeringen (WUI &amp; Ombouw)</t>
  </si>
  <si>
    <t>23. Correctie peakshaver</t>
  </si>
  <si>
    <t>12. Investeringen (bijschatten)</t>
  </si>
  <si>
    <t>24. Incidentele correcties</t>
  </si>
  <si>
    <t>13. Desinvesteringen</t>
  </si>
  <si>
    <t>14. Omzet</t>
  </si>
  <si>
    <t>15. Operationele kosten</t>
  </si>
  <si>
    <t>Legenda voor gebruik van celkleuren en tabkleuren</t>
  </si>
  <si>
    <t>Celkleur getallen</t>
  </si>
  <si>
    <t>Beschrijving</t>
  </si>
  <si>
    <t>Data en input (bron wordt vermeld). Bij een dataverzoek zijn door ACM vóóringevulde velden in een groen veld geplaatst.</t>
  </si>
  <si>
    <t>Waarde die zonder berekening wordt overgenomen uit een andere cel.</t>
  </si>
  <si>
    <t>Berekende waarde.</t>
  </si>
  <si>
    <t>Berekende waarde die wordt opgehaald op een ander tabblad, incl. (eind)resultaat van berekening.</t>
  </si>
  <si>
    <t>Waarde die uit de ACM-database wordt ingelezen in de cel.</t>
  </si>
  <si>
    <t>Cel is niet van toepassing (dus leeg, niet nul), maar er wordt door een formule wel naar verwezen, of: cel (met grijze tekst) is niet relevant voor dit tarievenbesluit maar wel voor tarievenbesluiten in latere jaren.</t>
  </si>
  <si>
    <t>Bijzonderheden:</t>
  </si>
  <si>
    <t>Waarde of berekening die speciale aandacht vraagt (zie toelichting in opmerking).</t>
  </si>
  <si>
    <t>Ingevoerde waarde of berekening die nog niet juist is (indien van toepassing).</t>
  </si>
  <si>
    <t>Eventueel te gebruiken:</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</si>
  <si>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</si>
  <si>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</si>
  <si>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</si>
  <si>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Tabkleur</t>
  </si>
  <si>
    <t>Tabbladen die het model vormen</t>
  </si>
  <si>
    <t>Resultaat</t>
  </si>
  <si>
    <t>Tabblad met resultaten/output</t>
  </si>
  <si>
    <t>Data</t>
  </si>
  <si>
    <t>Tabblad met input</t>
  </si>
  <si>
    <t>Database</t>
  </si>
  <si>
    <t>Tabblad met input uit een database</t>
  </si>
  <si>
    <t>Berekening</t>
  </si>
  <si>
    <t>Tabblad met berekeningen</t>
  </si>
  <si>
    <t>Tabbladen ten behoeve van begrip</t>
  </si>
  <si>
    <t>Input --&gt;</t>
  </si>
  <si>
    <t>Leeg tabblad dat wordt gebruikt als index/markering voor een serie tabbladen (kleur: licht grijs)</t>
  </si>
  <si>
    <t>Toelichting</t>
  </si>
  <si>
    <t>Gestandaardiseerde tabbladen, omvat tenminste: 'Titelblad', 'Toelichting' en 'Bronnen en toepassingen' (kleur: ACM-lichtpaars)</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</si>
  <si>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</si>
  <si>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</si>
  <si>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</si>
  <si>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</si>
  <si>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</si>
  <si>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</si>
  <si>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</si>
  <si>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Zaaknummer en/of kenmerk ACM</t>
  </si>
  <si>
    <t>Aanvullende gegevens bestand extern</t>
  </si>
  <si>
    <t>Zoals gebruikt in dit bestand</t>
  </si>
  <si>
    <t>Exacte bestandsnaam</t>
  </si>
  <si>
    <t>Indien van toepassing</t>
  </si>
  <si>
    <t>Datum ontvangst, versie nr., opmerkingen</t>
  </si>
  <si>
    <t>X-factorbesluit 2022-2026</t>
  </si>
  <si>
    <r>
      <rPr>
        <sz val="10"/>
        <rFont val="Arial"/>
        <family val="2"/>
      </rPr>
      <t>ACM/20/043329</t>
    </r>
    <r>
      <rPr>
        <sz val="10"/>
        <color rgb="FFFF0000"/>
        <rFont val="Arial"/>
        <family val="2"/>
      </rPr>
      <t xml:space="preserve"> </t>
    </r>
  </si>
  <si>
    <t>Tarievenmodule GTS 2021</t>
  </si>
  <si>
    <t xml:space="preserve">Rekenmodule Tarieven GTS 2021 </t>
  </si>
  <si>
    <t>ACM/19/036512</t>
  </si>
  <si>
    <t>CBS</t>
  </si>
  <si>
    <t>Consumentenprijzen</t>
  </si>
  <si>
    <t>Gewijzigd Methodebesluit 2017-2021</t>
  </si>
  <si>
    <t>Gewijzigd methodebesluit GTS 2017-2021</t>
  </si>
  <si>
    <t>ACM/18/033724</t>
  </si>
  <si>
    <t>Methodebesluit 2022-2026</t>
  </si>
  <si>
    <t>Methodebesluit GTS 2022-2026</t>
  </si>
  <si>
    <t>ACM/19/035346</t>
  </si>
  <si>
    <t>DNB</t>
  </si>
  <si>
    <t>Wettelijke rente</t>
  </si>
  <si>
    <t>GAW-model</t>
  </si>
  <si>
    <t>Berekening GAW bij x-factorbesluit GTS 2022-2026</t>
  </si>
  <si>
    <t>ACM/19/035360</t>
  </si>
  <si>
    <t>Tarievenmodule GTS 2022</t>
  </si>
  <si>
    <t>Rekenmodule Tarieven GTS 2022</t>
  </si>
  <si>
    <t>ACM/20/043661</t>
  </si>
  <si>
    <t>Tarievencode gas</t>
  </si>
  <si>
    <t>Tarievenbesluit GTS 2024</t>
  </si>
  <si>
    <t>ACM/UIT/591247</t>
  </si>
  <si>
    <t>Tarievenmodule GTS 2023</t>
  </si>
  <si>
    <t>Rekenmodule GTS 2023</t>
  </si>
  <si>
    <t>ACM/UIT/573617</t>
  </si>
  <si>
    <t>Tarievenmodule GTS 2024</t>
  </si>
  <si>
    <t>Rekenmodule GTS 2024</t>
  </si>
  <si>
    <t>Gewijzigd Methodebesluit 2022-2026</t>
  </si>
  <si>
    <t>Gewijzigd methodebesluit GTS 2022-2026 | ACM.nl</t>
  </si>
  <si>
    <t>ACM/23/184724</t>
  </si>
  <si>
    <t>Gewijzigd X-factorbesluit GTS 2022-2026</t>
  </si>
  <si>
    <t>ACM/23/187039</t>
  </si>
  <si>
    <t>WACC nacalculatiemodel 2022 en 2023</t>
  </si>
  <si>
    <t>Nacalculatiemodel WACC, zie bijlage bij huidige publicatie</t>
  </si>
  <si>
    <t>ACM/23/186082</t>
  </si>
  <si>
    <t>Tarievenmodule GTS 2025</t>
  </si>
  <si>
    <t>Tarievenbesluit GTS 2025 | ACM.nl</t>
  </si>
  <si>
    <t>Duiding van specifieke Excel-toepassingen en overige bijzonderheden</t>
  </si>
  <si>
    <t>N.v.t.</t>
  </si>
  <si>
    <t>Tabblad 1 - Entry- en exittarieven</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</si>
  <si>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</si>
  <si>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</si>
  <si>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</si>
  <si>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r>
      <t xml:space="preserve">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
</t>
    </r>
    <r>
      <rPr>
        <b/>
        <sz val="10"/>
        <color rgb="FFFF0000"/>
        <rFont val="Arial"/>
        <family val="2"/>
      </rPr>
      <t>LET OP!</t>
    </r>
    <r>
      <rPr>
        <sz val="10"/>
        <rFont val="Arial"/>
        <family val="2"/>
      </rPr>
      <t xml:space="preserve"> Niet alle tarieven die hieronder worden weergegeven, zijn van toepassing op het gekozen punt. Op het punt ROTTERDAM GATE zijn bijvoorbeeld alleen de entrytarieven (met en zonder afschakelbare korting) incl. LNG-korting van toepassing, en de wheelingtarieven m.u.v. 'Tussen gasopslagen'. In de bijlage 'Entry- en exittarieven GTS 2026' vindt u de tarieven voor de verschillende punten naar tabblad uitgesplitst.</t>
    </r>
  </si>
  <si>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</si>
  <si>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</si>
  <si>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</si>
  <si>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</si>
  <si>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</si>
  <si>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</si>
  <si>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</si>
  <si>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</si>
  <si>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</si>
  <si>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</si>
  <si>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</si>
  <si>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</si>
  <si>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</si>
  <si>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</si>
  <si>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</si>
  <si>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</si>
  <si>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</si>
  <si>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</si>
  <si>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</si>
  <si>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</si>
  <si>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</si>
  <si>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</si>
  <si>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</si>
  <si>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</si>
  <si>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</si>
  <si>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</si>
  <si>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</si>
  <si>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</si>
  <si>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</si>
  <si>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</si>
  <si>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</si>
  <si>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</si>
  <si>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</si>
  <si>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</si>
  <si>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</si>
  <si>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</si>
  <si>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Wheelingtarieven</t>
  </si>
  <si>
    <t>Tussen niet-gasopslagen</t>
  </si>
  <si>
    <t>Tussen niet-gasopslag (entry) en gasopslag (exit)</t>
  </si>
  <si>
    <t>Tussen gasopslag (entry) en niet-gasopslag (exit)</t>
  </si>
  <si>
    <t>Tussen gasopslagen</t>
  </si>
  <si>
    <t>Tabblad 2 - Parameters</t>
  </si>
  <si>
    <t>Beschrijving gegevens</t>
  </si>
  <si>
    <t xml:space="preserve">Op dit tabblad worden alle relevante parameters weergegeven. In kolom S worden de bronnen weergegeven. </t>
  </si>
  <si>
    <t>Eenheid</t>
  </si>
  <si>
    <t>Constante</t>
  </si>
  <si>
    <t>Bronverwijzing</t>
  </si>
  <si>
    <t>Opmerking</t>
  </si>
  <si>
    <t>X-factor</t>
  </si>
  <si>
    <t>%</t>
  </si>
  <si>
    <t>X-factor o.b.v. gewijzigd x-factorbesluit</t>
  </si>
  <si>
    <t>Gewijzigd x-factorbesluit 2022-2026</t>
  </si>
  <si>
    <t>Begininkomsten</t>
  </si>
  <si>
    <t xml:space="preserve">Begininkomsten </t>
  </si>
  <si>
    <t>EUR, pp jaar</t>
  </si>
  <si>
    <t>Begininkomsten o.b.v. gewijzigd x-factorbesluit</t>
  </si>
  <si>
    <t>WACC</t>
  </si>
  <si>
    <t>WACC-percentages voor berekening kapitaalkosten</t>
  </si>
  <si>
    <t>Reële WACC bestaand vermogen</t>
  </si>
  <si>
    <t>Gewijzigd methodebesluit 2017-2021</t>
  </si>
  <si>
    <t>Reële WACC nieuw vermogen</t>
  </si>
  <si>
    <t xml:space="preserve">Nominale WACC bestaand vermogen </t>
  </si>
  <si>
    <t>Gewijzigd methodebesluit 2022-2026</t>
  </si>
  <si>
    <t xml:space="preserve">Nominale WACC nieuw vermogen </t>
  </si>
  <si>
    <t>WACC-percentages voor nacalculatie WACC</t>
  </si>
  <si>
    <t>Bijlage 3a bij gewijzigd methodebesluit 2022-2026</t>
  </si>
  <si>
    <t>Toevoeging operationele kosten a.g.v. wettelijk uitgezonderde investeringen</t>
  </si>
  <si>
    <t>Verwachte verandering OPEX a.g.v. uitbreiding/krimp</t>
  </si>
  <si>
    <t>CPI</t>
  </si>
  <si>
    <t>De ACM gebruikt het consumentenprijsindexcijfer uit het quotiënt van de prijsindex gepubliceerd in februari.</t>
  </si>
  <si>
    <t>1 + CPI tabel</t>
  </si>
  <si>
    <t>Van 2017 naar jaar</t>
  </si>
  <si>
    <t>1+CPI</t>
  </si>
  <si>
    <t>Van 2018 naar jaar</t>
  </si>
  <si>
    <t>Van 2019 naar jaar</t>
  </si>
  <si>
    <t>Van 2020 naar jaar</t>
  </si>
  <si>
    <t>Van 2021 naar jaar</t>
  </si>
  <si>
    <t>Van 2022 naar jaar</t>
  </si>
  <si>
    <t>Van 2023 naar jaar</t>
  </si>
  <si>
    <t>Van 2024 naar jaar</t>
  </si>
  <si>
    <t>Van 2025 naar jaar</t>
  </si>
  <si>
    <t>Van 2026 naar jaar</t>
  </si>
  <si>
    <t>Frontier shift</t>
  </si>
  <si>
    <t xml:space="preserve">Frontier shift </t>
  </si>
  <si>
    <t>Gewijzigd Methodebesluit 2017-2021, Gewijzigd Methodebesluit 2022-2026</t>
  </si>
  <si>
    <t>1 - Frontier shift tabel</t>
  </si>
  <si>
    <t>1-FS</t>
  </si>
  <si>
    <t>Heffingsrente</t>
  </si>
  <si>
    <t>DNB, vanaf 2025 berekening ACM o.b.v. ECB</t>
  </si>
  <si>
    <t>Vanaf 2025 gebruikt de ACM een actuelere en specifiekere schatting voor de heffingsrente, gebaseerd op de meest recent beschikbare gegevens. De DNB stelt de wettelijke rente vast door de meest recente ECB referentierente te verhogen met 2,25 %-punt en dit (naar boven) naar de de dichtstbijzijnde halve of hele procentpunt. De meest recente ECB-rente is 4,5%, waarmee we de heffingsrente dus op 4,50+2,25=6,75, afgerond 7% vaststellen.</t>
  </si>
  <si>
    <t>1 + heffingsrente</t>
  </si>
  <si>
    <t>1+heffingsrente</t>
  </si>
  <si>
    <t>Thèta</t>
  </si>
  <si>
    <t>Versnellingsfactor</t>
  </si>
  <si>
    <t>Percentage investeringen uitgezonderd van versnelling</t>
  </si>
  <si>
    <t>Percentage opbrengsten desinvesteringen verrekend in tarieven</t>
  </si>
  <si>
    <t>Parameters incidentele correctie inkoopkosten energie</t>
  </si>
  <si>
    <t>Bonus/malus incidentele correctie inkoopkosten energie</t>
  </si>
  <si>
    <t>Maximum afwijking bonus/malus incidentele correctie inkoopkosten energie</t>
  </si>
  <si>
    <t>Entry-exitverdeling</t>
  </si>
  <si>
    <t>Aandeel toegestane inkomsten entry</t>
  </si>
  <si>
    <t>Aandeel toegestane inkomsten exit</t>
  </si>
  <si>
    <t>Kortingen</t>
  </si>
  <si>
    <t>Gasopslagkorting</t>
  </si>
  <si>
    <t>Korting wheelingcapaciteit</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</si>
  <si>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</si>
  <si>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</si>
  <si>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</si>
  <si>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</si>
  <si>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</si>
  <si>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</si>
  <si>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</si>
  <si>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</si>
  <si>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</si>
  <si>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</si>
  <si>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</si>
  <si>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</si>
  <si>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</si>
  <si>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</si>
  <si>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</si>
  <si>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2026</t>
  </si>
  <si>
    <t>Aantal dagen per kwartaal in het jaar 2026</t>
  </si>
  <si>
    <t>Aantal dagen en uren per jaar in het jaar 2026</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</si>
  <si>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</si>
  <si>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</si>
  <si>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</si>
  <si>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</si>
  <si>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</si>
  <si>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</si>
  <si>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</si>
  <si>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</si>
  <si>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</si>
  <si>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</si>
  <si>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</si>
  <si>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(ASTORA JEMGUM)</t>
  </si>
  <si>
    <t>301360_OUDE STATENZIJL (ETZEL EKB H)</t>
  </si>
  <si>
    <t>301348_BERGERMEER (TAQA-UGS)</t>
  </si>
  <si>
    <t>301345_ROTTERDAM (GATE)</t>
  </si>
  <si>
    <t>301320_ZUIDWENDING (UGS)</t>
  </si>
  <si>
    <t>301116_NORG (NAM-UGS)</t>
  </si>
  <si>
    <t>301114_GRIJPSKERK (NAM-UGS)</t>
  </si>
  <si>
    <t>300131_HILVARENBEEK (FLUXYS)</t>
  </si>
  <si>
    <t>Exit</t>
  </si>
  <si>
    <t>Tabblad 3 - Input (des)investeringen</t>
  </si>
  <si>
    <t xml:space="preserve">Beschrijving gegevens </t>
  </si>
  <si>
    <t xml:space="preserve">Dit tabblad bevat de bijgeschatte investeringen uit het x-factorbesluit. Dit tabblad bevat ook de CPI-gegevens van 1946-2021. De opgenomen activaklassen, afschrijvingstermijnen en binnen/buiten scope worden o.a. gebruikt voor de berekeningen i.h.k.v. desinvesteringen, maar desinvesteringen worden niet in dit tabblad opgegeven. </t>
  </si>
  <si>
    <t>Activaklasse</t>
  </si>
  <si>
    <t>Afschrijvingstermijn</t>
  </si>
  <si>
    <t xml:space="preserve">Binnen scope? </t>
  </si>
  <si>
    <t>01 Regionale leidingen</t>
  </si>
  <si>
    <t>GAW model</t>
  </si>
  <si>
    <t>01 Regionale leidingen (Waterkruisingen)</t>
  </si>
  <si>
    <t>01 Regionale leidingen (gaschromatografen en comptabele meters)</t>
  </si>
  <si>
    <t>02 Gasontvangststations</t>
  </si>
  <si>
    <t>02 Gasontvangststations (EHD)</t>
  </si>
  <si>
    <t>03 Verremeting</t>
  </si>
  <si>
    <t>04 Terreinen</t>
  </si>
  <si>
    <t>04 Terreinen (EHD)</t>
  </si>
  <si>
    <t>05 Wegen en terreinvoorzieningen</t>
  </si>
  <si>
    <t>05 Wegen en terreinvoorzieningen (EHD)</t>
  </si>
  <si>
    <t>Niet opgenomen in GAW-model, toegevoegd t.b.v. Tarievenbesluit GTS 2025</t>
  </si>
  <si>
    <t>05 Wegen en terreinvoorzieningen (LNG)</t>
  </si>
  <si>
    <t>06 Utiliteitsgebouwen</t>
  </si>
  <si>
    <t>06 Utiliteitsgebouwen (EHD)</t>
  </si>
  <si>
    <t>06 Utiliteitsgebouwen (LNG)</t>
  </si>
  <si>
    <t>07 Dienstwoningen</t>
  </si>
  <si>
    <t>08 Inrichting gebouwen</t>
  </si>
  <si>
    <t>09 Bedrijfsinventaris</t>
  </si>
  <si>
    <t>10 Gereedschap</t>
  </si>
  <si>
    <t>10 Gereedschap (LNG)</t>
  </si>
  <si>
    <t>10 Gereedschap (odorisatie)</t>
  </si>
  <si>
    <t>10 Gereedschap (gaschromatografen en comptabele meters)</t>
  </si>
  <si>
    <t>11 Werktuigen</t>
  </si>
  <si>
    <t>11 Werktuigen (gaschromatografen en comptabele meters)</t>
  </si>
  <si>
    <t>11 Werktuigen (odorisatie)</t>
  </si>
  <si>
    <t>11 Werktuigen (KC)</t>
  </si>
  <si>
    <t>12 Motorvoertuigen</t>
  </si>
  <si>
    <t>13 Aanhangwagens</t>
  </si>
  <si>
    <t>13 Aanhangwagens (gaschromatografen en comptabele meters)</t>
  </si>
  <si>
    <t>14 Overig rollend materieel</t>
  </si>
  <si>
    <t>14 Overig rollend materieel (odorisatie)</t>
  </si>
  <si>
    <t>14 Overig rollend materieel (gaschromatografen en comptabele meters)</t>
  </si>
  <si>
    <t>15 Compressorstations (TT-BT-AT)</t>
  </si>
  <si>
    <t>15 Compressorstations (TT-BT-AT) (gaschromatografen en comptabele meters)</t>
  </si>
  <si>
    <t>15 Compressorstations (KC)</t>
  </si>
  <si>
    <t>16 LNG installaties</t>
  </si>
  <si>
    <t>17 Mengstations</t>
  </si>
  <si>
    <t>18 Ijkinstallaties</t>
  </si>
  <si>
    <t>19 Stortgasinstallaties</t>
  </si>
  <si>
    <t>20 Kantoorgebouwen</t>
  </si>
  <si>
    <t>21 Hoofdtransportleiding</t>
  </si>
  <si>
    <t>21 Hoofdtransportleiding (waterkruisingen)</t>
  </si>
  <si>
    <t>21 Hoofdtransportleiding (gaschromatografen en comptabele meting)</t>
  </si>
  <si>
    <t>21 Hoofdtransportleiding (EHD)</t>
  </si>
  <si>
    <t>22 Regionaal hoofdtransportnet</t>
  </si>
  <si>
    <t>23 Brigittaleiding</t>
  </si>
  <si>
    <t>32 M&amp;R stations</t>
  </si>
  <si>
    <t>32 M&amp;R stations (gaschromatografen en comptabele meting)</t>
  </si>
  <si>
    <t>32 M&amp;R stations (odorisatie)</t>
  </si>
  <si>
    <t>33 Exportstations</t>
  </si>
  <si>
    <t>33 Exportstations (gaschromatografen en comptabele meting)</t>
  </si>
  <si>
    <t>34 Reduceerstations</t>
  </si>
  <si>
    <t>34 Reduceerstations (gaschromatografen en comptabele meting)</t>
  </si>
  <si>
    <t>34 Reduceerstations (EHD)</t>
  </si>
  <si>
    <t>35 Injectiestations</t>
  </si>
  <si>
    <t>36 Luchtscheidingsunit</t>
  </si>
  <si>
    <t>37 ICT middelen 1</t>
  </si>
  <si>
    <t>37 ICT middelen 1 (transparency)</t>
  </si>
  <si>
    <t>37 ICT middelen 1 (gaschromatografen en comptabele meting)</t>
  </si>
  <si>
    <t>37 ICT middelen 1 (KC)</t>
  </si>
  <si>
    <t>37 ICT middelen 1 (balancering)</t>
  </si>
  <si>
    <t>38 ICT middelen 2</t>
  </si>
  <si>
    <t>39 ICT middelen 3</t>
  </si>
  <si>
    <t>39 ICT middelen 3 (KC)</t>
  </si>
  <si>
    <t>39 ICT middelen 3 (balancering)</t>
  </si>
  <si>
    <t>40 Aansluitpunten</t>
  </si>
  <si>
    <t>41 Stikstofbuffer</t>
  </si>
  <si>
    <t>42 Vulgas</t>
  </si>
  <si>
    <t>42 Vulgas (EHD)</t>
  </si>
  <si>
    <t>43 Stikstof</t>
  </si>
  <si>
    <t>44 Stikstofleiding</t>
  </si>
  <si>
    <t>45 Groen gas booster</t>
  </si>
  <si>
    <t>Bijgeschatte investeringen GAW model</t>
  </si>
  <si>
    <t>Volgnummer GAW model</t>
  </si>
  <si>
    <t>Investering</t>
  </si>
  <si>
    <t>Jaar ingebruikname</t>
  </si>
  <si>
    <t>Binnen scope?</t>
  </si>
  <si>
    <t>nvt</t>
  </si>
  <si>
    <t>CPI t/m 2026</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</si>
  <si>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</si>
  <si>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</si>
  <si>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</si>
  <si>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</si>
  <si>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</si>
  <si>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</si>
  <si>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</si>
  <si>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</si>
  <si>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</si>
  <si>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</si>
  <si>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</si>
  <si>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</si>
  <si>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</si>
  <si>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</si>
  <si>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</si>
  <si>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</si>
  <si>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</si>
  <si>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</si>
  <si>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</si>
  <si>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</si>
  <si>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</si>
  <si>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</si>
  <si>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</si>
  <si>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</si>
  <si>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</si>
  <si>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</si>
  <si>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</si>
  <si>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</si>
  <si>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</si>
  <si>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</si>
  <si>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</si>
  <si>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</si>
  <si>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</si>
  <si>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</si>
  <si>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</si>
  <si>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</si>
  <si>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</si>
  <si>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</si>
  <si>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</si>
  <si>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</si>
  <si>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</si>
  <si>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</si>
  <si>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</si>
  <si>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</si>
  <si>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</si>
  <si>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</si>
  <si>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</si>
  <si>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</si>
  <si>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</si>
  <si>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</si>
  <si>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</si>
  <si>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</si>
  <si>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</si>
  <si>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</si>
  <si>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</si>
  <si>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</si>
  <si>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</si>
  <si>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</si>
  <si>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</si>
  <si>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</si>
  <si>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</si>
  <si>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</si>
  <si>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</si>
  <si>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</si>
  <si>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</si>
  <si>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</si>
  <si>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</si>
  <si>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</si>
  <si>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</si>
  <si>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</si>
  <si>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</si>
  <si>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</si>
  <si>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</si>
  <si>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</si>
  <si>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</si>
  <si>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</si>
  <si>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</si>
  <si>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</si>
  <si>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</si>
  <si>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</si>
  <si>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</si>
  <si>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CPI jaar</t>
  </si>
  <si>
    <t xml:space="preserve">Tabblad 4 - Input nacalculaties </t>
  </si>
  <si>
    <t>Op dit tabblad wordt de benodigde informatie voor de nacalculaties weergegeven, die niet in de reguleringsdata in de lila tabbladen is opgenomen.</t>
  </si>
  <si>
    <t>Omzetregulering (conform paragraaf 8.2 van het methodebesluit 2022-2026)</t>
  </si>
  <si>
    <t>Toegestane inkomsten na tariefcorrecties</t>
  </si>
  <si>
    <t>Tarievenmodule 2024, tabblad 24. Toegestane inkomsten</t>
  </si>
  <si>
    <t>Veilinggelden (conform paragraaf 8.4.2 van het methodebesluit 2022-2026)</t>
  </si>
  <si>
    <t>Saldo veilinggelden oud (excl. belastingrente)</t>
  </si>
  <si>
    <t>Tarievenmodule 2025, tabblad 20. Nacalculaties</t>
  </si>
  <si>
    <t>Na te calculeren of te investeren veilinggelden (incl. belastingrente)</t>
  </si>
  <si>
    <t xml:space="preserve">Vooruitverwijzing naar tabblad 20, in principe maakt de ACM geen gebruik van vooruitverwijzingen, maar hier moet een uitzondering gemaakt worden. </t>
  </si>
  <si>
    <t>Voorgesteld bedrag GTS veilinggelden gereserveerd</t>
  </si>
  <si>
    <t>Voorgesteld bedrag GTS veilinggelden na te calculeren</t>
  </si>
  <si>
    <t>GAW t.b.v. nacalculatie WACC (conform paragraaf 8.3.3 van het methodebesluit 2022-2026)</t>
  </si>
  <si>
    <t>Geschatte GAW binnen scope t/m 2019 en 2020-2026</t>
  </si>
  <si>
    <t>Herstelde x-factormodule GTS 2022</t>
  </si>
  <si>
    <t>Geschatte GAW buiten scope t/m 2019 en 2020-2026</t>
  </si>
  <si>
    <t>Inkoopkosten energie KC en TT/BT/AT (KC conform paragraaf 8.3.8 van het methodebesluit 2022-2026)</t>
  </si>
  <si>
    <t>Inkoopkosten energie KC m.u.v. peakshaver</t>
  </si>
  <si>
    <t>Reguleringsdata GTS</t>
  </si>
  <si>
    <t>Inkoopkosten energie TT/AT/BT</t>
  </si>
  <si>
    <t>Nacalculatie verwijderingskosten desinvesteringen</t>
  </si>
  <si>
    <t>Ontmantelingskosten desinvesteringen 2019, prijspeil 2020</t>
  </si>
  <si>
    <t>GTS</t>
  </si>
  <si>
    <t>Data van GTS is de kosten uit 2019, hier al met CPI en FS naar 2020 gebracht om de berekening later eenvoudiger te maken</t>
  </si>
  <si>
    <t>Nacalculaties, toegestane inkomsten eerdere jaren</t>
  </si>
  <si>
    <t>WUI</t>
  </si>
  <si>
    <t>Tarievenbesluiten 2022 t/m 2025</t>
  </si>
  <si>
    <t>Kosten van ombouwen G- naar H-gas</t>
  </si>
  <si>
    <t>Nacalculatie omzetregulering</t>
  </si>
  <si>
    <t>Nacalculatie overboek- en terugkoopregeling</t>
  </si>
  <si>
    <t>Nacalculatie veilinggelden</t>
  </si>
  <si>
    <t>Nacalculatie inkoopkosten energie</t>
  </si>
  <si>
    <t>Nacalculatie administratieve onbalans</t>
  </si>
  <si>
    <t>Nacalculatie bijschatten</t>
  </si>
  <si>
    <t>Nacalculatie desinvesteringen</t>
  </si>
  <si>
    <t>Nacalculatie ontmantelingskosten</t>
  </si>
  <si>
    <t>Daling operationele kosten a.g.v. desinvesteringen</t>
  </si>
  <si>
    <t>Nacalculatie WACC</t>
  </si>
  <si>
    <t>Nacalculatie WQA</t>
  </si>
  <si>
    <t>Vergoeding kapitaalkosten Pernis</t>
  </si>
  <si>
    <t>Incidentele correctie inkoopkosten energie</t>
  </si>
  <si>
    <t>Incidentele correctie assetoverdracht</t>
  </si>
  <si>
    <t>Incidentele correctie peakshaver</t>
  </si>
  <si>
    <t>Incidentele correctie Gewijzigd Methodebesluit 2022-2026</t>
  </si>
  <si>
    <t>Incidentele correctie CPI a.g.v. NC TAR-overeenkomst</t>
  </si>
  <si>
    <t>Incidentele correctie voorlopige schatting ITC</t>
  </si>
  <si>
    <t>Tabblad 5 - Input GAW-waarde desinvesteringen</t>
  </si>
  <si>
    <t>Op dit tabblad wordt de GAW-waarde ultimo 2021 van de desinvesteringen van GTS in de jaren 2022-2026 weergegeven. Deze GAW-waarde wordt in een ander bestand bepaald, om extra complexiteit in deze rekenmodule te vermijden. De berekening voor de GAW ultimo 2021 is gebaseerd op inputgegevens in tabblad 13 'Desinvesteringen'.</t>
  </si>
  <si>
    <t>Volgnummer tab 13 Desinvesteringen</t>
  </si>
  <si>
    <t>GAW ultimo 2021</t>
  </si>
  <si>
    <t>GAW-model t.b.v. tarievenbesluit 2024 GTS</t>
  </si>
  <si>
    <t>GAW-model t.b.v. tarievenbesluit 2025 GTS</t>
  </si>
  <si>
    <t>Tabblad  6 - Input incidentele correctie WQA</t>
  </si>
  <si>
    <t>Op dit tabblad worden de gegevens benodigd voor de incidentele correctie 'Wijziging MR Gaskwaliteit' opgegeven. De wijziging houdt in dat de kosten voor de voormalige WQA-taak van GTS nu onder de KC-taak vallen, en daarmee verrekend worden in de tarieven. De wijziging is niet opgenomen in het methodebesluit 2022-2026, en wordt voor de jaren 2022-2026 daarom vergoed middels een incidentele correctie.</t>
  </si>
  <si>
    <t>Investeringen</t>
  </si>
  <si>
    <t>Investeringsbedrag</t>
  </si>
  <si>
    <t>Activering 2011</t>
  </si>
  <si>
    <t>Reactie van GTS op vraag Tarievenvoorstel 2017</t>
  </si>
  <si>
    <t>De GAW ultimo 2021 wordt berekend op basis van lineaire afschrijvingen in een reëel stelsel tot en met 2021, volgens de methode in het GAW-model.</t>
  </si>
  <si>
    <t>Activering 2012</t>
  </si>
  <si>
    <t>Activering 2013</t>
  </si>
  <si>
    <t>Activering 2014</t>
  </si>
  <si>
    <t>Activering 2015</t>
  </si>
  <si>
    <t>Operationele kosten</t>
  </si>
  <si>
    <t>Algemene operationele kosten</t>
  </si>
  <si>
    <t>Algemene operationele kosten WQA</t>
  </si>
  <si>
    <t xml:space="preserve">Inkoopkosten energie </t>
  </si>
  <si>
    <t>Inkoopkosten energie WQA</t>
  </si>
  <si>
    <t>Tabblad  7 - Input incidentele correctie peakshaver</t>
  </si>
  <si>
    <t xml:space="preserve">Op dit tabblad kan GTS input voor eventuele incidentele correcties opgeven. </t>
  </si>
  <si>
    <t xml:space="preserve">GTS heeft hier, in samenspraak met de ACM, een incidentele correctie voor de peakshaver opgenomen. In het methodebesluit werd de peakshaver voor 100% aan de kwaliteitsconversietaak toebedeeld, maar door de energiecrisis is deze toch deels ingezet voor de piektaak. Het gedeelte van de peakshaver dat ingezet is voor de piektaak mag niet in de transporttarieven in rekening worden gebracht, en wordt dus gecorrigeerd. </t>
  </si>
  <si>
    <t>Constant</t>
  </si>
  <si>
    <t>Verdeelsleutel kosten Peakshaverlocatie ten behoeve van Piektaak</t>
  </si>
  <si>
    <t>Verdeelsleutel kosten Peakshaver ten behoeve van Piektaak</t>
  </si>
  <si>
    <t>Zienswijze Gasunie Transport Services op ontwerp Methodebesluit GTS 2022-2026</t>
  </si>
  <si>
    <t>Afschrijvingen en GAW KC (doorrollen)</t>
  </si>
  <si>
    <t>Afschrijvingen activa geactiveerd t/m 2019 KC buiten scope</t>
  </si>
  <si>
    <t>GAW activa geactiveerd t/m 2019 KC buiten scope</t>
  </si>
  <si>
    <t>Algemene operationele kosten KC</t>
  </si>
  <si>
    <t>Direct manpower cost (buiten scope)</t>
  </si>
  <si>
    <t>Invulmodule reguleringsdata GTS REG2022 PS</t>
  </si>
  <si>
    <t>Other expenses (buiten scope)</t>
  </si>
  <si>
    <t>Inkoopkosten energie KC</t>
  </si>
  <si>
    <t>Inkoopkosten energie peakshaver</t>
  </si>
  <si>
    <t>Tabblad 8 - Input incidentele correctie huur assets van Gasunie</t>
  </si>
  <si>
    <t>GTS kan op dit tabblad in vormvrije wijze de noodzakelijke input opnemen voor de tariefcorrecties die zij wil voorstellen in het tabblad incidentele correcties.</t>
  </si>
  <si>
    <t>Incidentele correctie overdracht assets</t>
  </si>
  <si>
    <t>Oorspronkelijk investeringsjaar</t>
  </si>
  <si>
    <t>Oorspronkelijk investeringsbedrag</t>
  </si>
  <si>
    <t>Jaar van overdracht</t>
  </si>
  <si>
    <t>GAW-waarde ultimo 2021</t>
  </si>
  <si>
    <t>Opbrengst samenhangend met overdracht</t>
  </si>
  <si>
    <t>Asset 1</t>
  </si>
  <si>
    <t>Asset 2</t>
  </si>
  <si>
    <t>Asset 3</t>
  </si>
  <si>
    <t>Asset 4</t>
  </si>
  <si>
    <t>Asset 5</t>
  </si>
  <si>
    <t>Asset 6</t>
  </si>
  <si>
    <t>Asset 7</t>
  </si>
  <si>
    <t>Asset 8</t>
  </si>
  <si>
    <t>Asset 9</t>
  </si>
  <si>
    <t>Asset 10</t>
  </si>
  <si>
    <t>Asset 11</t>
  </si>
  <si>
    <t>Asset 12</t>
  </si>
  <si>
    <t>Asset 13</t>
  </si>
  <si>
    <t>Asset 14</t>
  </si>
  <si>
    <t>Asset 15</t>
  </si>
  <si>
    <t>Asset 16</t>
  </si>
  <si>
    <t>Asset 17</t>
  </si>
  <si>
    <t>Asset 18</t>
  </si>
  <si>
    <t>Asset 19</t>
  </si>
  <si>
    <t>Asset 20</t>
  </si>
  <si>
    <t>Asset 21</t>
  </si>
  <si>
    <t>Asset 22</t>
  </si>
  <si>
    <t>Asset 23</t>
  </si>
  <si>
    <t>Asset 24</t>
  </si>
  <si>
    <t>Asset 25</t>
  </si>
  <si>
    <t>Asset 26</t>
  </si>
  <si>
    <t>Asset 27</t>
  </si>
  <si>
    <t>Asset 28</t>
  </si>
  <si>
    <t>Asset 29</t>
  </si>
  <si>
    <t>Asset 30</t>
  </si>
  <si>
    <t>Asset 31</t>
  </si>
  <si>
    <t>Asset 32</t>
  </si>
  <si>
    <t>Asset 33</t>
  </si>
  <si>
    <t>Asset 34</t>
  </si>
  <si>
    <t>Asset 35</t>
  </si>
  <si>
    <t>Asset 36</t>
  </si>
  <si>
    <t>Asset 37</t>
  </si>
  <si>
    <t>Asset 38</t>
  </si>
  <si>
    <t>Asset 39</t>
  </si>
  <si>
    <t>Asset 40</t>
  </si>
  <si>
    <t>Asset 41</t>
  </si>
  <si>
    <t>Asset 42</t>
  </si>
  <si>
    <t>Asset 43</t>
  </si>
  <si>
    <t>Asset 44</t>
  </si>
  <si>
    <t>Asset 45</t>
  </si>
  <si>
    <t>Asset 46</t>
  </si>
  <si>
    <t>Asset 47</t>
  </si>
  <si>
    <t>Asset 48</t>
  </si>
  <si>
    <t>Asset 49</t>
  </si>
  <si>
    <t>Asset 50</t>
  </si>
  <si>
    <t>Asset 51</t>
  </si>
  <si>
    <t>Asset 52</t>
  </si>
  <si>
    <t>Asset 53</t>
  </si>
  <si>
    <t>Asset 54</t>
  </si>
  <si>
    <t>Asset 55</t>
  </si>
  <si>
    <t>Asset 56</t>
  </si>
  <si>
    <t>Asset 57</t>
  </si>
  <si>
    <t>Asset 58</t>
  </si>
  <si>
    <t>Asset 59</t>
  </si>
  <si>
    <t>Asset 60</t>
  </si>
  <si>
    <t>Asset 61</t>
  </si>
  <si>
    <t>Asset 62</t>
  </si>
  <si>
    <t>Asset 63</t>
  </si>
  <si>
    <t>Asset 64</t>
  </si>
  <si>
    <t>Asset 65</t>
  </si>
  <si>
    <t>Asset 66</t>
  </si>
  <si>
    <t>Asset 67</t>
  </si>
  <si>
    <t>Asset 68</t>
  </si>
  <si>
    <t>Asset 69</t>
  </si>
  <si>
    <t>Asset 70</t>
  </si>
  <si>
    <t>Asset 71</t>
  </si>
  <si>
    <t>Asset 72</t>
  </si>
  <si>
    <t>Asset 73</t>
  </si>
  <si>
    <t>Asset 74</t>
  </si>
  <si>
    <t>Asset 75</t>
  </si>
  <si>
    <t>Asset 76</t>
  </si>
  <si>
    <t>Asset 77</t>
  </si>
  <si>
    <t>Asset 78</t>
  </si>
  <si>
    <t>Asset 79</t>
  </si>
  <si>
    <t>Asset 80</t>
  </si>
  <si>
    <t>Asset 81</t>
  </si>
  <si>
    <t>Asset 82</t>
  </si>
  <si>
    <t>Asset 83</t>
  </si>
  <si>
    <t>Asset 84</t>
  </si>
  <si>
    <t>Asset 85</t>
  </si>
  <si>
    <t>Asset 86</t>
  </si>
  <si>
    <t>Asset 87</t>
  </si>
  <si>
    <t>Asset 88</t>
  </si>
  <si>
    <t>Asset 89</t>
  </si>
  <si>
    <t>Asset 90</t>
  </si>
  <si>
    <t>Asset 91</t>
  </si>
  <si>
    <t>Asset 92</t>
  </si>
  <si>
    <t>Asset 93</t>
  </si>
  <si>
    <t>Asset 94</t>
  </si>
  <si>
    <t>Asset 95</t>
  </si>
  <si>
    <t>Asset 96</t>
  </si>
  <si>
    <t>Asset 97</t>
  </si>
  <si>
    <t>Asset 98</t>
  </si>
  <si>
    <t>Asset 99</t>
  </si>
  <si>
    <t>Asset 100</t>
  </si>
  <si>
    <t>Asset 101</t>
  </si>
  <si>
    <t>Asset 102</t>
  </si>
  <si>
    <t>Asset 103</t>
  </si>
  <si>
    <t>Asset 104</t>
  </si>
  <si>
    <t>Asset 105</t>
  </si>
  <si>
    <t>Asset 106</t>
  </si>
  <si>
    <t>Asset 107</t>
  </si>
  <si>
    <t>Asset 108</t>
  </si>
  <si>
    <t>Asset 109</t>
  </si>
  <si>
    <t>Asset 110</t>
  </si>
  <si>
    <t>Asset 111</t>
  </si>
  <si>
    <t>Asset 112</t>
  </si>
  <si>
    <t>Asset 113</t>
  </si>
  <si>
    <t>Asset 114</t>
  </si>
  <si>
    <t>Asset 115</t>
  </si>
  <si>
    <t>Asset 116</t>
  </si>
  <si>
    <t>Asset 117</t>
  </si>
  <si>
    <t>Asset 118</t>
  </si>
  <si>
    <t>Asset 119</t>
  </si>
  <si>
    <t>Asset 120</t>
  </si>
  <si>
    <t>Asset 121</t>
  </si>
  <si>
    <t>Asset 122</t>
  </si>
  <si>
    <t>Asset 123</t>
  </si>
  <si>
    <t>Asset 124</t>
  </si>
  <si>
    <t>Asset 125</t>
  </si>
  <si>
    <t>Asset 126</t>
  </si>
  <si>
    <t>Asset 127</t>
  </si>
  <si>
    <t>Asset 128</t>
  </si>
  <si>
    <t>Asset 129</t>
  </si>
  <si>
    <t>Asset 130</t>
  </si>
  <si>
    <t>Asset 131</t>
  </si>
  <si>
    <t>Asset 132</t>
  </si>
  <si>
    <t>Asset 133</t>
  </si>
  <si>
    <t>Asset 134</t>
  </si>
  <si>
    <t>Asset 135</t>
  </si>
  <si>
    <t>Asset 136</t>
  </si>
  <si>
    <t>Asset 137</t>
  </si>
  <si>
    <t>Asset 138</t>
  </si>
  <si>
    <t>Asset 139</t>
  </si>
  <si>
    <t>Asset 140</t>
  </si>
  <si>
    <t>Asset 141</t>
  </si>
  <si>
    <t>Asset 142</t>
  </si>
  <si>
    <t>Asset 143</t>
  </si>
  <si>
    <t>Asset 144</t>
  </si>
  <si>
    <t>Asset 145</t>
  </si>
  <si>
    <t>Asset 146</t>
  </si>
  <si>
    <t>Asset 147</t>
  </si>
  <si>
    <t>Asset 148</t>
  </si>
  <si>
    <t>Asset 149</t>
  </si>
  <si>
    <t>Asset 150</t>
  </si>
  <si>
    <t>Asset 151</t>
  </si>
  <si>
    <t>Asset 152</t>
  </si>
  <si>
    <t>Asset 153</t>
  </si>
  <si>
    <t>Asset 154</t>
  </si>
  <si>
    <t>Asset 155</t>
  </si>
  <si>
    <t>Asset 156</t>
  </si>
  <si>
    <t>Asset 157</t>
  </si>
  <si>
    <t>Asset 158</t>
  </si>
  <si>
    <t>Asset 159</t>
  </si>
  <si>
    <t>Asset 160</t>
  </si>
  <si>
    <t>Asset 161</t>
  </si>
  <si>
    <t>Asset 162</t>
  </si>
  <si>
    <t>Asset 163</t>
  </si>
  <si>
    <t>Asset 164</t>
  </si>
  <si>
    <t>Asset 165</t>
  </si>
  <si>
    <t>Asset 166</t>
  </si>
  <si>
    <t>Asset 167</t>
  </si>
  <si>
    <t>Asset 168</t>
  </si>
  <si>
    <t>Asset 169</t>
  </si>
  <si>
    <t>Asset 170</t>
  </si>
  <si>
    <t>Asset 171</t>
  </si>
  <si>
    <t>Asset 172</t>
  </si>
  <si>
    <t>Asset 173</t>
  </si>
  <si>
    <t>Asset 174</t>
  </si>
  <si>
    <t>Asset 175</t>
  </si>
  <si>
    <t>Asset 176</t>
  </si>
  <si>
    <t>Asset 177</t>
  </si>
  <si>
    <t>Asset 178</t>
  </si>
  <si>
    <t>Asset 179</t>
  </si>
  <si>
    <t>Asset 180</t>
  </si>
  <si>
    <t>Asset 181</t>
  </si>
  <si>
    <t>Asset 182</t>
  </si>
  <si>
    <t>Asset 183</t>
  </si>
  <si>
    <t>Asset 184</t>
  </si>
  <si>
    <t>Asset 185</t>
  </si>
  <si>
    <t>Asset 186</t>
  </si>
  <si>
    <t>Asset 187</t>
  </si>
  <si>
    <t>Asset 188</t>
  </si>
  <si>
    <t>Asset 189</t>
  </si>
  <si>
    <t>Asset 190</t>
  </si>
  <si>
    <t>Asset 191</t>
  </si>
  <si>
    <t>Asset 192</t>
  </si>
  <si>
    <t>Asset 193</t>
  </si>
  <si>
    <t>Asset 194</t>
  </si>
  <si>
    <t>Asset 195</t>
  </si>
  <si>
    <t>Asset 196</t>
  </si>
  <si>
    <t>Asset 197</t>
  </si>
  <si>
    <t>Asset 198</t>
  </si>
  <si>
    <t>Asset 199</t>
  </si>
  <si>
    <t>Asset 200</t>
  </si>
  <si>
    <t>Asset 201</t>
  </si>
  <si>
    <t>Asset 202</t>
  </si>
  <si>
    <t>Asset 203</t>
  </si>
  <si>
    <t>Asset 204</t>
  </si>
  <si>
    <t>Asset 205</t>
  </si>
  <si>
    <t>Asset 206</t>
  </si>
  <si>
    <t>Asset 207</t>
  </si>
  <si>
    <t>Asset 208</t>
  </si>
  <si>
    <t>Asset 209</t>
  </si>
  <si>
    <t>Asset 210</t>
  </si>
  <si>
    <t>Asset 211</t>
  </si>
  <si>
    <t>Asset 212</t>
  </si>
  <si>
    <t>Asset 213</t>
  </si>
  <si>
    <t>Asset 214</t>
  </si>
  <si>
    <t>Asset 215</t>
  </si>
  <si>
    <t>Asset 216</t>
  </si>
  <si>
    <t>Asset 217</t>
  </si>
  <si>
    <t>Asset 218</t>
  </si>
  <si>
    <t>Asset 219</t>
  </si>
  <si>
    <t>Asset 220</t>
  </si>
  <si>
    <t>Asset 221</t>
  </si>
  <si>
    <t>Asset 222</t>
  </si>
  <si>
    <t>Asset 223</t>
  </si>
  <si>
    <t>Asset 224</t>
  </si>
  <si>
    <t>Asset 225</t>
  </si>
  <si>
    <t>Asset 226</t>
  </si>
  <si>
    <t>Asset 227</t>
  </si>
  <si>
    <t>Asset 228</t>
  </si>
  <si>
    <t>Asset 229</t>
  </si>
  <si>
    <t>Asset 230</t>
  </si>
  <si>
    <t>Asset 231</t>
  </si>
  <si>
    <t>Asset 232</t>
  </si>
  <si>
    <t>Asset 233</t>
  </si>
  <si>
    <t>Asset 234</t>
  </si>
  <si>
    <t>Asset 235</t>
  </si>
  <si>
    <t>Asset 236</t>
  </si>
  <si>
    <t>Asset 237</t>
  </si>
  <si>
    <t>Asset 238</t>
  </si>
  <si>
    <t>Asset 239</t>
  </si>
  <si>
    <t>Asset 240</t>
  </si>
  <si>
    <t>Asset 241</t>
  </si>
  <si>
    <t>Asset 242</t>
  </si>
  <si>
    <t>Asset 243</t>
  </si>
  <si>
    <t>Incidentele correctie assetoverdracht - nieuwe assets Gasunie</t>
  </si>
  <si>
    <t>Investeringsjaar</t>
  </si>
  <si>
    <t>Euro</t>
  </si>
  <si>
    <t>Tabblad 9 - Input incidentele correcties</t>
  </si>
  <si>
    <t>Tabblad 10 - Input voorspelde gecontracteerde capaciteit</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</si>
  <si>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</si>
  <si>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</si>
  <si>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</si>
  <si>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</si>
  <si>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</si>
  <si>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</si>
  <si>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</si>
  <si>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</si>
  <si>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Tabblad 11 - Investeringen (WUI &amp; Ombouw)</t>
  </si>
  <si>
    <t xml:space="preserve">Op dit tabblad worden de wettelijk uitgezonderde investeringen (voorheen niet-reguliere uitbreidingsinvesteringen)  en activeringen ten behoeve van de ombouwtaak weergegeven. </t>
  </si>
  <si>
    <t>Bron</t>
  </si>
  <si>
    <t xml:space="preserve">Reguleringsdata GTS: ACM-MSQL-0-33,14330 -&gt; RD_LNB_G -&gt; Investeringen </t>
  </si>
  <si>
    <t>Datum inladen</t>
  </si>
  <si>
    <t>Bewerkingen</t>
  </si>
  <si>
    <t>"Jaar begin afschrijven" enkel vanaf 2020 geselecteerd. Enkel "WUI" en "Ombouw" geselecteerd. Activacategorie "Stikstof" uitgesloten. Geagreggeerd op basis van jaartal en activacategorie. Index toegevoegd.</t>
  </si>
  <si>
    <t>Aantal geselecteerde regels</t>
  </si>
  <si>
    <t>Index</t>
  </si>
  <si>
    <t>Jaar begin afschrijven</t>
  </si>
  <si>
    <t>Activacategorie</t>
  </si>
  <si>
    <t>Vervanging / uitbreiding</t>
  </si>
  <si>
    <t>Ombouwtaak</t>
  </si>
  <si>
    <t>Bestandsnaam</t>
  </si>
  <si>
    <t>VVI</t>
  </si>
  <si>
    <t>Ja</t>
  </si>
  <si>
    <t>Invulmodule reguleringsdata GTS 2020 gecorrigeerd.xlsx</t>
  </si>
  <si>
    <t>1. Invulmodule reguleringsdata GTS 2022 (WACC aangepast door ACM, V2).xlsx</t>
  </si>
  <si>
    <t>Invulmodule reguleringsdata 2023 (v1.0) zonder spaties.xlsx</t>
  </si>
  <si>
    <t>Tabblad 12 - Investeringen (bijschatten)</t>
  </si>
  <si>
    <t>Op dit tabblad worden de input weergegeven die nodig zijn voor het nacalculeren van bijgeschatte investeringen. Het gaat hier om alle niet wettelijk uitgezonderde investeringen die onder de transporttaak, balanceringstaak, aansluittaak of kwaliteitsconversietaak vallen.</t>
  </si>
  <si>
    <t>"Jaar begin afschrijven" enkel vanaf 2020 geselecteerd. "WUI" en "Ombouwtaak" uitgesloten. Niet alleen activacategorieën met afschrijvingstermijn van 0 en van langer dan 10 jaar geselecteerd maar alle activacategorieën n.a.v. Gewijzigd Methodebesluit GTS 2022-2026. Geagreggeerd op basis van jaartal en activacategorie. Index toegevoegd.</t>
  </si>
  <si>
    <t>Versie</t>
  </si>
  <si>
    <t>1b. Invulmodule reguleringsdata GTS 2021 (labels activacategorie gecorrigeerd).xlsx</t>
  </si>
  <si>
    <t>Tabblad 13 - Desinvesteringen</t>
  </si>
  <si>
    <t>In dit tabblad worden de desinvesteringen van GTS over de jaren 2020 tot en met 2026 weergegeven.</t>
  </si>
  <si>
    <t xml:space="preserve">Reguleringsdata GTS: ACM-MSQL-0-33,14330 -&gt; RD_LNB_G -&gt; Desinvesteringen </t>
  </si>
  <si>
    <t xml:space="preserve">"Jaar" enkel vanaf 2020 geselecteerd. Index toegevoegd. </t>
  </si>
  <si>
    <t>Desinvestering (oorspronkelijke investeringsbedrag)</t>
  </si>
  <si>
    <t>Opbrengsten die samenhangen met desinvestering</t>
  </si>
  <si>
    <t>ACM - Invulmodule reguleringsdata 2023 (v1.0) zonder spaties.xlsx</t>
  </si>
  <si>
    <t>Tabblad 14 - Omzet</t>
  </si>
  <si>
    <t>Op dit tabblad wordt benodigde informatie voor de nacalculaties weergegeven. Het gaat hier om gegevens t.b.v. nacalculatie omzet (MB22-26 8.2), overboek- en terugkoopregeling (MB22-26 8.4.3), veilinggelden (MB22-26 8.4.2) en administratieve onbalans (MB22-26 8.3.4).</t>
  </si>
  <si>
    <t>Reguleringsdata GTS: ACM-MSQL-0-33,14330 -&gt; RD_LNB_G -&gt; Omzet</t>
  </si>
  <si>
    <t>"Jaar begin afschrijven" enkel vanaf 2020 geselecteerd. Jaartal naar datatype tekst getransformeerd en zoekwaarde toegevoegd: "Subcategorie" en "Jaar".</t>
  </si>
  <si>
    <t>Categorie</t>
  </si>
  <si>
    <t>Subcategorie</t>
  </si>
  <si>
    <t>Omzetregulering tariefgereguleerd</t>
  </si>
  <si>
    <t>Overboek- en terugkoopregeling</t>
  </si>
  <si>
    <t>Veilinggelden</t>
  </si>
  <si>
    <t>Saldo administratieve onbalans</t>
  </si>
  <si>
    <t>Transport-, balancerings-, aansluitingen- en kwaliteitsconversietaak</t>
  </si>
  <si>
    <t>Totaal transport-, balancerings-, aansluitingen- en kwaliteitsconversietaak</t>
  </si>
  <si>
    <t>Tabblad 15 - Operationele kosten</t>
  </si>
  <si>
    <t>Op dit tabblad wordt de benodigde informatie voor de incidentele correctie inkoopkosten energie en ontmantelingskosten weergegeven</t>
  </si>
  <si>
    <t>Reguleringsdata GTS: ACM-MSQL-0-33,14330 -&gt; RD_LNB_G -&gt; Operationele kosten</t>
  </si>
  <si>
    <t>Enkel subcategorie "Inkoopkosten energie" en "Ontmantelingskosten desinvesteringen" geselecteerd.</t>
  </si>
  <si>
    <t>TT/BT/AT</t>
  </si>
  <si>
    <t>KC</t>
  </si>
  <si>
    <t>Inkoopkosten energie m.u.v. peakshaver</t>
  </si>
  <si>
    <t xml:space="preserve">Inkoopkosten energie peakshaver </t>
  </si>
  <si>
    <t>Incidentele posten zoals opgenomen in operationele kosten en buitengewone lasten</t>
  </si>
  <si>
    <t>Ontmantelingskosten desinvesteringen</t>
  </si>
  <si>
    <t>Tabblad 16 - Activeringen voor WUI en ombouw van G- naar H-gas</t>
  </si>
  <si>
    <t>Beschrijving berekening</t>
  </si>
  <si>
    <t>Op dit tabblad worden eerst de relevante parameters opgehaald. Daarna worden de activaklassen en afschrijvingstermijnen weergegeven. Tot slot worden de totale kosten voor de WUI en de ombouw van G- naar H-gas berekend.</t>
  </si>
  <si>
    <t>Toelichting bij bijzonderheden:</t>
  </si>
  <si>
    <t xml:space="preserve">De ACM gebruikt hier bewust de originele WACC uit het methodebesluit om te voorkomen dat de nacalculatie van de WACC (tabblad 17) tot dubbele vergoedingen zou leiden. </t>
  </si>
  <si>
    <t>Ophalen parameters</t>
  </si>
  <si>
    <t>Nominale WACC bestaand vermogen</t>
  </si>
  <si>
    <t>1+ heffingsrente</t>
  </si>
  <si>
    <t>CPI van 2020 naar jaar</t>
  </si>
  <si>
    <t>CPI van 2021 naar jaar</t>
  </si>
  <si>
    <t>CPI van 2022 naar jaar</t>
  </si>
  <si>
    <t>CPI van 2023 naar jaar</t>
  </si>
  <si>
    <t>CPI van 2024 naar jaar</t>
  </si>
  <si>
    <t>CPI van 2025 naar jaar</t>
  </si>
  <si>
    <t>CPI van 2026 naar jaar</t>
  </si>
  <si>
    <t>WUI en investeringen voor ombouw G- naar H-gas in 2020-2021 voor vergoeding kosten 2022-2026</t>
  </si>
  <si>
    <t>Afschrijvingen 2020 &amp; 2021</t>
  </si>
  <si>
    <t>GAW ultimo 2020 &amp; 2021</t>
  </si>
  <si>
    <t>Hulpberekening</t>
  </si>
  <si>
    <t>Afschrijvingen vanaf 2022 (niet uitgezonderd van versnelling)</t>
  </si>
  <si>
    <t>Afschrijvingen vanaf 2022  (wel uitgezonderd van versnelling)</t>
  </si>
  <si>
    <t>Afschrijvingen vanaf 2022 (totaal)</t>
  </si>
  <si>
    <t>GAW ultimo vanaf 2022</t>
  </si>
  <si>
    <t>Kapitaalkosten</t>
  </si>
  <si>
    <t>Totale kosten</t>
  </si>
  <si>
    <t>Nacalculatie</t>
  </si>
  <si>
    <t>Volgnummer</t>
  </si>
  <si>
    <t>Ingebruikname</t>
  </si>
  <si>
    <t>Klasse</t>
  </si>
  <si>
    <t>Eerste jaar in de module</t>
  </si>
  <si>
    <t>Afschrijvings
termijn</t>
  </si>
  <si>
    <t>Investeringsbedrag v.a. 2022</t>
  </si>
  <si>
    <t>resterende afschrijvingstermijn v.a. 2022</t>
  </si>
  <si>
    <t>Tariefcorrectie voor kosten van WUI en kosten ombouwen G- naar H-gas</t>
  </si>
  <si>
    <t>Kosten WUI</t>
  </si>
  <si>
    <t xml:space="preserve">Tabblad 17 - Nacalculatie bijschatten </t>
  </si>
  <si>
    <t xml:space="preserve">Op dit tabblad worden eerst de relevante parameters opgehaald. Daarna berekenen we de geschatte efficiënte kosten (kapitaalkosten en operationele kosten) als gevolg van de bijgeschatte investeringen. Hieropvolgend berekenen we de geschatte efficiënte kosten op basis van de gerealiseerde investeringen. Het verschil hiertussen calculeren we na. </t>
  </si>
  <si>
    <t>De ACM gebruikt hier bewust de originele WACC uit het Gewijzigd Methodebesluit om te voorkomen dat de nacalculatie van de WACC (tabblad 17) tot dubbele vergoedingen zou leiden. Verder is de berekening vormgegeven volgens het Gewijzigd Methodebesluit GTS 2022-2026, wat betekent dat alle bijgeschatte investeringen nagecalculeerd worden, in plaats van de bijgeschatte investeringen met een afschrijvingstermijn van &gt;10 jaar.</t>
  </si>
  <si>
    <t>Schatting kosten van bijgeschatte investeringen</t>
  </si>
  <si>
    <t>Stijging operationele kosten</t>
  </si>
  <si>
    <t>Geschatte efficiënte kosten</t>
  </si>
  <si>
    <t>Geschatte efficiënte kosten bijschatten</t>
  </si>
  <si>
    <t>Jaar waarin kosten gemaakt worden</t>
  </si>
  <si>
    <t>Jaar van investering</t>
  </si>
  <si>
    <t xml:space="preserve">Totale schatting efficiënte kosten bijschatten </t>
  </si>
  <si>
    <t>Kosten van gerealiseerde investeringen</t>
  </si>
  <si>
    <t>Totale kosten bij gerealiseerde investeringen</t>
  </si>
  <si>
    <t>Totale gerealiseerde kosten bijschatten</t>
  </si>
  <si>
    <t>Na te calculeren bedrag</t>
  </si>
  <si>
    <t>Na te calculeren bedrag investeringen 2020</t>
  </si>
  <si>
    <t>Na te calculeren bedrag investeringen 2021</t>
  </si>
  <si>
    <t>Na te calculeren bedrag investeringen 2022</t>
  </si>
  <si>
    <t>Na te calculeren bedrag investeringen 2023</t>
  </si>
  <si>
    <t>Na te calculeren bedrag investeringen 2024</t>
  </si>
  <si>
    <t>Na te calculeren bedrag investeringen 2025</t>
  </si>
  <si>
    <t>Na te calculeren bedrag investeringen 2026</t>
  </si>
  <si>
    <t>Totale nacalculatie</t>
  </si>
  <si>
    <t>Tabblad 18 - Nacalculatie desinvesteringen</t>
  </si>
  <si>
    <t>Op dit tabblad worden eerst de relevante parameters opgehaald. Daarna worden de activaklassen en afschrijvingstermijnen weergegeven. Tot slot worden de totale kosten voor de desinvesteringen berekend. Hierbij schrijven we de resterende GAW in één keer af, en worden de kapitaalkosten in de daaropvolgende jaren van de toegestane inkomsten afgehaald.</t>
  </si>
  <si>
    <t xml:space="preserve">De resterende GAW wordt niet berekend in deze rekenmodule omdat dit de module nog complexer zou maken. Om deze resterende waarden te berekenen gebruiken wij de GAW-berekeningsexcel zoals gepubliceerd bij het x-factorbesluit GTS. Hierin zetten wij het oorspronkelijke investeringsbedrag en het oorspronkelijke jaar van de investering, om daar de resterende GAW in een specifiek jaar uit af te lezen. </t>
  </si>
  <si>
    <t>Desinvesteringen</t>
  </si>
  <si>
    <t>Resterende GAW ultimo 2021</t>
  </si>
  <si>
    <t>Jaar van desinvesteren</t>
  </si>
  <si>
    <t>Opbrengsten</t>
  </si>
  <si>
    <t>Resterende afschrijvingstermijn 2022</t>
  </si>
  <si>
    <t>Tariefcorrectie voor desinvesteringen</t>
  </si>
  <si>
    <t>Daling kapitaalkosten a.g.v. desinvesteringen 2022</t>
  </si>
  <si>
    <t>Daling kapitaalkosten a.g.v. desinvesteringen 2023</t>
  </si>
  <si>
    <t>Daling kapitaalkosten a.g.v. desinvesteringen 2024</t>
  </si>
  <si>
    <t>Verrekening desinvestering</t>
  </si>
  <si>
    <t>Nacalculatie tarievenbesluit 2026</t>
  </si>
  <si>
    <t>Tabblad 19 - Indexatie desinvesteringen</t>
  </si>
  <si>
    <t>Dit tabblad indexeert de desinvesteringen naar het jaar van desinvesteringen.</t>
  </si>
  <si>
    <t xml:space="preserve">De desinvesteringsbedragen die hier zijn opgenomen zijn de oorspronkelijk geactiveerde bedragen. </t>
  </si>
  <si>
    <t>Ophalen CPI</t>
  </si>
  <si>
    <t>CPI jaar t</t>
  </si>
  <si>
    <t xml:space="preserve">Desinvesteringen </t>
  </si>
  <si>
    <t>Berekening CPI-tabel</t>
  </si>
  <si>
    <t xml:space="preserve">CPI van … naar … </t>
  </si>
  <si>
    <t>Indexatie desinvesteringen</t>
  </si>
  <si>
    <t>Investeringsbedrag in pp jaar van desinvesteren</t>
  </si>
  <si>
    <t>Totale desinvesteringen</t>
  </si>
  <si>
    <t>Desinvesteringen binnen scope</t>
  </si>
  <si>
    <t>Desinvesteringen buiten scope</t>
  </si>
  <si>
    <t>Tabblad 20 - Nacalculaties</t>
  </si>
  <si>
    <t xml:space="preserve">Op dit tabblad worden de nacalculaties inclusief heffingsrente berekend. 
</t>
  </si>
  <si>
    <t xml:space="preserve">De berekening van de daling operationele kosten a.g.v. desinvesteringen op dit tabblad is een ander soort nacalculatie dan de overige nacalculaties op dit tabblad. Het betreft hier een schatting op basis van desinvesteringen in eerdere jaren. Op deze schatting wordt daarom geen heffingsrente toegepast; de schatting gaat namelijk al direct over het jaar waarin dit vergoed wordt. </t>
  </si>
  <si>
    <t>1+CPI van 2017 naar jaar</t>
  </si>
  <si>
    <t>1+CPI van 2018 naar jaar</t>
  </si>
  <si>
    <t>1+CPI van 2019 naar jaar</t>
  </si>
  <si>
    <t>1+CPI van 2020 naar jaar</t>
  </si>
  <si>
    <t>1+CPI van 2021 naar jaar</t>
  </si>
  <si>
    <t>1+CPI van 2022 naar jaar</t>
  </si>
  <si>
    <t>1+CPI van 2023 naar jaar</t>
  </si>
  <si>
    <t>1+CPI van 2024 naar jaar</t>
  </si>
  <si>
    <t>1+CPI van 2025 naar jaar</t>
  </si>
  <si>
    <t>1+CPI van 2026 naar jaar</t>
  </si>
  <si>
    <t>1-FS van 2017 naar jaar</t>
  </si>
  <si>
    <t>1-FS van 2018 naar jaar</t>
  </si>
  <si>
    <t>1-FS van 2019 naar jaar</t>
  </si>
  <si>
    <t>1-FS van 2020 naar jaar</t>
  </si>
  <si>
    <t>1-FS van 2021 naar jaar</t>
  </si>
  <si>
    <t>1-FS van 2022 naar jaar</t>
  </si>
  <si>
    <t>1-FS van 2023 naar jaar</t>
  </si>
  <si>
    <t>1-FS van 2024 naar jaar</t>
  </si>
  <si>
    <t>1-FS van 2025 naar jaar</t>
  </si>
  <si>
    <t>1-FS van 2026 naar jaar</t>
  </si>
  <si>
    <t>Oorspronkelijke nominale WACC bestaand vermogen</t>
  </si>
  <si>
    <t>Nagecalculeerde nominale WACC bestaand vermogen</t>
  </si>
  <si>
    <t>Inkoopkosten energie</t>
  </si>
  <si>
    <t>Inkoopkosten energie TT/BT/AT</t>
  </si>
  <si>
    <t>Inkoop energie peakshaver</t>
  </si>
  <si>
    <t>Gerealiseerde inkoopkosten worden vanaf 2022 opgehaald uit tabblad 13. Operationele kosten</t>
  </si>
  <si>
    <t>Parameters incidentele correctie energie</t>
  </si>
  <si>
    <t>Bonus/malus</t>
  </si>
  <si>
    <t>Maximum afwijking bonus/malus</t>
  </si>
  <si>
    <t>Verdeelsleutel kosten peakshaver ten behoeve van piektaak</t>
  </si>
  <si>
    <t>Toegestane inkomsten na correcties</t>
  </si>
  <si>
    <t xml:space="preserve">Verschil </t>
  </si>
  <si>
    <t>Nacalculeren excl. heffingsrente</t>
  </si>
  <si>
    <t>Nacalculeren incl. heffingsrente</t>
  </si>
  <si>
    <t>Overboeking- en terugkoopregeling (conform paragraaf 8.4.3 van het methodebesluit 2022-2026)</t>
  </si>
  <si>
    <t>Overboeking- en terugkoopregeling</t>
  </si>
  <si>
    <t xml:space="preserve">50% verrekening winst/verlies via tarief </t>
  </si>
  <si>
    <t>Saldo veilinggelden oud (excl. heffingsrente)</t>
  </si>
  <si>
    <t>Saldo veilinggelden oud (incl. heffingsrente)</t>
  </si>
  <si>
    <t>Veilinggelden (incl. heffingsrente)</t>
  </si>
  <si>
    <t>Na te calculeren of te investeren veilinggelden (incl. heffingsrente)</t>
  </si>
  <si>
    <t>Saldo veilinggelden nieuw</t>
  </si>
  <si>
    <t>Administratieve onbalans (conform paragraaf 8.3.4. van het methodebesluit 2022-2026)</t>
  </si>
  <si>
    <t>Nacalculatie ontmantelingskosten (conform paragraaf 8.3.7 van het methodebesluit 2022-2026)</t>
  </si>
  <si>
    <t>Geschatte ontmantelingskosten</t>
  </si>
  <si>
    <t>Gerealiseerde ontmantelingskosten</t>
  </si>
  <si>
    <t>Daling operationele kosten a.g.v. desinvesteringen 2020 binnen scope - incl. theta</t>
  </si>
  <si>
    <t>Daling operationele kosten a.g.v. desinvesteringen 2020 buiten scope</t>
  </si>
  <si>
    <t>Daling operationele kosten a.g.v. desinvesteringen 2021 binnen scope - incl. theta</t>
  </si>
  <si>
    <t>Daling operationele kosten a.g.v. desinvesteringen 2021 buiten scope</t>
  </si>
  <si>
    <t>Daling operationele kosten a.g.v. desinvesteringen 2022 binnen scope - incl. theta</t>
  </si>
  <si>
    <t>Daling operationele kosten a.g.v. desinvesteringen 2022 buiten scope</t>
  </si>
  <si>
    <t>Daling operationele kosten a.g.v. desinvesteringen 2023 binnen scope - incl. theta</t>
  </si>
  <si>
    <t>Daling operationele kosten a.g.v. desinvesteringen 2023 buiten scope</t>
  </si>
  <si>
    <t>Daling operationele kosten a.g.v. desinvesteringen 2024 binnen scope - incl. theta</t>
  </si>
  <si>
    <t>Daling operationele kosten a.g.v. desinvesteringen 2024 buiten scope</t>
  </si>
  <si>
    <t xml:space="preserve">Nacalculeren </t>
  </si>
  <si>
    <t>GAW bijgeschatte investeringen</t>
  </si>
  <si>
    <t>GAW gerealiseerde investeringen</t>
  </si>
  <si>
    <t>GAW WUI</t>
  </si>
  <si>
    <t>GAW Ombouwtaak</t>
  </si>
  <si>
    <t>GAW desinvesteringen</t>
  </si>
  <si>
    <t>GAW assetoverdracht - vermindering kapitaalkosten</t>
  </si>
  <si>
    <t>GAW assetoverdracht - stijging operationele kosten</t>
  </si>
  <si>
    <t>De nacalculatie in cel P137 bevat ook de kapitaalkosten voor de desinvesteringen en de assetoverdracht van eerdere jaren, omdat deze in de rekenmodule van tarievenbesluit 2024 nog niet verwerkt waren.</t>
  </si>
  <si>
    <t>Prognose inkoopkosten energie totaal</t>
  </si>
  <si>
    <t>Verschil tussen realisatie en prognose</t>
  </si>
  <si>
    <t>Risico GTS</t>
  </si>
  <si>
    <t>Maximum risico GTS</t>
  </si>
  <si>
    <t>Netto risico GTS</t>
  </si>
  <si>
    <t>Nacalculatie inkoopkosten energie inclusief heffingsrente en bonus malus</t>
  </si>
  <si>
    <t>Tabel 21 - Berekening incidentele correctie WQA</t>
  </si>
  <si>
    <t>Op dit tabblad wordt de incidentele correctie WQA berekend. Dit als het gevolg van de wijziging van de ministeriële regeling waardoor deze kosten vanaf 2022 onder de KC-taak vallen. De kosten horend bij de voormalige WQA-investeringen (kapitaalkosten, algemene operationele kosten en inkoopkosten energie en vermogen) worden vanaf 2024 t+2 volledig nagecalculeerd.</t>
  </si>
  <si>
    <t>Op dit tabblad wordt geen onderscheid gemaakt tussen binnen of buiten scope, omdat alle kosten gemaakt voor de voormalige WQA-taak buiten scope van de benchmark vallen.</t>
  </si>
  <si>
    <t>Ophalen parameters voor berekening</t>
  </si>
  <si>
    <t>Nominale WACC nieuw vermogen (met nagecalculeerde rfr waar mogelijk)</t>
  </si>
  <si>
    <t>Percentage investeringen uitgezonderd van versnellingsfactor</t>
  </si>
  <si>
    <t>Berekening kapitaalkosten WQA</t>
  </si>
  <si>
    <t>Afschrijvingen vanaf 2022 (wel uitgezonderd van versnelling)</t>
  </si>
  <si>
    <t>Rest. afschrijvingstermijn</t>
  </si>
  <si>
    <t>Totale kapitaalkosten WQA</t>
  </si>
  <si>
    <t>Berekening operationele kosten WQA</t>
  </si>
  <si>
    <t>Berekening operationele kosten</t>
  </si>
  <si>
    <t>Operationele kosten WQA</t>
  </si>
  <si>
    <t>Nacalculatie WQA-taak</t>
  </si>
  <si>
    <t>Vergoeding WQA-taak in jaar t</t>
  </si>
  <si>
    <t xml:space="preserve">                                                                                                                                                                                                                                                                                                                                                                                                                                                                                                      </t>
  </si>
  <si>
    <t>Tabblad 22 - Incidentele correctie overgedragen assets</t>
  </si>
  <si>
    <t xml:space="preserve">Op dit tabblad worden de incidentele correcties inclusief de heffingsrente verrekend. </t>
  </si>
  <si>
    <t xml:space="preserve">GTS heeft in 2021 enkele assets overgedragen aan Gasunie en huurt deze nu. Daarnaast heeft Gasunie investeringen gedaan die gerelateerd zijn aan de overgedragen assets, en daarmee relevant voor GTS. Ook deze assets huurt GTS van Gasunie. Om de assetoverdracht en huurkosten inkomstenneutraal te verrekenen voegt de ACM een inkomstencorrectie toe. Hierbij wordt eerst de daling van de kapitaalkosten als gevolg van het verwijderen van activa uit de activabasis berekend. Hierbij schrijft de ACM de activa in 1 keer volledig af en berekent ze de daling van de kapitaalkosten. De opbrengsten van de overdracht worden ook in mindering gebracht op de toegestane inkomsten. De nieuwe operationele kosten als gevolg van het huren van deze activa voegt de ACM toe. Hierbij neemt de ACM aan dat Gasunie de activa lineair afschrijft en deze kosten rechtstreeks in rekening brengt. </t>
  </si>
  <si>
    <t>Ophalen gegevens incidentele correcties</t>
  </si>
  <si>
    <t>Binnen/buiten scope</t>
  </si>
  <si>
    <t>Opbrengst overdracht</t>
  </si>
  <si>
    <t>Berekening incidentele correctie assetoverdracht (daling kapitaalkosten)</t>
  </si>
  <si>
    <t>Naam</t>
  </si>
  <si>
    <t>Oorspronkelijke investeringsbedrag</t>
  </si>
  <si>
    <t>Jaar overdracht</t>
  </si>
  <si>
    <t>Af te schrijven</t>
  </si>
  <si>
    <t>Berekening incidentele correctie assetoverdracht (stijging operationele kosten)</t>
  </si>
  <si>
    <t>Afschrijvingen vanaf 2022 (Gasunie)</t>
  </si>
  <si>
    <t>Berekening vergoeding nieuwe assets Gasunie (stijging operationele kosten)</t>
  </si>
  <si>
    <t>Totaal incidentele correcties</t>
  </si>
  <si>
    <t>Incidentele correctie verwijderen assets uit GAW</t>
  </si>
  <si>
    <t>Incidentele correctie toename OPEX agv huur van Gasunie</t>
  </si>
  <si>
    <t>Inkomsten overdracht</t>
  </si>
  <si>
    <t>De inkomsten van de overdracht moeten minimaal gelijk zijn aan de eenmalig volledig afgeschreven activa</t>
  </si>
  <si>
    <t>Eenmalig volledig afschrijven activa</t>
  </si>
  <si>
    <t>Incidentele correctie investeringen gedaan in 2022</t>
  </si>
  <si>
    <t>Incidentele correctie investeringen gedaan in 2023</t>
  </si>
  <si>
    <t>Incidentele correctie investeringen gedaan in 2024</t>
  </si>
  <si>
    <t>Totaal overige incidentele correcties</t>
  </si>
  <si>
    <t>In 2023 wordt de vergoeding van de overdracht, de kosten van 2022 en 2023 in 1 keer verrekend. De activa werden op 31-12-2021 overgedragen dus past de ACM slechts 1 jaar aan heffingsrente toe. 
In 2025 wordt de vergoeding voor nieuwe investeringen in 2022 en 2023 in 1 keer verrekend</t>
  </si>
  <si>
    <t>Tabblad 23 - Incidentele correctie peakshaver</t>
  </si>
  <si>
    <t>Op dit tabblad wordt de incidentele correctie voor de peakshaver berekend</t>
  </si>
  <si>
    <t>GTS kan op dit tabblad in vormvrije wijze de berekeningen voor de tariefcorrecties die zij wil voorstellen opnemen. Hierbij moeten de totale correcties inclusief discontovoet in de blauwe cellen opgeteld worden.</t>
  </si>
  <si>
    <t>CPI van 2017 naar jaar</t>
  </si>
  <si>
    <t>CPI van 2018 naar jaar</t>
  </si>
  <si>
    <t>CPI van 2019 naar jaar</t>
  </si>
  <si>
    <t>Ophalen gegevens incidentele correctie</t>
  </si>
  <si>
    <t>Berekening kapitaalkosten doorrollen</t>
  </si>
  <si>
    <t>Kapitaalkosten doorrollen</t>
  </si>
  <si>
    <t>Vermogenskosten doorrollen KC buiten scope</t>
  </si>
  <si>
    <t>Kapitaalkosten doorrollen KC buiten scope</t>
  </si>
  <si>
    <t xml:space="preserve">Incidentele correctie inclusief heffingsrente </t>
  </si>
  <si>
    <t>Berekening algemene operationele kosten kwaliteitsconversietaak</t>
  </si>
  <si>
    <t xml:space="preserve">Algemene operationele kosten </t>
  </si>
  <si>
    <t>Algemene operationele kosten buiten scope KC</t>
  </si>
  <si>
    <t>Berekening inkoopkosten energie kwaliteitsconversie</t>
  </si>
  <si>
    <t>Inkoop energie buiten scope KC</t>
  </si>
  <si>
    <t>Nacalculatie gerealiseerde kosten bijschatten</t>
  </si>
  <si>
    <t>Na te calculeren kosten voor investeringen 2020</t>
  </si>
  <si>
    <t>Na te calculeren kosten voor investeringen 2021</t>
  </si>
  <si>
    <t>Na te calculeren kosten voor investeringen 2022</t>
  </si>
  <si>
    <t>Na te calculeren kosten voor investeringen 2023</t>
  </si>
  <si>
    <t>Na te calculeren kosten voor investeringen 2024</t>
  </si>
  <si>
    <t>Nacalculatie daling operationele kosten a.g.v. desinvesteringen</t>
  </si>
  <si>
    <t>Desinvesteringen Peakshaver buiten scope</t>
  </si>
  <si>
    <t>Niet van toepassing doordat de doorrol kapitaalkosten reeds gecorrigeerd worden onder "Berekening kapitaalkosten doorrollen".</t>
  </si>
  <si>
    <t>Totaal incidentele correctie Peakshaver</t>
  </si>
  <si>
    <t>Totaal incidentele correctie Peakshaver inclusief heffingsrente</t>
  </si>
  <si>
    <t>Tabblad 24 - Incidentele correcties</t>
  </si>
  <si>
    <t>Tabblad 25 - Toegestane inkomsten</t>
  </si>
  <si>
    <t xml:space="preserve">Op dit tabblad worden de totale inkomsten excl. correcties berekend door de begininkomsten aan te passen met de x-factor en de CPI. Vervolgens worden de totale inkomsten gecorrigeerd voor de nacalculaties om tot de toegestane inkomsten te komen. </t>
  </si>
  <si>
    <t xml:space="preserve">X-factor </t>
  </si>
  <si>
    <t>X-factor uit gewijzigd x-factorbesluit</t>
  </si>
  <si>
    <t xml:space="preserve">Begininkomsten uit gewijzigd x-factorbesluit </t>
  </si>
  <si>
    <t xml:space="preserve">Berekening totale inkomsten excl. tariefcorrecties </t>
  </si>
  <si>
    <t>Totale inkomsten excl. tariefcorrecties</t>
  </si>
  <si>
    <t>Zoals berekend voor het tariefbesluit in het betreffende jaar; 2022-2024 volgens het Methodebesluit 2022-2026, 2025 volgens het Gewijzigd Methodebesluit 2022-2026.</t>
  </si>
  <si>
    <t>Tariefcorrecties</t>
  </si>
  <si>
    <t>Toegestane inkomsten</t>
  </si>
  <si>
    <t xml:space="preserve">Toegestane inkomsten </t>
  </si>
  <si>
    <t>Tabblad 26 - Referentieprijsmethodologie</t>
  </si>
  <si>
    <t xml:space="preserve">De referentieprijsmethodologie is vastgesteld in de tarievencode gas. De methodologie betreft een "postzegel". Dat wil zeggen dat het tarief tot stand komt door de inkomsten voor entry-of exitcapaciteit te delen door de voorspelde entry- of exitcapaciteit. De inkomsten van GTS worden middels een verdeling van 40/60 verdeeld over entry- en exitcapaciteit. De gasopslagen hebben een korting van 75% en de entrypunten van LNG faciliteiten hebben een korting van 20%. Het inkomstenverlies als gevolg van deze kortingen, wordt verdeeld over alle punten. De wheelingtarieven komen tot stand door een korting van 94% toe te passen op de referentieprijs.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</si>
  <si>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</si>
  <si>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</si>
  <si>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</si>
  <si>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</si>
  <si>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</si>
  <si>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</si>
  <si>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</si>
  <si>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</si>
  <si>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</si>
  <si>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</si>
  <si>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</si>
  <si>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</si>
  <si>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</si>
  <si>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</si>
  <si>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</si>
  <si>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</si>
  <si>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</si>
  <si>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</si>
  <si>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Tabblad 27 - Entry- en exittarieven</t>
  </si>
  <si>
    <t xml:space="preserve">Op dit tabblad worden de entry- en exittarieven berekend. De tarieven worden berekend door de referentieprijs (die volgt uit het tabblad RPM) te delen door de duur van het product en vervolgens te vermenigvuldigen met de desbetreffende multiplicator en seizoensfactoren.
De within-day tarieven worden naar boven afgerond, zodat een 24-uurs within-day product niet goedkoper is dan een dag-product.
De tarieven worden vastgesteld op 8 decimalen, maar worden weergegeven op 3 of 5 decimalen. Door op de cel te klikken kunnen alle decimalen zichtbaar worden gemaakt.
</t>
  </si>
  <si>
    <t xml:space="preserve">De ACM heeft op verschillende entry- en exitpunten verschillende kortingen voor afschakelbare capaciteit vastgesteld, gebaseerd op de gerealiseerde kans op afschakelen. In de roze gemarkeerde cel J8 in tabblad 1. Entry- en exittarieven kunt u middels een dropdownmenu selecteren voor welk punt u de tarieven wil berekenen. </t>
  </si>
  <si>
    <t>Gekozen punt voor korting afschakelen</t>
  </si>
  <si>
    <t>Korting voor afschakelbare capaciteit entry</t>
  </si>
  <si>
    <t>Korting voor afschakelbare capaciteit exit</t>
  </si>
  <si>
    <t>Referentieprijzen na aanpassingen (onafgerond)</t>
  </si>
  <si>
    <t>EUR/kWh/uur/jaar, pp 2026</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</si>
  <si>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</si>
  <si>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</si>
  <si>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</si>
  <si>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</si>
  <si>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De nacalculatie in cel O124 bevat ook de kosten in cellen M115-M118 en N117-N118, omdat deze in de rekenmodule van tarievenbesluit 2023 nog niet verwerkt waren.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</si>
</sst>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_(* #,##0_);_(* \(#,##0\);_(* &quot;-&quot;??_);_(@_)"/>
    <numFmt numFmtId="266" formatCode="_ * #,##0_ ;_ * \-#,##0_ ;_ * &quot;-&quot;??????_ ;_ @_ "/>
    <numFmt numFmtId="267" formatCode="0.00000000"/>
    <numFmt numFmtId="268" formatCode="0.0000000000"/>
    <numFmt numFmtId="269" formatCode="_ * #,##0.00000_ ;_ * \-#,##0.00000_ ;_ * &quot;-&quot;??_ ;_ @_ "/>
    <numFmt numFmtId="270" formatCode="_ * #,##0.0_ ;_ * \-#,##0.0_ ;_ * &quot;-&quot;??_ ;_ @_ "/>
    <numFmt numFmtId="271" formatCode="0_ ;\-0\ "/>
    <numFmt numFmtId="272" formatCode="_ * #,##0.000_ ;_ * \-#,##0.000_ ;_ * &quot;-&quot;???_ ;_ @_ "/>
  </numFmts>
  <fonts count="262">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i/>
      <sz val="10"/>
      <color indexed="8"/>
      <name val="Arial"/>
      <family val="2"/>
    </font>
    <font>
      <sz val="8"/>
      <color indexed="81"/>
      <name val="Tahoma"/>
      <family val="2"/>
    </font>
    <font>
      <b/>
      <sz val="18"/>
      <color rgb="FFFF0000"/>
      <name val="Arial"/>
      <family val="2"/>
    </font>
    <font>
      <u/>
      <sz val="10"/>
      <color rgb="FF0000FF"/>
      <name val="Arial"/>
      <family val="2"/>
    </font>
    <font>
      <i/>
      <sz val="10"/>
      <color theme="1"/>
      <name val="Arial"/>
      <family val="2"/>
    </font>
    <font>
      <i/>
      <sz val="11"/>
      <name val="Arial"/>
      <family val="2"/>
    </font>
  </fonts>
  <fills count="1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rgb="FFCCCCFF"/>
        <bgColor indexed="64"/>
      </patternFill>
    </fill>
  </fills>
  <borders count="8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0038">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1" borderId="1">
      <alignment vertical="top"/>
    </xf>
    <xf numFmtId="49" fontId="7" fillId="0" borderId="0">
      <alignment vertical="top"/>
    </xf>
    <xf numFmtId="43" fontId="6" fillId="14" borderId="0">
      <alignment vertical="top"/>
    </xf>
    <xf numFmtId="43" fontId="6" fillId="13" borderId="0">
      <alignment vertical="top"/>
    </xf>
    <xf numFmtId="43" fontId="6" fillId="11" borderId="0">
      <alignment vertical="top"/>
    </xf>
    <xf numFmtId="43" fontId="6" fillId="7" borderId="0">
      <alignment vertical="top"/>
    </xf>
    <xf numFmtId="43" fontId="6" fillId="9" borderId="0">
      <alignment vertical="top"/>
    </xf>
    <xf numFmtId="43" fontId="6" fillId="15" borderId="0">
      <alignment vertical="top"/>
    </xf>
    <xf numFmtId="49" fontId="11" fillId="0" borderId="0">
      <alignment vertical="top"/>
    </xf>
    <xf numFmtId="49" fontId="10" fillId="0" borderId="0">
      <alignment vertical="top"/>
    </xf>
    <xf numFmtId="0" fontId="16" fillId="17" borderId="4" applyNumberFormat="0" applyAlignment="0" applyProtection="0"/>
    <xf numFmtId="0" fontId="17" fillId="18" borderId="5" applyNumberFormat="0" applyAlignment="0" applyProtection="0"/>
    <xf numFmtId="0" fontId="18" fillId="18" borderId="4" applyNumberFormat="0" applyAlignment="0" applyProtection="0"/>
    <xf numFmtId="0" fontId="19" fillId="0" borderId="6" applyNumberFormat="0" applyFill="0" applyAlignment="0" applyProtection="0"/>
    <xf numFmtId="0" fontId="13" fillId="19" borderId="7" applyNumberFormat="0" applyAlignment="0" applyProtection="0"/>
    <xf numFmtId="0" fontId="15" fillId="20"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9" fillId="45"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6" borderId="0" applyNumberFormat="0">
      <alignment vertical="top"/>
    </xf>
    <xf numFmtId="43" fontId="6" fillId="13"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2" fillId="59" borderId="0" applyNumberFormat="0" applyBorder="0" applyAlignment="0" applyProtection="0"/>
    <xf numFmtId="0" fontId="42"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2" fillId="63" borderId="0" applyNumberFormat="0" applyBorder="0" applyAlignment="0" applyProtection="0"/>
    <xf numFmtId="0" fontId="42"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41" fillId="69" borderId="0" applyNumberFormat="0" applyBorder="0" applyAlignment="0" applyProtection="0"/>
    <xf numFmtId="0" fontId="41" fillId="70" borderId="0" applyNumberFormat="0" applyBorder="0" applyAlignment="0" applyProtection="0"/>
    <xf numFmtId="0" fontId="42" fillId="63" borderId="0" applyNumberFormat="0" applyBorder="0" applyAlignment="0" applyProtection="0"/>
    <xf numFmtId="0" fontId="42" fillId="71" borderId="0" applyNumberFormat="0" applyBorder="0" applyAlignment="0" applyProtection="0"/>
    <xf numFmtId="0" fontId="41" fillId="64" borderId="0" applyNumberFormat="0" applyBorder="0" applyAlignment="0" applyProtection="0"/>
    <xf numFmtId="0" fontId="41" fillId="61" borderId="0" applyNumberFormat="0" applyBorder="0" applyAlignment="0" applyProtection="0"/>
    <xf numFmtId="0" fontId="42" fillId="72" borderId="0" applyNumberFormat="0" applyBorder="0" applyAlignment="0" applyProtection="0"/>
    <xf numFmtId="0" fontId="42" fillId="73"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2" fillId="75" borderId="0" applyNumberFormat="0" applyBorder="0" applyAlignment="0" applyProtection="0"/>
    <xf numFmtId="0" fontId="42" fillId="76" borderId="0" applyNumberFormat="0" applyBorder="0" applyAlignment="0" applyProtection="0"/>
    <xf numFmtId="0" fontId="41" fillId="77"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97" borderId="27" applyNumberFormat="0">
      <protection locked="0"/>
    </xf>
    <xf numFmtId="0" fontId="59" fillId="55" borderId="28" applyBorder="0"/>
    <xf numFmtId="4" fontId="60" fillId="85" borderId="25" applyNumberFormat="0" applyProtection="0">
      <alignment vertical="center"/>
    </xf>
    <xf numFmtId="4" fontId="40" fillId="85" borderId="2" applyNumberFormat="0" applyProtection="0">
      <alignment vertical="center"/>
    </xf>
    <xf numFmtId="4" fontId="60" fillId="52" borderId="25" applyNumberFormat="0" applyProtection="0">
      <alignment horizontal="left" vertical="center"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0" fontId="60" fillId="48" borderId="25" applyNumberFormat="0" applyProtection="0">
      <alignment horizontal="left" vertical="top" indent="1"/>
    </xf>
    <xf numFmtId="4" fontId="61" fillId="98" borderId="26" applyNumberFormat="0" applyProtection="0">
      <alignment horizontal="left" vertical="center" indent="1"/>
    </xf>
    <xf numFmtId="0" fontId="40" fillId="99" borderId="2"/>
    <xf numFmtId="4" fontId="62" fillId="97" borderId="16"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4" borderId="0" applyNumberFormat="0" applyBorder="0" applyAlignment="0" applyProtection="0"/>
    <xf numFmtId="0" fontId="70" fillId="86" borderId="0" applyNumberFormat="0" applyBorder="0" applyAlignment="0" applyProtection="0"/>
    <xf numFmtId="0" fontId="70" fillId="83" borderId="0" applyNumberFormat="0" applyBorder="0" applyAlignment="0" applyProtection="0"/>
    <xf numFmtId="0" fontId="70" fillId="105" borderId="0" applyNumberFormat="0" applyBorder="0" applyAlignment="0" applyProtection="0"/>
    <xf numFmtId="0" fontId="70" fillId="106" borderId="0" applyNumberFormat="0" applyBorder="0" applyAlignment="0" applyProtection="0"/>
    <xf numFmtId="0" fontId="70" fillId="51" borderId="0" applyNumberFormat="0" applyBorder="0" applyAlignment="0" applyProtection="0"/>
    <xf numFmtId="0" fontId="70" fillId="96" borderId="0" applyNumberFormat="0" applyBorder="0" applyAlignment="0" applyProtection="0"/>
    <xf numFmtId="0" fontId="70" fillId="107" borderId="0" applyNumberFormat="0" applyBorder="0" applyAlignment="0" applyProtection="0"/>
    <xf numFmtId="0" fontId="70" fillId="93" borderId="0" applyNumberFormat="0" applyBorder="0" applyAlignment="0" applyProtection="0"/>
    <xf numFmtId="0" fontId="70" fillId="105" borderId="0" applyNumberFormat="0" applyBorder="0" applyAlignment="0" applyProtection="0"/>
    <xf numFmtId="0" fontId="70" fillId="96" borderId="0" applyNumberFormat="0" applyBorder="0" applyAlignment="0" applyProtection="0"/>
    <xf numFmtId="0" fontId="70" fillId="57" borderId="0" applyNumberFormat="0" applyBorder="0" applyAlignment="0" applyProtection="0"/>
    <xf numFmtId="0" fontId="71" fillId="108" borderId="0" applyNumberFormat="0" applyBorder="0" applyAlignment="0" applyProtection="0"/>
    <xf numFmtId="0" fontId="71" fillId="107" borderId="0" applyNumberFormat="0" applyBorder="0" applyAlignment="0" applyProtection="0"/>
    <xf numFmtId="0" fontId="71" fillId="93" borderId="0" applyNumberFormat="0" applyBorder="0" applyAlignment="0" applyProtection="0"/>
    <xf numFmtId="0" fontId="71" fillId="109" borderId="0" applyNumberFormat="0" applyBorder="0" applyAlignment="0" applyProtection="0"/>
    <xf numFmtId="0" fontId="71" fillId="88" borderId="0" applyNumberFormat="0" applyBorder="0" applyAlignment="0" applyProtection="0"/>
    <xf numFmtId="0" fontId="71" fillId="91" borderId="0" applyNumberFormat="0" applyBorder="0" applyAlignment="0" applyProtection="0"/>
    <xf numFmtId="0" fontId="71" fillId="110" borderId="0" applyNumberFormat="0" applyBorder="0" applyAlignment="0" applyProtection="0"/>
    <xf numFmtId="0" fontId="71" fillId="90" borderId="0" applyNumberFormat="0" applyBorder="0" applyAlignment="0" applyProtection="0"/>
    <xf numFmtId="0" fontId="71" fillId="53" borderId="0" applyNumberFormat="0" applyBorder="0" applyAlignment="0" applyProtection="0"/>
    <xf numFmtId="0" fontId="71" fillId="109" borderId="0" applyNumberFormat="0" applyBorder="0" applyAlignment="0" applyProtection="0"/>
    <xf numFmtId="0" fontId="71" fillId="88" borderId="0" applyNumberFormat="0" applyBorder="0" applyAlignment="0" applyProtection="0"/>
    <xf numFmtId="0" fontId="71" fillId="92" borderId="0" applyNumberFormat="0" applyBorder="0" applyAlignment="0" applyProtection="0"/>
    <xf numFmtId="0" fontId="72" fillId="52" borderId="24" applyNumberFormat="0" applyAlignment="0" applyProtection="0"/>
    <xf numFmtId="0" fontId="56" fillId="86" borderId="0" applyNumberFormat="0" applyBorder="0" applyAlignment="0" applyProtection="0"/>
    <xf numFmtId="0" fontId="73" fillId="52" borderId="15" applyNumberFormat="0" applyAlignment="0" applyProtection="0"/>
    <xf numFmtId="0" fontId="43" fillId="52" borderId="15" applyNumberFormat="0" applyAlignment="0" applyProtection="0"/>
    <xf numFmtId="0" fontId="45" fillId="79" borderId="17" applyNumberFormat="0" applyAlignment="0" applyProtection="0"/>
    <xf numFmtId="0" fontId="74" fillId="51" borderId="15" applyNumberFormat="0" applyAlignment="0" applyProtection="0"/>
    <xf numFmtId="0" fontId="75" fillId="0" borderId="29"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3" borderId="0" applyNumberFormat="0" applyBorder="0" applyAlignment="0" applyProtection="0"/>
    <xf numFmtId="0" fontId="77" fillId="83" borderId="0" applyNumberFormat="0" applyBorder="0" applyAlignment="0" applyProtection="0"/>
    <xf numFmtId="0" fontId="59" fillId="0" borderId="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51" fillId="51" borderId="15" applyNumberFormat="0" applyAlignment="0" applyProtection="0"/>
    <xf numFmtId="168" fontId="6" fillId="0" borderId="0" applyFont="0" applyFill="0" applyBorder="0" applyAlignment="0" applyProtection="0"/>
    <xf numFmtId="0" fontId="48" fillId="0" borderId="18" applyNumberFormat="0" applyFill="0" applyAlignment="0" applyProtection="0"/>
    <xf numFmtId="0" fontId="6" fillId="0" borderId="0" applyNumberFormat="0" applyFill="0" applyBorder="0" applyAlignment="0" applyProtection="0"/>
    <xf numFmtId="0" fontId="55" fillId="84" borderId="0" applyNumberFormat="0" applyBorder="0" applyAlignment="0" applyProtection="0"/>
    <xf numFmtId="0" fontId="6" fillId="85" borderId="23" applyNumberFormat="0" applyFont="0" applyAlignment="0" applyProtection="0"/>
    <xf numFmtId="0" fontId="70" fillId="85" borderId="23" applyNumberFormat="0" applyFont="0" applyAlignment="0" applyProtection="0"/>
    <xf numFmtId="0" fontId="57" fillId="52" borderId="24"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6" borderId="0" applyNumberFormat="0" applyBorder="0" applyAlignment="0" applyProtection="0"/>
    <xf numFmtId="0" fontId="64" fillId="0" borderId="0" applyNumberFormat="0" applyFill="0" applyBorder="0" applyAlignment="0" applyProtection="0"/>
    <xf numFmtId="0" fontId="46" fillId="0" borderId="29" applyNumberFormat="0" applyFill="0" applyAlignment="0" applyProtection="0"/>
    <xf numFmtId="0" fontId="64" fillId="0" borderId="0" applyNumberFormat="0" applyFill="0" applyBorder="0" applyAlignment="0" applyProtection="0"/>
    <xf numFmtId="0" fontId="79" fillId="0" borderId="19"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0" applyNumberFormat="0" applyFill="0" applyBorder="0" applyAlignment="0" applyProtection="0"/>
    <xf numFmtId="0" fontId="82" fillId="0" borderId="18"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9" borderId="17" applyNumberFormat="0" applyAlignment="0" applyProtection="0"/>
    <xf numFmtId="0" fontId="6" fillId="0" borderId="0"/>
    <xf numFmtId="0" fontId="1" fillId="0" borderId="0"/>
    <xf numFmtId="4" fontId="40" fillId="88" borderId="16" applyNumberFormat="0" applyProtection="0">
      <alignment horizontal="left" vertical="center" indent="1"/>
    </xf>
    <xf numFmtId="0" fontId="6" fillId="0" borderId="0"/>
    <xf numFmtId="168" fontId="6" fillId="0" borderId="0" applyFont="0" applyFill="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3" fillId="52" borderId="15" applyNumberFormat="0" applyAlignment="0" applyProtection="0"/>
    <xf numFmtId="0" fontId="45" fillId="79" borderId="17" applyNumberFormat="0" applyAlignment="0" applyProtection="0"/>
    <xf numFmtId="0" fontId="48" fillId="0" borderId="18" applyNumberFormat="0" applyFill="0" applyAlignment="0" applyProtection="0"/>
    <xf numFmtId="0" fontId="49" fillId="83" borderId="0" applyNumberFormat="0" applyBorder="0" applyAlignment="0" applyProtection="0"/>
    <xf numFmtId="0" fontId="51" fillId="51" borderId="15" applyNumberFormat="0" applyAlignment="0" applyProtection="0"/>
    <xf numFmtId="168" fontId="6" fillId="0" borderId="0" applyFont="0" applyFill="0" applyBorder="0" applyAlignment="0" applyProtection="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4" borderId="0" applyNumberFormat="0" applyBorder="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6" fillId="86" borderId="0" applyNumberFormat="0" applyBorder="0" applyAlignment="0" applyProtection="0"/>
    <xf numFmtId="9" fontId="6" fillId="0" borderId="0" applyFont="0" applyFill="0" applyBorder="0" applyAlignment="0" applyProtection="0"/>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4" fontId="40" fillId="85" borderId="2" applyNumberFormat="0" applyProtection="0">
      <alignment vertical="center"/>
    </xf>
    <xf numFmtId="4" fontId="85" fillId="111" borderId="2" applyNumberFormat="0" applyProtection="0">
      <alignmen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112" borderId="16" applyNumberFormat="0" applyProtection="0">
      <alignment horizontal="left" vertical="center" indent="1"/>
    </xf>
    <xf numFmtId="0" fontId="40" fillId="99" borderId="2"/>
    <xf numFmtId="0" fontId="40" fillId="99" borderId="2"/>
    <xf numFmtId="0" fontId="64" fillId="0" borderId="0" applyNumberFormat="0" applyFill="0" applyBorder="0" applyAlignment="0" applyProtection="0"/>
    <xf numFmtId="0" fontId="46" fillId="0" borderId="29" applyNumberFormat="0" applyFill="0" applyAlignment="0" applyProtection="0"/>
    <xf numFmtId="0" fontId="57" fillId="52" borderId="24"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5" borderId="26" applyNumberFormat="0" applyProtection="0">
      <alignment horizontal="left" vertical="center" indent="1"/>
    </xf>
    <xf numFmtId="4" fontId="6" fillId="55" borderId="26"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5" borderId="23"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2" borderId="15" applyNumberFormat="0" applyAlignment="0" applyProtection="0"/>
    <xf numFmtId="0" fontId="44" fillId="78" borderId="16" applyNumberFormat="0" applyAlignment="0" applyProtection="0"/>
    <xf numFmtId="0" fontId="86" fillId="0" borderId="0" applyNumberFormat="0" applyFill="0" applyBorder="0" applyAlignment="0" applyProtection="0">
      <alignment vertical="top"/>
      <protection locked="0"/>
    </xf>
    <xf numFmtId="0" fontId="50" fillId="76" borderId="16" applyNumberFormat="0" applyAlignment="0" applyProtection="0"/>
    <xf numFmtId="0" fontId="51" fillId="51" borderId="15"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7" fillId="78" borderId="24" applyNumberFormat="0" applyAlignment="0" applyProtection="0"/>
    <xf numFmtId="165" fontId="6" fillId="10" borderId="36" applyBorder="0" applyProtection="0">
      <alignment horizontal="center" vertical="center"/>
    </xf>
    <xf numFmtId="9" fontId="37"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59" fillId="55" borderId="28" applyBorder="0"/>
    <xf numFmtId="4" fontId="60" fillId="85" borderId="25"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60" fillId="52" borderId="25" applyNumberFormat="0" applyProtection="0">
      <alignment horizontal="left" vertical="center"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4" fontId="61" fillId="98" borderId="26" applyNumberFormat="0" applyProtection="0">
      <alignment horizontal="left" vertical="center" indent="1"/>
    </xf>
    <xf numFmtId="0" fontId="40" fillId="99" borderId="2"/>
    <xf numFmtId="0" fontId="40" fillId="99" borderId="2"/>
    <xf numFmtId="4" fontId="62" fillId="97" borderId="16"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9" applyNumberFormat="0" applyFill="0" applyAlignment="0" applyProtection="0"/>
    <xf numFmtId="0" fontId="46" fillId="0" borderId="30" applyNumberFormat="0" applyFill="0" applyAlignment="0" applyProtection="0"/>
    <xf numFmtId="0" fontId="57" fillId="52" borderId="24"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173" fontId="6" fillId="0" borderId="0" applyFont="0" applyFill="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32" fillId="116" borderId="24"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32" fillId="124" borderId="37"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89" fillId="125" borderId="0"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4" fontId="32" fillId="111" borderId="24"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88" fillId="111" borderId="24"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32" fillId="111" borderId="24"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24" borderId="24"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0" fontId="6" fillId="126" borderId="24"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90" fillId="0" borderId="0"/>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4" fontId="68" fillId="124" borderId="24"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99" fillId="26"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99" fillId="45" borderId="0" applyNumberFormat="0" applyBorder="0" applyAlignment="0" applyProtection="0"/>
    <xf numFmtId="0" fontId="99" fillId="22" borderId="0" applyNumberFormat="0" applyBorder="0" applyAlignment="0" applyProtection="0"/>
    <xf numFmtId="0" fontId="99" fillId="30" borderId="0" applyNumberFormat="0" applyBorder="0" applyAlignment="0" applyProtection="0"/>
    <xf numFmtId="0" fontId="99" fillId="26" borderId="0" applyNumberFormat="0" applyBorder="0" applyAlignment="0" applyProtection="0"/>
    <xf numFmtId="0" fontId="99" fillId="34" borderId="0" applyNumberFormat="0" applyBorder="0" applyAlignment="0" applyProtection="0"/>
    <xf numFmtId="0" fontId="99" fillId="30" borderId="0" applyNumberFormat="0" applyBorder="0" applyAlignment="0" applyProtection="0"/>
    <xf numFmtId="0" fontId="99" fillId="38" borderId="0" applyNumberFormat="0" applyBorder="0" applyAlignment="0" applyProtection="0"/>
    <xf numFmtId="0" fontId="99" fillId="34" borderId="0" applyNumberFormat="0" applyBorder="0" applyAlignment="0" applyProtection="0"/>
    <xf numFmtId="0" fontId="99" fillId="42" borderId="0" applyNumberFormat="0" applyBorder="0" applyAlignment="0" applyProtection="0"/>
    <xf numFmtId="0" fontId="99" fillId="38" borderId="0" applyNumberFormat="0" applyBorder="0" applyAlignment="0" applyProtection="0"/>
    <xf numFmtId="0" fontId="99" fillId="42" borderId="0" applyNumberFormat="0" applyBorder="0" applyAlignment="0" applyProtection="0"/>
    <xf numFmtId="0" fontId="100" fillId="18"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20" borderId="8" applyNumberFormat="0" applyFont="0" applyAlignment="0" applyProtection="0"/>
    <xf numFmtId="9" fontId="1" fillId="0" borderId="0" applyFont="0" applyFill="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99" fillId="45"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72" fillId="52" borderId="24" applyNumberFormat="0" applyAlignment="0" applyProtection="0"/>
    <xf numFmtId="0" fontId="104" fillId="75" borderId="0" applyNumberFormat="0" applyBorder="0" applyAlignment="0" applyProtection="0"/>
    <xf numFmtId="0" fontId="104" fillId="75" borderId="0" applyNumberFormat="0" applyBorder="0" applyAlignment="0" applyProtection="0"/>
    <xf numFmtId="0" fontId="73" fillId="52" borderId="15" applyNumberFormat="0" applyAlignment="0" applyProtection="0"/>
    <xf numFmtId="0" fontId="100" fillId="18" borderId="4"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5" fillId="70" borderId="17" applyNumberFormat="0" applyAlignment="0" applyProtection="0"/>
    <xf numFmtId="0" fontId="45" fillId="70" borderId="17" applyNumberFormat="0" applyAlignment="0" applyProtection="0"/>
    <xf numFmtId="0" fontId="45" fillId="79" borderId="17" applyNumberFormat="0" applyAlignment="0" applyProtection="0"/>
    <xf numFmtId="0" fontId="74" fillId="51" borderId="15" applyNumberFormat="0" applyAlignment="0" applyProtection="0"/>
    <xf numFmtId="0" fontId="75" fillId="0" borderId="29"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2" applyNumberFormat="0" applyFill="0" applyAlignment="0" applyProtection="0"/>
    <xf numFmtId="0" fontId="48" fillId="0" borderId="18" applyNumberFormat="0" applyFill="0" applyAlignment="0" applyProtection="0"/>
    <xf numFmtId="0" fontId="49" fillId="0" borderId="22" applyNumberFormat="0" applyFill="0" applyAlignment="0" applyProtection="0"/>
    <xf numFmtId="0" fontId="101" fillId="0" borderId="6" applyNumberFormat="0" applyFill="0" applyAlignment="0" applyProtection="0"/>
    <xf numFmtId="0" fontId="42" fillId="68" borderId="0" applyNumberFormat="0" applyBorder="0" applyAlignment="0" applyProtection="0"/>
    <xf numFmtId="0" fontId="49" fillId="83" borderId="0" applyNumberFormat="0" applyBorder="0" applyAlignment="0" applyProtection="0"/>
    <xf numFmtId="0" fontId="42" fillId="68" borderId="0" applyNumberFormat="0" applyBorder="0" applyAlignment="0" applyProtection="0"/>
    <xf numFmtId="0" fontId="3" fillId="2" borderId="0" applyNumberFormat="0" applyBorder="0" applyAlignment="0" applyProtection="0"/>
    <xf numFmtId="0" fontId="106" fillId="0" borderId="38" applyNumberFormat="0" applyFill="0" applyAlignment="0" applyProtection="0"/>
    <xf numFmtId="0" fontId="106" fillId="0" borderId="38" applyNumberFormat="0" applyFill="0" applyAlignment="0" applyProtection="0"/>
    <xf numFmtId="0" fontId="107" fillId="0" borderId="39" applyNumberFormat="0" applyFill="0" applyAlignment="0" applyProtection="0"/>
    <xf numFmtId="0" fontId="107" fillId="0" borderId="39" applyNumberFormat="0" applyFill="0" applyAlignment="0" applyProtection="0"/>
    <xf numFmtId="0" fontId="108" fillId="0" borderId="40" applyNumberFormat="0" applyFill="0" applyAlignment="0" applyProtection="0"/>
    <xf numFmtId="0" fontId="108" fillId="0" borderId="40"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49" fillId="76" borderId="0" applyNumberFormat="0" applyBorder="0" applyAlignment="0" applyProtection="0"/>
    <xf numFmtId="0" fontId="55" fillId="84" borderId="0" applyNumberFormat="0" applyBorder="0" applyAlignment="0" applyProtection="0"/>
    <xf numFmtId="0" fontId="49" fillId="76" borderId="0" applyNumberFormat="0" applyBorder="0" applyAlignment="0" applyProtection="0"/>
    <xf numFmtId="0" fontId="5" fillId="4" borderId="0" applyNumberFormat="0" applyBorder="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70" fillId="85" borderId="23" applyNumberFormat="0" applyFont="0" applyAlignment="0" applyProtection="0"/>
    <xf numFmtId="0" fontId="56" fillId="86" borderId="0" applyNumberFormat="0" applyBorder="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85" fillId="87"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0" fontId="58" fillId="111" borderId="25" applyNumberFormat="0" applyProtection="0">
      <alignment horizontal="left" vertical="top"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32" fillId="124" borderId="37"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40" fillId="103" borderId="25" applyNumberFormat="0" applyProtection="0">
      <alignment horizontal="left" vertical="top"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40" fillId="128" borderId="25" applyNumberFormat="0" applyProtection="0">
      <alignment horizontal="left" vertical="top" indent="1"/>
    </xf>
    <xf numFmtId="0" fontId="40" fillId="47" borderId="25" applyNumberFormat="0" applyProtection="0">
      <alignment horizontal="left" vertical="top" indent="1"/>
    </xf>
    <xf numFmtId="0" fontId="40" fillId="113" borderId="27" applyNumberFormat="0">
      <protection locked="0"/>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103"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60" fillId="85" borderId="25"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88" fillId="111" borderId="24" applyNumberFormat="0" applyProtection="0">
      <alignment vertical="center"/>
    </xf>
    <xf numFmtId="4" fontId="85" fillId="111" borderId="2" applyNumberFormat="0" applyProtection="0">
      <alignment vertical="center"/>
    </xf>
    <xf numFmtId="4" fontId="40" fillId="85" borderId="2"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60" fillId="103" borderId="25" applyNumberFormat="0" applyProtection="0">
      <alignment horizontal="left" vertical="center" indent="1"/>
    </xf>
    <xf numFmtId="4" fontId="60" fillId="52"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85" fillId="101"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0" fillId="112" borderId="0" applyNumberFormat="0" applyProtection="0">
      <alignment horizontal="left" vertical="top" indent="1"/>
    </xf>
    <xf numFmtId="0" fontId="60" fillId="48" borderId="25"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129" borderId="26" applyNumberFormat="0" applyProtection="0">
      <alignment horizontal="left" vertical="center" indent="1"/>
    </xf>
    <xf numFmtId="4" fontId="61" fillId="98" borderId="26" applyNumberFormat="0" applyProtection="0">
      <alignment horizontal="left" vertical="center" indent="1"/>
    </xf>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4" fontId="62" fillId="97" borderId="16" applyNumberFormat="0" applyProtection="0">
      <alignment horizontal="right" vertical="center"/>
    </xf>
    <xf numFmtId="0" fontId="6" fillId="0" borderId="0" applyNumberFormat="0" applyFill="0" applyBorder="0" applyAlignment="0" applyProtection="0"/>
    <xf numFmtId="0" fontId="40" fillId="13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3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30"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4" fillId="78" borderId="16" applyNumberFormat="0" applyAlignment="0" applyProtection="0"/>
    <xf numFmtId="0" fontId="49" fillId="0" borderId="22" applyNumberFormat="0" applyFill="0" applyAlignment="0" applyProtection="0"/>
    <xf numFmtId="0" fontId="42" fillId="68" borderId="0" applyNumberFormat="0" applyBorder="0" applyAlignment="0" applyProtection="0"/>
    <xf numFmtId="0" fontId="42" fillId="6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2" applyNumberFormat="0" applyFill="0" applyAlignment="0" applyProtection="0"/>
    <xf numFmtId="0" fontId="49" fillId="76" borderId="0" applyNumberFormat="0" applyBorder="0" applyAlignment="0" applyProtection="0"/>
    <xf numFmtId="0" fontId="49" fillId="76" borderId="0" applyNumberFormat="0" applyBorder="0" applyAlignment="0" applyProtection="0"/>
    <xf numFmtId="0" fontId="6" fillId="85" borderId="23"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3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8" applyNumberFormat="0" applyFont="0" applyAlignment="0" applyProtection="0"/>
    <xf numFmtId="0" fontId="1" fillId="20"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4" fillId="3" borderId="0" applyNumberFormat="0" applyBorder="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100" fillId="18" borderId="4"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97" fillId="19" borderId="7" applyNumberFormat="0" applyAlignment="0" applyProtection="0"/>
    <xf numFmtId="168" fontId="6" fillId="0" borderId="0" applyFont="0" applyFill="0" applyBorder="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95" fillId="17" borderId="4"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96" fillId="18"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103" borderId="28" applyBorder="0"/>
    <xf numFmtId="0" fontId="59" fillId="103" borderId="28" applyBorder="0"/>
    <xf numFmtId="0" fontId="59" fillId="103" borderId="28" applyBorder="0"/>
    <xf numFmtId="0" fontId="59" fillId="103" borderId="28" applyBorder="0"/>
    <xf numFmtId="0" fontId="59" fillId="103" borderId="28" applyBorder="0"/>
    <xf numFmtId="0" fontId="59" fillId="103"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5" fillId="111" borderId="2"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112" borderId="0"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102" fillId="0" borderId="12"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60" borderId="42">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100" borderId="0"/>
    <xf numFmtId="0" fontId="7" fillId="100" borderId="0"/>
    <xf numFmtId="0" fontId="10" fillId="100" borderId="0"/>
    <xf numFmtId="0" fontId="22" fillId="100" borderId="0"/>
    <xf numFmtId="0" fontId="118" fillId="100" borderId="0"/>
    <xf numFmtId="0" fontId="119" fillId="100" borderId="0"/>
    <xf numFmtId="0" fontId="40" fillId="100"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1" borderId="43"/>
    <xf numFmtId="187" fontId="6" fillId="111" borderId="43"/>
    <xf numFmtId="187" fontId="6" fillId="111" borderId="43"/>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1"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4"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100" borderId="0"/>
    <xf numFmtId="0" fontId="7" fillId="100" borderId="0"/>
    <xf numFmtId="0" fontId="10" fillId="100" borderId="0"/>
    <xf numFmtId="0" fontId="6" fillId="100" borderId="0"/>
    <xf numFmtId="0" fontId="118" fillId="100" borderId="0"/>
    <xf numFmtId="0" fontId="119" fillId="100" borderId="0"/>
    <xf numFmtId="0" fontId="40" fillId="100"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4"/>
    <xf numFmtId="0" fontId="127" fillId="23" borderId="0" applyNumberFormat="0" applyBorder="0" applyAlignment="0" applyProtection="0"/>
    <xf numFmtId="0" fontId="32" fillId="47" borderId="0" applyNumberFormat="0" applyBorder="0" applyAlignment="0" applyProtection="0"/>
    <xf numFmtId="0" fontId="42" fillId="104" borderId="0" applyNumberFormat="0" applyBorder="0" applyAlignment="0" applyProtection="0"/>
    <xf numFmtId="0" fontId="32" fillId="47" borderId="0" applyNumberFormat="0" applyBorder="0" applyAlignment="0" applyProtection="0"/>
    <xf numFmtId="0" fontId="127" fillId="27" borderId="0" applyNumberFormat="0" applyBorder="0" applyAlignment="0" applyProtection="0"/>
    <xf numFmtId="0" fontId="32" fillId="48" borderId="0" applyNumberFormat="0" applyBorder="0" applyAlignment="0" applyProtection="0"/>
    <xf numFmtId="0" fontId="42" fillId="86" borderId="0" applyNumberFormat="0" applyBorder="0" applyAlignment="0" applyProtection="0"/>
    <xf numFmtId="0" fontId="32" fillId="48" borderId="0" applyNumberFormat="0" applyBorder="0" applyAlignment="0" applyProtection="0"/>
    <xf numFmtId="0" fontId="127" fillId="106" borderId="0" applyNumberFormat="0" applyBorder="0" applyAlignment="0" applyProtection="0"/>
    <xf numFmtId="0" fontId="32" fillId="49" borderId="0" applyNumberFormat="0" applyBorder="0" applyAlignment="0" applyProtection="0"/>
    <xf numFmtId="0" fontId="42" fillId="83" borderId="0" applyNumberFormat="0" applyBorder="0" applyAlignment="0" applyProtection="0"/>
    <xf numFmtId="0" fontId="32" fillId="49" borderId="0" applyNumberFormat="0" applyBorder="0" applyAlignment="0" applyProtection="0"/>
    <xf numFmtId="0" fontId="127" fillId="35" borderId="0" applyNumberFormat="0" applyBorder="0" applyAlignment="0" applyProtection="0"/>
    <xf numFmtId="0" fontId="32" fillId="50" borderId="0" applyNumberFormat="0" applyBorder="0" applyAlignment="0" applyProtection="0"/>
    <xf numFmtId="0" fontId="42" fillId="105" borderId="0" applyNumberFormat="0" applyBorder="0" applyAlignment="0" applyProtection="0"/>
    <xf numFmtId="0" fontId="32" fillId="50" borderId="0" applyNumberFormat="0" applyBorder="0" applyAlignment="0" applyProtection="0"/>
    <xf numFmtId="0" fontId="127" fillId="39"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43" borderId="0" applyNumberFormat="0" applyBorder="0" applyAlignment="0" applyProtection="0"/>
    <xf numFmtId="0" fontId="32" fillId="51" borderId="0" applyNumberFormat="0" applyBorder="0" applyAlignment="0" applyProtection="0"/>
    <xf numFmtId="0" fontId="42" fillId="51" borderId="0" applyNumberFormat="0" applyBorder="0" applyAlignment="0" applyProtection="0"/>
    <xf numFmtId="0" fontId="32" fillId="51" borderId="0" applyNumberFormat="0" applyBorder="0" applyAlignment="0" applyProtection="0"/>
    <xf numFmtId="0" fontId="127" fillId="106" borderId="0" applyNumberFormat="0" applyBorder="0" applyAlignment="0" applyProtection="0"/>
    <xf numFmtId="0" fontId="32" fillId="52" borderId="0" applyNumberFormat="0" applyBorder="0" applyAlignment="0" applyProtection="0"/>
    <xf numFmtId="0" fontId="42" fillId="96" borderId="0" applyNumberFormat="0" applyBorder="0" applyAlignment="0" applyProtection="0"/>
    <xf numFmtId="0" fontId="32" fillId="52" borderId="0" applyNumberFormat="0" applyBorder="0" applyAlignment="0" applyProtection="0"/>
    <xf numFmtId="0" fontId="127" fillId="28" borderId="0" applyNumberFormat="0" applyBorder="0" applyAlignment="0" applyProtection="0"/>
    <xf numFmtId="0" fontId="32" fillId="48" borderId="0" applyNumberFormat="0" applyBorder="0" applyAlignment="0" applyProtection="0"/>
    <xf numFmtId="0" fontId="42" fillId="107" borderId="0" applyNumberFormat="0" applyBorder="0" applyAlignment="0" applyProtection="0"/>
    <xf numFmtId="0" fontId="32" fillId="48" borderId="0" applyNumberFormat="0" applyBorder="0" applyAlignment="0" applyProtection="0"/>
    <xf numFmtId="0" fontId="127" fillId="131" borderId="0" applyNumberFormat="0" applyBorder="0" applyAlignment="0" applyProtection="0"/>
    <xf numFmtId="0" fontId="32" fillId="53" borderId="0" applyNumberFormat="0" applyBorder="0" applyAlignment="0" applyProtection="0"/>
    <xf numFmtId="0" fontId="42" fillId="93" borderId="0" applyNumberFormat="0" applyBorder="0" applyAlignment="0" applyProtection="0"/>
    <xf numFmtId="0" fontId="32" fillId="53" borderId="0" applyNumberFormat="0" applyBorder="0" applyAlignment="0" applyProtection="0"/>
    <xf numFmtId="0" fontId="127" fillId="85" borderId="0" applyNumberFormat="0" applyBorder="0" applyAlignment="0" applyProtection="0"/>
    <xf numFmtId="0" fontId="32" fillId="54" borderId="0" applyNumberFormat="0" applyBorder="0" applyAlignment="0" applyProtection="0"/>
    <xf numFmtId="0" fontId="42" fillId="105" borderId="0" applyNumberFormat="0" applyBorder="0" applyAlignment="0" applyProtection="0"/>
    <xf numFmtId="0" fontId="32" fillId="54" borderId="0" applyNumberFormat="0" applyBorder="0" applyAlignment="0" applyProtection="0"/>
    <xf numFmtId="0" fontId="127" fillId="40" borderId="0" applyNumberFormat="0" applyBorder="0" applyAlignment="0" applyProtection="0"/>
    <xf numFmtId="0" fontId="32" fillId="55" borderId="0" applyNumberFormat="0" applyBorder="0" applyAlignment="0" applyProtection="0"/>
    <xf numFmtId="0" fontId="42" fillId="96" borderId="0" applyNumberFormat="0" applyBorder="0" applyAlignment="0" applyProtection="0"/>
    <xf numFmtId="0" fontId="32" fillId="55" borderId="0" applyNumberFormat="0" applyBorder="0" applyAlignment="0" applyProtection="0"/>
    <xf numFmtId="0" fontId="127" fillId="85" borderId="0" applyNumberFormat="0" applyBorder="0" applyAlignment="0" applyProtection="0"/>
    <xf numFmtId="0" fontId="32" fillId="51" borderId="0" applyNumberFormat="0" applyBorder="0" applyAlignment="0" applyProtection="0"/>
    <xf numFmtId="0" fontId="42" fillId="57" borderId="0" applyNumberFormat="0" applyBorder="0" applyAlignment="0" applyProtection="0"/>
    <xf numFmtId="0" fontId="32" fillId="51"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5" borderId="0" applyNumberFormat="0" applyBorder="0" applyAlignment="0" applyProtection="0"/>
    <xf numFmtId="0" fontId="39" fillId="56" borderId="0" applyNumberFormat="0" applyBorder="0" applyAlignment="0" applyProtection="0"/>
    <xf numFmtId="0" fontId="41" fillId="108"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39" fillId="56" borderId="0" applyNumberFormat="0" applyBorder="0" applyAlignment="0" applyProtection="0"/>
    <xf numFmtId="0" fontId="130" fillId="51" borderId="0" applyNumberFormat="0" applyBorder="0" applyAlignment="0" applyProtection="0"/>
    <xf numFmtId="0" fontId="39" fillId="48" borderId="0" applyNumberFormat="0" applyBorder="0" applyAlignment="0" applyProtection="0"/>
    <xf numFmtId="0" fontId="41" fillId="107"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39" fillId="48" borderId="0" applyNumberFormat="0" applyBorder="0" applyAlignment="0" applyProtection="0"/>
    <xf numFmtId="0" fontId="130" fillId="131" borderId="0" applyNumberFormat="0" applyBorder="0" applyAlignment="0" applyProtection="0"/>
    <xf numFmtId="0" fontId="39" fillId="53" borderId="0" applyNumberFormat="0" applyBorder="0" applyAlignment="0" applyProtection="0"/>
    <xf numFmtId="0" fontId="41" fillId="9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39" fillId="53" borderId="0" applyNumberFormat="0" applyBorder="0" applyAlignment="0" applyProtection="0"/>
    <xf numFmtId="0" fontId="130" fillId="37" borderId="0" applyNumberFormat="0" applyBorder="0" applyAlignment="0" applyProtection="0"/>
    <xf numFmtId="0" fontId="39" fillId="54" borderId="0" applyNumberFormat="0" applyBorder="0" applyAlignment="0" applyProtection="0"/>
    <xf numFmtId="0" fontId="41" fillId="109"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39" fillId="54" borderId="0" applyNumberFormat="0" applyBorder="0" applyAlignment="0" applyProtection="0"/>
    <xf numFmtId="0" fontId="130" fillId="41" borderId="0" applyNumberFormat="0" applyBorder="0" applyAlignment="0" applyProtection="0"/>
    <xf numFmtId="0" fontId="39" fillId="56" borderId="0" applyNumberFormat="0" applyBorder="0" applyAlignment="0" applyProtection="0"/>
    <xf numFmtId="0" fontId="41" fillId="88"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39" fillId="56" borderId="0" applyNumberFormat="0" applyBorder="0" applyAlignment="0" applyProtection="0"/>
    <xf numFmtId="0" fontId="130" fillId="132" borderId="0" applyNumberFormat="0" applyBorder="0" applyAlignment="0" applyProtection="0"/>
    <xf numFmtId="0" fontId="39" fillId="57" borderId="0" applyNumberFormat="0" applyBorder="0" applyAlignment="0" applyProtection="0"/>
    <xf numFmtId="0" fontId="41" fillId="91" borderId="0" applyNumberFormat="0" applyBorder="0" applyAlignment="0" applyProtection="0"/>
    <xf numFmtId="0" fontId="130" fillId="45" borderId="0" applyNumberFormat="0" applyBorder="0" applyAlignment="0" applyProtection="0"/>
    <xf numFmtId="0" fontId="99" fillId="45" borderId="0" applyNumberFormat="0" applyBorder="0" applyAlignment="0" applyProtection="0"/>
    <xf numFmtId="0" fontId="39" fillId="57" borderId="0" applyNumberFormat="0" applyBorder="0" applyAlignment="0" applyProtection="0"/>
    <xf numFmtId="0" fontId="131" fillId="0" borderId="33" applyBorder="0"/>
    <xf numFmtId="0" fontId="131" fillId="0" borderId="33" applyBorder="0"/>
    <xf numFmtId="0" fontId="131" fillId="0" borderId="33" applyBorder="0"/>
    <xf numFmtId="0" fontId="131" fillId="0" borderId="33" applyBorder="0"/>
    <xf numFmtId="0" fontId="130" fillId="22" borderId="0" applyNumberFormat="0" applyBorder="0" applyAlignment="0" applyProtection="0"/>
    <xf numFmtId="0" fontId="130" fillId="22"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51"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130" fillId="26"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8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130" fillId="3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34" fillId="133" borderId="46">
      <alignment horizontal="center" vertical="center"/>
    </xf>
    <xf numFmtId="0" fontId="110" fillId="0" borderId="32"/>
    <xf numFmtId="0" fontId="6" fillId="0" borderId="0"/>
    <xf numFmtId="0" fontId="110" fillId="0" borderId="14" applyBorder="0"/>
    <xf numFmtId="0" fontId="110" fillId="0" borderId="14"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59" fillId="0" borderId="47" applyNumberFormat="0" applyFill="0" applyBorder="0" applyAlignment="0" applyProtection="0"/>
    <xf numFmtId="0" fontId="59" fillId="0" borderId="47" applyNumberFormat="0" applyFill="0" applyBorder="0" applyAlignment="0" applyProtection="0"/>
    <xf numFmtId="0" fontId="132" fillId="0" borderId="47" applyNumberFormat="0" applyFill="0" applyBorder="0" applyAlignment="0" applyProtection="0"/>
    <xf numFmtId="0" fontId="132" fillId="0" borderId="47" applyNumberFormat="0" applyFill="0" applyBorder="0" applyAlignment="0" applyProtection="0"/>
    <xf numFmtId="0" fontId="40" fillId="0" borderId="47" applyNumberFormat="0" applyFill="0" applyAlignment="0" applyProtection="0"/>
    <xf numFmtId="0" fontId="133" fillId="0" borderId="48">
      <protection hidden="1"/>
    </xf>
    <xf numFmtId="0" fontId="134" fillId="52" borderId="48" applyNumberFormat="0" applyFont="0" applyBorder="0" applyAlignment="0" applyProtection="0">
      <protection hidden="1"/>
    </xf>
    <xf numFmtId="0" fontId="133" fillId="0" borderId="48">
      <protection hidden="1"/>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165" fontId="136" fillId="0" borderId="0"/>
    <xf numFmtId="0" fontId="137" fillId="0" borderId="0"/>
    <xf numFmtId="194" fontId="137" fillId="0" borderId="0"/>
    <xf numFmtId="173" fontId="137" fillId="0" borderId="0"/>
    <xf numFmtId="0" fontId="138" fillId="96" borderId="0" applyNumberFormat="0" applyBorder="0" applyAlignment="0" applyProtection="0"/>
    <xf numFmtId="0" fontId="56" fillId="86" borderId="0" applyNumberFormat="0" applyBorder="0" applyAlignment="0" applyProtection="0"/>
    <xf numFmtId="0" fontId="104" fillId="7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100" fillId="18" borderId="4" applyNumberFormat="0" applyAlignment="0" applyProtection="0"/>
    <xf numFmtId="0" fontId="44" fillId="78" borderId="16" applyNumberFormat="0" applyAlignment="0" applyProtection="0"/>
    <xf numFmtId="0" fontId="44" fillId="78" borderId="16"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3" applyNumberFormat="0" applyFill="0" applyAlignment="0" applyProtection="0"/>
    <xf numFmtId="0" fontId="135" fillId="0" borderId="33" applyNumberFormat="0" applyFill="0" applyAlignment="0" applyProtection="0"/>
    <xf numFmtId="0" fontId="135" fillId="0" borderId="33" applyNumberFormat="0" applyFill="0" applyAlignment="0" applyProtection="0"/>
    <xf numFmtId="0" fontId="135" fillId="0" borderId="33" applyNumberFormat="0" applyFill="0" applyAlignment="0" applyProtection="0"/>
    <xf numFmtId="0" fontId="139" fillId="0" borderId="35" applyNumberFormat="0" applyFont="0" applyFill="0" applyAlignment="0" applyProtection="0"/>
    <xf numFmtId="0" fontId="139" fillId="0" borderId="41" applyNumberFormat="0" applyFont="0" applyFill="0" applyAlignment="0" applyProtection="0"/>
    <xf numFmtId="0" fontId="144" fillId="0" borderId="49" applyNumberFormat="0" applyFont="0" applyFill="0" applyAlignment="0" applyProtection="0">
      <alignment horizontal="centerContinuous"/>
    </xf>
    <xf numFmtId="0" fontId="139" fillId="0" borderId="35"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1" applyNumberFormat="0" applyFill="0" applyAlignment="0" applyProtection="0">
      <alignment horizontal="center"/>
    </xf>
    <xf numFmtId="198" fontId="145" fillId="0" borderId="33" applyFill="0" applyAlignment="0" applyProtection="0">
      <alignment horizontal="center"/>
    </xf>
    <xf numFmtId="198" fontId="145" fillId="0" borderId="33" applyFill="0" applyAlignment="0" applyProtection="0">
      <alignment horizontal="center"/>
    </xf>
    <xf numFmtId="198" fontId="145" fillId="0" borderId="33" applyFill="0" applyAlignment="0" applyProtection="0">
      <alignment horizontal="center"/>
    </xf>
    <xf numFmtId="198" fontId="145" fillId="0" borderId="33"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150" fillId="97"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203" fontId="151" fillId="0" borderId="31" applyFill="0" applyBorder="0" applyAlignment="0" applyProtection="0">
      <alignment horizontal="right"/>
    </xf>
    <xf numFmtId="37" fontId="152" fillId="134" borderId="0" applyNumberFormat="0" applyFont="0" applyBorder="0" applyAlignment="0">
      <alignment horizontal="center"/>
    </xf>
    <xf numFmtId="195" fontId="153" fillId="0" borderId="0" applyFont="0" applyFill="0" applyBorder="0" applyAlignment="0" applyProtection="0"/>
    <xf numFmtId="0" fontId="154" fillId="135" borderId="2"/>
    <xf numFmtId="0" fontId="154" fillId="135" borderId="2"/>
    <xf numFmtId="0" fontId="154" fillId="135"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9" borderId="7" applyNumberFormat="0" applyAlignment="0" applyProtection="0"/>
    <xf numFmtId="0" fontId="45" fillId="79" borderId="17" applyNumberFormat="0" applyAlignment="0" applyProtection="0"/>
    <xf numFmtId="0" fontId="97" fillId="19"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3">
      <alignment horizontal="center"/>
    </xf>
    <xf numFmtId="0" fontId="155" fillId="0" borderId="33">
      <alignment horizontal="center"/>
    </xf>
    <xf numFmtId="0" fontId="155" fillId="0" borderId="33">
      <alignment horizontal="center"/>
    </xf>
    <xf numFmtId="0" fontId="155" fillId="0" borderId="33">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100" borderId="42">
      <alignment horizontal="right"/>
    </xf>
    <xf numFmtId="0" fontId="161" fillId="0" borderId="0" applyFont="0" applyFill="0" applyBorder="0" applyAlignment="0" applyProtection="0"/>
    <xf numFmtId="0" fontId="6" fillId="101" borderId="0"/>
    <xf numFmtId="217" fontId="6" fillId="0" borderId="0"/>
    <xf numFmtId="218" fontId="145" fillId="0" borderId="0">
      <alignment horizontal="right"/>
    </xf>
    <xf numFmtId="0" fontId="163" fillId="0" borderId="0" applyNumberFormat="0" applyAlignment="0"/>
    <xf numFmtId="214" fontId="112" fillId="87" borderId="34">
      <protection locked="0"/>
    </xf>
    <xf numFmtId="0" fontId="163" fillId="0" borderId="0" applyNumberFormat="0" applyFont="0" applyAlignment="0" applyProtection="0"/>
    <xf numFmtId="219" fontId="6" fillId="0" borderId="0"/>
    <xf numFmtId="220" fontId="40" fillId="111" borderId="0" applyFont="0" applyFill="0" applyBorder="0" applyAlignment="0" applyProtection="0"/>
    <xf numFmtId="17" fontId="59" fillId="0" borderId="0" applyFill="0" applyBorder="0">
      <alignment horizontal="right"/>
    </xf>
    <xf numFmtId="221" fontId="59" fillId="0" borderId="33"/>
    <xf numFmtId="221" fontId="59" fillId="0" borderId="33"/>
    <xf numFmtId="221" fontId="59" fillId="0" borderId="33"/>
    <xf numFmtId="221" fontId="59" fillId="0" borderId="33"/>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2" borderId="2" applyNumberFormat="0" applyFont="0" applyBorder="0" applyAlignment="0" applyProtection="0">
      <protection locked="0"/>
    </xf>
    <xf numFmtId="10" fontId="6" fillId="12"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50" applyNumberFormat="0" applyFont="0" applyFill="0" applyAlignment="0" applyProtection="0"/>
    <xf numFmtId="212" fontId="166" fillId="0" borderId="0" applyFill="0" applyBorder="0" applyAlignment="0" applyProtection="0"/>
    <xf numFmtId="38" fontId="145" fillId="0" borderId="51">
      <alignment horizontal="right"/>
    </xf>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167" fillId="100"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2" borderId="2" applyFont="0" applyFill="0" applyBorder="0" applyAlignment="0" applyProtection="0">
      <protection locked="0"/>
    </xf>
    <xf numFmtId="170" fontId="68" fillId="12"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8" applyNumberFormat="0" applyFill="0" applyAlignment="0" applyProtection="0"/>
    <xf numFmtId="0" fontId="49" fillId="0" borderId="22" applyNumberFormat="0" applyFill="0" applyAlignment="0" applyProtection="0"/>
    <xf numFmtId="0" fontId="101" fillId="0" borderId="6" applyNumberFormat="0" applyFill="0" applyAlignment="0" applyProtection="0"/>
    <xf numFmtId="0" fontId="49" fillId="0" borderId="22" applyNumberFormat="0" applyFill="0" applyAlignment="0" applyProtection="0"/>
    <xf numFmtId="0" fontId="49" fillId="83" borderId="0" applyNumberFormat="0" applyBorder="0" applyAlignment="0" applyProtection="0"/>
    <xf numFmtId="0" fontId="42" fillId="68" borderId="0" applyNumberFormat="0" applyBorder="0" applyAlignment="0" applyProtection="0"/>
    <xf numFmtId="0" fontId="3" fillId="2" borderId="0" applyNumberFormat="0" applyBorder="0" applyAlignment="0" applyProtection="0"/>
    <xf numFmtId="0" fontId="42" fillId="68" borderId="0" applyNumberFormat="0" applyBorder="0" applyAlignment="0" applyProtection="0"/>
    <xf numFmtId="0" fontId="181" fillId="51" borderId="0" applyNumberFormat="0" applyBorder="0" applyAlignment="0" applyProtection="0"/>
    <xf numFmtId="0" fontId="49" fillId="83"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37" fontId="182" fillId="0" borderId="52">
      <alignment horizontal="right" vertical="center"/>
    </xf>
    <xf numFmtId="38" fontId="40" fillId="100"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1">
      <alignment horizontal="centerContinuous"/>
    </xf>
    <xf numFmtId="0" fontId="185" fillId="0" borderId="0">
      <alignment horizontal="centerContinuous"/>
    </xf>
    <xf numFmtId="0" fontId="186" fillId="0" borderId="0">
      <alignment horizontal="centerContinuous"/>
    </xf>
    <xf numFmtId="240" fontId="59" fillId="111" borderId="2" applyNumberFormat="0" applyFont="0" applyAlignment="0"/>
    <xf numFmtId="240" fontId="59" fillId="111" borderId="2" applyNumberFormat="0" applyFont="0" applyAlignment="0"/>
    <xf numFmtId="240" fontId="59" fillId="111"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6" borderId="0">
      <alignment horizontal="center"/>
    </xf>
    <xf numFmtId="0" fontId="35" fillId="0" borderId="53"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4" applyProtection="0">
      <alignment horizontal="right" wrapText="1"/>
    </xf>
    <xf numFmtId="0" fontId="52" fillId="0" borderId="19" applyNumberFormat="0" applyFill="0" applyAlignment="0" applyProtection="0"/>
    <xf numFmtId="0" fontId="106" fillId="0" borderId="38"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20" applyNumberFormat="0" applyFill="0" applyAlignment="0" applyProtection="0"/>
    <xf numFmtId="0" fontId="107" fillId="0" borderId="39"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5" applyProtection="0">
      <alignment horizontal="right" wrapText="1"/>
    </xf>
    <xf numFmtId="0" fontId="54" fillId="0" borderId="21" applyNumberFormat="0" applyFill="0" applyAlignment="0" applyProtection="0"/>
    <xf numFmtId="0" fontId="108" fillId="0" borderId="40"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7" borderId="0">
      <protection locked="0"/>
    </xf>
    <xf numFmtId="0" fontId="6" fillId="137" borderId="35" applyNumberFormat="0" applyFont="0">
      <alignment horizontal="left"/>
      <protection locked="0"/>
    </xf>
    <xf numFmtId="195" fontId="139" fillId="0" borderId="0" applyFont="0" applyFill="0" applyBorder="0" applyAlignment="0" applyProtection="0"/>
    <xf numFmtId="10" fontId="40" fillId="111" borderId="2" applyNumberFormat="0" applyBorder="0" applyAlignment="0" applyProtection="0"/>
    <xf numFmtId="10" fontId="40" fillId="111" borderId="2" applyNumberFormat="0" applyBorder="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195" fillId="107" borderId="4"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0" fillId="76" borderId="16" applyNumberFormat="0" applyAlignment="0" applyProtection="0"/>
    <xf numFmtId="0" fontId="51" fillId="51" borderId="15" applyNumberFormat="0" applyAlignment="0" applyProtection="0"/>
    <xf numFmtId="0" fontId="50" fillId="76" borderId="16" applyNumberFormat="0" applyAlignment="0" applyProtection="0"/>
    <xf numFmtId="0" fontId="95" fillId="17" borderId="4"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95" fillId="17" borderId="4" applyNumberFormat="0" applyAlignment="0" applyProtection="0"/>
    <xf numFmtId="0" fontId="6" fillId="98" borderId="0"/>
    <xf numFmtId="0" fontId="51" fillId="107" borderId="15" applyNumberFormat="0" applyAlignment="0" applyProtection="0"/>
    <xf numFmtId="0" fontId="110" fillId="0" borderId="0" applyNumberFormat="0" applyFill="0" applyBorder="0" applyAlignment="0">
      <protection locked="0"/>
    </xf>
    <xf numFmtId="0" fontId="6" fillId="0" borderId="0"/>
    <xf numFmtId="0" fontId="115" fillId="138" borderId="2" applyNumberFormat="0" applyFont="0" applyBorder="0" applyAlignment="0">
      <alignment horizontal="right"/>
    </xf>
    <xf numFmtId="0" fontId="115" fillId="138" borderId="2" applyNumberFormat="0" applyFont="0" applyBorder="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110" fillId="0" borderId="0"/>
    <xf numFmtId="0" fontId="167" fillId="113" borderId="56" applyFont="0">
      <alignment horizontal="left"/>
      <protection locked="0"/>
    </xf>
    <xf numFmtId="164" fontId="167" fillId="137" borderId="0">
      <protection locked="0"/>
    </xf>
    <xf numFmtId="43" fontId="167" fillId="137" borderId="0">
      <protection locked="0"/>
    </xf>
    <xf numFmtId="241" fontId="167" fillId="137"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50" applyFill="0" applyProtection="0">
      <alignment horizontal="centerContinuous"/>
    </xf>
    <xf numFmtId="0" fontId="59" fillId="0" borderId="33" applyFill="0" applyProtection="0"/>
    <xf numFmtId="0" fontId="59" fillId="0" borderId="33" applyFill="0" applyProtection="0"/>
    <xf numFmtId="0" fontId="59" fillId="0" borderId="33" applyFill="0" applyProtection="0"/>
    <xf numFmtId="0" fontId="59" fillId="0" borderId="33" applyFill="0" applyProtection="0"/>
    <xf numFmtId="0" fontId="59" fillId="0" borderId="33" applyFill="0" applyProtection="0"/>
    <xf numFmtId="0" fontId="59" fillId="0" borderId="33"/>
    <xf numFmtId="0" fontId="59" fillId="0" borderId="33"/>
    <xf numFmtId="0" fontId="59" fillId="0" borderId="33"/>
    <xf numFmtId="0" fontId="59" fillId="0" borderId="33"/>
    <xf numFmtId="0" fontId="59" fillId="0" borderId="33"/>
    <xf numFmtId="242" fontId="196" fillId="0" borderId="33">
      <alignment horizontal="right"/>
    </xf>
    <xf numFmtId="242" fontId="196" fillId="0" borderId="33">
      <alignment horizontal="right"/>
    </xf>
    <xf numFmtId="242" fontId="196" fillId="0" borderId="33">
      <alignment horizontal="right"/>
    </xf>
    <xf numFmtId="242" fontId="196" fillId="0" borderId="33">
      <alignment horizontal="right"/>
    </xf>
    <xf numFmtId="242" fontId="196" fillId="0" borderId="33">
      <alignment horizontal="right"/>
    </xf>
    <xf numFmtId="243" fontId="196" fillId="0" borderId="33"/>
    <xf numFmtId="243" fontId="196" fillId="0" borderId="33"/>
    <xf numFmtId="243" fontId="196" fillId="0" borderId="33"/>
    <xf numFmtId="243" fontId="196" fillId="0" borderId="33"/>
    <xf numFmtId="243" fontId="196" fillId="0" borderId="33"/>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4" fontId="40" fillId="0" borderId="0" applyFill="0" applyBorder="0" applyProtection="0">
      <alignment horizontal="right"/>
    </xf>
    <xf numFmtId="242" fontId="40" fillId="0" borderId="33"/>
    <xf numFmtId="242" fontId="40" fillId="0" borderId="33"/>
    <xf numFmtId="242" fontId="40" fillId="0" borderId="33"/>
    <xf numFmtId="242" fontId="40" fillId="0" borderId="33"/>
    <xf numFmtId="242" fontId="40" fillId="0" borderId="33"/>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2">
      <protection locked="0"/>
    </xf>
    <xf numFmtId="0" fontId="36" fillId="0" borderId="0" applyFill="0" applyProtection="0">
      <alignment horizontal="centerContinuous"/>
    </xf>
    <xf numFmtId="0" fontId="8" fillId="0" borderId="0" applyFill="0" applyProtection="0">
      <alignment horizontal="centerContinuous"/>
    </xf>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0" applyFill="0" applyBorder="0" applyProtection="0"/>
    <xf numFmtId="242" fontId="40" fillId="0" borderId="57" applyFill="0" applyProtection="0"/>
    <xf numFmtId="242" fontId="40" fillId="0" borderId="58"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9" applyNumberFormat="0" applyFill="0" applyAlignment="0" applyProtection="0"/>
    <xf numFmtId="0" fontId="48" fillId="0" borderId="18" applyNumberFormat="0" applyFill="0" applyAlignment="0" applyProtection="0"/>
    <xf numFmtId="0" fontId="49" fillId="0" borderId="22" applyNumberFormat="0" applyFill="0" applyAlignment="0" applyProtection="0"/>
    <xf numFmtId="0" fontId="49" fillId="0" borderId="22" applyNumberFormat="0" applyFill="0" applyAlignment="0" applyProtection="0"/>
    <xf numFmtId="0" fontId="49" fillId="0" borderId="22" applyNumberFormat="0" applyFill="0" applyAlignment="0" applyProtection="0"/>
    <xf numFmtId="0" fontId="6" fillId="89" borderId="0"/>
    <xf numFmtId="0" fontId="110" fillId="0" borderId="0"/>
    <xf numFmtId="0" fontId="202" fillId="0" borderId="48">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4" borderId="0" applyNumberFormat="0" applyBorder="0" applyAlignment="0" applyProtection="0"/>
    <xf numFmtId="0" fontId="49" fillId="76" borderId="0" applyNumberFormat="0" applyBorder="0" applyAlignment="0" applyProtection="0"/>
    <xf numFmtId="0" fontId="5" fillId="4" borderId="0" applyNumberFormat="0" applyBorder="0" applyAlignment="0" applyProtection="0"/>
    <xf numFmtId="0" fontId="49" fillId="76" borderId="0" applyNumberFormat="0" applyBorder="0" applyAlignment="0" applyProtection="0"/>
    <xf numFmtId="0" fontId="205" fillId="85" borderId="0" applyNumberFormat="0" applyBorder="0" applyAlignment="0" applyProtection="0"/>
    <xf numFmtId="0" fontId="55" fillId="84"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55" fillId="85" borderId="0" applyNumberFormat="0" applyBorder="0" applyAlignment="0" applyProtection="0"/>
    <xf numFmtId="0" fontId="49" fillId="76"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3" applyNumberFormat="0">
      <alignment horizontal="left" vertical="top"/>
    </xf>
    <xf numFmtId="0" fontId="212" fillId="0" borderId="33" applyNumberFormat="0">
      <alignment horizontal="left" vertical="top"/>
    </xf>
    <xf numFmtId="0" fontId="212" fillId="0" borderId="33" applyNumberFormat="0">
      <alignment horizontal="left" vertical="top"/>
    </xf>
    <xf numFmtId="0" fontId="212" fillId="0" borderId="33" applyNumberFormat="0">
      <alignment horizontal="left" vertical="top"/>
    </xf>
    <xf numFmtId="0" fontId="212" fillId="0" borderId="33" applyNumberFormat="0">
      <alignment horizontal="left" vertical="top"/>
    </xf>
    <xf numFmtId="0" fontId="36" fillId="0" borderId="0"/>
    <xf numFmtId="0" fontId="111" fillId="0" borderId="0"/>
    <xf numFmtId="0" fontId="213" fillId="0" borderId="0"/>
    <xf numFmtId="0" fontId="214" fillId="0" borderId="60"/>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216" fillId="0" borderId="48"/>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7" borderId="2"/>
    <xf numFmtId="0" fontId="36" fillId="137" borderId="2"/>
    <xf numFmtId="0" fontId="36" fillId="137" borderId="2"/>
    <xf numFmtId="255" fontId="36" fillId="137" borderId="2" applyFont="0" applyFill="0" applyBorder="0" applyAlignment="0" applyProtection="0"/>
    <xf numFmtId="255" fontId="36" fillId="137" borderId="2" applyFont="0" applyFill="0" applyBorder="0" applyAlignment="0" applyProtection="0"/>
    <xf numFmtId="0" fontId="111" fillId="0" borderId="0">
      <alignment horizontal="left" vertical="top"/>
      <protection locked="0"/>
    </xf>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97"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96" fillId="18" borderId="5"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96" fillId="18" borderId="5" applyNumberFormat="0" applyAlignment="0" applyProtection="0"/>
    <xf numFmtId="40" fontId="217" fillId="101" borderId="0">
      <alignment horizontal="right"/>
    </xf>
    <xf numFmtId="0" fontId="218" fillId="101" borderId="0">
      <alignment horizontal="right"/>
    </xf>
    <xf numFmtId="0" fontId="219" fillId="101" borderId="32"/>
    <xf numFmtId="0" fontId="219" fillId="0" borderId="0" applyBorder="0">
      <alignment horizontal="centerContinuous"/>
    </xf>
    <xf numFmtId="0" fontId="220" fillId="0" borderId="0" applyBorder="0">
      <alignment horizontal="centerContinuous"/>
    </xf>
    <xf numFmtId="0" fontId="57" fillId="97" borderId="24" applyNumberFormat="0" applyAlignment="0" applyProtection="0"/>
    <xf numFmtId="0" fontId="34" fillId="139"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3"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10" borderId="0"/>
    <xf numFmtId="164" fontId="167" fillId="10"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1">
      <alignment horizontal="right"/>
    </xf>
    <xf numFmtId="0" fontId="115" fillId="0" borderId="0">
      <alignment horizontal="right"/>
      <protection locked="0"/>
    </xf>
    <xf numFmtId="0" fontId="227" fillId="0" borderId="0"/>
    <xf numFmtId="37" fontId="36" fillId="97"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2">
      <alignment horizontal="right"/>
    </xf>
    <xf numFmtId="0" fontId="228" fillId="140" borderId="2">
      <alignment horizontal="right"/>
    </xf>
    <xf numFmtId="0" fontId="228" fillId="140" borderId="2">
      <alignment horizontal="right"/>
    </xf>
    <xf numFmtId="0" fontId="228" fillId="140"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1">
      <alignment horizontal="center"/>
    </xf>
    <xf numFmtId="3" fontId="126" fillId="0" borderId="0" applyFont="0" applyFill="0" applyBorder="0" applyAlignment="0" applyProtection="0"/>
    <xf numFmtId="0" fontId="126" fillId="141" borderId="0" applyNumberFormat="0" applyFont="0" applyBorder="0" applyAlignment="0" applyProtection="0"/>
    <xf numFmtId="0" fontId="230" fillId="0" borderId="48"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7" borderId="0" applyFont="0" applyFill="0" applyAlignment="0"/>
    <xf numFmtId="0" fontId="110" fillId="0" borderId="0" applyNumberFormat="0" applyFont="0" applyFill="0" applyBorder="0" applyAlignment="0" applyProtection="0">
      <alignment horizontal="left" indent="1"/>
    </xf>
    <xf numFmtId="1" fontId="232" fillId="97" borderId="0" applyNumberFormat="0" applyFont="0" applyFill="0" applyBorder="0" applyAlignment="0" applyProtection="0"/>
    <xf numFmtId="1" fontId="232" fillId="97" borderId="0" applyNumberFormat="0" applyFont="0" applyFill="0" applyBorder="0" applyAlignment="0" applyProtection="0"/>
    <xf numFmtId="1" fontId="232" fillId="97" borderId="0" applyNumberFormat="0" applyFont="0" applyFill="0" applyBorder="0" applyAlignment="0" applyProtection="0"/>
    <xf numFmtId="1" fontId="232" fillId="97" borderId="0" applyNumberFormat="0" applyFont="0" applyFill="0" applyBorder="0" applyAlignment="0" applyProtection="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110" fillId="0" borderId="0">
      <alignment horizontal="center"/>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110" fillId="0" borderId="0">
      <alignment horizontal="center"/>
    </xf>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0"/>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116"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0" fontId="58" fillId="111"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32" fillId="124" borderId="37"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103"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128" borderId="25" applyNumberFormat="0" applyProtection="0">
      <alignment horizontal="left" vertical="top" indent="1"/>
    </xf>
    <xf numFmtId="0" fontId="40" fillId="113" borderId="27" applyNumberFormat="0">
      <protection locked="0"/>
    </xf>
    <xf numFmtId="0" fontId="40" fillId="97" borderId="27" applyNumberFormat="0">
      <protection locked="0"/>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103" borderId="28" applyBorder="0"/>
    <xf numFmtId="0" fontId="59" fillId="55"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60" fillId="103"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112"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0" fillId="112" borderId="0"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129"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227" fillId="0" borderId="64"/>
    <xf numFmtId="0" fontId="115" fillId="1" borderId="0" applyNumberFormat="0" applyBorder="0" applyAlignment="0" applyProtection="0"/>
    <xf numFmtId="0" fontId="110" fillId="142"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250" fontId="235" fillId="0" borderId="0" applyNumberFormat="0" applyFill="0" applyBorder="0" applyAlignment="0" applyProtection="0"/>
    <xf numFmtId="250" fontId="113" fillId="143" borderId="0" applyNumberFormat="0" applyFont="0" applyBorder="0" applyAlignment="0" applyProtection="0"/>
    <xf numFmtId="250" fontId="159" fillId="143" borderId="0" applyNumberFormat="0" applyFont="0" applyBorder="0" applyAlignment="0" applyProtection="0"/>
    <xf numFmtId="0" fontId="127" fillId="0" borderId="0" applyFill="0" applyBorder="0" applyProtection="0"/>
    <xf numFmtId="250" fontId="113" fillId="144" borderId="0" applyNumberFormat="0" applyFont="0" applyBorder="0" applyAlignment="0" applyProtection="0"/>
    <xf numFmtId="250" fontId="159" fillId="102" borderId="0" applyNumberFormat="0" applyFont="0" applyBorder="0" applyAlignment="0" applyProtection="0"/>
    <xf numFmtId="250" fontId="113" fillId="144"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4" applyProtection="0">
      <alignment horizontal="right" wrapText="1"/>
    </xf>
    <xf numFmtId="0" fontId="188" fillId="0" borderId="54"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5" applyNumberFormat="0" applyFill="0" applyAlignment="0" applyProtection="0"/>
    <xf numFmtId="250" fontId="238" fillId="0" borderId="66" applyNumberFormat="0" applyFill="0" applyAlignment="0" applyProtection="0"/>
    <xf numFmtId="250" fontId="238" fillId="0" borderId="66"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7" applyNumberFormat="0" applyFill="0" applyAlignment="0" applyProtection="0"/>
    <xf numFmtId="250" fontId="239" fillId="0" borderId="68" applyNumberFormat="0" applyFill="0" applyAlignment="0" applyProtection="0"/>
    <xf numFmtId="0" fontId="39" fillId="145" borderId="0" applyNumberFormat="0" applyBorder="0" applyAlignment="0" applyProtection="0"/>
    <xf numFmtId="0"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39"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0" fontId="6" fillId="148" borderId="0" applyNumberFormat="0" applyBorder="0" applyAlignment="0" applyProtection="0"/>
    <xf numFmtId="0" fontId="39" fillId="148" borderId="0" applyNumberFormat="0" applyBorder="0" applyAlignment="0" applyProtection="0"/>
    <xf numFmtId="3" fontId="6" fillId="0" borderId="0" applyNumberFormat="0" applyFont="0" applyFill="0" applyBorder="0" applyAlignment="0" applyProtection="0"/>
    <xf numFmtId="3" fontId="39" fillId="149" borderId="0" applyNumberFormat="0" applyBorder="0" applyAlignment="0" applyProtection="0"/>
    <xf numFmtId="3" fontId="39" fillId="149" borderId="0" applyNumberFormat="0" applyBorder="0" applyAlignment="0" applyProtection="0"/>
    <xf numFmtId="3" fontId="6" fillId="0" borderId="0" applyNumberFormat="0" applyFont="0" applyFill="0" applyBorder="0" applyAlignment="0" applyProtection="0"/>
    <xf numFmtId="3" fontId="39" fillId="117" borderId="0" applyNumberFormat="0" applyBorder="0" applyAlignment="0" applyProtection="0"/>
    <xf numFmtId="3" fontId="39" fillId="117"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7" borderId="0" applyNumberFormat="0" applyFont="0" applyBorder="0" applyAlignment="0" applyProtection="0"/>
    <xf numFmtId="4" fontId="6" fillId="0" borderId="0" applyFont="0" applyFill="0" applyBorder="0" applyAlignment="0" applyProtection="0"/>
    <xf numFmtId="0" fontId="34" fillId="0" borderId="0"/>
    <xf numFmtId="0" fontId="40" fillId="130"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60" borderId="42">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50"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7" applyNumberFormat="0" applyFill="0" applyBorder="0" applyAlignment="0" applyProtection="0"/>
    <xf numFmtId="0" fontId="6" fillId="0" borderId="47" applyNumberFormat="0" applyFill="0" applyBorder="0" applyAlignment="0" applyProtection="0"/>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0" fontId="245" fillId="151" borderId="0"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9"/>
    <xf numFmtId="0" fontId="115" fillId="0" borderId="0">
      <alignment horizontal="centerContinuous"/>
      <protection locked="0"/>
    </xf>
    <xf numFmtId="0" fontId="115" fillId="0" borderId="0">
      <alignment horizontal="left"/>
    </xf>
    <xf numFmtId="0" fontId="250" fillId="150" borderId="42">
      <alignment vertical="center"/>
    </xf>
    <xf numFmtId="0" fontId="251" fillId="0" borderId="0">
      <alignment horizontal="center"/>
    </xf>
    <xf numFmtId="195" fontId="226" fillId="0" borderId="0" applyNumberFormat="0" applyFill="0" applyBorder="0" applyAlignment="0" applyProtection="0"/>
    <xf numFmtId="0" fontId="128" fillId="52" borderId="48"/>
    <xf numFmtId="0" fontId="252" fillId="0" borderId="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102" fillId="0" borderId="12"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37" fontId="40" fillId="87" borderId="0" applyNumberFormat="0" applyBorder="0" applyAlignment="0" applyProtection="0"/>
    <xf numFmtId="37" fontId="40" fillId="0" borderId="0"/>
    <xf numFmtId="3" fontId="197" fillId="0" borderId="70"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10" fontId="6" fillId="122" borderId="2" applyNumberFormat="0" applyFont="0" applyBorder="0" applyAlignment="0" applyProtection="0">
      <protection locked="0"/>
    </xf>
    <xf numFmtId="10" fontId="6" fillId="122"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2" borderId="0" applyNumberFormat="0" applyProtection="0">
      <alignment horizontal="left"/>
    </xf>
    <xf numFmtId="0" fontId="115" fillId="153" borderId="2" applyNumberFormat="0" applyAlignment="0">
      <alignment horizontal="right"/>
    </xf>
    <xf numFmtId="0" fontId="115" fillId="153" borderId="2" applyNumberFormat="0" applyAlignment="0">
      <alignment horizontal="right"/>
    </xf>
    <xf numFmtId="0" fontId="115" fillId="153" borderId="2" applyNumberFormat="0" applyAlignment="0">
      <alignment horizontal="right"/>
    </xf>
    <xf numFmtId="0" fontId="115" fillId="153" borderId="2" applyNumberFormat="0" applyAlignment="0">
      <alignment horizontal="right"/>
    </xf>
    <xf numFmtId="0" fontId="115" fillId="0" borderId="0" applyFont="0" applyFill="0" applyBorder="0" applyAlignment="0" applyProtection="0"/>
    <xf numFmtId="0" fontId="36" fillId="137" borderId="0" applyFont="0" applyFill="0" applyBorder="0" applyAlignment="0" applyProtection="0">
      <alignment horizontal="center"/>
    </xf>
    <xf numFmtId="0" fontId="1" fillId="0" borderId="0"/>
    <xf numFmtId="0" fontId="51" fillId="51" borderId="15" applyNumberFormat="0" applyAlignment="0" applyProtection="0"/>
    <xf numFmtId="0" fontId="51" fillId="51" borderId="15" applyNumberFormat="0" applyAlignment="0" applyProtection="0"/>
    <xf numFmtId="0" fontId="1" fillId="0" borderId="0"/>
    <xf numFmtId="0" fontId="1" fillId="0" borderId="0"/>
    <xf numFmtId="0" fontId="1" fillId="0" borderId="0"/>
    <xf numFmtId="0" fontId="1" fillId="0" borderId="0"/>
    <xf numFmtId="0" fontId="1" fillId="0" borderId="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40" fillId="47" borderId="25" applyNumberFormat="0" applyProtection="0">
      <alignment horizontal="left" vertical="top" indent="1"/>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88" fillId="111" borderId="24"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60" fillId="52"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0" fillId="48" borderId="25"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4" fontId="40" fillId="88" borderId="16" applyNumberFormat="0" applyProtection="0">
      <alignment horizontal="left" vertical="center" indent="1"/>
    </xf>
    <xf numFmtId="4" fontId="40" fillId="88" borderId="1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2" fillId="68" borderId="0" applyNumberFormat="0" applyBorder="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2" applyNumberFormat="0" applyFill="0" applyAlignment="0" applyProtection="0"/>
    <xf numFmtId="0" fontId="49" fillId="76" borderId="0" applyNumberFormat="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9" fontId="6"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30" applyNumberFormat="0" applyFill="0" applyAlignment="0" applyProtection="0"/>
    <xf numFmtId="0" fontId="67" fillId="0" borderId="0" applyNumberFormat="0" applyFill="0" applyBorder="0" applyAlignment="0" applyProtection="0"/>
    <xf numFmtId="0" fontId="1" fillId="0" borderId="0"/>
    <xf numFmtId="4" fontId="40" fillId="88" borderId="16" applyNumberFormat="0" applyProtection="0">
      <alignment horizontal="left" vertical="center" indent="1"/>
    </xf>
    <xf numFmtId="0" fontId="1" fillId="0" borderId="0"/>
    <xf numFmtId="0" fontId="1" fillId="0" borderId="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113" borderId="26" applyNumberFormat="0" applyProtection="0">
      <alignment horizontal="left" vertical="center" indent="1"/>
    </xf>
    <xf numFmtId="4" fontId="40" fillId="113"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61" fillId="129"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0" fontId="6" fillId="0" borderId="0"/>
    <xf numFmtId="0" fontId="6" fillId="0" borderId="0"/>
    <xf numFmtId="173" fontId="6" fillId="156" borderId="0">
      <alignment vertical="top"/>
    </xf>
    <xf numFmtId="0" fontId="2" fillId="0" borderId="0"/>
    <xf numFmtId="0" fontId="1" fillId="0" borderId="0"/>
    <xf numFmtId="41" fontId="6" fillId="156" borderId="0">
      <alignment vertical="top"/>
    </xf>
    <xf numFmtId="173" fontId="6" fillId="13" borderId="0" applyFont="0" applyFill="0" applyBorder="0" applyProtection="0"/>
  </cellStyleXfs>
  <cellXfs count="360">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0" fontId="6" fillId="0" borderId="2" xfId="4" applyBorder="1">
      <alignment vertical="top"/>
    </xf>
    <xf numFmtId="49" fontId="9" fillId="5" borderId="1" xfId="5">
      <alignment vertical="top"/>
    </xf>
    <xf numFmtId="49" fontId="7" fillId="21" borderId="1" xfId="6">
      <alignment vertical="top"/>
    </xf>
    <xf numFmtId="0" fontId="6" fillId="0" borderId="2" xfId="4" applyBorder="1" applyAlignment="1">
      <alignment horizontal="left" vertical="top" wrapText="1"/>
    </xf>
    <xf numFmtId="0" fontId="6" fillId="8" borderId="0" xfId="4" applyFill="1">
      <alignment vertical="top"/>
    </xf>
    <xf numFmtId="0" fontId="13" fillId="6" borderId="1" xfId="4" applyFont="1" applyFill="1" applyBorder="1">
      <alignment vertical="top"/>
    </xf>
    <xf numFmtId="0" fontId="9" fillId="5" borderId="1" xfId="5" applyNumberFormat="1">
      <alignment vertical="top"/>
    </xf>
    <xf numFmtId="0" fontId="14" fillId="0" borderId="0" xfId="4" applyFont="1">
      <alignment vertical="top"/>
    </xf>
    <xf numFmtId="0" fontId="6" fillId="16" borderId="0" xfId="4" applyFill="1">
      <alignment vertical="top"/>
    </xf>
    <xf numFmtId="49" fontId="6" fillId="21" borderId="2" xfId="6" applyFont="1" applyBorder="1">
      <alignment vertical="top"/>
    </xf>
    <xf numFmtId="49" fontId="7" fillId="0" borderId="0" xfId="7">
      <alignment vertical="top"/>
    </xf>
    <xf numFmtId="49" fontId="10" fillId="0" borderId="0" xfId="15">
      <alignment vertical="top"/>
    </xf>
    <xf numFmtId="43" fontId="6" fillId="14" borderId="0" xfId="8">
      <alignment vertical="top"/>
    </xf>
    <xf numFmtId="9" fontId="6" fillId="0" borderId="0" xfId="4" applyNumberFormat="1">
      <alignment vertical="top"/>
    </xf>
    <xf numFmtId="43" fontId="6" fillId="11" borderId="0" xfId="10">
      <alignment vertical="top"/>
    </xf>
    <xf numFmtId="43" fontId="6" fillId="7" borderId="2" xfId="11" applyBorder="1">
      <alignment vertical="top"/>
    </xf>
    <xf numFmtId="43" fontId="12" fillId="0" borderId="0" xfId="63" applyFont="1" applyFill="1">
      <alignment vertical="top"/>
    </xf>
    <xf numFmtId="10" fontId="6" fillId="0" borderId="0" xfId="64">
      <alignment vertical="top"/>
    </xf>
    <xf numFmtId="0" fontId="6" fillId="0" borderId="13" xfId="4" applyBorder="1" applyAlignment="1">
      <alignment horizontal="left" vertical="top" wrapText="1"/>
    </xf>
    <xf numFmtId="10" fontId="6" fillId="0" borderId="0" xfId="64" applyFill="1">
      <alignment vertical="top"/>
    </xf>
    <xf numFmtId="10" fontId="6" fillId="0" borderId="0" xfId="4" applyNumberFormat="1">
      <alignment vertical="top"/>
    </xf>
    <xf numFmtId="166" fontId="6" fillId="13" borderId="0" xfId="63" applyNumberFormat="1" applyFill="1">
      <alignment vertical="top"/>
    </xf>
    <xf numFmtId="49" fontId="6" fillId="0" borderId="0" xfId="7" applyFont="1">
      <alignment vertical="top"/>
    </xf>
    <xf numFmtId="49" fontId="21" fillId="0" borderId="2" xfId="61" applyBorder="1" applyAlignment="1">
      <alignment vertical="top" wrapText="1"/>
    </xf>
    <xf numFmtId="10" fontId="6" fillId="13" borderId="0" xfId="64" applyFill="1">
      <alignment vertical="top"/>
    </xf>
    <xf numFmtId="164" fontId="6" fillId="13" borderId="0" xfId="9" applyNumberFormat="1">
      <alignment vertical="top"/>
    </xf>
    <xf numFmtId="166" fontId="6" fillId="15" borderId="0" xfId="63" applyNumberFormat="1" applyFill="1">
      <alignment vertical="top"/>
    </xf>
    <xf numFmtId="49" fontId="7" fillId="21" borderId="3" xfId="6" applyBorder="1">
      <alignment vertical="top"/>
    </xf>
    <xf numFmtId="49" fontId="7" fillId="21" borderId="33" xfId="6" applyBorder="1">
      <alignment vertical="top"/>
    </xf>
    <xf numFmtId="49" fontId="7" fillId="21" borderId="33" xfId="6" applyBorder="1" applyAlignment="1">
      <alignment horizontal="left" vertical="top"/>
    </xf>
    <xf numFmtId="49" fontId="7" fillId="21" borderId="0" xfId="6" applyBorder="1">
      <alignment vertical="top"/>
    </xf>
    <xf numFmtId="0" fontId="6" fillId="15" borderId="0" xfId="4" applyFill="1">
      <alignment vertical="top"/>
    </xf>
    <xf numFmtId="0" fontId="6" fillId="13" borderId="0" xfId="4" applyFill="1">
      <alignment vertical="top"/>
    </xf>
    <xf numFmtId="49" fontId="7" fillId="21" borderId="33" xfId="6" applyBorder="1" applyAlignment="1"/>
    <xf numFmtId="49" fontId="7" fillId="21" borderId="33" xfId="6" applyBorder="1" applyAlignment="1">
      <alignment horizontal="center"/>
    </xf>
    <xf numFmtId="49" fontId="7" fillId="21" borderId="33" xfId="6" applyBorder="1" applyAlignment="1">
      <alignment horizontal="left"/>
    </xf>
    <xf numFmtId="164" fontId="6" fillId="15" borderId="0" xfId="63" applyNumberFormat="1" applyFill="1">
      <alignment vertical="top"/>
    </xf>
    <xf numFmtId="164" fontId="6" fillId="13" borderId="0" xfId="63" applyNumberFormat="1" applyFill="1">
      <alignment vertical="top"/>
    </xf>
    <xf numFmtId="164" fontId="31" fillId="8" borderId="0" xfId="63" applyNumberFormat="1" applyFont="1" applyFill="1">
      <alignment vertical="top"/>
    </xf>
    <xf numFmtId="0" fontId="7" fillId="21" borderId="33" xfId="6" applyNumberFormat="1" applyBorder="1" applyAlignment="1"/>
    <xf numFmtId="0" fontId="7" fillId="21" borderId="1" xfId="6" applyNumberFormat="1">
      <alignment vertical="top"/>
    </xf>
    <xf numFmtId="164" fontId="6" fillId="13" borderId="0" xfId="4" applyNumberFormat="1" applyFill="1">
      <alignment vertical="top"/>
    </xf>
    <xf numFmtId="49" fontId="7" fillId="0" borderId="0" xfId="6" applyFill="1" applyBorder="1" applyAlignment="1"/>
    <xf numFmtId="49" fontId="7" fillId="0" borderId="0" xfId="6" applyFill="1" applyBorder="1" applyAlignment="1">
      <alignment horizontal="center"/>
    </xf>
    <xf numFmtId="49" fontId="7" fillId="0" borderId="0" xfId="6" applyFill="1" applyBorder="1" applyAlignment="1">
      <alignment horizontal="left"/>
    </xf>
    <xf numFmtId="164" fontId="6" fillId="14" borderId="0" xfId="63" applyNumberFormat="1" applyFill="1">
      <alignment vertical="top"/>
    </xf>
    <xf numFmtId="164" fontId="6" fillId="15" borderId="0" xfId="4" applyNumberFormat="1" applyFill="1">
      <alignment vertical="top"/>
    </xf>
    <xf numFmtId="0" fontId="7" fillId="21" borderId="1" xfId="6" applyNumberFormat="1" applyAlignment="1">
      <alignment horizontal="right" vertical="top"/>
    </xf>
    <xf numFmtId="262" fontId="6" fillId="15" borderId="0" xfId="4" applyNumberFormat="1" applyFill="1">
      <alignment vertical="top"/>
    </xf>
    <xf numFmtId="10" fontId="6" fillId="15" borderId="0" xfId="4" applyNumberFormat="1" applyFill="1">
      <alignment vertical="top"/>
    </xf>
    <xf numFmtId="166" fontId="6" fillId="14" borderId="0" xfId="63" applyNumberFormat="1" applyFill="1">
      <alignment vertical="top"/>
    </xf>
    <xf numFmtId="0" fontId="6" fillId="0" borderId="2" xfId="12" applyNumberFormat="1" applyFill="1" applyBorder="1">
      <alignment vertical="top"/>
    </xf>
    <xf numFmtId="0" fontId="6" fillId="0" borderId="0" xfId="50031"/>
    <xf numFmtId="0" fontId="160" fillId="154" borderId="0" xfId="0" applyFont="1" applyFill="1">
      <alignment vertical="top"/>
    </xf>
    <xf numFmtId="0" fontId="32" fillId="154" borderId="71" xfId="0" applyFont="1" applyFill="1" applyBorder="1">
      <alignment vertical="top"/>
    </xf>
    <xf numFmtId="0" fontId="32" fillId="154" borderId="72" xfId="0" applyFont="1" applyFill="1" applyBorder="1">
      <alignment vertical="top"/>
    </xf>
    <xf numFmtId="0" fontId="32" fillId="154" borderId="73" xfId="0" applyFont="1" applyFill="1" applyBorder="1">
      <alignment vertical="top"/>
    </xf>
    <xf numFmtId="0" fontId="32" fillId="154" borderId="0" xfId="0" applyFont="1" applyFill="1">
      <alignment vertical="top"/>
    </xf>
    <xf numFmtId="0" fontId="32" fillId="154" borderId="74" xfId="0" applyFont="1" applyFill="1" applyBorder="1">
      <alignment vertical="top"/>
    </xf>
    <xf numFmtId="0" fontId="32" fillId="7" borderId="0" xfId="0" applyFont="1" applyFill="1" applyAlignment="1">
      <alignment horizontal="center" vertical="top"/>
    </xf>
    <xf numFmtId="0" fontId="32" fillId="154" borderId="75" xfId="0" applyFont="1" applyFill="1" applyBorder="1">
      <alignment vertical="top"/>
    </xf>
    <xf numFmtId="0" fontId="32" fillId="154" borderId="76" xfId="0" applyFont="1" applyFill="1" applyBorder="1">
      <alignment vertical="top"/>
    </xf>
    <xf numFmtId="0" fontId="32" fillId="154" borderId="77" xfId="0" applyFont="1" applyFill="1" applyBorder="1">
      <alignment vertical="top"/>
    </xf>
    <xf numFmtId="0" fontId="32" fillId="154" borderId="78" xfId="0" applyFont="1" applyFill="1" applyBorder="1">
      <alignment vertical="top"/>
    </xf>
    <xf numFmtId="0" fontId="11" fillId="0" borderId="0" xfId="50031" applyFont="1"/>
    <xf numFmtId="0" fontId="32" fillId="14" borderId="0" xfId="0" applyFont="1" applyFill="1" applyAlignment="1">
      <alignment horizontal="center" vertical="top"/>
    </xf>
    <xf numFmtId="0" fontId="256" fillId="13" borderId="0" xfId="0" applyFont="1" applyFill="1" applyAlignment="1">
      <alignment horizontal="center" vertical="top"/>
    </xf>
    <xf numFmtId="0" fontId="32" fillId="0" borderId="0" xfId="0" applyFont="1">
      <alignment vertical="top"/>
    </xf>
    <xf numFmtId="0" fontId="32" fillId="0" borderId="0" xfId="0" applyFont="1" applyAlignment="1">
      <alignment horizontal="center" vertical="top"/>
    </xf>
    <xf numFmtId="0" fontId="69" fillId="0" borderId="0" xfId="0" applyFont="1">
      <alignment vertical="top"/>
    </xf>
    <xf numFmtId="0" fontId="69" fillId="0" borderId="0" xfId="0" applyFont="1" applyAlignment="1">
      <alignment horizontal="center" vertical="top"/>
    </xf>
    <xf numFmtId="10" fontId="6" fillId="15" borderId="0" xfId="64" applyFill="1">
      <alignment vertical="top"/>
    </xf>
    <xf numFmtId="9" fontId="6" fillId="15" borderId="0" xfId="4" applyNumberFormat="1" applyFill="1">
      <alignment vertical="top"/>
    </xf>
    <xf numFmtId="49" fontId="6" fillId="21" borderId="0" xfId="6" applyFont="1" applyBorder="1">
      <alignment vertical="top"/>
    </xf>
    <xf numFmtId="0" fontId="6" fillId="0" borderId="0" xfId="4" applyAlignment="1">
      <alignment vertical="center"/>
    </xf>
    <xf numFmtId="49" fontId="7" fillId="21" borderId="3" xfId="6" applyBorder="1" applyAlignment="1">
      <alignment vertical="center"/>
    </xf>
    <xf numFmtId="49" fontId="7" fillId="21" borderId="0" xfId="6" applyBorder="1" applyAlignment="1">
      <alignment vertical="center"/>
    </xf>
    <xf numFmtId="49" fontId="7" fillId="21" borderId="33" xfId="6" applyBorder="1" applyAlignment="1">
      <alignment vertical="center"/>
    </xf>
    <xf numFmtId="0" fontId="6" fillId="13" borderId="0" xfId="0" applyFont="1" applyFill="1" applyAlignment="1">
      <alignment horizontal="center" vertical="top"/>
    </xf>
    <xf numFmtId="164" fontId="6" fillId="0" borderId="0" xfId="63" applyNumberFormat="1" applyFont="1" applyFill="1">
      <alignment vertical="top"/>
    </xf>
    <xf numFmtId="165" fontId="6" fillId="0" borderId="0" xfId="64" applyNumberFormat="1" applyFont="1">
      <alignment vertical="top"/>
    </xf>
    <xf numFmtId="262" fontId="6" fillId="14"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154" borderId="0" xfId="4" applyFill="1">
      <alignment vertical="top"/>
    </xf>
    <xf numFmtId="49" fontId="21" fillId="0" borderId="13" xfId="61" applyBorder="1" applyAlignment="1">
      <alignment vertical="top" wrapText="1"/>
    </xf>
    <xf numFmtId="43" fontId="6" fillId="0" borderId="2" xfId="12" applyFill="1" applyBorder="1">
      <alignment vertical="top"/>
    </xf>
    <xf numFmtId="0" fontId="6" fillId="7" borderId="0" xfId="4" applyFill="1">
      <alignment vertical="top"/>
    </xf>
    <xf numFmtId="10" fontId="14" fillId="0" borderId="0" xfId="4" applyNumberFormat="1" applyFont="1">
      <alignment vertical="top"/>
    </xf>
    <xf numFmtId="164" fontId="6" fillId="8" borderId="0" xfId="63" applyNumberFormat="1" applyFill="1">
      <alignment vertical="top"/>
    </xf>
    <xf numFmtId="164" fontId="6" fillId="14" borderId="0" xfId="4" applyNumberFormat="1" applyFill="1">
      <alignment vertical="top"/>
    </xf>
    <xf numFmtId="164" fontId="6" fillId="8" borderId="0" xfId="4" applyNumberFormat="1" applyFill="1">
      <alignment vertical="top"/>
    </xf>
    <xf numFmtId="49" fontId="7" fillId="21" borderId="79" xfId="6" applyBorder="1">
      <alignment vertical="top"/>
    </xf>
    <xf numFmtId="49" fontId="7" fillId="21" borderId="14" xfId="6" applyBorder="1">
      <alignment vertical="top"/>
    </xf>
    <xf numFmtId="0" fontId="7" fillId="21" borderId="33" xfId="6" applyNumberFormat="1" applyBorder="1" applyAlignment="1">
      <alignment horizontal="right" vertical="top"/>
    </xf>
    <xf numFmtId="0" fontId="7" fillId="21" borderId="33" xfId="6" applyNumberFormat="1" applyBorder="1">
      <alignment vertical="top"/>
    </xf>
    <xf numFmtId="49" fontId="7" fillId="154" borderId="0" xfId="6" applyFill="1" applyBorder="1">
      <alignment vertical="top"/>
    </xf>
    <xf numFmtId="0" fontId="7" fillId="154" borderId="0" xfId="6" applyNumberFormat="1" applyFill="1" applyBorder="1" applyAlignment="1">
      <alignment horizontal="right" vertical="top"/>
    </xf>
    <xf numFmtId="0" fontId="7" fillId="154" borderId="0" xfId="6" applyNumberFormat="1" applyFill="1" applyBorder="1">
      <alignment vertical="top"/>
    </xf>
    <xf numFmtId="10" fontId="6" fillId="8" borderId="0" xfId="64" applyFill="1">
      <alignment vertical="top"/>
    </xf>
    <xf numFmtId="10" fontId="6" fillId="154" borderId="0" xfId="64" applyFill="1">
      <alignment vertical="top"/>
    </xf>
    <xf numFmtId="0" fontId="7" fillId="154" borderId="0" xfId="4" applyFont="1" applyFill="1">
      <alignment vertical="top"/>
    </xf>
    <xf numFmtId="43" fontId="6" fillId="15" borderId="0" xfId="64" applyNumberFormat="1" applyFill="1">
      <alignment vertical="top"/>
    </xf>
    <xf numFmtId="49" fontId="11" fillId="21" borderId="0" xfId="6" applyFont="1" applyBorder="1">
      <alignment vertical="top"/>
    </xf>
    <xf numFmtId="166" fontId="6" fillId="154" borderId="0" xfId="63" applyNumberFormat="1" applyFill="1">
      <alignment vertical="top"/>
    </xf>
    <xf numFmtId="2" fontId="7" fillId="21" borderId="1" xfId="6" applyNumberFormat="1" applyAlignment="1">
      <alignment horizontal="right" vertical="top"/>
    </xf>
    <xf numFmtId="0" fontId="7" fillId="21" borderId="1" xfId="6" applyNumberFormat="1" applyAlignment="1">
      <alignment horizontal="center" vertical="top"/>
    </xf>
    <xf numFmtId="0" fontId="6" fillId="101" borderId="0" xfId="50032" applyFill="1"/>
    <xf numFmtId="262" fontId="6" fillId="13" borderId="0" xfId="50032" applyNumberFormat="1" applyFill="1"/>
    <xf numFmtId="0" fontId="6" fillId="0" borderId="0" xfId="6" applyNumberFormat="1" applyFont="1" applyFill="1" applyBorder="1" applyAlignment="1">
      <alignment horizontal="center" vertical="top"/>
    </xf>
    <xf numFmtId="1" fontId="6" fillId="155" borderId="0" xfId="4" applyNumberFormat="1" applyFill="1">
      <alignment vertical="top"/>
    </xf>
    <xf numFmtId="262" fontId="6" fillId="13" borderId="0" xfId="4" applyNumberFormat="1" applyFill="1">
      <alignment vertical="top"/>
    </xf>
    <xf numFmtId="262" fontId="6" fillId="8" borderId="0" xfId="4" applyNumberFormat="1" applyFill="1">
      <alignment vertical="top"/>
    </xf>
    <xf numFmtId="0" fontId="6" fillId="0" borderId="0" xfId="4" applyAlignment="1">
      <alignment horizontal="left" vertical="top"/>
    </xf>
    <xf numFmtId="0" fontId="6" fillId="0" borderId="0" xfId="4" applyAlignment="1">
      <alignment vertical="top" wrapText="1"/>
    </xf>
    <xf numFmtId="262" fontId="6" fillId="154" borderId="0" xfId="50032" applyNumberFormat="1" applyFill="1"/>
    <xf numFmtId="0" fontId="0" fillId="154" borderId="0" xfId="0" applyFill="1">
      <alignment vertical="top"/>
    </xf>
    <xf numFmtId="0" fontId="7" fillId="21" borderId="3" xfId="6" applyNumberFormat="1" applyBorder="1" applyAlignment="1">
      <alignment horizontal="center" vertical="top"/>
    </xf>
    <xf numFmtId="0" fontId="0" fillId="0" borderId="3" xfId="0" applyBorder="1">
      <alignment vertical="top"/>
    </xf>
    <xf numFmtId="0" fontId="7" fillId="21" borderId="33" xfId="6" applyNumberFormat="1" applyBorder="1" applyAlignment="1">
      <alignment horizontal="center" vertical="top"/>
    </xf>
    <xf numFmtId="0" fontId="0" fillId="0" borderId="33" xfId="0" applyBorder="1">
      <alignment vertical="top"/>
    </xf>
    <xf numFmtId="0" fontId="0" fillId="13" borderId="0" xfId="0" applyFill="1">
      <alignment vertical="top"/>
    </xf>
    <xf numFmtId="0" fontId="0" fillId="15" borderId="0" xfId="0" applyFill="1">
      <alignment vertical="top"/>
    </xf>
    <xf numFmtId="164" fontId="0" fillId="13" borderId="0" xfId="63" applyNumberFormat="1" applyFont="1" applyFill="1">
      <alignment vertical="top"/>
    </xf>
    <xf numFmtId="43" fontId="0" fillId="8" borderId="0" xfId="63" applyFont="1" applyFill="1">
      <alignment vertical="top"/>
    </xf>
    <xf numFmtId="10" fontId="6" fillId="15" borderId="0" xfId="64" applyFont="1" applyFill="1" applyBorder="1" applyAlignment="1"/>
    <xf numFmtId="0" fontId="6" fillId="156" borderId="0" xfId="4" applyFill="1">
      <alignment vertical="top"/>
    </xf>
    <xf numFmtId="10" fontId="6" fillId="7" borderId="0" xfId="64" applyFill="1">
      <alignment vertical="top"/>
    </xf>
    <xf numFmtId="10" fontId="6" fillId="7" borderId="0" xfId="64" applyFont="1" applyFill="1">
      <alignment vertical="top"/>
    </xf>
    <xf numFmtId="10" fontId="6" fillId="7" borderId="0" xfId="4" applyNumberFormat="1" applyFill="1">
      <alignment vertical="top"/>
    </xf>
    <xf numFmtId="49" fontId="7" fillId="21" borderId="1" xfId="6" applyAlignment="1"/>
    <xf numFmtId="49" fontId="21" fillId="0" borderId="0" xfId="61" applyAlignment="1">
      <alignment vertical="top"/>
    </xf>
    <xf numFmtId="164" fontId="6" fillId="13" borderId="0" xfId="63" applyNumberFormat="1" applyFill="1" applyAlignment="1">
      <alignment vertical="top" wrapText="1"/>
    </xf>
    <xf numFmtId="43" fontId="6" fillId="7" borderId="0" xfId="63" applyFont="1" applyFill="1">
      <alignment vertical="top"/>
    </xf>
    <xf numFmtId="10" fontId="6" fillId="15" borderId="0" xfId="64" applyFont="1" applyFill="1">
      <alignment vertical="top"/>
    </xf>
    <xf numFmtId="49" fontId="21" fillId="0" borderId="0" xfId="61" applyAlignment="1">
      <alignment horizontal="left" vertical="top" wrapText="1"/>
    </xf>
    <xf numFmtId="0" fontId="28" fillId="0" borderId="0" xfId="0" applyFont="1" applyAlignment="1"/>
    <xf numFmtId="9" fontId="6" fillId="7" borderId="0" xfId="4" applyNumberFormat="1" applyFill="1">
      <alignment vertical="top"/>
    </xf>
    <xf numFmtId="0" fontId="14" fillId="154" borderId="0" xfId="4" applyFont="1" applyFill="1">
      <alignment vertical="top"/>
    </xf>
    <xf numFmtId="9" fontId="14" fillId="154" borderId="0" xfId="4" applyNumberFormat="1" applyFont="1" applyFill="1">
      <alignment vertical="top"/>
    </xf>
    <xf numFmtId="0" fontId="0" fillId="0" borderId="0" xfId="0" applyAlignment="1"/>
    <xf numFmtId="164" fontId="6" fillId="7" borderId="0" xfId="63" applyNumberFormat="1" applyFill="1">
      <alignment vertical="top"/>
    </xf>
    <xf numFmtId="0" fontId="6" fillId="0" borderId="0" xfId="0" applyFont="1" applyAlignment="1"/>
    <xf numFmtId="165" fontId="6" fillId="15" borderId="0" xfId="64" applyNumberFormat="1" applyFill="1">
      <alignment vertical="top"/>
    </xf>
    <xf numFmtId="49" fontId="7" fillId="21" borderId="80" xfId="6" applyBorder="1">
      <alignment vertical="top"/>
    </xf>
    <xf numFmtId="10" fontId="2" fillId="15" borderId="0" xfId="64" applyFont="1" applyFill="1">
      <alignment vertical="top"/>
    </xf>
    <xf numFmtId="0" fontId="6" fillId="0" borderId="2" xfId="12" applyNumberFormat="1" applyFill="1" applyBorder="1" applyAlignment="1">
      <alignment horizontal="left" vertical="top"/>
    </xf>
    <xf numFmtId="49" fontId="21" fillId="0" borderId="2" xfId="61" applyBorder="1" applyAlignment="1">
      <alignment vertical="top"/>
    </xf>
    <xf numFmtId="49" fontId="7" fillId="21" borderId="1" xfId="6" applyAlignment="1">
      <alignment vertical="top" wrapText="1"/>
    </xf>
    <xf numFmtId="3" fontId="6" fillId="0" borderId="0" xfId="4" applyNumberFormat="1">
      <alignment vertical="top"/>
    </xf>
    <xf numFmtId="43" fontId="6" fillId="7" borderId="0" xfId="11">
      <alignment vertical="top"/>
    </xf>
    <xf numFmtId="43" fontId="6" fillId="15" borderId="0" xfId="13">
      <alignment vertical="top"/>
    </xf>
    <xf numFmtId="43" fontId="6" fillId="13" borderId="0" xfId="9">
      <alignment vertical="top"/>
    </xf>
    <xf numFmtId="0" fontId="6" fillId="46" borderId="0" xfId="62" applyNumberFormat="1">
      <alignment vertical="top"/>
    </xf>
    <xf numFmtId="1" fontId="6" fillId="0" borderId="0" xfId="4" applyNumberFormat="1">
      <alignment vertical="top"/>
    </xf>
    <xf numFmtId="1" fontId="10" fillId="0" borderId="0" xfId="4" applyNumberFormat="1" applyFont="1">
      <alignment vertical="top"/>
    </xf>
    <xf numFmtId="41" fontId="6" fillId="156" borderId="0" xfId="50036">
      <alignment vertical="top"/>
    </xf>
    <xf numFmtId="0" fontId="12" fillId="0" borderId="0" xfId="4" applyFont="1">
      <alignment vertical="top"/>
    </xf>
    <xf numFmtId="49" fontId="6" fillId="0" borderId="0" xfId="6" applyFont="1" applyFill="1" applyBorder="1">
      <alignment vertical="top"/>
    </xf>
    <xf numFmtId="164" fontId="6" fillId="7" borderId="0" xfId="4" applyNumberFormat="1" applyFill="1">
      <alignment vertical="top"/>
    </xf>
    <xf numFmtId="164" fontId="6" fillId="15" borderId="0" xfId="63" applyNumberFormat="1" applyFont="1" applyFill="1">
      <alignment vertical="top"/>
    </xf>
    <xf numFmtId="164" fontId="2" fillId="11" borderId="0" xfId="63" applyNumberFormat="1" applyFont="1" applyFill="1">
      <alignment vertical="top"/>
    </xf>
    <xf numFmtId="164" fontId="6" fillId="0" borderId="0" xfId="63" applyNumberFormat="1" applyFill="1">
      <alignment vertical="top"/>
    </xf>
    <xf numFmtId="3" fontId="6" fillId="15" borderId="0" xfId="4" applyNumberFormat="1" applyFill="1">
      <alignment vertical="top"/>
    </xf>
    <xf numFmtId="164" fontId="0" fillId="14" borderId="0" xfId="63" applyNumberFormat="1" applyFont="1" applyFill="1">
      <alignment vertical="top"/>
    </xf>
    <xf numFmtId="264" fontId="6" fillId="14" borderId="0" xfId="63" applyNumberFormat="1" applyFill="1">
      <alignment vertical="top"/>
    </xf>
    <xf numFmtId="239" fontId="6" fillId="0" borderId="0" xfId="63" applyNumberFormat="1" applyFill="1">
      <alignment vertical="top"/>
    </xf>
    <xf numFmtId="43" fontId="6" fillId="0" borderId="0" xfId="63" applyFont="1" applyFill="1">
      <alignment vertical="top"/>
    </xf>
    <xf numFmtId="43" fontId="6" fillId="15" borderId="0" xfId="63" applyFont="1" applyFill="1">
      <alignment vertical="top"/>
    </xf>
    <xf numFmtId="9" fontId="6" fillId="15" borderId="0" xfId="64" applyNumberFormat="1" applyFill="1">
      <alignment vertical="top"/>
    </xf>
    <xf numFmtId="164" fontId="6" fillId="11" borderId="0" xfId="63" applyNumberFormat="1" applyFill="1">
      <alignment vertical="top"/>
    </xf>
    <xf numFmtId="1" fontId="6" fillId="15" borderId="0" xfId="4" applyNumberFormat="1" applyFill="1">
      <alignment vertical="top"/>
    </xf>
    <xf numFmtId="49" fontId="7" fillId="0" borderId="0" xfId="15" applyFont="1">
      <alignment vertical="top"/>
    </xf>
    <xf numFmtId="0" fontId="28" fillId="0" borderId="0" xfId="0" applyFont="1">
      <alignment vertical="top"/>
    </xf>
    <xf numFmtId="164" fontId="0" fillId="0" borderId="0" xfId="63" applyNumberFormat="1" applyFont="1" applyFill="1">
      <alignment vertical="top"/>
    </xf>
    <xf numFmtId="43" fontId="0" fillId="0" borderId="0" xfId="63" applyFont="1" applyFill="1">
      <alignment vertical="top"/>
    </xf>
    <xf numFmtId="49" fontId="7" fillId="21" borderId="1" xfId="6" applyAlignment="1">
      <alignment horizontal="center" vertical="top"/>
    </xf>
    <xf numFmtId="43" fontId="6" fillId="0" borderId="0" xfId="63" applyFill="1">
      <alignment vertical="top"/>
    </xf>
    <xf numFmtId="43" fontId="9" fillId="5" borderId="1" xfId="63" applyFont="1" applyFill="1" applyBorder="1">
      <alignment vertical="top"/>
    </xf>
    <xf numFmtId="0" fontId="258" fillId="0" borderId="0" xfId="4" applyFont="1">
      <alignment vertical="top"/>
    </xf>
    <xf numFmtId="0" fontId="7" fillId="21" borderId="3" xfId="6" applyNumberFormat="1" applyBorder="1">
      <alignment vertical="top"/>
    </xf>
    <xf numFmtId="164" fontId="6" fillId="154" borderId="0" xfId="63" applyNumberFormat="1" applyFont="1" applyFill="1">
      <alignment vertical="top"/>
    </xf>
    <xf numFmtId="164" fontId="6" fillId="154" borderId="0" xfId="63" applyNumberFormat="1" applyFill="1">
      <alignment vertical="top"/>
    </xf>
    <xf numFmtId="0" fontId="32" fillId="157" borderId="0" xfId="0" applyFont="1" applyFill="1" applyAlignment="1">
      <alignment horizontal="center" vertical="top"/>
    </xf>
    <xf numFmtId="43" fontId="6" fillId="157" borderId="0" xfId="8" applyFill="1">
      <alignment vertical="top"/>
    </xf>
    <xf numFmtId="43" fontId="6" fillId="157" borderId="0" xfId="11" applyFill="1">
      <alignment vertical="top"/>
    </xf>
    <xf numFmtId="164" fontId="0" fillId="15" borderId="0" xfId="63" applyNumberFormat="1" applyFont="1" applyFill="1">
      <alignment vertical="top"/>
    </xf>
    <xf numFmtId="164" fontId="6" fillId="21" borderId="0" xfId="4" applyNumberFormat="1" applyFill="1">
      <alignment vertical="top"/>
    </xf>
    <xf numFmtId="49" fontId="259" fillId="0" borderId="2" xfId="61" applyFont="1" applyBorder="1" applyAlignment="1">
      <alignment vertical="top" wrapText="1"/>
    </xf>
    <xf numFmtId="49" fontId="7" fillId="21"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0" fontId="6" fillId="0" borderId="0" xfId="159" applyAlignment="1">
      <alignment vertical="top"/>
    </xf>
    <xf numFmtId="49" fontId="7" fillId="0" borderId="1" xfId="6" applyFill="1">
      <alignment vertical="top"/>
    </xf>
    <xf numFmtId="0" fontId="6" fillId="7" borderId="0" xfId="203" applyNumberFormat="1" applyFill="1" applyAlignment="1">
      <alignment vertical="top"/>
    </xf>
    <xf numFmtId="164" fontId="6" fillId="7" borderId="0" xfId="203" applyNumberFormat="1" applyFill="1" applyAlignment="1">
      <alignment vertical="top"/>
    </xf>
    <xf numFmtId="164" fontId="6" fillId="11" borderId="0" xfId="203" applyNumberFormat="1" applyFill="1" applyAlignment="1">
      <alignment vertical="top"/>
    </xf>
    <xf numFmtId="43" fontId="6" fillId="0" borderId="0" xfId="11" applyFill="1">
      <alignment vertical="top"/>
    </xf>
    <xf numFmtId="37" fontId="6" fillId="0" borderId="0" xfId="11" applyNumberFormat="1" applyFill="1">
      <alignment vertical="top"/>
    </xf>
    <xf numFmtId="4" fontId="14" fillId="0" borderId="0" xfId="4" applyNumberFormat="1" applyFont="1">
      <alignment vertical="top"/>
    </xf>
    <xf numFmtId="37" fontId="6" fillId="0" borderId="0" xfId="159" applyNumberFormat="1" applyFill="1" applyAlignment="1">
      <alignment vertical="top" wrapText="1"/>
    </xf>
    <xf numFmtId="265" fontId="6" fillId="0" borderId="0" xfId="203" applyNumberFormat="1" applyFill="1" applyAlignment="1">
      <alignment vertical="top"/>
    </xf>
    <xf numFmtId="166" fontId="6" fillId="15" borderId="0" xfId="4" applyNumberFormat="1" applyFill="1">
      <alignment vertical="top"/>
    </xf>
    <xf numFmtId="166" fontId="6" fillId="8" borderId="0" xfId="4" applyNumberFormat="1" applyFill="1">
      <alignment vertical="top"/>
    </xf>
    <xf numFmtId="43" fontId="6" fillId="15" borderId="0" xfId="4" applyNumberFormat="1" applyFill="1">
      <alignment vertical="top"/>
    </xf>
    <xf numFmtId="37" fontId="6" fillId="15" borderId="0" xfId="4" applyNumberFormat="1" applyFill="1">
      <alignment vertical="top"/>
    </xf>
    <xf numFmtId="37" fontId="6" fillId="13" borderId="0" xfId="4" applyNumberFormat="1" applyFill="1">
      <alignment vertical="top"/>
    </xf>
    <xf numFmtId="0" fontId="7" fillId="21" borderId="1" xfId="4" applyFont="1" applyFill="1" applyBorder="1">
      <alignment vertical="top"/>
    </xf>
    <xf numFmtId="1" fontId="7" fillId="21" borderId="1" xfId="4" applyNumberFormat="1" applyFont="1" applyFill="1" applyBorder="1">
      <alignment vertical="top"/>
    </xf>
    <xf numFmtId="0" fontId="28" fillId="21" borderId="1" xfId="159" applyFont="1" applyFill="1" applyBorder="1" applyAlignment="1">
      <alignment vertical="top"/>
    </xf>
    <xf numFmtId="266" fontId="6" fillId="13" borderId="0" xfId="4" applyNumberFormat="1" applyFill="1">
      <alignment vertical="top"/>
    </xf>
    <xf numFmtId="265" fontId="6" fillId="14" borderId="0" xfId="4" applyNumberFormat="1" applyFill="1">
      <alignment vertical="top"/>
    </xf>
    <xf numFmtId="0" fontId="6" fillId="0" borderId="0" xfId="159" applyFill="1" applyAlignment="1">
      <alignment vertical="top"/>
    </xf>
    <xf numFmtId="166" fontId="6" fillId="0" borderId="0" xfId="4" applyNumberFormat="1">
      <alignment vertical="top"/>
    </xf>
    <xf numFmtId="0" fontId="0" fillId="0" borderId="0" xfId="159" applyFont="1" applyFill="1" applyAlignment="1"/>
    <xf numFmtId="165" fontId="6" fillId="0" borderId="0" xfId="210" applyNumberFormat="1" applyFont="1" applyFill="1" applyAlignment="1">
      <alignment vertical="top"/>
    </xf>
    <xf numFmtId="37" fontId="6" fillId="0" borderId="0" xfId="4" applyNumberFormat="1">
      <alignment vertical="top"/>
    </xf>
    <xf numFmtId="1" fontId="7" fillId="0" borderId="0" xfId="4" applyNumberFormat="1" applyFont="1">
      <alignment vertical="top"/>
    </xf>
    <xf numFmtId="266" fontId="6" fillId="0" borderId="0" xfId="4" applyNumberFormat="1">
      <alignment vertical="top"/>
    </xf>
    <xf numFmtId="239" fontId="7" fillId="0" borderId="0" xfId="6" applyNumberFormat="1" applyFill="1" applyBorder="1" applyAlignment="1"/>
    <xf numFmtId="239" fontId="6" fillId="0" borderId="0" xfId="4" applyNumberFormat="1">
      <alignment vertical="top"/>
    </xf>
    <xf numFmtId="239" fontId="6" fillId="8" borderId="0" xfId="63" applyNumberFormat="1" applyFill="1">
      <alignment vertical="top"/>
    </xf>
    <xf numFmtId="10" fontId="6" fillId="15" borderId="0" xfId="210" applyNumberFormat="1" applyFont="1" applyFill="1" applyAlignment="1">
      <alignment vertical="top"/>
    </xf>
    <xf numFmtId="43" fontId="6" fillId="9" borderId="0" xfId="10" applyFill="1">
      <alignment vertical="top"/>
    </xf>
    <xf numFmtId="166" fontId="6" fillId="14" borderId="0" xfId="63" applyNumberFormat="1" applyFill="1" applyAlignment="1">
      <alignment horizontal="right" vertical="center"/>
    </xf>
    <xf numFmtId="262" fontId="6" fillId="14" borderId="0" xfId="63" applyNumberFormat="1" applyFill="1" applyAlignment="1">
      <alignment vertical="top"/>
    </xf>
    <xf numFmtId="164" fontId="31" fillId="8" borderId="0" xfId="63" applyNumberFormat="1" applyFont="1" applyFill="1" applyAlignment="1">
      <alignment horizontal="right" vertical="top"/>
    </xf>
    <xf numFmtId="0" fontId="6" fillId="0" borderId="0" xfId="4" applyAlignment="1">
      <alignment horizontal="right" vertical="top"/>
    </xf>
    <xf numFmtId="0" fontId="6" fillId="0" borderId="0" xfId="4" applyAlignment="1">
      <alignment horizontal="right" vertical="center"/>
    </xf>
    <xf numFmtId="49" fontId="7" fillId="21" borderId="80" xfId="6" applyBorder="1" applyAlignment="1"/>
    <xf numFmtId="1" fontId="6" fillId="7" borderId="0" xfId="63" applyNumberFormat="1" applyFill="1">
      <alignment vertical="top"/>
    </xf>
    <xf numFmtId="10" fontId="6" fillId="0" borderId="0" xfId="64" applyFont="1">
      <alignment vertical="top"/>
    </xf>
    <xf numFmtId="166" fontId="6" fillId="8" borderId="0" xfId="63" applyNumberFormat="1" applyFill="1">
      <alignment vertical="top"/>
    </xf>
    <xf numFmtId="0" fontId="6" fillId="21" borderId="1" xfId="4" applyFill="1" applyBorder="1">
      <alignment vertical="top"/>
    </xf>
    <xf numFmtId="49" fontId="7" fillId="0" borderId="0" xfId="6" applyFill="1" applyBorder="1">
      <alignment vertical="top"/>
    </xf>
    <xf numFmtId="265" fontId="6" fillId="15" borderId="0" xfId="63" applyNumberFormat="1" applyFill="1">
      <alignment vertical="top"/>
    </xf>
    <xf numFmtId="43" fontId="6" fillId="8" borderId="0" xfId="4" applyNumberFormat="1" applyFill="1">
      <alignment vertical="top"/>
    </xf>
    <xf numFmtId="265" fontId="6" fillId="156" borderId="0" xfId="63" applyNumberFormat="1" applyFill="1">
      <alignment vertical="top"/>
    </xf>
    <xf numFmtId="9" fontId="6" fillId="156" borderId="0" xfId="4" applyNumberFormat="1" applyFill="1">
      <alignment vertical="top"/>
    </xf>
    <xf numFmtId="10" fontId="2" fillId="7" borderId="0" xfId="64" applyFont="1" applyFill="1">
      <alignment vertical="top"/>
    </xf>
    <xf numFmtId="10" fontId="2" fillId="15" borderId="0" xfId="4" applyNumberFormat="1" applyFont="1" applyFill="1">
      <alignment vertical="top"/>
    </xf>
    <xf numFmtId="164" fontId="6" fillId="7" borderId="0" xfId="11" applyNumberFormat="1">
      <alignment vertical="top"/>
    </xf>
    <xf numFmtId="0" fontId="28" fillId="21" borderId="33" xfId="0" applyFont="1" applyFill="1" applyBorder="1">
      <alignment vertical="top"/>
    </xf>
    <xf numFmtId="164" fontId="6" fillId="15" borderId="0" xfId="63" quotePrefix="1" applyNumberFormat="1" applyFill="1">
      <alignment vertical="top"/>
    </xf>
    <xf numFmtId="213" fontId="6" fillId="0" borderId="0" xfId="4" applyNumberFormat="1">
      <alignment vertical="top"/>
    </xf>
    <xf numFmtId="267" fontId="6" fillId="0" borderId="0" xfId="4" applyNumberFormat="1">
      <alignment vertical="top"/>
    </xf>
    <xf numFmtId="268" fontId="6" fillId="0" borderId="0" xfId="4" applyNumberFormat="1">
      <alignment vertical="top"/>
    </xf>
    <xf numFmtId="269" fontId="6" fillId="11" borderId="0" xfId="10" applyNumberFormat="1">
      <alignment vertical="top"/>
    </xf>
    <xf numFmtId="269" fontId="6" fillId="0" borderId="0" xfId="4" applyNumberFormat="1">
      <alignment vertical="top"/>
    </xf>
    <xf numFmtId="269" fontId="7" fillId="21" borderId="3" xfId="6" applyNumberFormat="1" applyBorder="1">
      <alignment vertical="top"/>
    </xf>
    <xf numFmtId="269" fontId="7" fillId="21" borderId="0" xfId="6" applyNumberFormat="1" applyBorder="1">
      <alignment vertical="top"/>
    </xf>
    <xf numFmtId="269" fontId="7" fillId="21" borderId="33" xfId="6" applyNumberFormat="1" applyBorder="1">
      <alignment vertical="top"/>
    </xf>
    <xf numFmtId="213" fontId="6" fillId="11" borderId="0" xfId="10" applyNumberFormat="1">
      <alignment vertical="top"/>
    </xf>
    <xf numFmtId="213" fontId="7" fillId="21" borderId="3" xfId="6" applyNumberFormat="1" applyBorder="1">
      <alignment vertical="top"/>
    </xf>
    <xf numFmtId="213" fontId="7" fillId="21" borderId="0" xfId="6" applyNumberFormat="1" applyBorder="1">
      <alignment vertical="top"/>
    </xf>
    <xf numFmtId="213" fontId="7" fillId="21" borderId="33" xfId="6" applyNumberFormat="1" applyBorder="1">
      <alignment vertical="top"/>
    </xf>
    <xf numFmtId="269" fontId="6" fillId="14" borderId="0" xfId="63" applyNumberFormat="1" applyFill="1" applyAlignment="1">
      <alignment horizontal="right" vertical="center"/>
    </xf>
    <xf numFmtId="269" fontId="6" fillId="0" borderId="0" xfId="4" applyNumberFormat="1" applyAlignment="1">
      <alignment vertical="center"/>
    </xf>
    <xf numFmtId="269" fontId="7" fillId="21" borderId="3" xfId="6" applyNumberFormat="1" applyBorder="1" applyAlignment="1">
      <alignment vertical="center"/>
    </xf>
    <xf numFmtId="269" fontId="7" fillId="21" borderId="0" xfId="6" applyNumberFormat="1" applyBorder="1" applyAlignment="1">
      <alignment vertical="center"/>
    </xf>
    <xf numFmtId="269" fontId="7" fillId="21" borderId="33" xfId="6" applyNumberFormat="1" applyBorder="1" applyAlignment="1">
      <alignment vertical="center"/>
    </xf>
    <xf numFmtId="269" fontId="6" fillId="0" borderId="0" xfId="63" applyNumberFormat="1" applyFill="1" applyAlignment="1">
      <alignment vertical="center"/>
    </xf>
    <xf numFmtId="269" fontId="6" fillId="14" borderId="0" xfId="63" applyNumberFormat="1" applyFill="1">
      <alignment vertical="top"/>
    </xf>
    <xf numFmtId="269" fontId="31" fillId="8" borderId="0" xfId="63" applyNumberFormat="1" applyFont="1" applyFill="1" applyAlignment="1">
      <alignment horizontal="right" vertical="top"/>
    </xf>
    <xf numFmtId="270" fontId="6" fillId="0" borderId="0" xfId="4" applyNumberFormat="1" applyAlignment="1">
      <alignment vertical="center"/>
    </xf>
    <xf numFmtId="270" fontId="7" fillId="21" borderId="3" xfId="6" applyNumberFormat="1" applyBorder="1" applyAlignment="1">
      <alignment vertical="center"/>
    </xf>
    <xf numFmtId="270" fontId="7" fillId="21" borderId="0" xfId="6" applyNumberFormat="1" applyBorder="1" applyAlignment="1">
      <alignment vertical="center"/>
    </xf>
    <xf numFmtId="270" fontId="7" fillId="21" borderId="33" xfId="6" applyNumberFormat="1" applyBorder="1" applyAlignment="1">
      <alignment vertical="center"/>
    </xf>
    <xf numFmtId="270" fontId="6" fillId="0" borderId="0" xfId="63" applyNumberFormat="1" applyFill="1" applyAlignment="1">
      <alignment vertical="center"/>
    </xf>
    <xf numFmtId="270" fontId="7" fillId="21" borderId="3" xfId="6" applyNumberFormat="1" applyBorder="1">
      <alignment vertical="top"/>
    </xf>
    <xf numFmtId="270" fontId="7" fillId="21" borderId="0" xfId="6" applyNumberFormat="1" applyBorder="1">
      <alignment vertical="top"/>
    </xf>
    <xf numFmtId="270" fontId="7" fillId="21" borderId="33" xfId="6" applyNumberFormat="1" applyBorder="1">
      <alignment vertical="top"/>
    </xf>
    <xf numFmtId="270" fontId="6" fillId="0" borderId="0" xfId="4" applyNumberFormat="1">
      <alignment vertical="top"/>
    </xf>
    <xf numFmtId="270" fontId="31" fillId="8" borderId="0" xfId="63" applyNumberFormat="1" applyFont="1" applyFill="1" applyAlignment="1">
      <alignment horizontal="right" vertical="top"/>
    </xf>
    <xf numFmtId="164" fontId="6" fillId="156" borderId="0" xfId="63" applyNumberFormat="1" applyFill="1">
      <alignment vertical="top"/>
    </xf>
    <xf numFmtId="3" fontId="6" fillId="7" borderId="0" xfId="4" applyNumberFormat="1" applyFill="1">
      <alignment vertical="top"/>
    </xf>
    <xf numFmtId="239" fontId="6" fillId="14" borderId="0" xfId="63" applyNumberFormat="1" applyFill="1">
      <alignment vertical="top"/>
    </xf>
    <xf numFmtId="213" fontId="6" fillId="0" borderId="0" xfId="10" applyNumberFormat="1" applyFill="1">
      <alignment vertical="top"/>
    </xf>
    <xf numFmtId="262" fontId="6" fillId="14" borderId="0" xfId="10" applyNumberFormat="1" applyFill="1">
      <alignment vertical="top"/>
    </xf>
    <xf numFmtId="164" fontId="31" fillId="0" borderId="0" xfId="63" applyNumberFormat="1" applyFont="1" applyFill="1">
      <alignment vertical="top"/>
    </xf>
    <xf numFmtId="166" fontId="6" fillId="0" borderId="0" xfId="63" applyNumberFormat="1" applyFill="1">
      <alignment vertical="top"/>
    </xf>
    <xf numFmtId="164" fontId="0" fillId="8" borderId="0" xfId="63" applyNumberFormat="1" applyFont="1" applyFill="1">
      <alignment vertical="top"/>
    </xf>
    <xf numFmtId="164" fontId="6" fillId="8" borderId="0" xfId="63" applyNumberFormat="1" applyFont="1" applyFill="1">
      <alignment vertical="top"/>
    </xf>
    <xf numFmtId="0" fontId="6" fillId="11" borderId="0" xfId="4" applyFill="1">
      <alignment vertical="top"/>
    </xf>
    <xf numFmtId="271" fontId="6" fillId="7" borderId="0" xfId="8" applyNumberFormat="1" applyFill="1">
      <alignment vertical="top"/>
    </xf>
    <xf numFmtId="49" fontId="10" fillId="0" borderId="0" xfId="61" applyFont="1" applyBorder="1" applyAlignment="1">
      <alignment vertical="top" wrapText="1"/>
    </xf>
    <xf numFmtId="0" fontId="260" fillId="0" borderId="0" xfId="0" applyFont="1">
      <alignment vertical="top"/>
    </xf>
    <xf numFmtId="49" fontId="6" fillId="0" borderId="2" xfId="61" applyFont="1" applyFill="1" applyBorder="1" applyAlignment="1">
      <alignment vertical="top" wrapText="1"/>
    </xf>
    <xf numFmtId="43" fontId="6" fillId="8" borderId="0" xfId="63" applyFill="1">
      <alignment vertical="top"/>
    </xf>
    <xf numFmtId="264" fontId="6" fillId="8" borderId="0" xfId="63" applyNumberFormat="1" applyFill="1">
      <alignment vertical="top"/>
    </xf>
    <xf numFmtId="43" fontId="12" fillId="8" borderId="0" xfId="63" applyFont="1" applyFill="1">
      <alignment vertical="top"/>
    </xf>
    <xf numFmtId="0" fontId="14" fillId="156" borderId="0" xfId="4" applyFont="1" applyFill="1">
      <alignment vertical="top"/>
    </xf>
    <xf numFmtId="164" fontId="6" fillId="156" borderId="0" xfId="4" applyNumberFormat="1" applyFill="1">
      <alignment vertical="top"/>
    </xf>
    <xf numFmtId="49" fontId="7" fillId="21" borderId="1" xfId="6" applyAlignment="1">
      <alignment horizontal="right" vertical="top"/>
    </xf>
    <xf numFmtId="164" fontId="2" fillId="15" borderId="0" xfId="63" applyNumberFormat="1" applyFont="1" applyFill="1">
      <alignment vertical="top"/>
    </xf>
    <xf numFmtId="3" fontId="6" fillId="13" borderId="0" xfId="4" applyNumberFormat="1" applyFill="1">
      <alignment vertical="top"/>
    </xf>
    <xf numFmtId="3" fontId="6" fillId="8" borderId="0" xfId="4" applyNumberFormat="1" applyFill="1">
      <alignment vertical="top"/>
    </xf>
    <xf numFmtId="3" fontId="6" fillId="8" borderId="0" xfId="63" applyNumberFormat="1" applyFill="1">
      <alignment vertical="top"/>
    </xf>
    <xf numFmtId="3" fontId="6" fillId="14" borderId="0" xfId="4" applyNumberFormat="1" applyFill="1">
      <alignment vertical="top"/>
    </xf>
    <xf numFmtId="262" fontId="6" fillId="7" borderId="0" xfId="4" applyNumberFormat="1" applyFill="1">
      <alignment vertical="top"/>
    </xf>
    <xf numFmtId="3" fontId="6" fillId="7" borderId="0" xfId="63" applyNumberFormat="1" applyFill="1">
      <alignment vertical="top"/>
    </xf>
    <xf numFmtId="0" fontId="7" fillId="11" borderId="0" xfId="4" applyFont="1" applyFill="1">
      <alignment vertical="top"/>
    </xf>
    <xf numFmtId="0" fontId="160" fillId="0" borderId="0" xfId="0" applyFont="1">
      <alignment vertical="top"/>
    </xf>
    <xf numFmtId="0" fontId="7" fillId="0" borderId="0" xfId="6" applyNumberFormat="1" applyFill="1" applyBorder="1" applyAlignment="1"/>
    <xf numFmtId="49" fontId="22" fillId="21" borderId="3" xfId="6" applyFont="1" applyBorder="1">
      <alignment vertical="top"/>
    </xf>
    <xf numFmtId="49" fontId="22" fillId="21" borderId="33" xfId="6" applyFont="1" applyBorder="1">
      <alignment vertical="top"/>
    </xf>
    <xf numFmtId="0" fontId="22" fillId="21" borderId="33" xfId="6" applyNumberFormat="1" applyFont="1" applyBorder="1">
      <alignment vertical="top"/>
    </xf>
    <xf numFmtId="0" fontId="10" fillId="154" borderId="0" xfId="4" applyFont="1" applyFill="1">
      <alignment vertical="top"/>
    </xf>
    <xf numFmtId="164" fontId="10" fillId="154" borderId="0" xfId="63" applyNumberFormat="1" applyFont="1" applyFill="1">
      <alignment vertical="top"/>
    </xf>
    <xf numFmtId="164" fontId="10" fillId="0" borderId="0" xfId="4" applyNumberFormat="1" applyFont="1">
      <alignment vertical="top"/>
    </xf>
    <xf numFmtId="49" fontId="22" fillId="21" borderId="79" xfId="6" applyFont="1" applyBorder="1">
      <alignment vertical="top"/>
    </xf>
    <xf numFmtId="49" fontId="22" fillId="21" borderId="14" xfId="6" applyFont="1" applyBorder="1">
      <alignment vertical="top"/>
    </xf>
    <xf numFmtId="10" fontId="6" fillId="11" borderId="0" xfId="64" applyFill="1">
      <alignment vertical="top"/>
    </xf>
    <xf numFmtId="164" fontId="6" fillId="14" borderId="0" xfId="63" applyNumberFormat="1" applyFont="1" applyFill="1">
      <alignment vertical="top"/>
    </xf>
    <xf numFmtId="43" fontId="6" fillId="0" borderId="0" xfId="4" applyNumberFormat="1">
      <alignment vertical="top"/>
    </xf>
    <xf numFmtId="164" fontId="6" fillId="7" borderId="0" xfId="63" applyNumberFormat="1" applyFont="1" applyFill="1">
      <alignment vertical="top"/>
    </xf>
    <xf numFmtId="164" fontId="6" fillId="156" borderId="0" xfId="63" applyNumberFormat="1" applyFont="1" applyFill="1">
      <alignment vertical="top"/>
    </xf>
    <xf numFmtId="164" fontId="0" fillId="0" borderId="0" xfId="0" applyNumberFormat="1">
      <alignment vertical="top"/>
    </xf>
    <xf numFmtId="0" fontId="0" fillId="157" borderId="0" xfId="0" applyFill="1">
      <alignment vertical="top"/>
    </xf>
    <xf numFmtId="3" fontId="0" fillId="157" borderId="0" xfId="0" applyNumberFormat="1" applyFill="1">
      <alignment vertical="top"/>
    </xf>
    <xf numFmtId="164" fontId="0" fillId="157" borderId="0" xfId="63" applyNumberFormat="1" applyFont="1" applyFill="1" applyAlignment="1">
      <alignment vertical="top"/>
    </xf>
    <xf numFmtId="164" fontId="0" fillId="157" borderId="0" xfId="50037" applyNumberFormat="1" applyFont="1" applyFill="1" applyAlignment="1">
      <alignment vertical="top"/>
    </xf>
    <xf numFmtId="0" fontId="7" fillId="11" borderId="0" xfId="4" applyFont="1" applyFill="1" applyAlignment="1">
      <alignment vertical="top" wrapText="1"/>
    </xf>
    <xf numFmtId="49" fontId="21" fillId="0" borderId="14" xfId="61" applyBorder="1" applyAlignment="1">
      <alignment vertical="top"/>
    </xf>
    <xf numFmtId="272" fontId="6" fillId="0" borderId="0" xfId="4" applyNumberFormat="1">
      <alignment vertical="top"/>
    </xf>
    <xf numFmtId="269" fontId="6" fillId="14" borderId="0" xfId="63" applyNumberFormat="1" applyFill="1" applyAlignment="1">
      <alignment vertical="top"/>
    </xf>
    <xf numFmtId="0" fontId="0" fillId="156" borderId="0" xfId="0" applyFill="1">
      <alignment vertical="top"/>
    </xf>
    <xf numFmtId="164" fontId="0" fillId="156" borderId="0" xfId="63" applyNumberFormat="1" applyFont="1" applyFill="1" applyAlignment="1">
      <alignment vertical="top"/>
    </xf>
    <xf numFmtId="3" fontId="0" fillId="156" borderId="0" xfId="0" applyNumberFormat="1" applyFill="1">
      <alignment vertical="top"/>
    </xf>
    <xf numFmtId="49" fontId="7" fillId="154" borderId="0" xfId="6" applyFill="1" applyBorder="1" applyAlignment="1"/>
    <xf numFmtId="239" fontId="6" fillId="154" borderId="0" xfId="4" applyNumberFormat="1" applyFill="1">
      <alignment vertical="top"/>
    </xf>
    <xf numFmtId="0" fontId="0" fillId="0" borderId="2" xfId="0" applyBorder="1">
      <alignment vertical="top"/>
    </xf>
    <xf numFmtId="164" fontId="0" fillId="156" borderId="0" xfId="63" applyNumberFormat="1" applyFont="1" applyFill="1">
      <alignment vertical="top"/>
    </xf>
    <xf numFmtId="166" fontId="261" fillId="0" borderId="0" xfId="63" applyNumberFormat="1" applyFont="1" applyFill="1">
      <alignment vertical="top"/>
    </xf>
    <xf numFmtId="164" fontId="7" fillId="21" borderId="1" xfId="63" applyNumberFormat="1" applyFont="1" applyFill="1" applyBorder="1">
      <alignment vertical="top"/>
    </xf>
    <xf numFmtId="164" fontId="6" fillId="0" borderId="0" xfId="64" applyNumberFormat="1">
      <alignment vertical="top"/>
    </xf>
    <xf numFmtId="0" fontId="6" fillId="0" borderId="0" xfId="4" applyAlignment="1">
      <alignment horizontal="left" vertical="top" wrapText="1"/>
    </xf>
    <xf numFmtId="262" fontId="6" fillId="14" borderId="0" xfId="4" applyNumberFormat="1" applyFill="1" applyAlignment="1">
      <alignment horizontal="right" vertical="center"/>
    </xf>
    <xf numFmtId="166" fontId="6" fillId="14" borderId="0" xfId="63" applyNumberFormat="1" applyFill="1" applyAlignment="1">
      <alignment horizontal="right" vertical="center"/>
    </xf>
    <xf numFmtId="0" fontId="6" fillId="0" borderId="0" xfId="4" applyAlignment="1">
      <alignment horizontal="left" vertical="top"/>
    </xf>
    <xf numFmtId="262" fontId="6" fillId="14" borderId="0" xfId="63" applyNumberFormat="1" applyFill="1" applyAlignment="1">
      <alignment horizontal="right" vertical="center"/>
    </xf>
    <xf numFmtId="166" fontId="6" fillId="14" borderId="0" xfId="63" applyNumberFormat="1" applyFill="1" applyAlignment="1">
      <alignment vertical="center"/>
    </xf>
    <xf numFmtId="262" fontId="6" fillId="14" borderId="0" xfId="4" applyNumberFormat="1" applyFill="1" applyAlignment="1">
      <alignment vertical="center"/>
    </xf>
    <xf numFmtId="262" fontId="6" fillId="14" borderId="0" xfId="63" applyNumberFormat="1" applyFill="1" applyAlignment="1">
      <alignment vertical="center"/>
    </xf>
    <xf numFmtId="0" fontId="10" fillId="0" borderId="0" xfId="4" applyFont="1" applyAlignment="1">
      <alignment horizontal="left" vertical="top" wrapText="1"/>
    </xf>
    <xf numFmtId="14" fontId="6" fillId="0" borderId="0" xfId="4" applyNumberFormat="1" applyAlignment="1">
      <alignment horizontal="left" vertical="top" wrapText="1"/>
    </xf>
    <xf numFmtId="0" fontId="10" fillId="0" borderId="0" xfId="4" applyFont="1" applyAlignment="1">
      <alignment horizontal="left" vertical="top"/>
    </xf>
    <xf numFmtId="262" fontId="6" fillId="14" borderId="0" xfId="4" applyNumberFormat="1" applyFill="1" applyAlignment="1">
      <alignment horizontal="center" vertical="center"/>
    </xf>
    <xf numFmtId="262" fontId="6" fillId="14" borderId="0" xfId="63" applyNumberFormat="1" applyFill="1" applyAlignment="1">
      <alignment horizontal="center" vertical="center"/>
    </xf>
    <xf numFmtId="263" fontId="6" fillId="0" borderId="0" xfId="4" applyNumberFormat="1" applyAlignment="1">
      <alignment horizontal="left" vertical="top" wrapText="1"/>
    </xf>
  </cellXfs>
  <cellStyles count="50038">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_x000d__x000a_JournalTemplate=C:\COMFO\CTALK\JOURSTD.TPL_x000d__x000a_LbStateAddress=3 3 0 251 1 89 2 311_x000d__x000a_LbStateJou_x tennet p5" xfId="50032" xr:uid="{00000000-0005-0000-0000-000037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6" xr:uid="{C603D2CD-DAC9-49A5-A8DA-74145E99A1A7}"/>
    <cellStyle name="Cel Input" xfId="11" xr:uid="{00000000-0005-0000-0000-0000660B0000}"/>
    <cellStyle name="Cel Input Data" xfId="50033"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7"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4"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5"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ard_NG-TAR(i)-10-08 Concept" xfId="50031" xr:uid="{00000000-0005-0000-0000-0000B3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35">
    <dxf>
      <fill>
        <patternFill patternType="solid">
          <fgColor indexed="64"/>
          <bgColor rgb="FF99FF99"/>
        </patternFill>
      </fill>
    </dxf>
    <dxf>
      <numFmt numFmtId="0" formatCode="General"/>
      <fill>
        <patternFill patternType="solid">
          <fgColor indexed="64"/>
          <bgColor rgb="FF99FF99"/>
        </patternFill>
      </fill>
    </dxf>
    <dxf>
      <font>
        <color theme="1"/>
      </font>
      <numFmt numFmtId="164" formatCode="_ * #,##0_ ;_ * \-#,##0_ ;_ * &quot;-&quot;??_ ;_ @_ "/>
      <fill>
        <patternFill patternType="solid">
          <fgColor indexed="64"/>
          <bgColor rgb="FF99FF99"/>
        </patternFill>
      </fill>
      <alignment horizontal="general" vertical="top" textRotation="0" wrapText="0" indent="0" justifyLastLine="0" shrinkToFit="0" readingOrder="0"/>
    </dxf>
    <dxf>
      <font>
        <color theme="1"/>
      </font>
      <numFmt numFmtId="164" formatCode="_ * #,##0_ ;_ * \-#,##0_ ;_ * &quot;-&quot;??_ ;_ @_ "/>
      <fill>
        <patternFill patternType="solid">
          <fgColor indexed="64"/>
          <bgColor rgb="FF99FF99"/>
        </patternFill>
      </fill>
      <alignment horizontal="general" vertical="top" textRotation="0" wrapText="0" indent="0" justifyLastLine="0" shrinkToFit="0" readingOrder="0"/>
    </dxf>
    <dxf>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border outline="0">
        <bottom style="thin">
          <color indexed="64"/>
        </bottom>
      </border>
    </dxf>
    <dxf>
      <numFmt numFmtId="0" formatCode="Genera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numFmt numFmtId="0" formatCode="General"/>
    </dxf>
    <dxf>
      <numFmt numFmtId="0" formatCode="General"/>
    </dxf>
    <dxf>
      <border outline="0">
        <bottom style="thin">
          <color indexed="64"/>
        </bottom>
      </border>
    </dxf>
    <dxf>
      <fill>
        <patternFill patternType="solid">
          <fgColor indexed="64"/>
          <bgColor rgb="FFCCCCFF"/>
        </patternFill>
      </fill>
    </dxf>
    <dxf>
      <numFmt numFmtId="0" formatCode="General"/>
      <fill>
        <patternFill patternType="solid">
          <fgColor indexed="64"/>
          <bgColor rgb="FFCCCCFF"/>
        </patternFill>
      </fill>
    </dxf>
    <dxf>
      <fill>
        <patternFill patternType="solid">
          <fgColor indexed="64"/>
          <bgColor rgb="FFCCCCFF"/>
        </patternFill>
      </fill>
    </dxf>
    <dxf>
      <fill>
        <patternFill patternType="solid">
          <fgColor indexed="64"/>
          <bgColor rgb="FFCCCCFF"/>
        </patternFill>
      </fill>
    </dxf>
    <dxf>
      <numFmt numFmtId="3" formatCode="#,##0"/>
      <fill>
        <patternFill patternType="solid">
          <fgColor indexed="64"/>
          <bgColor rgb="FFCCCCFF"/>
        </patternFill>
      </fill>
    </dxf>
    <dxf>
      <fill>
        <patternFill patternType="solid">
          <fgColor indexed="64"/>
          <bgColor rgb="FFCCCCFF"/>
        </patternFill>
      </fill>
    </dxf>
    <dxf>
      <numFmt numFmtId="0" formatCode="General"/>
      <fill>
        <patternFill patternType="solid">
          <fgColor indexed="64"/>
          <bgColor rgb="FFCCCCFF"/>
        </patternFill>
      </fill>
    </dxf>
    <dxf>
      <fill>
        <patternFill patternType="solid">
          <fgColor indexed="64"/>
          <bgColor rgb="FFCCCCFF"/>
        </patternFill>
      </fill>
    </dxf>
    <dxf>
      <border outline="0">
        <bottom style="thin">
          <color indexed="64"/>
        </bottom>
      </border>
    </dxf>
    <dxf>
      <numFmt numFmtId="0" formatCode="General"/>
    </dxf>
    <dxf>
      <numFmt numFmtId="0" formatCode="General"/>
    </dxf>
    <dxf>
      <font>
        <color theme="1"/>
      </font>
      <numFmt numFmtId="164" formatCode="_ * #,##0_ ;_ * \-#,##0_ ;_ * &quot;-&quot;??_ ;_ @_ "/>
      <fill>
        <patternFill patternType="none">
          <fgColor indexed="64"/>
          <bgColor indexed="65"/>
        </patternFill>
      </fill>
    </dxf>
    <dxf>
      <border outline="0">
        <bottom style="thin">
          <color indexed="64"/>
        </bottom>
      </border>
    </dxf>
    <dxf>
      <numFmt numFmtId="0" formatCode="General"/>
    </dxf>
    <dxf>
      <numFmt numFmtId="0" formatCode="General"/>
    </dxf>
    <dxf>
      <numFmt numFmtId="0" formatCode="General"/>
    </dxf>
    <dxf>
      <numFmt numFmtId="0" formatCode="General"/>
    </dxf>
    <dxf>
      <font>
        <color theme="1"/>
      </font>
      <numFmt numFmtId="164" formatCode="_ * #,##0_ ;_ * \-#,##0_ ;_ * &quot;-&quot;??_ ;_ @_ "/>
      <fill>
        <patternFill patternType="none">
          <fgColor indexed="64"/>
          <bgColor indexed="65"/>
        </patternFill>
      </fill>
    </dxf>
    <dxf>
      <fill>
        <patternFill>
          <bgColor rgb="FFCCCCFF"/>
        </patternFill>
      </fill>
    </dxf>
  </dxfs>
  <tableStyles count="1" defaultTableStyle="TableStyleMedium2" defaultPivotStyle="PivotStyleLight16">
    <tableStyle name="Tabelstijl 1" pivot="0" count="1" xr9:uid="{5451145C-A42F-4D8F-85E0-C4016193A675}">
      <tableStyleElement type="wholeTable" dxfId="34"/>
    </tableStyle>
  </tableStyles>
  <colors>
    <mruColors>
      <color rgb="FF99FF99"/>
      <color rgb="FFCCFFCC"/>
      <color rgb="FFFFFFCC"/>
      <color rgb="FFCCFFFF"/>
      <color rgb="FFFFCC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onnections" Target="connections.xml"/><Relationship Id="rId43"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11206</xdr:colOff>
      <xdr:row>15</xdr:row>
      <xdr:rowOff>56030</xdr:rowOff>
    </xdr:from>
    <xdr:to>
      <xdr:col>5</xdr:col>
      <xdr:colOff>659206</xdr:colOff>
      <xdr:row>15</xdr:row>
      <xdr:rowOff>56030</xdr:rowOff>
    </xdr:to>
    <xdr:cxnSp macro="">
      <xdr:nvCxnSpPr>
        <xdr:cNvPr id="69" name="Rechte verbindingslijn met pijl 96">
          <a:extLst>
            <a:ext uri="{FF2B5EF4-FFF2-40B4-BE49-F238E27FC236}">
              <a16:creationId xmlns:a16="http://schemas.microsoft.com/office/drawing/2014/main" id="{00000000-0008-0000-0100-000045000000}"/>
            </a:ext>
          </a:extLst>
        </xdr:cNvPr>
        <xdr:cNvCxnSpPr/>
      </xdr:nvCxnSpPr>
      <xdr:spPr>
        <a:xfrm flipV="1">
          <a:off x="3541059" y="2521324"/>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168088</xdr:colOff>
      <xdr:row>34</xdr:row>
      <xdr:rowOff>67235</xdr:rowOff>
    </xdr:from>
    <xdr:to>
      <xdr:col>13</xdr:col>
      <xdr:colOff>636794</xdr:colOff>
      <xdr:row>34</xdr:row>
      <xdr:rowOff>67235</xdr:rowOff>
    </xdr:to>
    <xdr:cxnSp macro="">
      <xdr:nvCxnSpPr>
        <xdr:cNvPr id="83" name="Rechte verbindingslijn met pijl 96">
          <a:extLst>
            <a:ext uri="{FF2B5EF4-FFF2-40B4-BE49-F238E27FC236}">
              <a16:creationId xmlns:a16="http://schemas.microsoft.com/office/drawing/2014/main" id="{00000000-0008-0000-0100-000053000000}"/>
            </a:ext>
          </a:extLst>
        </xdr:cNvPr>
        <xdr:cNvCxnSpPr/>
      </xdr:nvCxnSpPr>
      <xdr:spPr>
        <a:xfrm flipV="1">
          <a:off x="909917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34</xdr:row>
      <xdr:rowOff>89647</xdr:rowOff>
    </xdr:from>
    <xdr:to>
      <xdr:col>17</xdr:col>
      <xdr:colOff>659206</xdr:colOff>
      <xdr:row>34</xdr:row>
      <xdr:rowOff>89647</xdr:rowOff>
    </xdr:to>
    <xdr:cxnSp macro="">
      <xdr:nvCxnSpPr>
        <xdr:cNvPr id="84" name="Rechte verbindingslijn met pijl 96">
          <a:extLst>
            <a:ext uri="{FF2B5EF4-FFF2-40B4-BE49-F238E27FC236}">
              <a16:creationId xmlns:a16="http://schemas.microsoft.com/office/drawing/2014/main" id="{00000000-0008-0000-0100-000054000000}"/>
            </a:ext>
          </a:extLst>
        </xdr:cNvPr>
        <xdr:cNvCxnSpPr/>
      </xdr:nvCxnSpPr>
      <xdr:spPr>
        <a:xfrm flipV="1">
          <a:off x="11911853" y="4706471"/>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168088</xdr:colOff>
      <xdr:row>34</xdr:row>
      <xdr:rowOff>67235</xdr:rowOff>
    </xdr:from>
    <xdr:to>
      <xdr:col>21</xdr:col>
      <xdr:colOff>636794</xdr:colOff>
      <xdr:row>34</xdr:row>
      <xdr:rowOff>67235</xdr:rowOff>
    </xdr:to>
    <xdr:cxnSp macro="">
      <xdr:nvCxnSpPr>
        <xdr:cNvPr id="86" name="Rechte verbindingslijn met pijl 96">
          <a:extLst>
            <a:ext uri="{FF2B5EF4-FFF2-40B4-BE49-F238E27FC236}">
              <a16:creationId xmlns:a16="http://schemas.microsoft.com/office/drawing/2014/main" id="{00000000-0008-0000-0100-000056000000}"/>
            </a:ext>
          </a:extLst>
        </xdr:cNvPr>
        <xdr:cNvCxnSpPr/>
      </xdr:nvCxnSpPr>
      <xdr:spPr>
        <a:xfrm flipV="1">
          <a:off x="1467970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112059</xdr:rowOff>
    </xdr:from>
    <xdr:to>
      <xdr:col>6</xdr:col>
      <xdr:colOff>0</xdr:colOff>
      <xdr:row>40</xdr:row>
      <xdr:rowOff>67235</xdr:rowOff>
    </xdr:to>
    <xdr:cxnSp macro="">
      <xdr:nvCxnSpPr>
        <xdr:cNvPr id="11" name="Rechte verbindingslijn met pijl 10">
          <a:extLst>
            <a:ext uri="{FF2B5EF4-FFF2-40B4-BE49-F238E27FC236}">
              <a16:creationId xmlns:a16="http://schemas.microsoft.com/office/drawing/2014/main" id="{22FEF959-F227-4706-91E0-4D31975D78B7}"/>
            </a:ext>
          </a:extLst>
        </xdr:cNvPr>
        <xdr:cNvCxnSpPr/>
      </xdr:nvCxnSpPr>
      <xdr:spPr>
        <a:xfrm>
          <a:off x="4202206" y="3653118"/>
          <a:ext cx="717176" cy="2823882"/>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11206</xdr:colOff>
      <xdr:row>32</xdr:row>
      <xdr:rowOff>100853</xdr:rowOff>
    </xdr:from>
    <xdr:to>
      <xdr:col>6</xdr:col>
      <xdr:colOff>23812</xdr:colOff>
      <xdr:row>44</xdr:row>
      <xdr:rowOff>130969</xdr:rowOff>
    </xdr:to>
    <xdr:cxnSp macro="">
      <xdr:nvCxnSpPr>
        <xdr:cNvPr id="15" name="Rechte verbindingslijn met pijl 14">
          <a:extLst>
            <a:ext uri="{FF2B5EF4-FFF2-40B4-BE49-F238E27FC236}">
              <a16:creationId xmlns:a16="http://schemas.microsoft.com/office/drawing/2014/main" id="{389B1D54-8F93-4B14-BB6A-F2A0F2D5BF7D}"/>
            </a:ext>
          </a:extLst>
        </xdr:cNvPr>
        <xdr:cNvCxnSpPr/>
      </xdr:nvCxnSpPr>
      <xdr:spPr>
        <a:xfrm>
          <a:off x="4202206" y="5720603"/>
          <a:ext cx="726981" cy="2173241"/>
        </a:xfrm>
        <a:prstGeom prst="straightConnector1">
          <a:avLst/>
        </a:prstGeom>
        <a:ln>
          <a:solidFill>
            <a:schemeClr val="tx1"/>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22</xdr:row>
      <xdr:rowOff>21981</xdr:rowOff>
    </xdr:from>
    <xdr:to>
      <xdr:col>5</xdr:col>
      <xdr:colOff>409575</xdr:colOff>
      <xdr:row>48</xdr:row>
      <xdr:rowOff>85725</xdr:rowOff>
    </xdr:to>
    <xdr:cxnSp macro="">
      <xdr:nvCxnSpPr>
        <xdr:cNvPr id="30" name="Rechte verbindingslijn 29">
          <a:extLst>
            <a:ext uri="{FF2B5EF4-FFF2-40B4-BE49-F238E27FC236}">
              <a16:creationId xmlns:a16="http://schemas.microsoft.com/office/drawing/2014/main" id="{0AB88F3F-39BB-4892-8BD9-85D2AF26FC33}"/>
            </a:ext>
          </a:extLst>
        </xdr:cNvPr>
        <xdr:cNvCxnSpPr/>
      </xdr:nvCxnSpPr>
      <xdr:spPr>
        <a:xfrm flipH="1" flipV="1">
          <a:off x="4581525" y="3822456"/>
          <a:ext cx="28575" cy="4045194"/>
        </a:xfrm>
        <a:prstGeom prst="line">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48</xdr:row>
      <xdr:rowOff>81644</xdr:rowOff>
    </xdr:from>
    <xdr:to>
      <xdr:col>5</xdr:col>
      <xdr:colOff>413971</xdr:colOff>
      <xdr:row>48</xdr:row>
      <xdr:rowOff>82691</xdr:rowOff>
    </xdr:to>
    <xdr:cxnSp macro="">
      <xdr:nvCxnSpPr>
        <xdr:cNvPr id="35" name="Rechte verbindingslijn 34">
          <a:extLst>
            <a:ext uri="{FF2B5EF4-FFF2-40B4-BE49-F238E27FC236}">
              <a16:creationId xmlns:a16="http://schemas.microsoft.com/office/drawing/2014/main" id="{F966E2D7-4013-41AF-94F7-2D2AAC60D61E}"/>
            </a:ext>
          </a:extLst>
        </xdr:cNvPr>
        <xdr:cNvCxnSpPr/>
      </xdr:nvCxnSpPr>
      <xdr:spPr>
        <a:xfrm>
          <a:off x="4259036" y="7966983"/>
          <a:ext cx="366346" cy="1047"/>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379535</xdr:colOff>
      <xdr:row>22</xdr:row>
      <xdr:rowOff>13189</xdr:rowOff>
    </xdr:from>
    <xdr:to>
      <xdr:col>15</xdr:col>
      <xdr:colOff>1047750</xdr:colOff>
      <xdr:row>22</xdr:row>
      <xdr:rowOff>13607</xdr:rowOff>
    </xdr:to>
    <xdr:cxnSp macro="">
      <xdr:nvCxnSpPr>
        <xdr:cNvPr id="50" name="Rechte verbindingslijn 49">
          <a:extLst>
            <a:ext uri="{FF2B5EF4-FFF2-40B4-BE49-F238E27FC236}">
              <a16:creationId xmlns:a16="http://schemas.microsoft.com/office/drawing/2014/main" id="{F6B454FD-2004-4193-B5AB-F61AE9457E5B}"/>
            </a:ext>
          </a:extLst>
        </xdr:cNvPr>
        <xdr:cNvCxnSpPr/>
      </xdr:nvCxnSpPr>
      <xdr:spPr>
        <a:xfrm>
          <a:off x="4570535" y="3795975"/>
          <a:ext cx="7961644" cy="418"/>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1033096</xdr:colOff>
      <xdr:row>22</xdr:row>
      <xdr:rowOff>0</xdr:rowOff>
    </xdr:from>
    <xdr:to>
      <xdr:col>15</xdr:col>
      <xdr:colOff>1047750</xdr:colOff>
      <xdr:row>33</xdr:row>
      <xdr:rowOff>7327</xdr:rowOff>
    </xdr:to>
    <xdr:cxnSp macro="">
      <xdr:nvCxnSpPr>
        <xdr:cNvPr id="42" name="Rechte verbindingslijn met pijl 41">
          <a:extLst>
            <a:ext uri="{FF2B5EF4-FFF2-40B4-BE49-F238E27FC236}">
              <a16:creationId xmlns:a16="http://schemas.microsoft.com/office/drawing/2014/main" id="{854A845F-3279-49DB-AEEC-C0E663DC3175}"/>
            </a:ext>
          </a:extLst>
        </xdr:cNvPr>
        <xdr:cNvCxnSpPr/>
      </xdr:nvCxnSpPr>
      <xdr:spPr>
        <a:xfrm>
          <a:off x="12551019" y="3260481"/>
          <a:ext cx="14654" cy="202223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25</xdr:row>
      <xdr:rowOff>13607</xdr:rowOff>
    </xdr:from>
    <xdr:to>
      <xdr:col>6</xdr:col>
      <xdr:colOff>0</xdr:colOff>
      <xdr:row>52</xdr:row>
      <xdr:rowOff>107156</xdr:rowOff>
    </xdr:to>
    <xdr:cxnSp macro="">
      <xdr:nvCxnSpPr>
        <xdr:cNvPr id="48" name="Rechte verbindingslijn met pijl 47">
          <a:extLst>
            <a:ext uri="{FF2B5EF4-FFF2-40B4-BE49-F238E27FC236}">
              <a16:creationId xmlns:a16="http://schemas.microsoft.com/office/drawing/2014/main" id="{1D44BDBF-C067-498A-9E3B-C7CF7F31FEB8}"/>
            </a:ext>
          </a:extLst>
        </xdr:cNvPr>
        <xdr:cNvCxnSpPr/>
      </xdr:nvCxnSpPr>
      <xdr:spPr>
        <a:xfrm flipV="1">
          <a:off x="4214812" y="4383201"/>
          <a:ext cx="690563" cy="4201205"/>
        </a:xfrm>
        <a:prstGeom prst="straightConnector1">
          <a:avLst/>
        </a:prstGeom>
        <a:ln>
          <a:solidFill>
            <a:schemeClr val="tx1"/>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35719</xdr:colOff>
      <xdr:row>29</xdr:row>
      <xdr:rowOff>95250</xdr:rowOff>
    </xdr:from>
    <xdr:to>
      <xdr:col>6</xdr:col>
      <xdr:colOff>0</xdr:colOff>
      <xdr:row>56</xdr:row>
      <xdr:rowOff>71437</xdr:rowOff>
    </xdr:to>
    <xdr:cxnSp macro="">
      <xdr:nvCxnSpPr>
        <xdr:cNvPr id="52" name="Rechte verbindingslijn met pijl 51">
          <a:extLst>
            <a:ext uri="{FF2B5EF4-FFF2-40B4-BE49-F238E27FC236}">
              <a16:creationId xmlns:a16="http://schemas.microsoft.com/office/drawing/2014/main" id="{38EC4FBE-740F-47DD-AD7E-458A74124E3F}"/>
            </a:ext>
          </a:extLst>
        </xdr:cNvPr>
        <xdr:cNvCxnSpPr/>
      </xdr:nvCxnSpPr>
      <xdr:spPr>
        <a:xfrm flipV="1">
          <a:off x="4226719" y="5179219"/>
          <a:ext cx="678656" cy="4083843"/>
        </a:xfrm>
        <a:prstGeom prst="straightConnector1">
          <a:avLst/>
        </a:prstGeom>
        <a:ln>
          <a:solidFill>
            <a:schemeClr val="tx1"/>
          </a:solidFill>
          <a:prstDash val="lgDashDot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7327</xdr:colOff>
      <xdr:row>36</xdr:row>
      <xdr:rowOff>142875</xdr:rowOff>
    </xdr:from>
    <xdr:to>
      <xdr:col>6</xdr:col>
      <xdr:colOff>0</xdr:colOff>
      <xdr:row>60</xdr:row>
      <xdr:rowOff>109904</xdr:rowOff>
    </xdr:to>
    <xdr:cxnSp macro="">
      <xdr:nvCxnSpPr>
        <xdr:cNvPr id="59" name="Rechte verbindingslijn met pijl 58">
          <a:extLst>
            <a:ext uri="{FF2B5EF4-FFF2-40B4-BE49-F238E27FC236}">
              <a16:creationId xmlns:a16="http://schemas.microsoft.com/office/drawing/2014/main" id="{180C19F9-7DF3-4D49-8EF9-7D5FE957B553}"/>
            </a:ext>
          </a:extLst>
        </xdr:cNvPr>
        <xdr:cNvCxnSpPr/>
      </xdr:nvCxnSpPr>
      <xdr:spPr>
        <a:xfrm flipV="1">
          <a:off x="4198327" y="6477000"/>
          <a:ext cx="707048" cy="353890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40</xdr:row>
      <xdr:rowOff>166687</xdr:rowOff>
    </xdr:from>
    <xdr:to>
      <xdr:col>6</xdr:col>
      <xdr:colOff>11906</xdr:colOff>
      <xdr:row>64</xdr:row>
      <xdr:rowOff>109904</xdr:rowOff>
    </xdr:to>
    <xdr:cxnSp macro="">
      <xdr:nvCxnSpPr>
        <xdr:cNvPr id="61" name="Rechte verbindingslijn met pijl 60">
          <a:extLst>
            <a:ext uri="{FF2B5EF4-FFF2-40B4-BE49-F238E27FC236}">
              <a16:creationId xmlns:a16="http://schemas.microsoft.com/office/drawing/2014/main" id="{274FFB60-4730-4835-8732-F580F2D6A44F}"/>
            </a:ext>
          </a:extLst>
        </xdr:cNvPr>
        <xdr:cNvCxnSpPr/>
      </xdr:nvCxnSpPr>
      <xdr:spPr>
        <a:xfrm flipV="1">
          <a:off x="4191000" y="7215187"/>
          <a:ext cx="726281" cy="3515092"/>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28</xdr:row>
      <xdr:rowOff>89647</xdr:rowOff>
    </xdr:from>
    <xdr:to>
      <xdr:col>10</xdr:col>
      <xdr:colOff>11205</xdr:colOff>
      <xdr:row>33</xdr:row>
      <xdr:rowOff>11206</xdr:rowOff>
    </xdr:to>
    <xdr:cxnSp macro="">
      <xdr:nvCxnSpPr>
        <xdr:cNvPr id="63" name="Rechte verbindingslijn met pijl 62">
          <a:extLst>
            <a:ext uri="{FF2B5EF4-FFF2-40B4-BE49-F238E27FC236}">
              <a16:creationId xmlns:a16="http://schemas.microsoft.com/office/drawing/2014/main" id="{580F6792-5AB4-457D-ADC7-8D590324D98D}"/>
            </a:ext>
          </a:extLst>
        </xdr:cNvPr>
        <xdr:cNvCxnSpPr/>
      </xdr:nvCxnSpPr>
      <xdr:spPr>
        <a:xfrm>
          <a:off x="7810500" y="4347882"/>
          <a:ext cx="717176" cy="8180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54428</xdr:colOff>
      <xdr:row>32</xdr:row>
      <xdr:rowOff>149679</xdr:rowOff>
    </xdr:from>
    <xdr:to>
      <xdr:col>9</xdr:col>
      <xdr:colOff>707571</xdr:colOff>
      <xdr:row>33</xdr:row>
      <xdr:rowOff>95250</xdr:rowOff>
    </xdr:to>
    <xdr:cxnSp macro="">
      <xdr:nvCxnSpPr>
        <xdr:cNvPr id="65" name="Rechte verbindingslijn met pijl 64">
          <a:extLst>
            <a:ext uri="{FF2B5EF4-FFF2-40B4-BE49-F238E27FC236}">
              <a16:creationId xmlns:a16="http://schemas.microsoft.com/office/drawing/2014/main" id="{8B720C64-8C22-4A29-B928-1FD576CA9D62}"/>
            </a:ext>
          </a:extLst>
        </xdr:cNvPr>
        <xdr:cNvCxnSpPr/>
      </xdr:nvCxnSpPr>
      <xdr:spPr>
        <a:xfrm>
          <a:off x="7851321" y="5701393"/>
          <a:ext cx="653143" cy="1224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34</xdr:row>
      <xdr:rowOff>11206</xdr:rowOff>
    </xdr:from>
    <xdr:to>
      <xdr:col>10</xdr:col>
      <xdr:colOff>0</xdr:colOff>
      <xdr:row>36</xdr:row>
      <xdr:rowOff>89647</xdr:rowOff>
    </xdr:to>
    <xdr:cxnSp macro="">
      <xdr:nvCxnSpPr>
        <xdr:cNvPr id="72" name="Rechte verbindingslijn met pijl 71">
          <a:extLst>
            <a:ext uri="{FF2B5EF4-FFF2-40B4-BE49-F238E27FC236}">
              <a16:creationId xmlns:a16="http://schemas.microsoft.com/office/drawing/2014/main" id="{272F8184-93B4-4494-9B7D-2BE8D4ED6B32}"/>
            </a:ext>
          </a:extLst>
        </xdr:cNvPr>
        <xdr:cNvCxnSpPr/>
      </xdr:nvCxnSpPr>
      <xdr:spPr>
        <a:xfrm flipV="1">
          <a:off x="7810500" y="5345206"/>
          <a:ext cx="705971" cy="4370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168088</xdr:colOff>
      <xdr:row>34</xdr:row>
      <xdr:rowOff>145676</xdr:rowOff>
    </xdr:from>
    <xdr:to>
      <xdr:col>10</xdr:col>
      <xdr:colOff>11205</xdr:colOff>
      <xdr:row>40</xdr:row>
      <xdr:rowOff>123264</xdr:rowOff>
    </xdr:to>
    <xdr:cxnSp macro="">
      <xdr:nvCxnSpPr>
        <xdr:cNvPr id="74" name="Rechte verbindingslijn met pijl 73">
          <a:extLst>
            <a:ext uri="{FF2B5EF4-FFF2-40B4-BE49-F238E27FC236}">
              <a16:creationId xmlns:a16="http://schemas.microsoft.com/office/drawing/2014/main" id="{20820FA2-FDC1-4107-A4BE-AE035467DE68}"/>
            </a:ext>
          </a:extLst>
        </xdr:cNvPr>
        <xdr:cNvCxnSpPr/>
      </xdr:nvCxnSpPr>
      <xdr:spPr>
        <a:xfrm flipV="1">
          <a:off x="7788088" y="5479676"/>
          <a:ext cx="739588" cy="105335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27214</xdr:rowOff>
    </xdr:from>
    <xdr:to>
      <xdr:col>9</xdr:col>
      <xdr:colOff>707571</xdr:colOff>
      <xdr:row>44</xdr:row>
      <xdr:rowOff>47625</xdr:rowOff>
    </xdr:to>
    <xdr:cxnSp macro="">
      <xdr:nvCxnSpPr>
        <xdr:cNvPr id="76" name="Rechte verbindingslijn met pijl 75">
          <a:extLst>
            <a:ext uri="{FF2B5EF4-FFF2-40B4-BE49-F238E27FC236}">
              <a16:creationId xmlns:a16="http://schemas.microsoft.com/office/drawing/2014/main" id="{90CDBAC9-6326-4ED4-AF66-4F95E6730280}"/>
            </a:ext>
          </a:extLst>
        </xdr:cNvPr>
        <xdr:cNvCxnSpPr/>
      </xdr:nvCxnSpPr>
      <xdr:spPr>
        <a:xfrm flipV="1">
          <a:off x="7786687" y="6361339"/>
          <a:ext cx="707572" cy="144916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47624</xdr:colOff>
      <xdr:row>36</xdr:row>
      <xdr:rowOff>44824</xdr:rowOff>
    </xdr:from>
    <xdr:to>
      <xdr:col>10</xdr:col>
      <xdr:colOff>112058</xdr:colOff>
      <xdr:row>48</xdr:row>
      <xdr:rowOff>23812</xdr:rowOff>
    </xdr:to>
    <xdr:cxnSp macro="">
      <xdr:nvCxnSpPr>
        <xdr:cNvPr id="78" name="Rechte verbindingslijn met pijl 77">
          <a:extLst>
            <a:ext uri="{FF2B5EF4-FFF2-40B4-BE49-F238E27FC236}">
              <a16:creationId xmlns:a16="http://schemas.microsoft.com/office/drawing/2014/main" id="{0B61592B-0A7B-4812-AC6B-09678DB8D350}"/>
            </a:ext>
          </a:extLst>
        </xdr:cNvPr>
        <xdr:cNvCxnSpPr/>
      </xdr:nvCxnSpPr>
      <xdr:spPr>
        <a:xfrm flipV="1">
          <a:off x="7834312" y="6378949"/>
          <a:ext cx="778809" cy="21221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44824</xdr:rowOff>
    </xdr:from>
    <xdr:to>
      <xdr:col>11</xdr:col>
      <xdr:colOff>224117</xdr:colOff>
      <xdr:row>52</xdr:row>
      <xdr:rowOff>47625</xdr:rowOff>
    </xdr:to>
    <xdr:cxnSp macro="">
      <xdr:nvCxnSpPr>
        <xdr:cNvPr id="80" name="Rechte verbindingslijn met pijl 79">
          <a:extLst>
            <a:ext uri="{FF2B5EF4-FFF2-40B4-BE49-F238E27FC236}">
              <a16:creationId xmlns:a16="http://schemas.microsoft.com/office/drawing/2014/main" id="{643EE2DD-A706-4ED0-97ED-A1DDC6ACDFE6}"/>
            </a:ext>
          </a:extLst>
        </xdr:cNvPr>
        <xdr:cNvCxnSpPr/>
      </xdr:nvCxnSpPr>
      <xdr:spPr>
        <a:xfrm flipV="1">
          <a:off x="7786687" y="6378949"/>
          <a:ext cx="1117086" cy="286030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xdr:row>
      <xdr:rowOff>0</xdr:rowOff>
    </xdr:from>
    <xdr:to>
      <xdr:col>5</xdr:col>
      <xdr:colOff>694764</xdr:colOff>
      <xdr:row>24</xdr:row>
      <xdr:rowOff>11207</xdr:rowOff>
    </xdr:to>
    <xdr:cxnSp macro="">
      <xdr:nvCxnSpPr>
        <xdr:cNvPr id="34" name="Rechte verbindingslijn met pijl 33">
          <a:extLst>
            <a:ext uri="{FF2B5EF4-FFF2-40B4-BE49-F238E27FC236}">
              <a16:creationId xmlns:a16="http://schemas.microsoft.com/office/drawing/2014/main" id="{AE02218E-C864-4B21-B972-D461FE523468}"/>
            </a:ext>
          </a:extLst>
        </xdr:cNvPr>
        <xdr:cNvCxnSpPr/>
      </xdr:nvCxnSpPr>
      <xdr:spPr>
        <a:xfrm>
          <a:off x="4191000" y="3429000"/>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166688</xdr:colOff>
      <xdr:row>32</xdr:row>
      <xdr:rowOff>81643</xdr:rowOff>
    </xdr:from>
    <xdr:to>
      <xdr:col>6</xdr:col>
      <xdr:colOff>0</xdr:colOff>
      <xdr:row>60</xdr:row>
      <xdr:rowOff>23812</xdr:rowOff>
    </xdr:to>
    <xdr:cxnSp macro="">
      <xdr:nvCxnSpPr>
        <xdr:cNvPr id="45" name="Rechte verbindingslijn met pijl 44">
          <a:extLst>
            <a:ext uri="{FF2B5EF4-FFF2-40B4-BE49-F238E27FC236}">
              <a16:creationId xmlns:a16="http://schemas.microsoft.com/office/drawing/2014/main" id="{0F2E527D-4EFC-4315-B43D-0EA3439D2682}"/>
            </a:ext>
          </a:extLst>
        </xdr:cNvPr>
        <xdr:cNvCxnSpPr/>
      </xdr:nvCxnSpPr>
      <xdr:spPr>
        <a:xfrm flipV="1">
          <a:off x="4179094" y="5701393"/>
          <a:ext cx="726281" cy="422841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2722</xdr:colOff>
      <xdr:row>28</xdr:row>
      <xdr:rowOff>97971</xdr:rowOff>
    </xdr:from>
    <xdr:to>
      <xdr:col>5</xdr:col>
      <xdr:colOff>697486</xdr:colOff>
      <xdr:row>32</xdr:row>
      <xdr:rowOff>109178</xdr:rowOff>
    </xdr:to>
    <xdr:cxnSp macro="">
      <xdr:nvCxnSpPr>
        <xdr:cNvPr id="47" name="Rechte verbindingslijn met pijl 46">
          <a:extLst>
            <a:ext uri="{FF2B5EF4-FFF2-40B4-BE49-F238E27FC236}">
              <a16:creationId xmlns:a16="http://schemas.microsoft.com/office/drawing/2014/main" id="{9C5D2336-1614-4587-A7BD-5DD1BAF12BD0}"/>
            </a:ext>
          </a:extLst>
        </xdr:cNvPr>
        <xdr:cNvCxnSpPr/>
      </xdr:nvCxnSpPr>
      <xdr:spPr>
        <a:xfrm>
          <a:off x="4193722" y="4942114"/>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12248</xdr:colOff>
      <xdr:row>32</xdr:row>
      <xdr:rowOff>127908</xdr:rowOff>
    </xdr:from>
    <xdr:to>
      <xdr:col>5</xdr:col>
      <xdr:colOff>702469</xdr:colOff>
      <xdr:row>52</xdr:row>
      <xdr:rowOff>59531</xdr:rowOff>
    </xdr:to>
    <xdr:cxnSp macro="">
      <xdr:nvCxnSpPr>
        <xdr:cNvPr id="53" name="Rechte verbindingslijn met pijl 52">
          <a:extLst>
            <a:ext uri="{FF2B5EF4-FFF2-40B4-BE49-F238E27FC236}">
              <a16:creationId xmlns:a16="http://schemas.microsoft.com/office/drawing/2014/main" id="{443814F4-B7A7-4282-B092-012300388B08}"/>
            </a:ext>
          </a:extLst>
        </xdr:cNvPr>
        <xdr:cNvCxnSpPr/>
      </xdr:nvCxnSpPr>
      <xdr:spPr>
        <a:xfrm>
          <a:off x="4203248" y="5747658"/>
          <a:ext cx="690221" cy="350349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36</xdr:row>
      <xdr:rowOff>54428</xdr:rowOff>
    </xdr:from>
    <xdr:to>
      <xdr:col>5</xdr:col>
      <xdr:colOff>678656</xdr:colOff>
      <xdr:row>48</xdr:row>
      <xdr:rowOff>83344</xdr:rowOff>
    </xdr:to>
    <xdr:cxnSp macro="">
      <xdr:nvCxnSpPr>
        <xdr:cNvPr id="55" name="Rechte verbindingslijn met pijl 54">
          <a:extLst>
            <a:ext uri="{FF2B5EF4-FFF2-40B4-BE49-F238E27FC236}">
              <a16:creationId xmlns:a16="http://schemas.microsoft.com/office/drawing/2014/main" id="{DF381007-79BB-40DC-8148-43805C97A6AE}"/>
            </a:ext>
          </a:extLst>
        </xdr:cNvPr>
        <xdr:cNvCxnSpPr/>
      </xdr:nvCxnSpPr>
      <xdr:spPr>
        <a:xfrm>
          <a:off x="4204607" y="6388553"/>
          <a:ext cx="665049" cy="2172041"/>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20410</xdr:colOff>
      <xdr:row>40</xdr:row>
      <xdr:rowOff>64633</xdr:rowOff>
    </xdr:from>
    <xdr:to>
      <xdr:col>6</xdr:col>
      <xdr:colOff>11906</xdr:colOff>
      <xdr:row>68</xdr:row>
      <xdr:rowOff>88446</xdr:rowOff>
    </xdr:to>
    <xdr:cxnSp macro="">
      <xdr:nvCxnSpPr>
        <xdr:cNvPr id="10" name="Rechte verbindingslijn met pijl 9">
          <a:extLst>
            <a:ext uri="{FF2B5EF4-FFF2-40B4-BE49-F238E27FC236}">
              <a16:creationId xmlns:a16="http://schemas.microsoft.com/office/drawing/2014/main" id="{44F50D98-1322-4F0C-BF28-00902C0DA389}"/>
            </a:ext>
          </a:extLst>
        </xdr:cNvPr>
        <xdr:cNvCxnSpPr/>
      </xdr:nvCxnSpPr>
      <xdr:spPr>
        <a:xfrm flipV="1">
          <a:off x="4231821" y="7215187"/>
          <a:ext cx="705871" cy="4432527"/>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40</xdr:row>
      <xdr:rowOff>95250</xdr:rowOff>
    </xdr:from>
    <xdr:to>
      <xdr:col>5</xdr:col>
      <xdr:colOff>702469</xdr:colOff>
      <xdr:row>49</xdr:row>
      <xdr:rowOff>0</xdr:rowOff>
    </xdr:to>
    <xdr:cxnSp macro="">
      <xdr:nvCxnSpPr>
        <xdr:cNvPr id="13" name="Rechte verbindingslijn met pijl 12">
          <a:extLst>
            <a:ext uri="{FF2B5EF4-FFF2-40B4-BE49-F238E27FC236}">
              <a16:creationId xmlns:a16="http://schemas.microsoft.com/office/drawing/2014/main" id="{51EA80B6-1FF0-4E92-874E-6D0EACC0D8D3}"/>
            </a:ext>
          </a:extLst>
        </xdr:cNvPr>
        <xdr:cNvCxnSpPr/>
      </xdr:nvCxnSpPr>
      <xdr:spPr>
        <a:xfrm>
          <a:off x="4204607" y="7143750"/>
          <a:ext cx="688862" cy="151209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47625</xdr:colOff>
      <xdr:row>36</xdr:row>
      <xdr:rowOff>35719</xdr:rowOff>
    </xdr:from>
    <xdr:to>
      <xdr:col>11</xdr:col>
      <xdr:colOff>607219</xdr:colOff>
      <xdr:row>56</xdr:row>
      <xdr:rowOff>59531</xdr:rowOff>
    </xdr:to>
    <xdr:cxnSp macro="">
      <xdr:nvCxnSpPr>
        <xdr:cNvPr id="18" name="Rechte verbindingslijn met pijl 17">
          <a:extLst>
            <a:ext uri="{FF2B5EF4-FFF2-40B4-BE49-F238E27FC236}">
              <a16:creationId xmlns:a16="http://schemas.microsoft.com/office/drawing/2014/main" id="{1C67343B-C833-448D-86A0-F90A4FC24BB5}"/>
            </a:ext>
          </a:extLst>
        </xdr:cNvPr>
        <xdr:cNvCxnSpPr/>
      </xdr:nvCxnSpPr>
      <xdr:spPr>
        <a:xfrm flipV="1">
          <a:off x="7750969" y="6369844"/>
          <a:ext cx="1428750" cy="35956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166686</xdr:colOff>
      <xdr:row>44</xdr:row>
      <xdr:rowOff>59531</xdr:rowOff>
    </xdr:from>
    <xdr:to>
      <xdr:col>6</xdr:col>
      <xdr:colOff>11906</xdr:colOff>
      <xdr:row>56</xdr:row>
      <xdr:rowOff>142875</xdr:rowOff>
    </xdr:to>
    <xdr:cxnSp macro="">
      <xdr:nvCxnSpPr>
        <xdr:cNvPr id="20" name="Rechte verbindingslijn met pijl 19">
          <a:extLst>
            <a:ext uri="{FF2B5EF4-FFF2-40B4-BE49-F238E27FC236}">
              <a16:creationId xmlns:a16="http://schemas.microsoft.com/office/drawing/2014/main" id="{BBF74369-86B3-4CDB-8CCE-54D53E01DEE7}"/>
            </a:ext>
          </a:extLst>
        </xdr:cNvPr>
        <xdr:cNvCxnSpPr/>
      </xdr:nvCxnSpPr>
      <xdr:spPr>
        <a:xfrm>
          <a:off x="4143374" y="7822406"/>
          <a:ext cx="714376" cy="222646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7" xr16:uid="{6085BEDC-9721-410E-A451-A713ADB05C4D}" autoFormatId="16" applyNumberFormats="0" applyBorderFormats="0" applyFontFormats="0" applyPatternFormats="0" applyAlignmentFormats="0" applyWidthHeightFormats="0">
  <queryTableRefresh nextId="8">
    <queryTableFields count="7">
      <queryTableField id="1" name="Index" tableColumnId="1"/>
      <queryTableField id="2" name="Investeringsbedrag" tableColumnId="2"/>
      <queryTableField id="3" name="Jaar begin afschrijven" tableColumnId="3"/>
      <queryTableField id="4" name="Activacategorie" tableColumnId="4"/>
      <queryTableField id="5" name="Vervanging / uitbreiding" tableColumnId="5"/>
      <queryTableField id="6" name="Ombouwtaak" tableColumnId="6"/>
      <queryTableField id="7" name="Bestandsnaam"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93D32D77-13D5-4465-912B-8458EA628D4F}" autoFormatId="16" applyNumberFormats="0" applyBorderFormats="0" applyFontFormats="0" applyPatternFormats="0" applyAlignmentFormats="0" applyWidthHeightFormats="0">
  <queryTableRefresh nextId="7">
    <queryTableFields count="6">
      <queryTableField id="1" name="Index" tableColumnId="1"/>
      <queryTableField id="2" name="Investeringsbedrag" tableColumnId="2"/>
      <queryTableField id="3" name="Jaar begin afschrijven" tableColumnId="3"/>
      <queryTableField id="4" name="Activacategorie" tableColumnId="4"/>
      <queryTableField id="5" name="Bestandsnaam" tableColumnId="5"/>
      <queryTableField id="6" name="Versi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DE55C95C-0089-40BE-A972-B48FEABB81ED}" autoFormatId="16" applyNumberFormats="0" applyBorderFormats="0" applyFontFormats="0" applyPatternFormats="0" applyAlignmentFormats="0" applyWidthHeightFormats="0">
  <queryTableRefresh nextId="9">
    <queryTableFields count="8">
      <queryTableField id="1" name="Index" tableColumnId="1"/>
      <queryTableField id="2" name="Activaklasse" tableColumnId="2"/>
      <queryTableField id="3" name="Oorspronkelijk investeringsjaar" tableColumnId="3"/>
      <queryTableField id="4" name="Desinvestering (oorspronkelijke investeringsbedrag)" tableColumnId="4"/>
      <queryTableField id="5" name="Opbrengsten die samenhangen met desinvestering" tableColumnId="5"/>
      <queryTableField id="6" name="Jaar" tableColumnId="6"/>
      <queryTableField id="7" name="Bestandsnaam" tableColumnId="7"/>
      <queryTableField id="8" name="Versie" tableColumnId="8"/>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5" xr16:uid="{4ACF9F52-69E0-4676-B700-42A4E0AE213D}" autoFormatId="16" applyNumberFormats="0" applyBorderFormats="0" applyFontFormats="0" applyPatternFormats="0" applyAlignmentFormats="0" applyWidthHeightFormats="0">
  <queryTableRefresh nextId="10">
    <queryTableFields count="9">
      <queryTableField id="1" name="Categorie" tableColumnId="1"/>
      <queryTableField id="2" name="Subcategorie" tableColumnId="2"/>
      <queryTableField id="3" name="Jaar" tableColumnId="3"/>
      <queryTableField id="4" name="Omzetregulering tariefgereguleerd" tableColumnId="4"/>
      <queryTableField id="5" name="Overboek- en terugkoopregeling" tableColumnId="5"/>
      <queryTableField id="6" name="Veilinggelden" tableColumnId="6"/>
      <queryTableField id="7" name="Saldo administratieve onbalans" tableColumnId="7"/>
      <queryTableField id="8" name="Bestandsnaam" tableColumnId="8"/>
      <queryTableField id="9" name="Versie"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6" xr16:uid="{2B2CF06B-CC49-4DD6-9712-FF1199383F32}" autoFormatId="16" applyNumberFormats="0" applyBorderFormats="0" applyFontFormats="0" applyPatternFormats="0" applyAlignmentFormats="0" applyWidthHeightFormats="0">
  <queryTableRefresh nextId="21">
    <queryTableFields count="7">
      <queryTableField id="1" name="Categorie" tableColumnId="1"/>
      <queryTableField id="2" name="Subcategorie" tableColumnId="2"/>
      <queryTableField id="3" name="Jaar" tableColumnId="3"/>
      <queryTableField id="5" name="TT/BT/AT" tableColumnId="5"/>
      <queryTableField id="6" name="KC" tableColumnId="6"/>
      <queryTableField id="17" name="Bestandsnaam" tableColumnId="17"/>
      <queryTableField id="18" name="Versie"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A7C93-B450-460F-971C-4E09B7976CA4}" name="WUI_Ombouw" displayName="WUI_Ombouw" ref="B19:H50" tableType="queryTable" totalsRowShown="0" headerRowCellStyle="_kop2 Bloktitel">
  <autoFilter ref="B19:H50" xr:uid="{E7DA7C93-B450-460F-971C-4E09B7976CA4}"/>
  <sortState xmlns:xlrd2="http://schemas.microsoft.com/office/spreadsheetml/2017/richdata2" ref="B20:H39">
    <sortCondition ref="D19:D39"/>
  </sortState>
  <tableColumns count="7">
    <tableColumn id="1" xr3:uid="{7EEB421B-CC9A-4CE7-BCAE-B63F69C68E8E}" uniqueName="1" name="Index" queryTableFieldId="1"/>
    <tableColumn id="2" xr3:uid="{FD41C2D7-6835-40E6-A9A5-3814881A6D19}" uniqueName="2" name="Investeringsbedrag" queryTableFieldId="2" dataDxfId="33" dataCellStyle="Komma"/>
    <tableColumn id="3" xr3:uid="{AA1173C8-5786-4999-B694-3FFC0560A270}" uniqueName="3" name="Jaar begin afschrijven" queryTableFieldId="3"/>
    <tableColumn id="4" xr3:uid="{3A7FCBED-2EAC-4409-AB04-C96A08F772E6}" uniqueName="4" name="Activacategorie" queryTableFieldId="4" dataDxfId="32"/>
    <tableColumn id="5" xr3:uid="{0821367A-ACED-4AA8-89AB-D5A1DAC1ABE7}" uniqueName="5" name="Vervanging / uitbreiding" queryTableFieldId="5" dataDxfId="31"/>
    <tableColumn id="6" xr3:uid="{13AC745B-711A-4B7A-838C-0B8B8DA04C3F}" uniqueName="6" name="Ombouwtaak" queryTableFieldId="6" dataDxfId="30"/>
    <tableColumn id="7" xr3:uid="{D6351E6A-652D-4FFE-A686-1564C909C4FE}" uniqueName="7" name="Bestandsnaam" queryTableFieldId="7" dataDxfId="29"/>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DC1CB6-3DB3-4CDA-8E67-B24E47D5606F}" name="Investeringen_2" displayName="Investeringen_2" ref="B19:G126" tableType="queryTable" totalsRowShown="0" headerRowBorderDxfId="28" headerRowCellStyle="_kop2 Bloktitel">
  <autoFilter ref="B19:G126" xr:uid="{E6DC1CB6-3DB3-4CDA-8E67-B24E47D5606F}"/>
  <tableColumns count="6">
    <tableColumn id="1" xr3:uid="{14DB8885-7602-4D19-99E4-091E101C795F}" uniqueName="1" name="Index" queryTableFieldId="1"/>
    <tableColumn id="2" xr3:uid="{E7BDA9CB-D694-4ED4-94CF-33E2A25CEFDD}" uniqueName="2" name="Investeringsbedrag" queryTableFieldId="2" dataDxfId="27" dataCellStyle="Komma"/>
    <tableColumn id="3" xr3:uid="{74C5678D-BED5-4D51-82F8-CB57C4CDE794}" uniqueName="3" name="Jaar begin afschrijven" queryTableFieldId="3"/>
    <tableColumn id="4" xr3:uid="{6C014AE5-1C7F-4839-AC66-C9602F636B39}" uniqueName="4" name="Activacategorie" queryTableFieldId="4" dataDxfId="26"/>
    <tableColumn id="5" xr3:uid="{263AD9B9-093A-4277-9A29-0FD417142C06}" uniqueName="5" name="Bestandsnaam" queryTableFieldId="5" dataDxfId="25"/>
    <tableColumn id="6" xr3:uid="{2FD7DD34-1CA4-40C4-A31A-506B085DCCE8}" uniqueName="6" name="Versie" queryTableFieldId="6"/>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F217E6-A6B5-4FD0-95DC-AE5B51CED7F3}" name="Desinvestering" displayName="Desinvestering" ref="B19:I667" tableType="queryTable" totalsRowShown="0" headerRowBorderDxfId="24" headerRowCellStyle="_kop2 Bloktitel">
  <autoFilter ref="B19:I667" xr:uid="{0EF217E6-A6B5-4FD0-95DC-AE5B51CED7F3}"/>
  <tableColumns count="8">
    <tableColumn id="1" xr3:uid="{E1DE3244-D29E-470D-B196-2F3B80A7782A}" uniqueName="1" name="Index" queryTableFieldId="1" dataDxfId="23"/>
    <tableColumn id="2" xr3:uid="{C491040B-0017-4105-BD8E-4A0184B95C43}" uniqueName="2" name="Activaklasse" queryTableFieldId="2" dataDxfId="22"/>
    <tableColumn id="3" xr3:uid="{E5FB1711-CAA7-4F08-A54D-FB02740B2213}" uniqueName="3" name="Oorspronkelijk investeringsjaar" queryTableFieldId="3" dataDxfId="21"/>
    <tableColumn id="4" xr3:uid="{C83E17F0-737D-4858-A089-C2D3FD51DA70}" uniqueName="4" name="Desinvestering (oorspronkelijke investeringsbedrag)" queryTableFieldId="4" dataDxfId="20"/>
    <tableColumn id="5" xr3:uid="{E10B213C-9216-4C1F-815E-6F3528767FBD}" uniqueName="5" name="Opbrengsten die samenhangen met desinvestering" queryTableFieldId="5" dataDxfId="19"/>
    <tableColumn id="6" xr3:uid="{496A5B91-F853-43DF-A0F7-32A3BD59BF5E}" uniqueName="6" name="Jaar" queryTableFieldId="6" dataDxfId="18"/>
    <tableColumn id="7" xr3:uid="{1C144628-344F-4581-B0BC-90494468E6DC}" uniqueName="7" name="Bestandsnaam" queryTableFieldId="7" dataDxfId="17"/>
    <tableColumn id="8" xr3:uid="{74399678-1CC5-4D6D-B1BD-54C01BA39AB8}" uniqueName="8" name="Versie" queryTableFieldId="8" dataDxfId="16"/>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05D590-B7A6-463F-859A-99073FEE8503}" name="Omzet" displayName="Omzet" ref="B19:J24" tableType="queryTable" totalsRowShown="0" headerRowBorderDxfId="15" headerRowCellStyle="_kop2 Bloktitel">
  <autoFilter ref="B19:J24" xr:uid="{1A05D590-B7A6-463F-859A-99073FEE8503}"/>
  <tableColumns count="9">
    <tableColumn id="1" xr3:uid="{E3EB2548-1AE0-48E2-A931-8562D1C155C5}" uniqueName="1" name="Categorie" queryTableFieldId="1" dataDxfId="14"/>
    <tableColumn id="2" xr3:uid="{C70C5C65-91AE-4BD7-BDE3-24004C555153}" uniqueName="2" name="Subcategorie" queryTableFieldId="2" dataDxfId="13"/>
    <tableColumn id="3" xr3:uid="{73C31474-373A-486F-82ED-7E2C9F53946B}" uniqueName="3" name="Jaar" queryTableFieldId="3"/>
    <tableColumn id="4" xr3:uid="{11C972A8-A6A8-4827-8D82-2BE50BCF0A32}" uniqueName="4" name="Omzetregulering tariefgereguleerd" queryTableFieldId="4" dataDxfId="12" dataCellStyle="Komma"/>
    <tableColumn id="5" xr3:uid="{F248660C-C640-4340-9C5E-2F0DB9155CAF}" uniqueName="5" name="Overboek- en terugkoopregeling" queryTableFieldId="5" dataDxfId="11" dataCellStyle="Komma"/>
    <tableColumn id="6" xr3:uid="{0FCE2788-BA83-4D96-9957-0A0444F814A4}" uniqueName="6" name="Veilinggelden" queryTableFieldId="6" dataDxfId="10" dataCellStyle="Komma"/>
    <tableColumn id="7" xr3:uid="{507B605C-6B25-4FC5-BE1B-8CEDEE8043C1}" uniqueName="7" name="Saldo administratieve onbalans" queryTableFieldId="7" dataDxfId="9" dataCellStyle="Komma"/>
    <tableColumn id="8" xr3:uid="{A4EFEEDE-EB15-4D8F-86E1-C599FFD4E316}" uniqueName="8" name="Bestandsnaam" queryTableFieldId="8" dataDxfId="8"/>
    <tableColumn id="9" xr3:uid="{99F847F5-D701-4BCE-843E-8830BB7BE08D}" uniqueName="9" name="Versie" queryTableFieldId="9"/>
  </tableColumns>
  <tableStyleInfo name="Tabelstijl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13D16F-B985-474A-823F-F4766EE1E60A}" name="Operationele_kosten" displayName="Operationele_kosten" ref="B19:H28" tableType="queryTable" totalsRowShown="0" headerRowBorderDxfId="7" headerRowCellStyle="_kop2 Bloktitel">
  <autoFilter ref="B19:H28" xr:uid="{3613D16F-B985-474A-823F-F4766EE1E60A}"/>
  <tableColumns count="7">
    <tableColumn id="1" xr3:uid="{5A73A4A7-6BAE-4E1C-9E2E-5607263EEDC8}" uniqueName="1" name="Categorie" queryTableFieldId="1" dataDxfId="6"/>
    <tableColumn id="2" xr3:uid="{8E9C1922-BFEA-4BEB-9F79-78096EF5847E}" uniqueName="2" name="Subcategorie" queryTableFieldId="2" dataDxfId="5"/>
    <tableColumn id="3" xr3:uid="{103CDD32-8A57-45D2-A879-95C8D731BF01}" uniqueName="3" name="Jaar" queryTableFieldId="3" dataDxfId="4"/>
    <tableColumn id="5" xr3:uid="{600EE3AE-9F13-4712-A1B1-647E5E779BCF}" uniqueName="5" name="TT/BT/AT" queryTableFieldId="5" dataDxfId="3" dataCellStyle="Komma"/>
    <tableColumn id="6" xr3:uid="{B32F2C95-4022-4832-B838-0A040BA98D13}" uniqueName="6" name="KC" queryTableFieldId="6" dataDxfId="2" dataCellStyle="Komma"/>
    <tableColumn id="17" xr3:uid="{42C7F4BB-2190-4484-998E-A86B1CBACB65}" uniqueName="17" name="Bestandsnaam" queryTableFieldId="17" dataDxfId="1"/>
    <tableColumn id="18" xr3:uid="{F28F57AC-61F7-4BA7-9E3A-45CAE3AFE017}" uniqueName="18" name="Versie" queryTableFieldId="18" dataDxfId="0"/>
  </tableColumns>
  <tableStyleInfo name="Tabelstijl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TE-Tarievenbesluiten@acm.n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hyperlink" Target="https://wetten.overheid.nl/BWBR0037948/2021-04-30" TargetMode="External"/><Relationship Id="rId13" Type="http://schemas.openxmlformats.org/officeDocument/2006/relationships/hyperlink" Target="https://www.acm.nl/nl/publicaties/gewijzigd-methodebesluit-gts-2022-2026" TargetMode="External"/><Relationship Id="rId3" Type="http://schemas.openxmlformats.org/officeDocument/2006/relationships/hyperlink" Target="https://www.acm.nl/nl/publicaties/x-factorbesluit-gts-2022-2026" TargetMode="External"/><Relationship Id="rId7" Type="http://schemas.openxmlformats.org/officeDocument/2006/relationships/hyperlink" Target="https://www.acm.nl/sites/default/files/documents/rekenmodule-tarieven-gts-2022_1.xlsx" TargetMode="External"/><Relationship Id="rId12" Type="http://schemas.openxmlformats.org/officeDocument/2006/relationships/hyperlink" Target="https://www.acm.nl/nl/publicaties/tarievenbesluit-gts-2023" TargetMode="External"/><Relationship Id="rId2" Type="http://schemas.openxmlformats.org/officeDocument/2006/relationships/hyperlink" Target="https://www.acm.nl/nl/publicaties/gewijzigd-methodebesluit-gts-2017-2021" TargetMode="External"/><Relationship Id="rId1" Type="http://schemas.openxmlformats.org/officeDocument/2006/relationships/hyperlink" Target="https://www.acm.nl/nl/publicaties/tarievenbesluit-gts-2021" TargetMode="External"/><Relationship Id="rId6" Type="http://schemas.openxmlformats.org/officeDocument/2006/relationships/hyperlink" Target="https://opendata.cbs.nl/statline/" TargetMode="External"/><Relationship Id="rId11" Type="http://schemas.openxmlformats.org/officeDocument/2006/relationships/hyperlink" Target="https://www.acm.nl/nl/publicaties/tarievenbesluit-gts-2024" TargetMode="External"/><Relationship Id="rId5" Type="http://schemas.openxmlformats.org/officeDocument/2006/relationships/hyperlink" Target="https://www.acm.nl/nl/publicaties/x-factorbesluit-gts-2022-2026" TargetMode="External"/><Relationship Id="rId15" Type="http://schemas.openxmlformats.org/officeDocument/2006/relationships/printerSettings" Target="../printerSettings/printerSettings3.bin"/><Relationship Id="rId10" Type="http://schemas.openxmlformats.org/officeDocument/2006/relationships/hyperlink" Target="https://www.acm.nl/system/files/documents/tarievenbesluit-gts-2024.pdf" TargetMode="External"/><Relationship Id="rId4" Type="http://schemas.openxmlformats.org/officeDocument/2006/relationships/hyperlink" Target="https://www.acm.nl/nl/publicaties/methodebesluit-gts-2022-2026" TargetMode="External"/><Relationship Id="rId9" Type="http://schemas.openxmlformats.org/officeDocument/2006/relationships/hyperlink" Target="https://www.dnb.nl/statistieken/data-zoeken/" TargetMode="External"/><Relationship Id="rId14" Type="http://schemas.openxmlformats.org/officeDocument/2006/relationships/hyperlink" Target="https://www.acm.nl/nl/publicaties/gewijzigd-x-factorbesluit-gts-2022-2026"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9"/>
  <sheetViews>
    <sheetView showGridLines="0" zoomScale="85" zoomScaleNormal="85" workbookViewId="0">
      <pane ySplit="3" topLeftCell="A4" activePane="bottomLeft" state="frozen"/>
      <selection activeCell="A4" sqref="A4"/>
      <selection pane="bottomLeft"/>
    </sheetView>
  </sheetViews>
  <sheetFormatPr defaultColWidth="9.140625" defaultRowHeight="12.75"/>
  <cols>
    <col min="1" max="1" width="2.5703125" style="3" customWidth="1"/>
    <col min="2" max="2" width="39.85546875" style="3" customWidth="1"/>
    <col min="3" max="3" width="91.85546875" style="3" customWidth="1"/>
    <col min="4" max="16384" width="9.140625" style="3"/>
  </cols>
  <sheetData>
    <row r="2" spans="2:3" s="7" customFormat="1" ht="18">
      <c r="B2" s="7" t="s">
        <v>0</v>
      </c>
    </row>
    <row r="13" spans="2:3" s="8" customFormat="1">
      <c r="B13" s="8" t="s">
        <v>1</v>
      </c>
    </row>
    <row r="15" spans="2:3">
      <c r="B15" s="9" t="s">
        <v>2</v>
      </c>
      <c r="C15" s="92" t="s">
        <v>3</v>
      </c>
    </row>
    <row r="16" spans="2:3">
      <c r="B16" s="9" t="s">
        <v>4</v>
      </c>
      <c r="C16" s="9" t="s">
        <v>0</v>
      </c>
    </row>
    <row r="17" spans="2:3">
      <c r="B17" s="9" t="s">
        <v>5</v>
      </c>
      <c r="C17" s="9" t="s">
        <v>6</v>
      </c>
    </row>
    <row r="18" spans="2:3">
      <c r="B18" s="9" t="s">
        <v>7</v>
      </c>
      <c r="C18" s="9" t="s">
        <v>8</v>
      </c>
    </row>
    <row r="19" spans="2:3">
      <c r="B19" s="9" t="s">
        <v>9</v>
      </c>
      <c r="C19" s="24" t="s">
        <v>10</v>
      </c>
    </row>
    <row r="20" spans="2:3">
      <c r="B20" s="9" t="s">
        <v>11</v>
      </c>
      <c r="C20" s="341"/>
    </row>
    <row r="21" spans="2:3">
      <c r="B21" s="9" t="s">
        <v>12</v>
      </c>
      <c r="C21" s="9" t="s">
        <v>10</v>
      </c>
    </row>
    <row r="22" spans="2:3">
      <c r="B22" s="9" t="s">
        <v>13</v>
      </c>
      <c r="C22" s="9" t="s">
        <v>6</v>
      </c>
    </row>
    <row r="25" spans="2:3" s="8" customFormat="1">
      <c r="B25" s="8" t="s">
        <v>14</v>
      </c>
    </row>
    <row r="27" spans="2:3">
      <c r="B27" s="9" t="s">
        <v>15</v>
      </c>
      <c r="C27" s="9" t="s">
        <v>16</v>
      </c>
    </row>
    <row r="28" spans="2:3">
      <c r="B28" s="9" t="s">
        <v>17</v>
      </c>
      <c r="C28" s="9" t="s">
        <v>18</v>
      </c>
    </row>
    <row r="29" spans="2:3" ht="25.5">
      <c r="B29" s="9" t="s">
        <v>19</v>
      </c>
      <c r="C29" s="152" t="s">
        <v>20</v>
      </c>
    </row>
    <row r="30" spans="2:3">
      <c r="B30" s="9" t="s">
        <v>21</v>
      </c>
      <c r="C30" s="57" t="s">
        <v>16</v>
      </c>
    </row>
    <row r="31" spans="2:3">
      <c r="B31" s="9" t="s">
        <v>22</v>
      </c>
      <c r="C31" s="57" t="s">
        <v>10</v>
      </c>
    </row>
    <row r="32" spans="2:3">
      <c r="B32" s="9" t="s">
        <v>13</v>
      </c>
      <c r="C32" s="9" t="s">
        <v>6</v>
      </c>
    </row>
    <row r="34" spans="2:4">
      <c r="B34" s="346" t="s">
        <v>23</v>
      </c>
      <c r="C34" s="346"/>
      <c r="D34" s="5"/>
    </row>
    <row r="36" spans="2:4" s="8" customFormat="1">
      <c r="B36" s="8" t="s">
        <v>24</v>
      </c>
      <c r="C36" s="8" t="s">
        <v>25</v>
      </c>
      <c r="D36" s="8" t="s">
        <v>26</v>
      </c>
    </row>
    <row r="38" spans="2:4">
      <c r="C38" s="137" t="s">
        <v>27</v>
      </c>
    </row>
    <row r="39" spans="2:4" ht="13.5" customHeight="1">
      <c r="C39" s="137"/>
    </row>
  </sheetData>
  <mergeCells count="1">
    <mergeCell ref="B34:C34"/>
  </mergeCells>
  <hyperlinks>
    <hyperlink ref="C38" r:id="rId1" xr:uid="{7BAADCB6-E9E4-4907-A0A8-1D77239C367F}"/>
  </hyperlinks>
  <pageMargins left="0.75" right="0.75" top="1" bottom="1" header="0.5" footer="0.5"/>
  <pageSetup paperSize="9" orientation="portrait" r:id="rId2"/>
  <headerFooter alignWithMargins="0">
    <oddFooter>&amp;C_x000D_&amp;1#&amp;"Calibri"&amp;10&amp;K000000 Vertrouwelijk/Confidential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CDE9-D067-4C15-9ADB-B6B4F8311CAD}">
  <sheetPr>
    <tabColor rgb="FFCCFFCC"/>
  </sheetPr>
  <dimension ref="A2:AG24"/>
  <sheetViews>
    <sheetView showGridLines="0" zoomScale="85" zoomScaleNormal="85" workbookViewId="0">
      <pane xSplit="4" ySplit="6" topLeftCell="E7" activePane="bottomRight" state="frozen"/>
      <selection pane="topRight"/>
      <selection pane="bottomLeft"/>
      <selection pane="bottomRight"/>
    </sheetView>
  </sheetViews>
  <sheetFormatPr defaultColWidth="9.140625" defaultRowHeight="12.75"/>
  <cols>
    <col min="1" max="1" width="2.5703125" style="202" customWidth="1"/>
    <col min="2" max="2" width="62.140625" style="3" customWidth="1"/>
    <col min="3" max="3" width="2.5703125" style="3" customWidth="1"/>
    <col min="4" max="4" width="13.5703125" style="3" customWidth="1"/>
    <col min="5" max="5" width="2.5703125" style="3" customWidth="1"/>
    <col min="6" max="6" width="19.5703125" style="3" bestFit="1" customWidth="1"/>
    <col min="7" max="7" width="2.5703125" style="3" customWidth="1"/>
    <col min="8" max="9" width="21.5703125" style="3" bestFit="1" customWidth="1"/>
    <col min="10" max="10" width="16.5703125" style="3" bestFit="1" customWidth="1"/>
    <col min="11" max="16" width="14.5703125" style="3" customWidth="1"/>
    <col min="17" max="17" width="2.5703125" style="3" customWidth="1"/>
    <col min="18" max="18" width="73.5703125" style="3" bestFit="1" customWidth="1"/>
    <col min="19" max="19" width="2.5703125" style="3" customWidth="1"/>
    <col min="20" max="20" width="13.5703125" style="3" customWidth="1"/>
    <col min="21" max="33" width="13.5703125" style="202" customWidth="1"/>
    <col min="34" max="16384" width="9.140625" style="3"/>
  </cols>
  <sheetData>
    <row r="2" spans="2:20" s="12" customFormat="1" ht="18">
      <c r="B2" s="12" t="s">
        <v>518</v>
      </c>
    </row>
    <row r="4" spans="2:20">
      <c r="B4" s="16" t="s">
        <v>197</v>
      </c>
      <c r="C4" s="2"/>
    </row>
    <row r="5" spans="2:20" ht="71.25" customHeight="1">
      <c r="B5" s="346" t="s">
        <v>519</v>
      </c>
      <c r="C5" s="346"/>
      <c r="D5" s="346"/>
      <c r="F5" s="13"/>
    </row>
    <row r="8" spans="2:20" s="8" customFormat="1" ht="12.75" customHeight="1">
      <c r="B8" s="8" t="s">
        <v>157</v>
      </c>
    </row>
    <row r="9" spans="2:20" s="203" customFormat="1" ht="12.75" customHeight="1"/>
    <row r="10" spans="2:20" s="8" customFormat="1" ht="12.75" customHeight="1">
      <c r="B10" s="8" t="s">
        <v>520</v>
      </c>
      <c r="F10" s="8" t="s">
        <v>380</v>
      </c>
      <c r="H10" s="8" t="s">
        <v>302</v>
      </c>
      <c r="I10" s="8" t="s">
        <v>521</v>
      </c>
      <c r="J10" s="8" t="s">
        <v>515</v>
      </c>
      <c r="R10" s="8" t="s">
        <v>201</v>
      </c>
      <c r="T10" s="8" t="s">
        <v>202</v>
      </c>
    </row>
    <row r="11" spans="2:20">
      <c r="B11" s="202"/>
    </row>
    <row r="12" spans="2:20">
      <c r="B12" s="3" t="s">
        <v>522</v>
      </c>
      <c r="F12" s="204">
        <v>2011</v>
      </c>
      <c r="H12" s="205">
        <v>30</v>
      </c>
      <c r="I12" s="205">
        <v>22704728.687201399</v>
      </c>
      <c r="J12" s="206">
        <v>17376205.576952007</v>
      </c>
      <c r="R12" s="3" t="s">
        <v>523</v>
      </c>
      <c r="T12" s="3" t="s">
        <v>524</v>
      </c>
    </row>
    <row r="13" spans="2:20">
      <c r="B13" s="3" t="s">
        <v>525</v>
      </c>
      <c r="F13" s="204">
        <v>2012</v>
      </c>
      <c r="H13" s="205">
        <v>30</v>
      </c>
      <c r="I13" s="205">
        <v>1408497.2920886443</v>
      </c>
      <c r="J13" s="206">
        <v>1104502.0714844635</v>
      </c>
      <c r="L13" s="211"/>
      <c r="M13" s="211"/>
      <c r="N13" s="211"/>
      <c r="O13" s="211"/>
      <c r="P13" s="211"/>
      <c r="R13" s="13"/>
    </row>
    <row r="14" spans="2:20">
      <c r="B14" s="3" t="s">
        <v>526</v>
      </c>
      <c r="F14" s="204">
        <v>2013</v>
      </c>
      <c r="H14" s="205">
        <v>30</v>
      </c>
      <c r="I14" s="205">
        <v>337946.31023100798</v>
      </c>
      <c r="J14" s="206">
        <v>271685.95797538623</v>
      </c>
      <c r="L14" s="211"/>
      <c r="M14" s="211"/>
      <c r="N14" s="211"/>
      <c r="O14" s="211"/>
      <c r="P14" s="211"/>
      <c r="R14" s="13"/>
    </row>
    <row r="15" spans="2:20">
      <c r="B15" s="3" t="s">
        <v>527</v>
      </c>
      <c r="F15" s="204">
        <v>2014</v>
      </c>
      <c r="H15" s="205">
        <v>30</v>
      </c>
      <c r="I15" s="205">
        <v>167929.59201100032</v>
      </c>
      <c r="J15" s="206">
        <v>137435.09908722798</v>
      </c>
      <c r="L15" s="211"/>
      <c r="M15" s="211"/>
      <c r="N15" s="211"/>
      <c r="O15" s="211"/>
      <c r="P15" s="211"/>
      <c r="R15" s="13"/>
    </row>
    <row r="16" spans="2:20">
      <c r="B16" s="3" t="s">
        <v>528</v>
      </c>
      <c r="F16" s="204">
        <v>2015</v>
      </c>
      <c r="H16" s="205">
        <v>30</v>
      </c>
      <c r="I16" s="205">
        <v>2621.3116059707399</v>
      </c>
      <c r="J16" s="206">
        <v>2218.4673824688466</v>
      </c>
    </row>
    <row r="18" spans="2:20" s="8" customFormat="1" ht="12" customHeight="1">
      <c r="B18" s="8" t="s">
        <v>529</v>
      </c>
      <c r="D18" s="8" t="s">
        <v>199</v>
      </c>
      <c r="F18" s="8" t="s">
        <v>200</v>
      </c>
      <c r="H18" s="46">
        <v>2018</v>
      </c>
      <c r="I18" s="46">
        <v>2019</v>
      </c>
      <c r="J18" s="46">
        <v>2020</v>
      </c>
      <c r="K18" s="46">
        <v>2021</v>
      </c>
      <c r="L18" s="46">
        <v>2022</v>
      </c>
      <c r="M18" s="46">
        <v>2023</v>
      </c>
      <c r="N18" s="46">
        <v>2024</v>
      </c>
      <c r="O18" s="46">
        <v>2025</v>
      </c>
      <c r="P18" s="46">
        <v>2026</v>
      </c>
      <c r="R18" s="8" t="s">
        <v>201</v>
      </c>
      <c r="T18" s="8" t="s">
        <v>202</v>
      </c>
    </row>
    <row r="20" spans="2:20">
      <c r="B20" s="2" t="s">
        <v>530</v>
      </c>
    </row>
    <row r="21" spans="2:20">
      <c r="B21" s="3" t="s">
        <v>531</v>
      </c>
      <c r="D21" s="3" t="s">
        <v>209</v>
      </c>
      <c r="H21" s="207"/>
      <c r="I21" s="207"/>
      <c r="K21" s="209"/>
      <c r="L21" s="210"/>
      <c r="N21" s="326">
        <v>147208.215</v>
      </c>
    </row>
    <row r="23" spans="2:20">
      <c r="B23" s="2" t="s">
        <v>532</v>
      </c>
    </row>
    <row r="24" spans="2:20">
      <c r="B24" s="3" t="s">
        <v>533</v>
      </c>
      <c r="D24" s="3" t="s">
        <v>209</v>
      </c>
      <c r="H24" s="208"/>
      <c r="I24" s="208"/>
      <c r="J24" s="210"/>
      <c r="K24" s="209"/>
      <c r="L24" s="210"/>
      <c r="N24" s="284">
        <v>3414324.37</v>
      </c>
    </row>
  </sheetData>
  <mergeCells count="1">
    <mergeCell ref="B5:D5"/>
  </mergeCells>
  <pageMargins left="0.7" right="0.7" top="0.75" bottom="0.75" header="0.3" footer="0.3"/>
  <headerFooter>
    <oddFooter>&amp;C_x000D_&amp;1#&amp;"Calibri"&amp;10&amp;K000000 Vertrouwelijk/Confidential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sheetPr>
  <dimension ref="A2:V279"/>
  <sheetViews>
    <sheetView showGridLines="0" zoomScale="85" zoomScaleNormal="85" workbookViewId="0">
      <pane xSplit="4" ySplit="10" topLeftCell="E11" activePane="bottomRight" state="frozen"/>
      <selection pane="topRight"/>
      <selection pane="bottomLeft"/>
      <selection pane="bottomRight"/>
    </sheetView>
  </sheetViews>
  <sheetFormatPr defaultColWidth="9.140625" defaultRowHeight="12.75"/>
  <cols>
    <col min="1" max="1" width="2.5703125" style="3" customWidth="1"/>
    <col min="2" max="2" width="70" style="3" bestFit="1" customWidth="1"/>
    <col min="3" max="3" width="2.5703125" style="3" customWidth="1"/>
    <col min="4" max="4" width="11.5703125" style="3" bestFit="1" customWidth="1"/>
    <col min="5" max="5" width="2.5703125" style="3" customWidth="1"/>
    <col min="6" max="6" width="14.85546875" style="3" customWidth="1"/>
    <col min="7" max="7" width="12.85546875" style="3" customWidth="1"/>
    <col min="8" max="10" width="11.42578125" style="3" customWidth="1"/>
    <col min="11" max="11" width="22.5703125" style="3" customWidth="1"/>
    <col min="12" max="17" width="12.42578125" style="3" bestFit="1" customWidth="1"/>
    <col min="18" max="19" width="16.42578125" style="3" bestFit="1" customWidth="1"/>
    <col min="20" max="21" width="12.42578125" style="3" bestFit="1" customWidth="1"/>
    <col min="22" max="33" width="13.5703125" style="3" customWidth="1"/>
    <col min="34" max="16384" width="9.140625" style="3"/>
  </cols>
  <sheetData>
    <row r="2" spans="1:22" s="12" customFormat="1" ht="18">
      <c r="B2" s="12" t="s">
        <v>534</v>
      </c>
    </row>
    <row r="4" spans="1:22">
      <c r="B4" s="16" t="s">
        <v>197</v>
      </c>
      <c r="C4" s="2"/>
    </row>
    <row r="5" spans="1:22" ht="15.75" customHeight="1">
      <c r="B5" s="349" t="s">
        <v>535</v>
      </c>
      <c r="C5" s="349"/>
      <c r="D5" s="349"/>
      <c r="F5" s="13"/>
    </row>
    <row r="7" spans="1:22">
      <c r="B7" s="17" t="s">
        <v>153</v>
      </c>
    </row>
    <row r="8" spans="1:22" ht="69.75" customHeight="1">
      <c r="B8" s="346" t="s">
        <v>536</v>
      </c>
      <c r="C8" s="346"/>
      <c r="D8" s="346"/>
    </row>
    <row r="10" spans="1:22" s="8" customFormat="1" ht="12.75" customHeight="1">
      <c r="I10" s="46"/>
      <c r="J10" s="46"/>
      <c r="K10" s="46"/>
      <c r="L10" s="46"/>
      <c r="M10" s="46"/>
      <c r="N10" s="46"/>
      <c r="O10" s="46"/>
      <c r="P10" s="46"/>
      <c r="Q10" s="46"/>
    </row>
    <row r="11" spans="1:22">
      <c r="B11" s="2"/>
    </row>
    <row r="12" spans="1:22" s="33" customFormat="1" ht="12.75" customHeight="1">
      <c r="A12" s="98"/>
      <c r="B12" s="33" t="s">
        <v>508</v>
      </c>
      <c r="J12" s="186"/>
      <c r="K12" s="186"/>
      <c r="L12" s="186"/>
      <c r="M12" s="186"/>
      <c r="N12" s="186"/>
      <c r="O12" s="186"/>
      <c r="P12" s="186"/>
      <c r="Q12" s="186"/>
      <c r="R12" s="186"/>
      <c r="T12" s="33" t="s">
        <v>201</v>
      </c>
      <c r="V12" s="33" t="s">
        <v>202</v>
      </c>
    </row>
    <row r="13" spans="1:22" s="34" customFormat="1" ht="12.75" customHeight="1">
      <c r="A13" s="99"/>
      <c r="B13" s="34" t="s">
        <v>157</v>
      </c>
      <c r="D13" s="34" t="s">
        <v>199</v>
      </c>
      <c r="F13" s="34" t="s">
        <v>537</v>
      </c>
      <c r="H13" s="101">
        <v>2017</v>
      </c>
      <c r="I13" s="101">
        <v>2018</v>
      </c>
      <c r="J13" s="101">
        <v>2019</v>
      </c>
      <c r="K13" s="101">
        <v>2020</v>
      </c>
      <c r="L13" s="101">
        <v>2021</v>
      </c>
      <c r="M13" s="101">
        <v>2022</v>
      </c>
      <c r="N13" s="101">
        <v>2023</v>
      </c>
      <c r="O13" s="101">
        <v>2024</v>
      </c>
      <c r="P13" s="101">
        <v>2025</v>
      </c>
      <c r="Q13" s="101">
        <v>2026</v>
      </c>
    </row>
    <row r="15" spans="1:22" s="243" customFormat="1">
      <c r="B15" s="8" t="s">
        <v>538</v>
      </c>
      <c r="C15" s="8"/>
      <c r="D15" s="8"/>
    </row>
    <row r="17" spans="2:20">
      <c r="B17" s="3" t="s">
        <v>539</v>
      </c>
      <c r="D17" s="3" t="s">
        <v>204</v>
      </c>
      <c r="F17" s="248">
        <v>0.77</v>
      </c>
      <c r="T17" s="3" t="s">
        <v>540</v>
      </c>
    </row>
    <row r="19" spans="2:20" s="243" customFormat="1">
      <c r="B19" s="8" t="s">
        <v>541</v>
      </c>
      <c r="C19" s="8"/>
      <c r="D19" s="8"/>
    </row>
    <row r="21" spans="2:20">
      <c r="B21" s="3" t="s">
        <v>542</v>
      </c>
      <c r="D21" s="3" t="s">
        <v>209</v>
      </c>
      <c r="H21" s="10"/>
      <c r="I21" s="10"/>
      <c r="J21" s="10"/>
      <c r="K21" s="10"/>
      <c r="L21" s="10"/>
      <c r="M21" s="247">
        <v>7339829.2418518746</v>
      </c>
      <c r="N21" s="247">
        <v>6662159.7393988082</v>
      </c>
      <c r="O21" s="247">
        <v>6117183.5197096057</v>
      </c>
      <c r="P21" s="247">
        <v>5719048.4597574808</v>
      </c>
      <c r="Q21" s="247">
        <v>5428026.4892949341</v>
      </c>
      <c r="T21" s="3" t="s">
        <v>305</v>
      </c>
    </row>
    <row r="22" spans="2:20">
      <c r="B22" s="3" t="s">
        <v>543</v>
      </c>
      <c r="D22" s="3" t="s">
        <v>209</v>
      </c>
      <c r="H22" s="10"/>
      <c r="I22" s="10"/>
      <c r="J22" s="10"/>
      <c r="K22" s="10"/>
      <c r="L22" s="10"/>
      <c r="M22" s="247">
        <v>92112966.285529599</v>
      </c>
      <c r="N22" s="247">
        <v>85450806.546130821</v>
      </c>
      <c r="O22" s="247">
        <v>79333623.026421189</v>
      </c>
      <c r="P22" s="247">
        <v>73614574.566663712</v>
      </c>
      <c r="Q22" s="247">
        <v>68186548.077368766</v>
      </c>
      <c r="T22" s="3" t="s">
        <v>305</v>
      </c>
    </row>
    <row r="24" spans="2:20" s="8" customFormat="1">
      <c r="B24" s="8" t="s">
        <v>529</v>
      </c>
    </row>
    <row r="26" spans="2:20">
      <c r="B26" s="2" t="s">
        <v>544</v>
      </c>
    </row>
    <row r="27" spans="2:20">
      <c r="B27" t="s">
        <v>545</v>
      </c>
      <c r="D27" s="3" t="s">
        <v>209</v>
      </c>
      <c r="H27" s="10"/>
      <c r="I27" s="10"/>
      <c r="J27" s="247">
        <v>4311221.7573385285</v>
      </c>
      <c r="K27" s="10"/>
      <c r="L27" s="10"/>
      <c r="M27" s="10"/>
      <c r="N27" s="10"/>
      <c r="O27" s="10"/>
      <c r="P27" s="10"/>
      <c r="Q27" s="10"/>
      <c r="T27" s="3" t="s">
        <v>546</v>
      </c>
    </row>
    <row r="28" spans="2:20">
      <c r="B28" s="119" t="s">
        <v>547</v>
      </c>
      <c r="D28" s="3" t="s">
        <v>209</v>
      </c>
      <c r="H28" s="10"/>
      <c r="I28" s="10"/>
      <c r="J28" s="247">
        <v>5089135.5900731999</v>
      </c>
      <c r="K28" s="10"/>
      <c r="L28" s="10"/>
      <c r="M28" s="10"/>
      <c r="N28" s="10"/>
      <c r="O28" s="10"/>
      <c r="P28" s="10"/>
      <c r="Q28" s="10"/>
      <c r="T28" s="3" t="s">
        <v>546</v>
      </c>
    </row>
    <row r="30" spans="2:20">
      <c r="B30" s="2" t="s">
        <v>548</v>
      </c>
    </row>
    <row r="31" spans="2:20">
      <c r="B31" s="3" t="s">
        <v>549</v>
      </c>
      <c r="D31" s="3" t="s">
        <v>209</v>
      </c>
      <c r="H31" s="247">
        <v>1320509.5900000001</v>
      </c>
      <c r="I31" s="247">
        <v>1966066.3200000003</v>
      </c>
      <c r="J31" s="247">
        <v>1575548.13</v>
      </c>
      <c r="K31" s="10"/>
      <c r="L31" s="10"/>
      <c r="M31" s="10"/>
      <c r="N31" s="10"/>
      <c r="O31" s="10"/>
      <c r="P31" s="10"/>
      <c r="Q31" s="10"/>
      <c r="T31" s="3" t="s">
        <v>546</v>
      </c>
    </row>
    <row r="33" spans="2:16">
      <c r="B33" s="2"/>
    </row>
    <row r="34" spans="2:16">
      <c r="B34" s="90"/>
      <c r="C34" s="90"/>
      <c r="D34" s="90"/>
      <c r="E34" s="90"/>
      <c r="F34" s="90"/>
      <c r="G34" s="90"/>
      <c r="H34" s="187"/>
      <c r="I34" s="90"/>
      <c r="J34" s="187"/>
      <c r="K34" s="188"/>
    </row>
    <row r="35" spans="2:16">
      <c r="B35" s="90"/>
      <c r="C35" s="90"/>
      <c r="D35" s="90"/>
      <c r="E35" s="90"/>
      <c r="F35" s="90"/>
      <c r="G35" s="90"/>
      <c r="H35" s="187"/>
      <c r="I35" s="90"/>
      <c r="J35" s="187"/>
      <c r="K35" s="188"/>
    </row>
    <row r="37" spans="2:16">
      <c r="B37" s="90"/>
      <c r="C37" s="90"/>
      <c r="D37" s="90"/>
      <c r="E37" s="90"/>
      <c r="F37" s="90"/>
      <c r="G37" s="90"/>
      <c r="H37" s="187"/>
      <c r="I37" s="90"/>
      <c r="J37" s="187"/>
      <c r="K37" s="188"/>
      <c r="O37" s="89"/>
      <c r="P37" s="89"/>
    </row>
    <row r="38" spans="2:16">
      <c r="B38" s="90"/>
      <c r="C38" s="90"/>
      <c r="D38" s="90"/>
      <c r="E38" s="90"/>
      <c r="F38" s="90"/>
      <c r="G38" s="90"/>
      <c r="H38" s="187"/>
      <c r="I38" s="90"/>
      <c r="J38" s="187"/>
      <c r="K38" s="188"/>
      <c r="O38" s="89"/>
      <c r="P38" s="89"/>
    </row>
    <row r="39" spans="2:16">
      <c r="B39" s="90"/>
      <c r="C39" s="90"/>
      <c r="D39" s="90"/>
      <c r="E39" s="90"/>
      <c r="F39" s="90"/>
      <c r="G39" s="90"/>
      <c r="H39" s="187"/>
      <c r="I39" s="90"/>
      <c r="J39" s="187"/>
      <c r="K39" s="188"/>
      <c r="O39" s="89"/>
      <c r="P39" s="89"/>
    </row>
    <row r="40" spans="2:16">
      <c r="B40" s="90"/>
      <c r="C40" s="90"/>
      <c r="D40" s="90"/>
      <c r="E40" s="90"/>
      <c r="F40" s="90"/>
      <c r="G40" s="90"/>
      <c r="H40" s="187"/>
      <c r="I40" s="90"/>
      <c r="J40" s="187"/>
      <c r="K40" s="188"/>
    </row>
    <row r="41" spans="2:16">
      <c r="B41" s="90"/>
      <c r="C41" s="90"/>
      <c r="D41" s="90"/>
      <c r="E41" s="90"/>
      <c r="F41" s="90"/>
      <c r="G41" s="90"/>
      <c r="H41" s="187"/>
      <c r="I41" s="90"/>
      <c r="J41" s="187"/>
      <c r="K41" s="188"/>
    </row>
    <row r="42" spans="2:16">
      <c r="B42" s="90"/>
      <c r="C42" s="90"/>
      <c r="D42" s="90"/>
      <c r="E42" s="90"/>
      <c r="F42" s="90"/>
      <c r="G42" s="90"/>
      <c r="H42" s="187"/>
      <c r="I42" s="90"/>
      <c r="J42" s="187"/>
      <c r="K42" s="188"/>
    </row>
    <row r="43" spans="2:16">
      <c r="B43" s="90"/>
      <c r="C43" s="90"/>
      <c r="D43" s="90"/>
      <c r="E43" s="90"/>
      <c r="F43" s="90"/>
      <c r="G43" s="90"/>
      <c r="H43" s="187"/>
      <c r="I43" s="90"/>
      <c r="J43" s="187"/>
      <c r="K43" s="188"/>
    </row>
    <row r="44" spans="2:16">
      <c r="B44" s="90"/>
      <c r="C44" s="90"/>
      <c r="D44" s="90"/>
      <c r="E44" s="90"/>
      <c r="F44" s="90"/>
      <c r="G44" s="90"/>
      <c r="H44" s="187"/>
      <c r="I44" s="90"/>
      <c r="J44" s="187"/>
      <c r="K44" s="188"/>
    </row>
    <row r="45" spans="2:16">
      <c r="B45" s="90"/>
      <c r="C45" s="90"/>
      <c r="D45" s="90"/>
      <c r="E45" s="90"/>
      <c r="F45" s="90"/>
      <c r="G45" s="90"/>
      <c r="H45" s="187"/>
      <c r="I45" s="90"/>
      <c r="J45" s="187"/>
      <c r="K45" s="188"/>
    </row>
    <row r="46" spans="2:16">
      <c r="B46" s="90"/>
      <c r="C46" s="90"/>
      <c r="D46" s="90"/>
      <c r="E46" s="90"/>
      <c r="F46" s="90"/>
      <c r="G46" s="90"/>
      <c r="H46" s="187"/>
      <c r="I46" s="90"/>
      <c r="J46" s="187"/>
      <c r="K46" s="188"/>
    </row>
    <row r="47" spans="2:16">
      <c r="B47" s="90"/>
      <c r="C47" s="90"/>
      <c r="D47" s="90"/>
      <c r="E47" s="90"/>
      <c r="F47" s="90"/>
      <c r="G47" s="90"/>
      <c r="H47" s="187"/>
      <c r="I47" s="90"/>
      <c r="J47" s="187"/>
      <c r="K47" s="188"/>
    </row>
    <row r="48" spans="2:16">
      <c r="B48" s="90"/>
      <c r="C48" s="90"/>
      <c r="D48" s="90"/>
      <c r="E48" s="90"/>
      <c r="F48" s="90"/>
      <c r="G48" s="90"/>
      <c r="H48" s="187"/>
      <c r="I48" s="90"/>
      <c r="J48" s="187"/>
      <c r="K48" s="188"/>
    </row>
    <row r="49" spans="2:11">
      <c r="B49" s="90"/>
      <c r="C49" s="90"/>
      <c r="D49" s="90"/>
      <c r="E49" s="90"/>
      <c r="F49" s="90"/>
      <c r="G49" s="90"/>
      <c r="H49" s="187"/>
      <c r="I49" s="90"/>
      <c r="J49" s="187"/>
      <c r="K49" s="188"/>
    </row>
    <row r="50" spans="2:11">
      <c r="B50" s="90"/>
      <c r="C50" s="90"/>
      <c r="D50" s="90"/>
      <c r="E50" s="90"/>
      <c r="F50" s="90"/>
      <c r="G50" s="90"/>
      <c r="H50" s="187"/>
      <c r="I50" s="90"/>
      <c r="J50" s="187"/>
      <c r="K50" s="188"/>
    </row>
    <row r="51" spans="2:11">
      <c r="B51" s="90"/>
      <c r="C51" s="90"/>
      <c r="D51" s="90"/>
      <c r="E51" s="90"/>
      <c r="F51" s="90"/>
      <c r="G51" s="90"/>
      <c r="H51" s="187"/>
      <c r="I51" s="90"/>
      <c r="J51" s="187"/>
      <c r="K51" s="188"/>
    </row>
    <row r="52" spans="2:11">
      <c r="B52" s="90"/>
      <c r="C52" s="90"/>
      <c r="D52" s="90"/>
      <c r="E52" s="90"/>
      <c r="F52" s="90"/>
      <c r="G52" s="90"/>
      <c r="H52" s="187"/>
      <c r="I52" s="90"/>
      <c r="J52" s="187"/>
      <c r="K52" s="188"/>
    </row>
    <row r="53" spans="2:11">
      <c r="B53" s="90"/>
      <c r="C53" s="90"/>
      <c r="D53" s="90"/>
      <c r="E53" s="90"/>
      <c r="F53" s="90"/>
      <c r="G53" s="90"/>
      <c r="H53" s="187"/>
      <c r="I53" s="90"/>
      <c r="J53" s="187"/>
      <c r="K53" s="188"/>
    </row>
    <row r="54" spans="2:11">
      <c r="B54" s="90"/>
      <c r="C54" s="90"/>
      <c r="D54" s="90"/>
      <c r="E54" s="90"/>
      <c r="F54" s="90"/>
      <c r="G54" s="90"/>
      <c r="H54" s="187"/>
      <c r="I54" s="90"/>
      <c r="J54" s="187"/>
      <c r="K54" s="188"/>
    </row>
    <row r="55" spans="2:11">
      <c r="B55" s="90"/>
      <c r="C55" s="90"/>
      <c r="D55" s="90"/>
      <c r="E55" s="90"/>
      <c r="F55" s="90"/>
      <c r="G55" s="90"/>
      <c r="H55" s="187"/>
      <c r="I55" s="90"/>
      <c r="J55" s="187"/>
      <c r="K55" s="188"/>
    </row>
    <row r="56" spans="2:11">
      <c r="B56" s="90"/>
      <c r="C56" s="90"/>
      <c r="D56" s="90"/>
      <c r="E56" s="90"/>
      <c r="F56" s="90"/>
      <c r="G56" s="90"/>
      <c r="H56" s="187"/>
      <c r="I56" s="90"/>
      <c r="J56" s="187"/>
      <c r="K56" s="188"/>
    </row>
    <row r="57" spans="2:11">
      <c r="B57" s="90"/>
      <c r="C57" s="90"/>
      <c r="D57" s="90"/>
      <c r="E57" s="90"/>
      <c r="F57" s="90"/>
      <c r="G57" s="90"/>
      <c r="H57" s="187"/>
      <c r="I57" s="90"/>
      <c r="J57" s="187"/>
      <c r="K57" s="188"/>
    </row>
    <row r="58" spans="2:11">
      <c r="B58" s="90"/>
      <c r="C58" s="90"/>
      <c r="D58" s="90"/>
      <c r="E58" s="90"/>
      <c r="F58" s="90"/>
      <c r="G58" s="90"/>
      <c r="H58" s="187"/>
      <c r="I58" s="90"/>
      <c r="J58" s="187"/>
      <c r="K58" s="188"/>
    </row>
    <row r="59" spans="2:11">
      <c r="B59" s="90"/>
      <c r="C59" s="90"/>
      <c r="D59" s="90"/>
      <c r="E59" s="90"/>
      <c r="F59" s="90"/>
      <c r="G59" s="90"/>
      <c r="H59" s="187"/>
      <c r="I59" s="90"/>
      <c r="J59" s="187"/>
      <c r="K59" s="188"/>
    </row>
    <row r="60" spans="2:11">
      <c r="B60" s="90"/>
      <c r="C60" s="90"/>
      <c r="D60" s="90"/>
      <c r="E60" s="90"/>
      <c r="F60" s="90"/>
      <c r="G60" s="90"/>
      <c r="H60" s="187"/>
      <c r="I60" s="90"/>
      <c r="J60" s="187"/>
      <c r="K60" s="188"/>
    </row>
    <row r="61" spans="2:11">
      <c r="B61" s="90"/>
      <c r="C61" s="90"/>
      <c r="D61" s="90"/>
      <c r="E61" s="90"/>
      <c r="F61" s="90"/>
      <c r="G61" s="90"/>
      <c r="H61" s="187"/>
      <c r="I61" s="90"/>
      <c r="J61" s="187"/>
      <c r="K61" s="188"/>
    </row>
    <row r="62" spans="2:11">
      <c r="B62" s="90"/>
      <c r="C62" s="90"/>
      <c r="D62" s="90"/>
      <c r="E62" s="90"/>
      <c r="F62" s="90"/>
      <c r="G62" s="90"/>
      <c r="H62" s="187"/>
      <c r="I62" s="90"/>
      <c r="J62" s="187"/>
      <c r="K62" s="188"/>
    </row>
    <row r="63" spans="2:11">
      <c r="B63" s="90"/>
      <c r="C63" s="90"/>
      <c r="D63" s="90"/>
      <c r="E63" s="90"/>
      <c r="F63" s="90"/>
      <c r="G63" s="90"/>
      <c r="H63" s="187"/>
      <c r="I63" s="90"/>
      <c r="J63" s="187"/>
      <c r="K63" s="188"/>
    </row>
    <row r="64" spans="2:11">
      <c r="B64" s="90"/>
      <c r="C64" s="90"/>
      <c r="D64" s="90"/>
      <c r="E64" s="90"/>
      <c r="F64" s="90"/>
      <c r="G64" s="90"/>
      <c r="H64" s="187"/>
      <c r="I64" s="90"/>
      <c r="J64" s="187"/>
      <c r="K64" s="188"/>
    </row>
    <row r="65" spans="2:11">
      <c r="B65" s="90"/>
      <c r="C65" s="90"/>
      <c r="D65" s="90"/>
      <c r="E65" s="90"/>
      <c r="F65" s="90"/>
      <c r="G65" s="90"/>
      <c r="H65" s="187"/>
      <c r="I65" s="90"/>
      <c r="J65" s="187"/>
      <c r="K65" s="188"/>
    </row>
    <row r="66" spans="2:11">
      <c r="B66" s="90"/>
      <c r="C66" s="90"/>
      <c r="D66" s="90"/>
      <c r="E66" s="90"/>
      <c r="F66" s="90"/>
      <c r="G66" s="90"/>
      <c r="H66" s="187"/>
      <c r="I66" s="90"/>
      <c r="J66" s="187"/>
      <c r="K66" s="188"/>
    </row>
    <row r="67" spans="2:11">
      <c r="B67" s="90"/>
      <c r="C67" s="90"/>
      <c r="D67" s="90"/>
      <c r="E67" s="90"/>
      <c r="F67" s="90"/>
      <c r="G67" s="90"/>
      <c r="H67" s="187"/>
      <c r="I67" s="90"/>
      <c r="J67" s="187"/>
      <c r="K67" s="188"/>
    </row>
    <row r="68" spans="2:11">
      <c r="B68" s="90"/>
      <c r="C68" s="90"/>
      <c r="D68" s="90"/>
      <c r="E68" s="90"/>
      <c r="F68" s="90"/>
      <c r="G68" s="90"/>
      <c r="H68" s="187"/>
      <c r="I68" s="90"/>
      <c r="J68" s="187"/>
      <c r="K68" s="188"/>
    </row>
    <row r="69" spans="2:11">
      <c r="B69" s="90"/>
      <c r="C69" s="90"/>
      <c r="D69" s="90"/>
      <c r="E69" s="90"/>
      <c r="F69" s="90"/>
      <c r="G69" s="90"/>
      <c r="H69" s="187"/>
      <c r="I69" s="90"/>
      <c r="J69" s="187"/>
      <c r="K69" s="188"/>
    </row>
    <row r="70" spans="2:11">
      <c r="B70" s="90"/>
      <c r="C70" s="90"/>
      <c r="D70" s="90"/>
      <c r="E70" s="90"/>
      <c r="F70" s="90"/>
      <c r="G70" s="90"/>
      <c r="H70" s="187"/>
      <c r="I70" s="90"/>
      <c r="J70" s="187"/>
      <c r="K70" s="188"/>
    </row>
    <row r="71" spans="2:11">
      <c r="B71" s="90"/>
      <c r="C71" s="90"/>
      <c r="D71" s="90"/>
      <c r="E71" s="90"/>
      <c r="F71" s="90"/>
      <c r="G71" s="90"/>
      <c r="H71" s="187"/>
      <c r="I71" s="90"/>
      <c r="J71" s="187"/>
      <c r="K71" s="188"/>
    </row>
    <row r="72" spans="2:11">
      <c r="B72" s="90"/>
      <c r="C72" s="90"/>
      <c r="D72" s="90"/>
      <c r="E72" s="90"/>
      <c r="F72" s="90"/>
      <c r="G72" s="90"/>
      <c r="H72" s="187"/>
      <c r="I72" s="90"/>
      <c r="J72" s="187"/>
      <c r="K72" s="188"/>
    </row>
    <row r="73" spans="2:11">
      <c r="B73" s="90"/>
      <c r="C73" s="90"/>
      <c r="D73" s="90"/>
      <c r="E73" s="90"/>
      <c r="F73" s="90"/>
      <c r="G73" s="90"/>
      <c r="H73" s="187"/>
      <c r="I73" s="90"/>
      <c r="J73" s="187"/>
      <c r="K73" s="188"/>
    </row>
    <row r="74" spans="2:11">
      <c r="B74" s="90"/>
      <c r="C74" s="90"/>
      <c r="D74" s="90"/>
      <c r="E74" s="90"/>
      <c r="F74" s="90"/>
      <c r="G74" s="90"/>
      <c r="H74" s="187"/>
      <c r="I74" s="90"/>
      <c r="J74" s="187"/>
      <c r="K74" s="188"/>
    </row>
    <row r="75" spans="2:11">
      <c r="B75" s="90"/>
      <c r="C75" s="90"/>
      <c r="D75" s="90"/>
      <c r="E75" s="90"/>
      <c r="F75" s="90"/>
      <c r="G75" s="90"/>
      <c r="H75" s="187"/>
      <c r="I75" s="90"/>
      <c r="J75" s="187"/>
      <c r="K75" s="188"/>
    </row>
    <row r="76" spans="2:11">
      <c r="B76" s="90"/>
      <c r="C76" s="90"/>
      <c r="D76" s="90"/>
      <c r="E76" s="90"/>
      <c r="F76" s="90"/>
      <c r="G76" s="90"/>
      <c r="H76" s="187"/>
      <c r="I76" s="90"/>
      <c r="J76" s="187"/>
      <c r="K76" s="188"/>
    </row>
    <row r="77" spans="2:11">
      <c r="B77" s="90"/>
      <c r="C77" s="90"/>
      <c r="D77" s="90"/>
      <c r="E77" s="90"/>
      <c r="F77" s="90"/>
      <c r="G77" s="90"/>
      <c r="H77" s="187"/>
      <c r="I77" s="90"/>
      <c r="J77" s="187"/>
      <c r="K77" s="188"/>
    </row>
    <row r="78" spans="2:11">
      <c r="B78" s="90"/>
      <c r="C78" s="90"/>
      <c r="D78" s="90"/>
      <c r="E78" s="90"/>
      <c r="F78" s="90"/>
      <c r="G78" s="90"/>
      <c r="H78" s="187"/>
      <c r="I78" s="90"/>
      <c r="J78" s="187"/>
      <c r="K78" s="188"/>
    </row>
    <row r="79" spans="2:11">
      <c r="B79" s="90"/>
      <c r="C79" s="90"/>
      <c r="D79" s="90"/>
      <c r="E79" s="90"/>
      <c r="F79" s="90"/>
      <c r="G79" s="90"/>
      <c r="H79" s="187"/>
      <c r="I79" s="90"/>
      <c r="J79" s="187"/>
      <c r="K79" s="188"/>
    </row>
    <row r="80" spans="2:11">
      <c r="B80" s="90"/>
      <c r="C80" s="90"/>
      <c r="D80" s="90"/>
      <c r="E80" s="90"/>
      <c r="F80" s="90"/>
      <c r="G80" s="90"/>
      <c r="H80" s="187"/>
      <c r="I80" s="90"/>
      <c r="J80" s="187"/>
      <c r="K80" s="188"/>
    </row>
    <row r="81" spans="2:11">
      <c r="B81" s="90"/>
      <c r="C81" s="90"/>
      <c r="D81" s="90"/>
      <c r="E81" s="90"/>
      <c r="F81" s="90"/>
      <c r="G81" s="90"/>
      <c r="H81" s="187"/>
      <c r="I81" s="90"/>
      <c r="J81" s="187"/>
      <c r="K81" s="188"/>
    </row>
    <row r="82" spans="2:11">
      <c r="B82" s="90"/>
      <c r="C82" s="90"/>
      <c r="D82" s="90"/>
      <c r="E82" s="90"/>
      <c r="F82" s="90"/>
      <c r="G82" s="90"/>
      <c r="H82" s="187"/>
      <c r="I82" s="90"/>
      <c r="J82" s="187"/>
      <c r="K82" s="188"/>
    </row>
    <row r="83" spans="2:11">
      <c r="B83" s="90"/>
      <c r="C83" s="90"/>
      <c r="D83" s="90"/>
      <c r="E83" s="90"/>
      <c r="F83" s="90"/>
      <c r="G83" s="90"/>
      <c r="H83" s="187"/>
      <c r="I83" s="90"/>
      <c r="J83" s="187"/>
      <c r="K83" s="188"/>
    </row>
    <row r="84" spans="2:11">
      <c r="B84" s="90"/>
      <c r="C84" s="90"/>
      <c r="D84" s="90"/>
      <c r="E84" s="90"/>
      <c r="F84" s="90"/>
      <c r="G84" s="90"/>
      <c r="H84" s="187"/>
      <c r="I84" s="90"/>
      <c r="J84" s="187"/>
      <c r="K84" s="188"/>
    </row>
    <row r="85" spans="2:11">
      <c r="B85" s="90"/>
      <c r="C85" s="90"/>
      <c r="D85" s="90"/>
      <c r="E85" s="90"/>
      <c r="F85" s="90"/>
      <c r="G85" s="90"/>
      <c r="H85" s="187"/>
      <c r="I85" s="90"/>
      <c r="J85" s="187"/>
      <c r="K85" s="188"/>
    </row>
    <row r="86" spans="2:11">
      <c r="B86" s="90"/>
      <c r="C86" s="90"/>
      <c r="D86" s="90"/>
      <c r="E86" s="90"/>
      <c r="F86" s="90"/>
      <c r="G86" s="90"/>
      <c r="H86" s="187"/>
      <c r="I86" s="90"/>
      <c r="J86" s="187"/>
      <c r="K86" s="188"/>
    </row>
    <row r="87" spans="2:11">
      <c r="B87" s="90"/>
      <c r="C87" s="90"/>
      <c r="D87" s="90"/>
      <c r="E87" s="90"/>
      <c r="F87" s="90"/>
      <c r="G87" s="90"/>
      <c r="H87" s="187"/>
      <c r="I87" s="90"/>
      <c r="J87" s="187"/>
      <c r="K87" s="188"/>
    </row>
    <row r="88" spans="2:11">
      <c r="B88" s="90"/>
      <c r="C88" s="90"/>
      <c r="D88" s="90"/>
      <c r="E88" s="90"/>
      <c r="F88" s="90"/>
      <c r="G88" s="90"/>
      <c r="H88" s="187"/>
      <c r="I88" s="90"/>
      <c r="J88" s="187"/>
      <c r="K88" s="188"/>
    </row>
    <row r="89" spans="2:11">
      <c r="B89" s="90"/>
      <c r="C89" s="90"/>
      <c r="D89" s="90"/>
      <c r="E89" s="90"/>
      <c r="F89" s="90"/>
      <c r="G89" s="90"/>
      <c r="H89" s="187"/>
      <c r="I89" s="90"/>
      <c r="J89" s="187"/>
      <c r="K89" s="188"/>
    </row>
    <row r="90" spans="2:11">
      <c r="B90" s="90"/>
      <c r="C90" s="90"/>
      <c r="D90" s="90"/>
      <c r="E90" s="90"/>
      <c r="F90" s="90"/>
      <c r="G90" s="90"/>
      <c r="H90" s="187"/>
      <c r="I90" s="90"/>
      <c r="J90" s="187"/>
      <c r="K90" s="188"/>
    </row>
    <row r="91" spans="2:11">
      <c r="B91" s="90"/>
      <c r="C91" s="90"/>
      <c r="D91" s="90"/>
      <c r="E91" s="90"/>
      <c r="F91" s="90"/>
      <c r="G91" s="90"/>
      <c r="H91" s="187"/>
      <c r="I91" s="90"/>
      <c r="J91" s="187"/>
      <c r="K91" s="188"/>
    </row>
    <row r="92" spans="2:11">
      <c r="B92" s="90"/>
      <c r="C92" s="90"/>
      <c r="D92" s="90"/>
      <c r="E92" s="90"/>
      <c r="F92" s="90"/>
      <c r="G92" s="90"/>
      <c r="H92" s="187"/>
      <c r="I92" s="90"/>
      <c r="J92" s="187"/>
      <c r="K92" s="188"/>
    </row>
    <row r="93" spans="2:11">
      <c r="B93" s="90"/>
      <c r="C93" s="90"/>
      <c r="D93" s="90"/>
      <c r="E93" s="90"/>
      <c r="F93" s="90"/>
      <c r="G93" s="90"/>
      <c r="H93" s="187"/>
      <c r="I93" s="90"/>
      <c r="J93" s="187"/>
      <c r="K93" s="188"/>
    </row>
    <row r="94" spans="2:11">
      <c r="B94" s="90"/>
      <c r="C94" s="90"/>
      <c r="D94" s="90"/>
      <c r="E94" s="90"/>
      <c r="F94" s="90"/>
      <c r="G94" s="90"/>
      <c r="H94" s="187"/>
      <c r="I94" s="90"/>
      <c r="J94" s="187"/>
      <c r="K94" s="188"/>
    </row>
    <row r="95" spans="2:11">
      <c r="B95" s="90"/>
      <c r="C95" s="90"/>
      <c r="D95" s="90"/>
      <c r="E95" s="90"/>
      <c r="F95" s="90"/>
      <c r="G95" s="90"/>
      <c r="H95" s="187"/>
      <c r="I95" s="90"/>
      <c r="J95" s="187"/>
      <c r="K95" s="188"/>
    </row>
    <row r="96" spans="2:11">
      <c r="B96" s="90"/>
      <c r="C96" s="90"/>
      <c r="D96" s="90"/>
      <c r="E96" s="90"/>
      <c r="F96" s="90"/>
      <c r="G96" s="90"/>
      <c r="H96" s="187"/>
      <c r="I96" s="90"/>
      <c r="J96" s="187"/>
      <c r="K96" s="188"/>
    </row>
    <row r="97" spans="2:11">
      <c r="B97" s="90"/>
      <c r="C97" s="90"/>
      <c r="D97" s="90"/>
      <c r="E97" s="90"/>
      <c r="F97" s="90"/>
      <c r="G97" s="90"/>
      <c r="H97" s="187"/>
      <c r="I97" s="90"/>
      <c r="J97" s="187"/>
      <c r="K97" s="188"/>
    </row>
    <row r="98" spans="2:11">
      <c r="B98" s="90"/>
      <c r="C98" s="90"/>
      <c r="D98" s="90"/>
      <c r="E98" s="90"/>
      <c r="F98" s="90"/>
      <c r="G98" s="90"/>
      <c r="H98" s="187"/>
      <c r="I98" s="90"/>
      <c r="J98" s="187"/>
      <c r="K98" s="188"/>
    </row>
    <row r="99" spans="2:11">
      <c r="B99" s="90"/>
      <c r="C99" s="90"/>
      <c r="D99" s="90"/>
      <c r="E99" s="90"/>
      <c r="F99" s="90"/>
      <c r="G99" s="90"/>
      <c r="H99" s="187"/>
      <c r="I99" s="90"/>
      <c r="J99" s="187"/>
      <c r="K99" s="188"/>
    </row>
    <row r="100" spans="2:11">
      <c r="B100" s="90"/>
      <c r="C100" s="90"/>
      <c r="D100" s="90"/>
      <c r="E100" s="90"/>
      <c r="F100" s="90"/>
      <c r="G100" s="90"/>
      <c r="H100" s="187"/>
      <c r="I100" s="90"/>
      <c r="J100" s="187"/>
      <c r="K100" s="188"/>
    </row>
    <row r="101" spans="2:11">
      <c r="B101" s="90"/>
      <c r="C101" s="90"/>
      <c r="D101" s="90"/>
      <c r="E101" s="90"/>
      <c r="F101" s="90"/>
      <c r="G101" s="90"/>
      <c r="H101" s="187"/>
      <c r="I101" s="90"/>
      <c r="J101" s="187"/>
      <c r="K101" s="188"/>
    </row>
    <row r="102" spans="2:11">
      <c r="B102" s="90"/>
      <c r="C102" s="90"/>
      <c r="D102" s="90"/>
      <c r="E102" s="90"/>
      <c r="F102" s="90"/>
      <c r="G102" s="90"/>
      <c r="H102" s="187"/>
      <c r="I102" s="90"/>
      <c r="J102" s="187"/>
      <c r="K102" s="188"/>
    </row>
    <row r="103" spans="2:11">
      <c r="B103" s="90"/>
      <c r="C103" s="90"/>
      <c r="D103" s="90"/>
      <c r="E103" s="90"/>
      <c r="F103" s="90"/>
      <c r="G103" s="90"/>
      <c r="H103" s="187"/>
      <c r="I103" s="90"/>
      <c r="J103" s="187"/>
      <c r="K103" s="188"/>
    </row>
    <row r="104" spans="2:11">
      <c r="B104" s="90"/>
      <c r="C104" s="90"/>
      <c r="D104" s="90"/>
      <c r="E104" s="90"/>
      <c r="F104" s="90"/>
      <c r="G104" s="90"/>
      <c r="H104" s="187"/>
      <c r="I104" s="90"/>
      <c r="J104" s="187"/>
      <c r="K104" s="188"/>
    </row>
    <row r="105" spans="2:11">
      <c r="B105" s="90"/>
      <c r="C105" s="90"/>
      <c r="D105" s="90"/>
      <c r="E105" s="90"/>
      <c r="F105" s="90"/>
      <c r="G105" s="90"/>
      <c r="H105" s="187"/>
      <c r="I105" s="90"/>
      <c r="J105" s="187"/>
      <c r="K105" s="188"/>
    </row>
    <row r="106" spans="2:11">
      <c r="B106" s="90"/>
      <c r="C106" s="90"/>
      <c r="D106" s="90"/>
      <c r="E106" s="90"/>
      <c r="F106" s="90"/>
      <c r="G106" s="90"/>
      <c r="H106" s="187"/>
      <c r="I106" s="90"/>
      <c r="J106" s="187"/>
      <c r="K106" s="188"/>
    </row>
    <row r="107" spans="2:11">
      <c r="B107" s="90"/>
      <c r="C107" s="90"/>
      <c r="D107" s="90"/>
      <c r="E107" s="90"/>
      <c r="F107" s="90"/>
      <c r="G107" s="90"/>
      <c r="H107" s="187"/>
      <c r="I107" s="90"/>
      <c r="J107" s="187"/>
      <c r="K107" s="188"/>
    </row>
    <row r="108" spans="2:11">
      <c r="B108" s="90"/>
      <c r="C108" s="90"/>
      <c r="D108" s="90"/>
      <c r="E108" s="90"/>
      <c r="F108" s="90"/>
      <c r="G108" s="90"/>
      <c r="H108" s="187"/>
      <c r="I108" s="90"/>
      <c r="J108" s="187"/>
      <c r="K108" s="188"/>
    </row>
    <row r="109" spans="2:11">
      <c r="B109" s="90"/>
      <c r="C109" s="90"/>
      <c r="D109" s="90"/>
      <c r="E109" s="90"/>
      <c r="F109" s="90"/>
      <c r="G109" s="90"/>
      <c r="H109" s="187"/>
      <c r="I109" s="90"/>
      <c r="J109" s="187"/>
      <c r="K109" s="188"/>
    </row>
    <row r="110" spans="2:11">
      <c r="B110" s="90"/>
      <c r="C110" s="90"/>
      <c r="D110" s="90"/>
      <c r="E110" s="90"/>
      <c r="F110" s="90"/>
      <c r="G110" s="90"/>
      <c r="H110" s="187"/>
      <c r="I110" s="90"/>
      <c r="J110" s="187"/>
      <c r="K110" s="188"/>
    </row>
    <row r="111" spans="2:11">
      <c r="B111" s="90"/>
      <c r="C111" s="90"/>
      <c r="D111" s="90"/>
      <c r="E111" s="90"/>
      <c r="F111" s="90"/>
      <c r="G111" s="90"/>
      <c r="H111" s="187"/>
      <c r="I111" s="90"/>
      <c r="J111" s="187"/>
      <c r="K111" s="188"/>
    </row>
    <row r="112" spans="2:11">
      <c r="B112" s="90"/>
      <c r="C112" s="90"/>
      <c r="D112" s="90"/>
      <c r="E112" s="90"/>
      <c r="F112" s="90"/>
      <c r="G112" s="90"/>
      <c r="H112" s="187"/>
      <c r="I112" s="90"/>
      <c r="J112" s="187"/>
      <c r="K112" s="188"/>
    </row>
    <row r="113" spans="2:11">
      <c r="B113" s="90"/>
      <c r="C113" s="90"/>
      <c r="D113" s="90"/>
      <c r="E113" s="90"/>
      <c r="F113" s="90"/>
      <c r="G113" s="90"/>
      <c r="H113" s="187"/>
      <c r="I113" s="90"/>
      <c r="J113" s="187"/>
      <c r="K113" s="188"/>
    </row>
    <row r="114" spans="2:11">
      <c r="B114" s="90"/>
      <c r="C114" s="90"/>
      <c r="D114" s="90"/>
      <c r="E114" s="90"/>
      <c r="F114" s="90"/>
      <c r="G114" s="90"/>
      <c r="H114" s="187"/>
      <c r="I114" s="90"/>
      <c r="J114" s="187"/>
      <c r="K114" s="188"/>
    </row>
    <row r="115" spans="2:11">
      <c r="B115" s="90"/>
      <c r="C115" s="90"/>
      <c r="D115" s="90"/>
      <c r="E115" s="90"/>
      <c r="F115" s="90"/>
      <c r="G115" s="90"/>
      <c r="H115" s="187"/>
      <c r="I115" s="90"/>
      <c r="J115" s="187"/>
      <c r="K115" s="188"/>
    </row>
    <row r="116" spans="2:11">
      <c r="B116" s="90"/>
      <c r="C116" s="90"/>
      <c r="D116" s="90"/>
      <c r="E116" s="90"/>
      <c r="F116" s="90"/>
      <c r="G116" s="90"/>
      <c r="H116" s="187"/>
      <c r="I116" s="90"/>
      <c r="J116" s="187"/>
      <c r="K116" s="188"/>
    </row>
    <row r="117" spans="2:11">
      <c r="B117" s="90"/>
      <c r="C117" s="90"/>
      <c r="D117" s="90"/>
      <c r="E117" s="90"/>
      <c r="F117" s="90"/>
      <c r="G117" s="90"/>
      <c r="H117" s="187"/>
      <c r="I117" s="90"/>
      <c r="J117" s="187"/>
      <c r="K117" s="188"/>
    </row>
    <row r="118" spans="2:11">
      <c r="B118" s="90"/>
      <c r="C118" s="90"/>
      <c r="D118" s="90"/>
      <c r="E118" s="90"/>
      <c r="F118" s="90"/>
      <c r="G118" s="90"/>
      <c r="H118" s="187"/>
      <c r="I118" s="90"/>
      <c r="J118" s="187"/>
      <c r="K118" s="188"/>
    </row>
    <row r="119" spans="2:11">
      <c r="B119" s="90"/>
      <c r="C119" s="90"/>
      <c r="D119" s="90"/>
      <c r="E119" s="90"/>
      <c r="F119" s="90"/>
      <c r="G119" s="90"/>
      <c r="H119" s="187"/>
      <c r="I119" s="90"/>
      <c r="J119" s="187"/>
      <c r="K119" s="188"/>
    </row>
    <row r="120" spans="2:11">
      <c r="B120" s="90"/>
      <c r="C120" s="90"/>
      <c r="D120" s="90"/>
      <c r="E120" s="90"/>
      <c r="F120" s="90"/>
      <c r="G120" s="90"/>
      <c r="H120" s="187"/>
      <c r="I120" s="90"/>
      <c r="J120" s="187"/>
      <c r="K120" s="188"/>
    </row>
    <row r="121" spans="2:11">
      <c r="B121" s="90"/>
      <c r="C121" s="90"/>
      <c r="D121" s="90"/>
      <c r="E121" s="90"/>
      <c r="F121" s="90"/>
      <c r="G121" s="90"/>
      <c r="H121" s="187"/>
      <c r="I121" s="90"/>
      <c r="J121" s="187"/>
      <c r="K121" s="188"/>
    </row>
    <row r="122" spans="2:11">
      <c r="B122" s="90"/>
      <c r="C122" s="90"/>
      <c r="D122" s="90"/>
      <c r="E122" s="90"/>
      <c r="F122" s="90"/>
      <c r="G122" s="90"/>
      <c r="H122" s="187"/>
      <c r="I122" s="90"/>
      <c r="J122" s="187"/>
      <c r="K122" s="188"/>
    </row>
    <row r="123" spans="2:11">
      <c r="B123" s="90"/>
      <c r="C123" s="90"/>
      <c r="D123" s="90"/>
      <c r="E123" s="90"/>
      <c r="F123" s="90"/>
      <c r="G123" s="90"/>
      <c r="H123" s="187"/>
      <c r="I123" s="90"/>
      <c r="J123" s="187"/>
      <c r="K123" s="188"/>
    </row>
    <row r="124" spans="2:11">
      <c r="B124" s="90"/>
      <c r="C124" s="90"/>
      <c r="D124" s="90"/>
      <c r="E124" s="90"/>
      <c r="F124" s="90"/>
      <c r="G124" s="90"/>
      <c r="H124" s="187"/>
      <c r="I124" s="90"/>
      <c r="J124" s="187"/>
      <c r="K124" s="188"/>
    </row>
    <row r="125" spans="2:11">
      <c r="B125" s="90"/>
      <c r="C125" s="90"/>
      <c r="D125" s="90"/>
      <c r="E125" s="90"/>
      <c r="F125" s="90"/>
      <c r="G125" s="90"/>
      <c r="H125" s="187"/>
      <c r="I125" s="90"/>
      <c r="J125" s="187"/>
      <c r="K125" s="188"/>
    </row>
    <row r="126" spans="2:11">
      <c r="B126" s="90"/>
      <c r="C126" s="90"/>
      <c r="D126" s="90"/>
      <c r="E126" s="90"/>
      <c r="F126" s="90"/>
      <c r="G126" s="90"/>
      <c r="H126" s="187"/>
      <c r="I126" s="90"/>
      <c r="J126" s="187"/>
      <c r="K126" s="188"/>
    </row>
    <row r="127" spans="2:11">
      <c r="B127" s="90"/>
      <c r="C127" s="90"/>
      <c r="D127" s="90"/>
      <c r="E127" s="90"/>
      <c r="F127" s="90"/>
      <c r="G127" s="90"/>
      <c r="H127" s="187"/>
      <c r="I127" s="90"/>
      <c r="J127" s="187"/>
      <c r="K127" s="188"/>
    </row>
    <row r="128" spans="2:11">
      <c r="B128" s="90"/>
      <c r="C128" s="90"/>
      <c r="D128" s="90"/>
      <c r="E128" s="90"/>
      <c r="F128" s="90"/>
      <c r="G128" s="90"/>
      <c r="H128" s="187"/>
      <c r="I128" s="90"/>
      <c r="J128" s="187"/>
      <c r="K128" s="188"/>
    </row>
    <row r="129" spans="2:11">
      <c r="B129" s="90"/>
      <c r="C129" s="90"/>
      <c r="D129" s="90"/>
      <c r="E129" s="90"/>
      <c r="F129" s="90"/>
      <c r="G129" s="90"/>
      <c r="H129" s="187"/>
      <c r="I129" s="90"/>
      <c r="J129" s="187"/>
      <c r="K129" s="188"/>
    </row>
    <row r="130" spans="2:11">
      <c r="B130" s="90"/>
      <c r="C130" s="90"/>
      <c r="D130" s="90"/>
      <c r="E130" s="90"/>
      <c r="F130" s="90"/>
      <c r="G130" s="90"/>
      <c r="H130" s="187"/>
      <c r="I130" s="90"/>
      <c r="J130" s="187"/>
      <c r="K130" s="188"/>
    </row>
    <row r="131" spans="2:11">
      <c r="B131" s="90"/>
      <c r="C131" s="90"/>
      <c r="D131" s="90"/>
      <c r="E131" s="90"/>
      <c r="F131" s="90"/>
      <c r="G131" s="90"/>
      <c r="H131" s="187"/>
      <c r="I131" s="90"/>
      <c r="J131" s="187"/>
      <c r="K131" s="188"/>
    </row>
    <row r="132" spans="2:11">
      <c r="B132" s="90"/>
      <c r="C132" s="90"/>
      <c r="D132" s="90"/>
      <c r="E132" s="90"/>
      <c r="F132" s="90"/>
      <c r="G132" s="90"/>
      <c r="H132" s="187"/>
      <c r="I132" s="90"/>
      <c r="J132" s="187"/>
      <c r="K132" s="188"/>
    </row>
    <row r="133" spans="2:11">
      <c r="B133" s="90"/>
      <c r="C133" s="90"/>
      <c r="D133" s="90"/>
      <c r="E133" s="90"/>
      <c r="F133" s="90"/>
      <c r="G133" s="90"/>
      <c r="H133" s="187"/>
      <c r="I133" s="90"/>
      <c r="J133" s="187"/>
      <c r="K133" s="188"/>
    </row>
    <row r="134" spans="2:11">
      <c r="B134" s="90"/>
      <c r="C134" s="90"/>
      <c r="D134" s="90"/>
      <c r="E134" s="90"/>
      <c r="F134" s="90"/>
      <c r="G134" s="90"/>
      <c r="H134" s="187"/>
      <c r="I134" s="90"/>
      <c r="J134" s="187"/>
      <c r="K134" s="188"/>
    </row>
    <row r="135" spans="2:11">
      <c r="B135" s="90"/>
      <c r="C135" s="90"/>
      <c r="D135" s="90"/>
      <c r="E135" s="90"/>
      <c r="F135" s="90"/>
      <c r="G135" s="90"/>
      <c r="H135" s="187"/>
      <c r="I135" s="90"/>
      <c r="J135" s="187"/>
      <c r="K135" s="188"/>
    </row>
    <row r="136" spans="2:11">
      <c r="B136" s="90"/>
      <c r="C136" s="90"/>
      <c r="D136" s="90"/>
      <c r="E136" s="90"/>
      <c r="F136" s="90"/>
      <c r="G136" s="90"/>
      <c r="H136" s="187"/>
      <c r="I136" s="90"/>
      <c r="J136" s="187"/>
      <c r="K136" s="188"/>
    </row>
    <row r="137" spans="2:11">
      <c r="B137" s="90"/>
      <c r="C137" s="90"/>
      <c r="D137" s="90"/>
      <c r="E137" s="90"/>
      <c r="F137" s="90"/>
      <c r="G137" s="90"/>
      <c r="H137" s="187"/>
      <c r="I137" s="90"/>
      <c r="J137" s="187"/>
      <c r="K137" s="188"/>
    </row>
    <row r="138" spans="2:11">
      <c r="B138" s="90"/>
      <c r="C138" s="90"/>
      <c r="D138" s="90"/>
      <c r="E138" s="90"/>
      <c r="F138" s="90"/>
      <c r="G138" s="90"/>
      <c r="H138" s="187"/>
      <c r="I138" s="90"/>
      <c r="J138" s="187"/>
      <c r="K138" s="188"/>
    </row>
    <row r="139" spans="2:11">
      <c r="B139" s="90"/>
      <c r="C139" s="90"/>
      <c r="D139" s="90"/>
      <c r="E139" s="90"/>
      <c r="F139" s="90"/>
      <c r="G139" s="90"/>
      <c r="H139" s="187"/>
      <c r="I139" s="90"/>
      <c r="J139" s="187"/>
      <c r="K139" s="188"/>
    </row>
    <row r="140" spans="2:11">
      <c r="B140" s="90"/>
      <c r="C140" s="90"/>
      <c r="D140" s="90"/>
      <c r="E140" s="90"/>
      <c r="F140" s="90"/>
      <c r="G140" s="90"/>
      <c r="H140" s="187"/>
      <c r="I140" s="90"/>
      <c r="J140" s="187"/>
      <c r="K140" s="188"/>
    </row>
    <row r="141" spans="2:11">
      <c r="B141" s="90"/>
      <c r="C141" s="90"/>
      <c r="D141" s="90"/>
      <c r="E141" s="90"/>
      <c r="F141" s="90"/>
      <c r="G141" s="90"/>
      <c r="H141" s="187"/>
      <c r="I141" s="90"/>
      <c r="J141" s="187"/>
      <c r="K141" s="188"/>
    </row>
    <row r="142" spans="2:11">
      <c r="B142" s="90"/>
      <c r="C142" s="90"/>
      <c r="D142" s="90"/>
      <c r="E142" s="90"/>
      <c r="F142" s="90"/>
      <c r="G142" s="90"/>
      <c r="H142" s="187"/>
      <c r="I142" s="90"/>
      <c r="J142" s="187"/>
      <c r="K142" s="188"/>
    </row>
    <row r="143" spans="2:11">
      <c r="B143" s="90"/>
      <c r="C143" s="90"/>
      <c r="D143" s="90"/>
      <c r="E143" s="90"/>
      <c r="F143" s="90"/>
      <c r="G143" s="90"/>
      <c r="H143" s="187"/>
      <c r="I143" s="90"/>
      <c r="J143" s="187"/>
      <c r="K143" s="188"/>
    </row>
    <row r="144" spans="2:11">
      <c r="B144" s="90"/>
      <c r="C144" s="90"/>
      <c r="D144" s="90"/>
      <c r="E144" s="90"/>
      <c r="F144" s="90"/>
      <c r="G144" s="90"/>
      <c r="H144" s="187"/>
      <c r="I144" s="90"/>
      <c r="J144" s="187"/>
      <c r="K144" s="188"/>
    </row>
    <row r="145" spans="2:11">
      <c r="B145" s="90"/>
      <c r="C145" s="90"/>
      <c r="D145" s="90"/>
      <c r="E145" s="90"/>
      <c r="F145" s="90"/>
      <c r="G145" s="90"/>
      <c r="H145" s="187"/>
      <c r="I145" s="90"/>
      <c r="J145" s="187"/>
      <c r="K145" s="188"/>
    </row>
    <row r="146" spans="2:11">
      <c r="B146" s="90"/>
      <c r="C146" s="90"/>
      <c r="D146" s="90"/>
      <c r="E146" s="90"/>
      <c r="F146" s="90"/>
      <c r="G146" s="90"/>
      <c r="H146" s="187"/>
      <c r="I146" s="90"/>
      <c r="J146" s="187"/>
      <c r="K146" s="188"/>
    </row>
    <row r="147" spans="2:11">
      <c r="B147" s="90"/>
      <c r="C147" s="90"/>
      <c r="D147" s="90"/>
      <c r="E147" s="90"/>
      <c r="F147" s="90"/>
      <c r="G147" s="90"/>
      <c r="H147" s="187"/>
      <c r="I147" s="90"/>
      <c r="J147" s="187"/>
      <c r="K147" s="188"/>
    </row>
    <row r="148" spans="2:11">
      <c r="B148" s="90"/>
      <c r="C148" s="90"/>
      <c r="D148" s="90"/>
      <c r="E148" s="90"/>
      <c r="F148" s="90"/>
      <c r="G148" s="90"/>
      <c r="H148" s="187"/>
      <c r="I148" s="90"/>
      <c r="J148" s="187"/>
      <c r="K148" s="188"/>
    </row>
    <row r="149" spans="2:11">
      <c r="B149" s="90"/>
      <c r="C149" s="90"/>
      <c r="D149" s="90"/>
      <c r="E149" s="90"/>
      <c r="F149" s="90"/>
      <c r="G149" s="90"/>
      <c r="H149" s="187"/>
      <c r="I149" s="90"/>
      <c r="J149" s="187"/>
      <c r="K149" s="188"/>
    </row>
    <row r="150" spans="2:11">
      <c r="B150" s="90"/>
      <c r="C150" s="90"/>
      <c r="D150" s="90"/>
      <c r="E150" s="90"/>
      <c r="F150" s="90"/>
      <c r="G150" s="90"/>
      <c r="H150" s="187"/>
      <c r="I150" s="90"/>
      <c r="J150" s="187"/>
      <c r="K150" s="188"/>
    </row>
    <row r="151" spans="2:11">
      <c r="B151" s="90"/>
      <c r="C151" s="90"/>
      <c r="D151" s="90"/>
      <c r="E151" s="90"/>
      <c r="F151" s="90"/>
      <c r="G151" s="90"/>
      <c r="H151" s="187"/>
      <c r="I151" s="90"/>
      <c r="J151" s="187"/>
      <c r="K151" s="188"/>
    </row>
    <row r="152" spans="2:11">
      <c r="B152" s="90"/>
      <c r="C152" s="90"/>
      <c r="D152" s="90"/>
      <c r="E152" s="90"/>
      <c r="F152" s="90"/>
      <c r="G152" s="90"/>
      <c r="H152" s="187"/>
      <c r="I152" s="90"/>
      <c r="J152" s="187"/>
      <c r="K152" s="188"/>
    </row>
    <row r="153" spans="2:11">
      <c r="B153" s="90"/>
      <c r="C153" s="90"/>
      <c r="D153" s="90"/>
      <c r="E153" s="90"/>
      <c r="F153" s="90"/>
      <c r="G153" s="90"/>
      <c r="H153" s="187"/>
      <c r="I153" s="90"/>
      <c r="J153" s="187"/>
      <c r="K153" s="188"/>
    </row>
    <row r="154" spans="2:11">
      <c r="B154" s="90"/>
      <c r="C154" s="90"/>
      <c r="D154" s="90"/>
      <c r="E154" s="90"/>
      <c r="F154" s="90"/>
      <c r="G154" s="90"/>
      <c r="H154" s="187"/>
      <c r="I154" s="90"/>
      <c r="J154" s="187"/>
      <c r="K154" s="188"/>
    </row>
    <row r="155" spans="2:11">
      <c r="B155" s="90"/>
      <c r="C155" s="90"/>
      <c r="D155" s="90"/>
      <c r="E155" s="90"/>
      <c r="F155" s="90"/>
      <c r="G155" s="90"/>
      <c r="H155" s="187"/>
      <c r="I155" s="90"/>
      <c r="J155" s="187"/>
      <c r="K155" s="188"/>
    </row>
    <row r="156" spans="2:11">
      <c r="B156" s="90"/>
      <c r="C156" s="90"/>
      <c r="D156" s="90"/>
      <c r="E156" s="90"/>
      <c r="F156" s="90"/>
      <c r="G156" s="90"/>
      <c r="H156" s="187"/>
      <c r="I156" s="90"/>
      <c r="J156" s="187"/>
      <c r="K156" s="188"/>
    </row>
    <row r="157" spans="2:11">
      <c r="B157" s="90"/>
      <c r="C157" s="90"/>
      <c r="D157" s="90"/>
      <c r="E157" s="90"/>
      <c r="F157" s="90"/>
      <c r="G157" s="90"/>
      <c r="H157" s="187"/>
      <c r="I157" s="90"/>
      <c r="J157" s="187"/>
      <c r="K157" s="188"/>
    </row>
    <row r="158" spans="2:11">
      <c r="B158" s="90"/>
      <c r="C158" s="90"/>
      <c r="D158" s="90"/>
      <c r="E158" s="90"/>
      <c r="F158" s="90"/>
      <c r="G158" s="90"/>
      <c r="H158" s="187"/>
      <c r="I158" s="90"/>
      <c r="J158" s="187"/>
      <c r="K158" s="188"/>
    </row>
    <row r="159" spans="2:11">
      <c r="B159" s="90"/>
      <c r="C159" s="90"/>
      <c r="D159" s="90"/>
      <c r="E159" s="90"/>
      <c r="F159" s="90"/>
      <c r="G159" s="90"/>
      <c r="H159" s="187"/>
      <c r="I159" s="90"/>
      <c r="J159" s="187"/>
      <c r="K159" s="188"/>
    </row>
    <row r="160" spans="2:11">
      <c r="B160" s="90"/>
      <c r="C160" s="90"/>
      <c r="D160" s="90"/>
      <c r="E160" s="90"/>
      <c r="F160" s="90"/>
      <c r="G160" s="90"/>
      <c r="H160" s="187"/>
      <c r="I160" s="90"/>
      <c r="J160" s="187"/>
      <c r="K160" s="188"/>
    </row>
    <row r="161" spans="2:11">
      <c r="B161" s="90"/>
      <c r="C161" s="90"/>
      <c r="D161" s="90"/>
      <c r="E161" s="90"/>
      <c r="F161" s="90"/>
      <c r="G161" s="90"/>
      <c r="H161" s="187"/>
      <c r="I161" s="90"/>
      <c r="J161" s="187"/>
      <c r="K161" s="188"/>
    </row>
    <row r="162" spans="2:11">
      <c r="B162" s="90"/>
      <c r="C162" s="90"/>
      <c r="D162" s="90"/>
      <c r="E162" s="90"/>
      <c r="F162" s="90"/>
      <c r="G162" s="90"/>
      <c r="H162" s="187"/>
      <c r="I162" s="90"/>
      <c r="J162" s="187"/>
      <c r="K162" s="188"/>
    </row>
    <row r="163" spans="2:11">
      <c r="B163" s="90"/>
      <c r="C163" s="90"/>
      <c r="D163" s="90"/>
      <c r="E163" s="90"/>
      <c r="F163" s="90"/>
      <c r="G163" s="90"/>
      <c r="H163" s="187"/>
      <c r="I163" s="90"/>
      <c r="J163" s="187"/>
      <c r="K163" s="188"/>
    </row>
    <row r="164" spans="2:11">
      <c r="B164" s="90"/>
      <c r="C164" s="90"/>
      <c r="D164" s="90"/>
      <c r="E164" s="90"/>
      <c r="F164" s="90"/>
      <c r="G164" s="90"/>
      <c r="H164" s="187"/>
      <c r="I164" s="90"/>
      <c r="J164" s="187"/>
      <c r="K164" s="188"/>
    </row>
    <row r="165" spans="2:11">
      <c r="B165" s="90"/>
      <c r="C165" s="90"/>
      <c r="D165" s="90"/>
      <c r="E165" s="90"/>
      <c r="F165" s="90"/>
      <c r="G165" s="90"/>
      <c r="H165" s="187"/>
      <c r="I165" s="90"/>
      <c r="J165" s="187"/>
      <c r="K165" s="188"/>
    </row>
    <row r="166" spans="2:11">
      <c r="B166" s="90"/>
      <c r="C166" s="90"/>
      <c r="D166" s="90"/>
      <c r="E166" s="90"/>
      <c r="F166" s="90"/>
      <c r="G166" s="90"/>
      <c r="H166" s="187"/>
      <c r="I166" s="90"/>
      <c r="J166" s="187"/>
      <c r="K166" s="188"/>
    </row>
    <row r="167" spans="2:11">
      <c r="B167" s="90"/>
      <c r="C167" s="90"/>
      <c r="D167" s="90"/>
      <c r="E167" s="90"/>
      <c r="F167" s="90"/>
      <c r="G167" s="90"/>
      <c r="H167" s="187"/>
      <c r="I167" s="90"/>
      <c r="J167" s="187"/>
      <c r="K167" s="188"/>
    </row>
    <row r="168" spans="2:11">
      <c r="B168" s="90"/>
      <c r="C168" s="90"/>
      <c r="D168" s="90"/>
      <c r="E168" s="90"/>
      <c r="F168" s="90"/>
      <c r="G168" s="90"/>
      <c r="H168" s="187"/>
      <c r="I168" s="90"/>
      <c r="J168" s="187"/>
      <c r="K168" s="188"/>
    </row>
    <row r="169" spans="2:11">
      <c r="B169" s="90"/>
      <c r="C169" s="90"/>
      <c r="D169" s="90"/>
      <c r="E169" s="90"/>
      <c r="F169" s="90"/>
      <c r="G169" s="90"/>
      <c r="H169" s="187"/>
      <c r="I169" s="90"/>
      <c r="J169" s="187"/>
      <c r="K169" s="188"/>
    </row>
    <row r="170" spans="2:11">
      <c r="B170" s="90"/>
      <c r="C170" s="90"/>
      <c r="D170" s="90"/>
      <c r="E170" s="90"/>
      <c r="F170" s="90"/>
      <c r="G170" s="90"/>
      <c r="H170" s="187"/>
      <c r="I170" s="90"/>
      <c r="J170" s="187"/>
      <c r="K170" s="188"/>
    </row>
    <row r="171" spans="2:11">
      <c r="B171" s="90"/>
      <c r="C171" s="90"/>
      <c r="D171" s="90"/>
      <c r="E171" s="90"/>
      <c r="F171" s="90"/>
      <c r="G171" s="90"/>
      <c r="H171" s="187"/>
      <c r="I171" s="90"/>
      <c r="J171" s="187"/>
      <c r="K171" s="188"/>
    </row>
    <row r="172" spans="2:11">
      <c r="B172" s="90"/>
      <c r="C172" s="90"/>
      <c r="D172" s="90"/>
      <c r="E172" s="90"/>
      <c r="F172" s="90"/>
      <c r="G172" s="90"/>
      <c r="H172" s="187"/>
      <c r="I172" s="90"/>
      <c r="J172" s="187"/>
      <c r="K172" s="188"/>
    </row>
    <row r="173" spans="2:11">
      <c r="B173" s="90"/>
      <c r="C173" s="90"/>
      <c r="D173" s="90"/>
      <c r="E173" s="90"/>
      <c r="F173" s="90"/>
      <c r="G173" s="90"/>
      <c r="H173" s="187"/>
      <c r="I173" s="90"/>
      <c r="J173" s="187"/>
      <c r="K173" s="188"/>
    </row>
    <row r="174" spans="2:11">
      <c r="B174" s="90"/>
      <c r="C174" s="90"/>
      <c r="D174" s="90"/>
      <c r="E174" s="90"/>
      <c r="F174" s="90"/>
      <c r="G174" s="90"/>
      <c r="H174" s="187"/>
      <c r="I174" s="90"/>
      <c r="J174" s="187"/>
      <c r="K174" s="188"/>
    </row>
    <row r="175" spans="2:11">
      <c r="B175" s="90"/>
      <c r="C175" s="90"/>
      <c r="D175" s="90"/>
      <c r="E175" s="90"/>
      <c r="F175" s="90"/>
      <c r="G175" s="90"/>
      <c r="H175" s="187"/>
      <c r="I175" s="90"/>
      <c r="J175" s="187"/>
      <c r="K175" s="188"/>
    </row>
    <row r="176" spans="2:11">
      <c r="B176" s="90"/>
      <c r="C176" s="90"/>
      <c r="D176" s="90"/>
      <c r="E176" s="90"/>
      <c r="F176" s="90"/>
      <c r="G176" s="90"/>
      <c r="H176" s="187"/>
      <c r="I176" s="90"/>
      <c r="J176" s="187"/>
      <c r="K176" s="188"/>
    </row>
    <row r="177" spans="2:11">
      <c r="B177" s="90"/>
      <c r="C177" s="90"/>
      <c r="D177" s="90"/>
      <c r="E177" s="90"/>
      <c r="F177" s="90"/>
      <c r="G177" s="90"/>
      <c r="H177" s="187"/>
      <c r="I177" s="90"/>
      <c r="J177" s="187"/>
      <c r="K177" s="188"/>
    </row>
    <row r="178" spans="2:11">
      <c r="B178" s="90"/>
      <c r="C178" s="90"/>
      <c r="D178" s="90"/>
      <c r="E178" s="90"/>
      <c r="F178" s="90"/>
      <c r="G178" s="90"/>
      <c r="H178" s="187"/>
      <c r="I178" s="90"/>
      <c r="J178" s="187"/>
      <c r="K178" s="188"/>
    </row>
    <row r="179" spans="2:11">
      <c r="B179" s="90"/>
      <c r="C179" s="90"/>
      <c r="D179" s="90"/>
      <c r="E179" s="90"/>
      <c r="F179" s="90"/>
      <c r="G179" s="90"/>
      <c r="H179" s="187"/>
      <c r="I179" s="90"/>
      <c r="J179" s="187"/>
      <c r="K179" s="188"/>
    </row>
    <row r="180" spans="2:11">
      <c r="B180" s="90"/>
      <c r="C180" s="90"/>
      <c r="D180" s="90"/>
      <c r="E180" s="90"/>
      <c r="F180" s="90"/>
      <c r="G180" s="90"/>
      <c r="H180" s="187"/>
      <c r="I180" s="90"/>
      <c r="J180" s="187"/>
      <c r="K180" s="188"/>
    </row>
    <row r="181" spans="2:11">
      <c r="B181" s="90"/>
      <c r="C181" s="90"/>
      <c r="D181" s="90"/>
      <c r="E181" s="90"/>
      <c r="F181" s="90"/>
      <c r="G181" s="90"/>
      <c r="H181" s="187"/>
      <c r="I181" s="90"/>
      <c r="J181" s="187"/>
      <c r="K181" s="188"/>
    </row>
    <row r="182" spans="2:11">
      <c r="B182" s="90"/>
      <c r="C182" s="90"/>
      <c r="D182" s="90"/>
      <c r="E182" s="90"/>
      <c r="F182" s="90"/>
      <c r="G182" s="90"/>
      <c r="H182" s="187"/>
      <c r="I182" s="90"/>
      <c r="J182" s="187"/>
      <c r="K182" s="188"/>
    </row>
    <row r="183" spans="2:11">
      <c r="B183" s="90"/>
      <c r="C183" s="90"/>
      <c r="D183" s="90"/>
      <c r="E183" s="90"/>
      <c r="F183" s="90"/>
      <c r="G183" s="90"/>
      <c r="H183" s="187"/>
      <c r="I183" s="90"/>
      <c r="J183" s="187"/>
      <c r="K183" s="188"/>
    </row>
    <row r="184" spans="2:11">
      <c r="B184" s="90"/>
      <c r="C184" s="90"/>
      <c r="D184" s="90"/>
      <c r="E184" s="90"/>
      <c r="F184" s="90"/>
      <c r="G184" s="90"/>
      <c r="H184" s="187"/>
      <c r="I184" s="90"/>
      <c r="J184" s="187"/>
      <c r="K184" s="188"/>
    </row>
    <row r="185" spans="2:11">
      <c r="B185" s="90"/>
      <c r="C185" s="90"/>
      <c r="D185" s="90"/>
      <c r="E185" s="90"/>
      <c r="F185" s="90"/>
      <c r="G185" s="90"/>
      <c r="H185" s="187"/>
      <c r="I185" s="90"/>
      <c r="J185" s="187"/>
      <c r="K185" s="188"/>
    </row>
    <row r="186" spans="2:11">
      <c r="B186" s="90"/>
      <c r="C186" s="90"/>
      <c r="D186" s="90"/>
      <c r="E186" s="90"/>
      <c r="F186" s="90"/>
      <c r="G186" s="90"/>
      <c r="H186" s="187"/>
      <c r="I186" s="90"/>
      <c r="J186" s="187"/>
      <c r="K186" s="188"/>
    </row>
    <row r="187" spans="2:11">
      <c r="B187" s="90"/>
      <c r="C187" s="90"/>
      <c r="D187" s="90"/>
      <c r="E187" s="90"/>
      <c r="F187" s="90"/>
      <c r="G187" s="90"/>
      <c r="H187" s="187"/>
      <c r="I187" s="90"/>
      <c r="J187" s="187"/>
      <c r="K187" s="188"/>
    </row>
    <row r="188" spans="2:11">
      <c r="B188" s="90"/>
      <c r="C188" s="90"/>
      <c r="D188" s="90"/>
      <c r="E188" s="90"/>
      <c r="F188" s="90"/>
      <c r="G188" s="90"/>
      <c r="H188" s="187"/>
      <c r="I188" s="90"/>
      <c r="J188" s="187"/>
      <c r="K188" s="188"/>
    </row>
    <row r="189" spans="2:11">
      <c r="B189" s="90"/>
      <c r="C189" s="90"/>
      <c r="D189" s="90"/>
      <c r="E189" s="90"/>
      <c r="F189" s="90"/>
      <c r="G189" s="90"/>
      <c r="H189" s="187"/>
      <c r="I189" s="90"/>
      <c r="J189" s="187"/>
      <c r="K189" s="188"/>
    </row>
    <row r="190" spans="2:11">
      <c r="B190" s="90"/>
      <c r="C190" s="90"/>
      <c r="D190" s="90"/>
      <c r="E190" s="90"/>
      <c r="F190" s="90"/>
      <c r="G190" s="90"/>
      <c r="H190" s="187"/>
      <c r="I190" s="90"/>
      <c r="J190" s="187"/>
      <c r="K190" s="188"/>
    </row>
    <row r="191" spans="2:11">
      <c r="B191" s="90"/>
      <c r="C191" s="90"/>
      <c r="D191" s="90"/>
      <c r="E191" s="90"/>
      <c r="F191" s="90"/>
      <c r="G191" s="90"/>
      <c r="H191" s="187"/>
      <c r="I191" s="90"/>
      <c r="J191" s="187"/>
      <c r="K191" s="188"/>
    </row>
    <row r="192" spans="2:11">
      <c r="B192" s="90"/>
      <c r="C192" s="90"/>
      <c r="D192" s="90"/>
      <c r="E192" s="90"/>
      <c r="F192" s="90"/>
      <c r="G192" s="90"/>
      <c r="H192" s="187"/>
      <c r="I192" s="90"/>
      <c r="J192" s="187"/>
      <c r="K192" s="188"/>
    </row>
    <row r="193" spans="2:11">
      <c r="B193" s="90"/>
      <c r="C193" s="90"/>
      <c r="D193" s="90"/>
      <c r="E193" s="90"/>
      <c r="F193" s="90"/>
      <c r="G193" s="90"/>
      <c r="H193" s="187"/>
      <c r="I193" s="90"/>
      <c r="J193" s="187"/>
      <c r="K193" s="188"/>
    </row>
    <row r="194" spans="2:11">
      <c r="B194" s="90"/>
      <c r="C194" s="90"/>
      <c r="D194" s="90"/>
      <c r="E194" s="90"/>
      <c r="F194" s="90"/>
      <c r="G194" s="90"/>
      <c r="H194" s="187"/>
      <c r="I194" s="90"/>
      <c r="J194" s="187"/>
      <c r="K194" s="188"/>
    </row>
    <row r="195" spans="2:11">
      <c r="B195" s="90"/>
      <c r="C195" s="90"/>
      <c r="D195" s="90"/>
      <c r="E195" s="90"/>
      <c r="F195" s="90"/>
      <c r="G195" s="90"/>
      <c r="H195" s="187"/>
      <c r="I195" s="90"/>
      <c r="J195" s="187"/>
      <c r="K195" s="188"/>
    </row>
    <row r="196" spans="2:11">
      <c r="B196" s="90"/>
      <c r="C196" s="90"/>
      <c r="D196" s="90"/>
      <c r="E196" s="90"/>
      <c r="F196" s="90"/>
      <c r="G196" s="90"/>
      <c r="H196" s="187"/>
      <c r="I196" s="90"/>
      <c r="J196" s="187"/>
      <c r="K196" s="188"/>
    </row>
    <row r="197" spans="2:11">
      <c r="B197" s="90"/>
      <c r="C197" s="90"/>
      <c r="D197" s="90"/>
      <c r="E197" s="90"/>
      <c r="F197" s="90"/>
      <c r="G197" s="90"/>
      <c r="H197" s="187"/>
      <c r="I197" s="90"/>
      <c r="J197" s="187"/>
      <c r="K197" s="188"/>
    </row>
    <row r="198" spans="2:11">
      <c r="B198" s="90"/>
      <c r="C198" s="90"/>
      <c r="D198" s="90"/>
      <c r="E198" s="90"/>
      <c r="F198" s="90"/>
      <c r="G198" s="90"/>
      <c r="H198" s="187"/>
      <c r="I198" s="90"/>
      <c r="J198" s="187"/>
      <c r="K198" s="188"/>
    </row>
    <row r="199" spans="2:11">
      <c r="B199" s="90"/>
      <c r="C199" s="90"/>
      <c r="D199" s="90"/>
      <c r="E199" s="90"/>
      <c r="F199" s="90"/>
      <c r="G199" s="90"/>
      <c r="H199" s="187"/>
      <c r="I199" s="90"/>
      <c r="J199" s="187"/>
      <c r="K199" s="188"/>
    </row>
    <row r="200" spans="2:11">
      <c r="B200" s="90"/>
      <c r="C200" s="90"/>
      <c r="D200" s="90"/>
      <c r="E200" s="90"/>
      <c r="F200" s="90"/>
      <c r="G200" s="90"/>
      <c r="H200" s="187"/>
      <c r="I200" s="90"/>
      <c r="J200" s="187"/>
      <c r="K200" s="188"/>
    </row>
    <row r="201" spans="2:11">
      <c r="B201" s="90"/>
      <c r="C201" s="90"/>
      <c r="D201" s="90"/>
      <c r="E201" s="90"/>
      <c r="F201" s="90"/>
      <c r="G201" s="90"/>
      <c r="H201" s="187"/>
      <c r="I201" s="90"/>
      <c r="J201" s="187"/>
      <c r="K201" s="188"/>
    </row>
    <row r="202" spans="2:11">
      <c r="B202" s="90"/>
      <c r="C202" s="90"/>
      <c r="D202" s="90"/>
      <c r="E202" s="90"/>
      <c r="F202" s="90"/>
      <c r="G202" s="90"/>
      <c r="H202" s="187"/>
      <c r="I202" s="90"/>
      <c r="J202" s="187"/>
      <c r="K202" s="188"/>
    </row>
    <row r="203" spans="2:11">
      <c r="B203" s="90"/>
      <c r="C203" s="90"/>
      <c r="D203" s="90"/>
      <c r="E203" s="90"/>
      <c r="F203" s="90"/>
      <c r="G203" s="90"/>
      <c r="H203" s="187"/>
      <c r="I203" s="90"/>
      <c r="J203" s="187"/>
      <c r="K203" s="188"/>
    </row>
    <row r="204" spans="2:11">
      <c r="B204" s="90"/>
      <c r="C204" s="90"/>
      <c r="D204" s="90"/>
      <c r="E204" s="90"/>
      <c r="F204" s="90"/>
      <c r="G204" s="90"/>
      <c r="H204" s="187"/>
      <c r="I204" s="90"/>
      <c r="J204" s="187"/>
      <c r="K204" s="188"/>
    </row>
    <row r="205" spans="2:11">
      <c r="B205" s="90"/>
      <c r="C205" s="90"/>
      <c r="D205" s="90"/>
      <c r="E205" s="90"/>
      <c r="F205" s="90"/>
      <c r="G205" s="90"/>
      <c r="H205" s="187"/>
      <c r="I205" s="90"/>
      <c r="J205" s="187"/>
      <c r="K205" s="188"/>
    </row>
    <row r="206" spans="2:11">
      <c r="B206" s="90"/>
      <c r="C206" s="90"/>
      <c r="D206" s="90"/>
      <c r="E206" s="90"/>
      <c r="F206" s="90"/>
      <c r="G206" s="90"/>
      <c r="H206" s="187"/>
      <c r="I206" s="90"/>
      <c r="J206" s="187"/>
      <c r="K206" s="188"/>
    </row>
    <row r="207" spans="2:11">
      <c r="B207" s="90"/>
      <c r="C207" s="90"/>
      <c r="D207" s="90"/>
      <c r="E207" s="90"/>
      <c r="F207" s="90"/>
      <c r="G207" s="90"/>
      <c r="H207" s="187"/>
      <c r="I207" s="90"/>
      <c r="J207" s="187"/>
      <c r="K207" s="188"/>
    </row>
    <row r="208" spans="2:11">
      <c r="B208" s="90"/>
      <c r="C208" s="90"/>
      <c r="D208" s="90"/>
      <c r="E208" s="90"/>
      <c r="F208" s="90"/>
      <c r="G208" s="90"/>
      <c r="H208" s="187"/>
      <c r="I208" s="90"/>
      <c r="J208" s="187"/>
      <c r="K208" s="188"/>
    </row>
    <row r="209" spans="2:11">
      <c r="B209" s="90"/>
      <c r="C209" s="90"/>
      <c r="D209" s="90"/>
      <c r="E209" s="90"/>
      <c r="F209" s="90"/>
      <c r="G209" s="90"/>
      <c r="H209" s="187"/>
      <c r="I209" s="90"/>
      <c r="J209" s="187"/>
      <c r="K209" s="188"/>
    </row>
    <row r="210" spans="2:11">
      <c r="B210" s="90"/>
      <c r="C210" s="90"/>
      <c r="D210" s="90"/>
      <c r="E210" s="90"/>
      <c r="F210" s="90"/>
      <c r="G210" s="90"/>
      <c r="H210" s="187"/>
      <c r="I210" s="90"/>
      <c r="J210" s="187"/>
      <c r="K210" s="188"/>
    </row>
    <row r="211" spans="2:11">
      <c r="B211" s="90"/>
      <c r="C211" s="90"/>
      <c r="D211" s="90"/>
      <c r="E211" s="90"/>
      <c r="F211" s="90"/>
      <c r="G211" s="90"/>
      <c r="H211" s="187"/>
      <c r="I211" s="90"/>
      <c r="J211" s="187"/>
      <c r="K211" s="188"/>
    </row>
    <row r="212" spans="2:11">
      <c r="B212" s="90"/>
      <c r="C212" s="90"/>
      <c r="D212" s="90"/>
      <c r="E212" s="90"/>
      <c r="F212" s="90"/>
      <c r="G212" s="90"/>
      <c r="H212" s="187"/>
      <c r="I212" s="90"/>
      <c r="J212" s="187"/>
      <c r="K212" s="188"/>
    </row>
    <row r="213" spans="2:11">
      <c r="B213" s="90"/>
      <c r="C213" s="90"/>
      <c r="D213" s="90"/>
      <c r="E213" s="90"/>
      <c r="F213" s="90"/>
      <c r="G213" s="90"/>
      <c r="H213" s="187"/>
      <c r="I213" s="90"/>
      <c r="J213" s="187"/>
      <c r="K213" s="188"/>
    </row>
    <row r="214" spans="2:11">
      <c r="B214" s="90"/>
      <c r="C214" s="90"/>
      <c r="D214" s="90"/>
      <c r="E214" s="90"/>
      <c r="F214" s="90"/>
      <c r="G214" s="90"/>
      <c r="H214" s="187"/>
      <c r="I214" s="90"/>
      <c r="J214" s="187"/>
      <c r="K214" s="188"/>
    </row>
    <row r="215" spans="2:11">
      <c r="B215" s="90"/>
      <c r="C215" s="90"/>
      <c r="D215" s="90"/>
      <c r="E215" s="90"/>
      <c r="F215" s="90"/>
      <c r="G215" s="90"/>
      <c r="H215" s="187"/>
      <c r="I215" s="90"/>
      <c r="J215" s="187"/>
      <c r="K215" s="188"/>
    </row>
    <row r="216" spans="2:11">
      <c r="B216" s="90"/>
      <c r="C216" s="90"/>
      <c r="D216" s="90"/>
      <c r="E216" s="90"/>
      <c r="F216" s="90"/>
      <c r="G216" s="90"/>
      <c r="H216" s="187"/>
      <c r="I216" s="90"/>
      <c r="J216" s="187"/>
      <c r="K216" s="188"/>
    </row>
    <row r="217" spans="2:11">
      <c r="B217" s="90"/>
      <c r="C217" s="90"/>
      <c r="D217" s="90"/>
      <c r="E217" s="90"/>
      <c r="F217" s="90"/>
      <c r="G217" s="90"/>
      <c r="H217" s="187"/>
      <c r="I217" s="90"/>
      <c r="J217" s="187"/>
      <c r="K217" s="188"/>
    </row>
    <row r="218" spans="2:11">
      <c r="B218" s="90"/>
      <c r="C218" s="90"/>
      <c r="D218" s="90"/>
      <c r="E218" s="90"/>
      <c r="F218" s="90"/>
      <c r="G218" s="90"/>
      <c r="H218" s="187"/>
      <c r="I218" s="90"/>
      <c r="J218" s="187"/>
      <c r="K218" s="188"/>
    </row>
    <row r="219" spans="2:11">
      <c r="B219" s="90"/>
      <c r="C219" s="90"/>
      <c r="D219" s="90"/>
      <c r="E219" s="90"/>
      <c r="F219" s="90"/>
      <c r="G219" s="90"/>
      <c r="H219" s="187"/>
      <c r="I219" s="90"/>
      <c r="J219" s="187"/>
      <c r="K219" s="188"/>
    </row>
    <row r="220" spans="2:11">
      <c r="B220" s="90"/>
      <c r="C220" s="90"/>
      <c r="D220" s="90"/>
      <c r="E220" s="90"/>
      <c r="F220" s="90"/>
      <c r="G220" s="90"/>
      <c r="H220" s="187"/>
      <c r="I220" s="90"/>
      <c r="J220" s="187"/>
      <c r="K220" s="188"/>
    </row>
    <row r="221" spans="2:11">
      <c r="B221" s="90"/>
      <c r="C221" s="90"/>
      <c r="D221" s="90"/>
      <c r="E221" s="90"/>
      <c r="F221" s="90"/>
      <c r="G221" s="90"/>
      <c r="H221" s="187"/>
      <c r="I221" s="90"/>
      <c r="J221" s="187"/>
      <c r="K221" s="188"/>
    </row>
    <row r="222" spans="2:11">
      <c r="B222" s="90"/>
      <c r="C222" s="90"/>
      <c r="D222" s="90"/>
      <c r="E222" s="90"/>
      <c r="F222" s="90"/>
      <c r="G222" s="90"/>
      <c r="H222" s="187"/>
      <c r="I222" s="90"/>
      <c r="J222" s="187"/>
      <c r="K222" s="188"/>
    </row>
    <row r="223" spans="2:11">
      <c r="B223" s="90"/>
      <c r="C223" s="90"/>
      <c r="D223" s="90"/>
      <c r="E223" s="90"/>
      <c r="F223" s="90"/>
      <c r="G223" s="90"/>
      <c r="H223" s="187"/>
      <c r="I223" s="90"/>
      <c r="J223" s="187"/>
      <c r="K223" s="188"/>
    </row>
    <row r="224" spans="2:11">
      <c r="B224" s="90"/>
      <c r="C224" s="90"/>
      <c r="D224" s="90"/>
      <c r="E224" s="90"/>
      <c r="F224" s="90"/>
      <c r="G224" s="90"/>
      <c r="H224" s="187"/>
      <c r="I224" s="90"/>
      <c r="J224" s="187"/>
      <c r="K224" s="188"/>
    </row>
    <row r="225" spans="2:11">
      <c r="B225" s="90"/>
      <c r="C225" s="90"/>
      <c r="D225" s="90"/>
      <c r="E225" s="90"/>
      <c r="F225" s="90"/>
      <c r="G225" s="90"/>
      <c r="H225" s="187"/>
      <c r="I225" s="90"/>
      <c r="J225" s="187"/>
      <c r="K225" s="188"/>
    </row>
    <row r="226" spans="2:11">
      <c r="B226" s="90"/>
      <c r="C226" s="90"/>
      <c r="D226" s="90"/>
      <c r="E226" s="90"/>
      <c r="F226" s="90"/>
      <c r="G226" s="90"/>
      <c r="H226" s="187"/>
      <c r="I226" s="90"/>
      <c r="J226" s="187"/>
      <c r="K226" s="188"/>
    </row>
    <row r="227" spans="2:11">
      <c r="B227" s="90"/>
      <c r="C227" s="90"/>
      <c r="D227" s="90"/>
      <c r="E227" s="90"/>
      <c r="F227" s="90"/>
      <c r="G227" s="90"/>
      <c r="H227" s="187"/>
      <c r="I227" s="90"/>
      <c r="J227" s="187"/>
      <c r="K227" s="188"/>
    </row>
    <row r="228" spans="2:11">
      <c r="B228" s="90"/>
      <c r="C228" s="90"/>
      <c r="D228" s="90"/>
      <c r="E228" s="90"/>
      <c r="F228" s="90"/>
      <c r="G228" s="90"/>
      <c r="H228" s="187"/>
      <c r="I228" s="90"/>
      <c r="J228" s="187"/>
      <c r="K228" s="188"/>
    </row>
    <row r="229" spans="2:11">
      <c r="B229" s="90"/>
      <c r="C229" s="90"/>
      <c r="D229" s="90"/>
      <c r="E229" s="90"/>
      <c r="F229" s="90"/>
      <c r="G229" s="90"/>
      <c r="H229" s="187"/>
      <c r="I229" s="90"/>
      <c r="J229" s="187"/>
      <c r="K229" s="188"/>
    </row>
    <row r="230" spans="2:11">
      <c r="B230" s="90"/>
      <c r="C230" s="90"/>
      <c r="D230" s="90"/>
      <c r="E230" s="90"/>
      <c r="F230" s="90"/>
      <c r="G230" s="90"/>
      <c r="H230" s="187"/>
      <c r="I230" s="90"/>
      <c r="J230" s="187"/>
      <c r="K230" s="188"/>
    </row>
    <row r="231" spans="2:11">
      <c r="B231" s="90"/>
      <c r="C231" s="90"/>
      <c r="D231" s="90"/>
      <c r="E231" s="90"/>
      <c r="F231" s="90"/>
      <c r="G231" s="90"/>
      <c r="H231" s="187"/>
      <c r="I231" s="90"/>
      <c r="J231" s="187"/>
      <c r="K231" s="188"/>
    </row>
    <row r="232" spans="2:11">
      <c r="B232" s="90"/>
      <c r="C232" s="90"/>
      <c r="D232" s="90"/>
      <c r="E232" s="90"/>
      <c r="F232" s="90"/>
      <c r="G232" s="90"/>
      <c r="H232" s="187"/>
      <c r="I232" s="90"/>
      <c r="J232" s="187"/>
      <c r="K232" s="188"/>
    </row>
    <row r="233" spans="2:11">
      <c r="B233" s="90"/>
      <c r="C233" s="90"/>
      <c r="D233" s="90"/>
      <c r="E233" s="90"/>
      <c r="F233" s="90"/>
      <c r="G233" s="90"/>
      <c r="H233" s="187"/>
      <c r="I233" s="90"/>
      <c r="J233" s="187"/>
      <c r="K233" s="188"/>
    </row>
    <row r="234" spans="2:11">
      <c r="B234" s="90"/>
      <c r="C234" s="90"/>
      <c r="D234" s="90"/>
      <c r="E234" s="90"/>
      <c r="F234" s="90"/>
      <c r="G234" s="90"/>
      <c r="H234" s="187"/>
      <c r="I234" s="90"/>
      <c r="J234" s="187"/>
      <c r="K234" s="188"/>
    </row>
    <row r="235" spans="2:11">
      <c r="B235" s="90"/>
      <c r="C235" s="90"/>
      <c r="D235" s="90"/>
      <c r="E235" s="90"/>
      <c r="F235" s="90"/>
      <c r="G235" s="90"/>
      <c r="H235" s="187"/>
      <c r="I235" s="90"/>
      <c r="J235" s="187"/>
      <c r="K235" s="188"/>
    </row>
    <row r="236" spans="2:11">
      <c r="B236" s="90"/>
      <c r="C236" s="90"/>
      <c r="D236" s="90"/>
      <c r="E236" s="90"/>
      <c r="F236" s="90"/>
      <c r="G236" s="90"/>
      <c r="H236" s="187"/>
      <c r="I236" s="90"/>
      <c r="J236" s="187"/>
      <c r="K236" s="188"/>
    </row>
    <row r="237" spans="2:11">
      <c r="B237" s="90"/>
      <c r="C237" s="90"/>
      <c r="D237" s="90"/>
      <c r="E237" s="90"/>
      <c r="F237" s="90"/>
      <c r="G237" s="90"/>
      <c r="H237" s="187"/>
      <c r="I237" s="90"/>
      <c r="J237" s="187"/>
      <c r="K237" s="188"/>
    </row>
    <row r="238" spans="2:11">
      <c r="B238" s="90"/>
      <c r="C238" s="90"/>
      <c r="D238" s="90"/>
      <c r="E238" s="90"/>
      <c r="F238" s="90"/>
      <c r="G238" s="90"/>
      <c r="H238" s="187"/>
      <c r="I238" s="90"/>
      <c r="J238" s="187"/>
      <c r="K238" s="188"/>
    </row>
    <row r="239" spans="2:11">
      <c r="B239" s="90"/>
      <c r="C239" s="90"/>
      <c r="D239" s="90"/>
      <c r="E239" s="90"/>
      <c r="F239" s="90"/>
      <c r="G239" s="90"/>
      <c r="H239" s="187"/>
      <c r="I239" s="90"/>
      <c r="J239" s="187"/>
      <c r="K239" s="188"/>
    </row>
    <row r="240" spans="2:11">
      <c r="B240" s="90"/>
      <c r="C240" s="90"/>
      <c r="D240" s="90"/>
      <c r="E240" s="90"/>
      <c r="F240" s="90"/>
      <c r="G240" s="90"/>
      <c r="H240" s="187"/>
      <c r="I240" s="90"/>
      <c r="J240" s="187"/>
      <c r="K240" s="188"/>
    </row>
    <row r="241" spans="2:11">
      <c r="B241" s="90"/>
      <c r="C241" s="90"/>
      <c r="D241" s="90"/>
      <c r="E241" s="90"/>
      <c r="F241" s="90"/>
      <c r="G241" s="90"/>
      <c r="H241" s="187"/>
      <c r="I241" s="90"/>
      <c r="J241" s="187"/>
      <c r="K241" s="188"/>
    </row>
    <row r="242" spans="2:11">
      <c r="B242" s="90"/>
      <c r="C242" s="90"/>
      <c r="D242" s="90"/>
      <c r="E242" s="90"/>
      <c r="F242" s="90"/>
      <c r="G242" s="90"/>
      <c r="H242" s="187"/>
      <c r="I242" s="90"/>
      <c r="J242" s="187"/>
      <c r="K242" s="188"/>
    </row>
    <row r="243" spans="2:11">
      <c r="B243" s="90"/>
      <c r="C243" s="90"/>
      <c r="D243" s="90"/>
      <c r="E243" s="90"/>
      <c r="F243" s="90"/>
      <c r="G243" s="90"/>
      <c r="H243" s="187"/>
      <c r="I243" s="90"/>
      <c r="J243" s="187"/>
      <c r="K243" s="188"/>
    </row>
    <row r="244" spans="2:11">
      <c r="B244" s="90"/>
      <c r="C244" s="90"/>
      <c r="D244" s="90"/>
      <c r="E244" s="90"/>
      <c r="F244" s="90"/>
      <c r="G244" s="90"/>
      <c r="H244" s="187"/>
      <c r="I244" s="90"/>
      <c r="J244" s="187"/>
      <c r="K244" s="188"/>
    </row>
    <row r="245" spans="2:11">
      <c r="B245" s="90"/>
      <c r="C245" s="90"/>
      <c r="D245" s="90"/>
      <c r="E245" s="90"/>
      <c r="F245" s="90"/>
      <c r="G245" s="90"/>
      <c r="H245" s="187"/>
      <c r="I245" s="90"/>
      <c r="J245" s="187"/>
      <c r="K245" s="188"/>
    </row>
    <row r="246" spans="2:11">
      <c r="B246" s="90"/>
      <c r="C246" s="90"/>
      <c r="D246" s="90"/>
      <c r="E246" s="90"/>
      <c r="F246" s="90"/>
      <c r="G246" s="90"/>
      <c r="H246" s="187"/>
      <c r="I246" s="90"/>
      <c r="J246" s="187"/>
      <c r="K246" s="188"/>
    </row>
    <row r="247" spans="2:11">
      <c r="B247" s="90"/>
      <c r="C247" s="90"/>
      <c r="D247" s="90"/>
      <c r="E247" s="90"/>
      <c r="F247" s="90"/>
      <c r="G247" s="90"/>
      <c r="H247" s="187"/>
      <c r="I247" s="90"/>
      <c r="J247" s="187"/>
      <c r="K247" s="188"/>
    </row>
    <row r="248" spans="2:11">
      <c r="B248" s="90"/>
      <c r="C248" s="90"/>
      <c r="D248" s="90"/>
      <c r="E248" s="90"/>
      <c r="F248" s="90"/>
      <c r="G248" s="90"/>
      <c r="H248" s="187"/>
      <c r="I248" s="90"/>
      <c r="J248" s="187"/>
      <c r="K248" s="188"/>
    </row>
    <row r="249" spans="2:11">
      <c r="B249" s="90"/>
      <c r="C249" s="90"/>
      <c r="D249" s="90"/>
      <c r="E249" s="90"/>
      <c r="F249" s="90"/>
      <c r="G249" s="90"/>
      <c r="H249" s="187"/>
      <c r="I249" s="90"/>
      <c r="J249" s="187"/>
      <c r="K249" s="188"/>
    </row>
    <row r="250" spans="2:11">
      <c r="B250" s="90"/>
      <c r="C250" s="90"/>
      <c r="D250" s="90"/>
      <c r="E250" s="90"/>
      <c r="F250" s="90"/>
      <c r="G250" s="90"/>
      <c r="H250" s="187"/>
      <c r="I250" s="90"/>
      <c r="J250" s="187"/>
      <c r="K250" s="188"/>
    </row>
    <row r="251" spans="2:11">
      <c r="B251" s="90"/>
      <c r="C251" s="90"/>
      <c r="D251" s="90"/>
      <c r="E251" s="90"/>
      <c r="F251" s="90"/>
      <c r="G251" s="90"/>
      <c r="H251" s="187"/>
      <c r="I251" s="90"/>
      <c r="J251" s="187"/>
      <c r="K251" s="188"/>
    </row>
    <row r="252" spans="2:11">
      <c r="B252" s="90"/>
      <c r="C252" s="90"/>
      <c r="D252" s="90"/>
      <c r="E252" s="90"/>
      <c r="F252" s="90"/>
      <c r="G252" s="90"/>
      <c r="H252" s="187"/>
      <c r="I252" s="90"/>
      <c r="J252" s="187"/>
      <c r="K252" s="188"/>
    </row>
    <row r="253" spans="2:11">
      <c r="B253" s="90"/>
      <c r="C253" s="90"/>
      <c r="D253" s="90"/>
      <c r="E253" s="90"/>
      <c r="F253" s="90"/>
      <c r="G253" s="90"/>
      <c r="H253" s="187"/>
      <c r="I253" s="90"/>
      <c r="J253" s="187"/>
      <c r="K253" s="188"/>
    </row>
    <row r="254" spans="2:11">
      <c r="B254" s="90"/>
      <c r="C254" s="90"/>
      <c r="D254" s="90"/>
      <c r="E254" s="90"/>
      <c r="F254" s="90"/>
      <c r="G254" s="90"/>
      <c r="H254" s="187"/>
      <c r="I254" s="90"/>
      <c r="J254" s="187"/>
      <c r="K254" s="188"/>
    </row>
    <row r="255" spans="2:11">
      <c r="B255" s="90"/>
      <c r="C255" s="90"/>
      <c r="D255" s="90"/>
      <c r="E255" s="90"/>
      <c r="F255" s="90"/>
      <c r="G255" s="90"/>
      <c r="H255" s="187"/>
      <c r="I255" s="90"/>
      <c r="J255" s="187"/>
      <c r="K255" s="188"/>
    </row>
    <row r="256" spans="2:11">
      <c r="B256" s="90"/>
      <c r="C256" s="90"/>
      <c r="D256" s="90"/>
      <c r="E256" s="90"/>
      <c r="F256" s="90"/>
      <c r="G256" s="90"/>
      <c r="H256" s="187"/>
      <c r="I256" s="90"/>
      <c r="J256" s="187"/>
      <c r="K256" s="188"/>
    </row>
    <row r="257" spans="2:11">
      <c r="B257" s="90"/>
      <c r="C257" s="90"/>
      <c r="D257" s="90"/>
      <c r="E257" s="90"/>
      <c r="F257" s="90"/>
      <c r="G257" s="90"/>
      <c r="H257" s="187"/>
      <c r="I257" s="90"/>
      <c r="J257" s="187"/>
      <c r="K257" s="188"/>
    </row>
    <row r="258" spans="2:11">
      <c r="B258" s="90"/>
      <c r="C258" s="90"/>
      <c r="D258" s="90"/>
      <c r="E258" s="90"/>
      <c r="F258" s="90"/>
      <c r="G258" s="90"/>
      <c r="H258" s="187"/>
      <c r="I258" s="90"/>
      <c r="J258" s="187"/>
      <c r="K258" s="188"/>
    </row>
    <row r="259" spans="2:11">
      <c r="B259" s="90"/>
      <c r="C259" s="90"/>
      <c r="D259" s="90"/>
      <c r="E259" s="90"/>
      <c r="F259" s="90"/>
      <c r="G259" s="90"/>
      <c r="H259" s="187"/>
      <c r="I259" s="90"/>
      <c r="J259" s="187"/>
      <c r="K259" s="188"/>
    </row>
    <row r="260" spans="2:11">
      <c r="B260" s="90"/>
      <c r="C260" s="90"/>
      <c r="D260" s="90"/>
      <c r="E260" s="90"/>
      <c r="F260" s="90"/>
      <c r="G260" s="90"/>
      <c r="H260" s="187"/>
      <c r="I260" s="90"/>
      <c r="J260" s="187"/>
      <c r="K260" s="188"/>
    </row>
    <row r="261" spans="2:11">
      <c r="B261" s="90"/>
      <c r="C261" s="90"/>
      <c r="D261" s="90"/>
      <c r="E261" s="90"/>
      <c r="F261" s="90"/>
      <c r="G261" s="90"/>
      <c r="H261" s="187"/>
      <c r="I261" s="90"/>
      <c r="J261" s="187"/>
      <c r="K261" s="188"/>
    </row>
    <row r="262" spans="2:11">
      <c r="B262" s="90"/>
      <c r="C262" s="90"/>
      <c r="D262" s="90"/>
      <c r="E262" s="90"/>
      <c r="F262" s="90"/>
      <c r="G262" s="90"/>
      <c r="H262" s="187"/>
      <c r="I262" s="90"/>
      <c r="J262" s="187"/>
      <c r="K262" s="188"/>
    </row>
    <row r="263" spans="2:11">
      <c r="B263" s="90"/>
      <c r="C263" s="90"/>
      <c r="D263" s="90"/>
      <c r="E263" s="90"/>
      <c r="F263" s="90"/>
      <c r="G263" s="90"/>
      <c r="H263" s="187"/>
      <c r="I263" s="90"/>
      <c r="J263" s="187"/>
      <c r="K263" s="188"/>
    </row>
    <row r="264" spans="2:11">
      <c r="B264" s="90"/>
      <c r="C264" s="90"/>
      <c r="D264" s="90"/>
      <c r="E264" s="90"/>
      <c r="F264" s="90"/>
      <c r="G264" s="90"/>
      <c r="H264" s="187"/>
      <c r="I264" s="90"/>
      <c r="J264" s="187"/>
      <c r="K264" s="188"/>
    </row>
    <row r="265" spans="2:11">
      <c r="B265" s="90"/>
      <c r="C265" s="90"/>
      <c r="D265" s="90"/>
      <c r="E265" s="90"/>
      <c r="F265" s="90"/>
      <c r="G265" s="90"/>
      <c r="H265" s="187"/>
      <c r="I265" s="90"/>
      <c r="J265" s="187"/>
      <c r="K265" s="188"/>
    </row>
    <row r="266" spans="2:11">
      <c r="B266" s="90"/>
      <c r="C266" s="90"/>
      <c r="D266" s="90"/>
      <c r="E266" s="90"/>
      <c r="F266" s="90"/>
      <c r="G266" s="90"/>
      <c r="H266" s="187"/>
      <c r="I266" s="90"/>
      <c r="J266" s="187"/>
      <c r="K266" s="188"/>
    </row>
    <row r="267" spans="2:11">
      <c r="B267" s="90"/>
      <c r="C267" s="90"/>
      <c r="D267" s="90"/>
      <c r="E267" s="90"/>
      <c r="F267" s="90"/>
      <c r="G267" s="90"/>
      <c r="H267" s="187"/>
      <c r="I267" s="90"/>
      <c r="J267" s="187"/>
      <c r="K267" s="188"/>
    </row>
    <row r="268" spans="2:11">
      <c r="B268" s="90"/>
      <c r="C268" s="90"/>
      <c r="D268" s="90"/>
      <c r="E268" s="90"/>
      <c r="F268" s="90"/>
      <c r="G268" s="90"/>
      <c r="H268" s="187"/>
      <c r="I268" s="90"/>
      <c r="J268" s="187"/>
      <c r="K268" s="188"/>
    </row>
    <row r="269" spans="2:11">
      <c r="B269" s="90"/>
      <c r="C269" s="90"/>
      <c r="D269" s="90"/>
      <c r="E269" s="90"/>
      <c r="F269" s="90"/>
      <c r="G269" s="90"/>
      <c r="H269" s="187"/>
      <c r="I269" s="90"/>
      <c r="J269" s="187"/>
      <c r="K269" s="188"/>
    </row>
    <row r="270" spans="2:11">
      <c r="B270" s="90"/>
      <c r="C270" s="90"/>
      <c r="D270" s="90"/>
      <c r="E270" s="90"/>
      <c r="F270" s="90"/>
      <c r="G270" s="90"/>
      <c r="H270" s="187"/>
      <c r="I270" s="90"/>
      <c r="J270" s="187"/>
      <c r="K270" s="188"/>
    </row>
    <row r="271" spans="2:11">
      <c r="B271" s="90"/>
      <c r="C271" s="90"/>
      <c r="D271" s="90"/>
      <c r="E271" s="90"/>
      <c r="F271" s="90"/>
      <c r="G271" s="90"/>
      <c r="H271" s="187"/>
      <c r="I271" s="90"/>
      <c r="J271" s="187"/>
      <c r="K271" s="188"/>
    </row>
    <row r="272" spans="2:11">
      <c r="B272" s="90"/>
      <c r="C272" s="90"/>
      <c r="D272" s="90"/>
      <c r="E272" s="90"/>
      <c r="F272" s="90"/>
      <c r="G272" s="90"/>
      <c r="H272" s="187"/>
      <c r="I272" s="90"/>
      <c r="J272" s="187"/>
      <c r="K272" s="188"/>
    </row>
    <row r="273" spans="2:11">
      <c r="B273" s="90"/>
      <c r="C273" s="90"/>
      <c r="D273" s="90"/>
      <c r="E273" s="90"/>
      <c r="F273" s="90"/>
      <c r="G273" s="90"/>
      <c r="H273" s="187"/>
      <c r="I273" s="90"/>
      <c r="J273" s="187"/>
      <c r="K273" s="188"/>
    </row>
    <row r="274" spans="2:11">
      <c r="B274" s="90"/>
      <c r="C274" s="90"/>
      <c r="D274" s="90"/>
      <c r="E274" s="90"/>
      <c r="F274" s="90"/>
      <c r="G274" s="90"/>
      <c r="H274" s="187"/>
      <c r="I274" s="90"/>
      <c r="J274" s="187"/>
      <c r="K274" s="188"/>
    </row>
    <row r="275" spans="2:11">
      <c r="B275" s="90"/>
      <c r="C275" s="90"/>
      <c r="D275" s="90"/>
      <c r="E275" s="90"/>
      <c r="F275" s="90"/>
      <c r="G275" s="90"/>
      <c r="H275" s="187"/>
      <c r="I275" s="90"/>
      <c r="J275" s="187"/>
      <c r="K275" s="188"/>
    </row>
    <row r="276" spans="2:11">
      <c r="B276" s="90"/>
      <c r="C276" s="90"/>
      <c r="D276" s="90"/>
      <c r="E276" s="90"/>
      <c r="F276" s="90"/>
      <c r="G276" s="90"/>
      <c r="H276" s="187"/>
      <c r="I276" s="90"/>
      <c r="J276" s="187"/>
      <c r="K276" s="188"/>
    </row>
    <row r="277" spans="2:11">
      <c r="B277" s="90"/>
      <c r="C277" s="90"/>
      <c r="D277" s="90"/>
      <c r="E277" s="90"/>
      <c r="F277" s="90"/>
      <c r="G277" s="90"/>
      <c r="H277" s="187"/>
      <c r="I277" s="90"/>
      <c r="J277" s="187"/>
      <c r="K277" s="188"/>
    </row>
    <row r="278" spans="2:11">
      <c r="B278" s="90"/>
      <c r="C278" s="90"/>
      <c r="D278" s="90"/>
      <c r="E278" s="90"/>
      <c r="F278" s="90"/>
      <c r="G278" s="90"/>
      <c r="H278" s="187"/>
      <c r="I278" s="90"/>
      <c r="J278" s="187"/>
      <c r="K278" s="188"/>
    </row>
    <row r="279" spans="2:11">
      <c r="B279" s="90"/>
      <c r="C279" s="90"/>
      <c r="D279" s="90"/>
      <c r="E279" s="90"/>
      <c r="F279" s="90"/>
      <c r="G279" s="90"/>
      <c r="H279" s="187"/>
      <c r="I279" s="90"/>
      <c r="J279" s="187"/>
      <c r="K279" s="188"/>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6BD8-7267-4A98-B779-2A8F4F79EDD0}">
  <sheetPr>
    <tabColor rgb="FFCCFFCC"/>
  </sheetPr>
  <dimension ref="A2:T293"/>
  <sheetViews>
    <sheetView showGridLines="0" zoomScale="85" zoomScaleNormal="85" workbookViewId="0"/>
  </sheetViews>
  <sheetFormatPr defaultColWidth="9.140625" defaultRowHeight="12.75"/>
  <cols>
    <col min="1" max="1" width="2.5703125" style="3" customWidth="1"/>
    <col min="2" max="2" width="62.5703125" style="3" customWidth="1"/>
    <col min="3" max="3" width="2.5703125" style="3" customWidth="1"/>
    <col min="4" max="4" width="9.85546875" style="3" customWidth="1"/>
    <col min="5" max="5" width="2.5703125" style="3" customWidth="1"/>
    <col min="6" max="6" width="34.5703125" style="3" customWidth="1"/>
    <col min="7" max="7" width="20.5703125" style="3" customWidth="1"/>
    <col min="8" max="8" width="24.42578125" style="3" customWidth="1"/>
    <col min="9" max="9" width="21.5703125" style="3" bestFit="1" customWidth="1"/>
    <col min="10" max="10" width="26" style="3" bestFit="1" customWidth="1"/>
    <col min="11" max="11" width="44.5703125" style="3" bestFit="1" customWidth="1"/>
    <col min="12" max="12" width="10.42578125" style="3" customWidth="1"/>
    <col min="13" max="13" width="7.42578125" style="3" customWidth="1"/>
    <col min="14" max="14" width="14.5703125" style="3" customWidth="1"/>
    <col min="15" max="15" width="2.5703125" style="3" customWidth="1"/>
    <col min="16" max="16" width="20.5703125" style="3" customWidth="1"/>
    <col min="17" max="17" width="2.5703125" style="3" customWidth="1"/>
    <col min="18" max="31" width="13.5703125" style="3" customWidth="1"/>
    <col min="32" max="16384" width="9.140625" style="3"/>
  </cols>
  <sheetData>
    <row r="2" spans="1:20" s="12" customFormat="1" ht="18">
      <c r="B2" s="12" t="s">
        <v>550</v>
      </c>
    </row>
    <row r="4" spans="1:20">
      <c r="B4" s="16" t="s">
        <v>197</v>
      </c>
      <c r="C4" s="2"/>
    </row>
    <row r="5" spans="1:20" ht="15.75" customHeight="1">
      <c r="B5" s="349" t="s">
        <v>535</v>
      </c>
      <c r="C5" s="349"/>
      <c r="D5" s="349"/>
      <c r="F5" s="13"/>
    </row>
    <row r="7" spans="1:20">
      <c r="B7" s="17" t="s">
        <v>153</v>
      </c>
    </row>
    <row r="8" spans="1:20" ht="33" customHeight="1">
      <c r="B8" s="354" t="s">
        <v>551</v>
      </c>
      <c r="C8" s="354"/>
      <c r="D8" s="354"/>
    </row>
    <row r="9" spans="1:20" s="33" customFormat="1" ht="12.75" customHeight="1">
      <c r="A9" s="98"/>
      <c r="B9" s="33" t="s">
        <v>552</v>
      </c>
      <c r="H9" s="186"/>
      <c r="I9" s="186"/>
      <c r="J9" s="186"/>
      <c r="K9" s="186"/>
      <c r="L9" s="186"/>
      <c r="M9" s="186"/>
      <c r="N9" s="186"/>
      <c r="O9" s="186"/>
      <c r="P9" s="186"/>
      <c r="R9" s="33" t="s">
        <v>201</v>
      </c>
      <c r="T9" s="33" t="s">
        <v>202</v>
      </c>
    </row>
    <row r="10" spans="1:20" s="34" customFormat="1" ht="12.75" customHeight="1">
      <c r="A10" s="99"/>
      <c r="B10" s="34" t="s">
        <v>157</v>
      </c>
      <c r="D10" s="34" t="s">
        <v>199</v>
      </c>
      <c r="F10" s="34" t="s">
        <v>301</v>
      </c>
      <c r="G10" s="34" t="s">
        <v>553</v>
      </c>
      <c r="H10" s="101" t="s">
        <v>554</v>
      </c>
      <c r="I10" s="101" t="s">
        <v>555</v>
      </c>
      <c r="J10" s="101" t="s">
        <v>556</v>
      </c>
      <c r="K10" s="101" t="s">
        <v>557</v>
      </c>
      <c r="L10" s="101"/>
      <c r="M10" s="101"/>
      <c r="N10" s="101"/>
      <c r="O10" s="101"/>
      <c r="P10" s="101"/>
    </row>
    <row r="12" spans="1:20">
      <c r="B12" s="93" t="s">
        <v>558</v>
      </c>
      <c r="C12" s="90"/>
      <c r="D12" s="90"/>
      <c r="E12" s="90"/>
      <c r="F12" s="93" t="s">
        <v>313</v>
      </c>
      <c r="G12" s="93">
        <v>1971</v>
      </c>
      <c r="H12" s="325">
        <v>47083.78</v>
      </c>
      <c r="I12" s="93">
        <v>2021</v>
      </c>
      <c r="J12" s="325">
        <v>0</v>
      </c>
      <c r="K12" s="147">
        <v>38383584.379999995</v>
      </c>
      <c r="O12" s="89"/>
      <c r="P12" s="89"/>
      <c r="R12" s="3" t="s">
        <v>488</v>
      </c>
    </row>
    <row r="13" spans="1:20">
      <c r="B13" s="93" t="s">
        <v>559</v>
      </c>
      <c r="C13" s="90"/>
      <c r="D13" s="90"/>
      <c r="E13" s="90"/>
      <c r="F13" s="93" t="s">
        <v>317</v>
      </c>
      <c r="G13" s="93">
        <v>1961</v>
      </c>
      <c r="H13" s="325">
        <v>50334.43</v>
      </c>
      <c r="I13" s="93">
        <v>2021</v>
      </c>
      <c r="J13" s="325">
        <v>0</v>
      </c>
      <c r="K13" s="325"/>
      <c r="O13" s="89"/>
      <c r="P13" s="89"/>
      <c r="R13" s="3" t="s">
        <v>488</v>
      </c>
    </row>
    <row r="14" spans="1:20">
      <c r="B14" s="93" t="s">
        <v>560</v>
      </c>
      <c r="C14" s="90"/>
      <c r="D14" s="90"/>
      <c r="E14" s="90"/>
      <c r="F14" s="93" t="s">
        <v>317</v>
      </c>
      <c r="G14" s="93">
        <v>1972</v>
      </c>
      <c r="H14" s="325">
        <v>2621.49</v>
      </c>
      <c r="I14" s="93">
        <v>2021</v>
      </c>
      <c r="J14" s="325">
        <v>0</v>
      </c>
      <c r="K14" s="147"/>
      <c r="O14" s="89"/>
      <c r="P14" s="89"/>
      <c r="R14" s="3" t="s">
        <v>488</v>
      </c>
    </row>
    <row r="15" spans="1:20">
      <c r="B15" s="93" t="s">
        <v>561</v>
      </c>
      <c r="C15" s="90"/>
      <c r="D15" s="90"/>
      <c r="E15" s="90"/>
      <c r="F15" s="93" t="s">
        <v>321</v>
      </c>
      <c r="G15" s="93">
        <v>1997</v>
      </c>
      <c r="H15" s="325">
        <v>151227.48000000004</v>
      </c>
      <c r="I15" s="93">
        <v>2021</v>
      </c>
      <c r="J15" s="325">
        <v>0</v>
      </c>
      <c r="K15" s="147"/>
      <c r="R15" s="3" t="s">
        <v>488</v>
      </c>
    </row>
    <row r="16" spans="1:20">
      <c r="B16" s="93" t="s">
        <v>562</v>
      </c>
      <c r="C16" s="90"/>
      <c r="D16" s="90"/>
      <c r="E16" s="90"/>
      <c r="F16" s="93" t="s">
        <v>327</v>
      </c>
      <c r="G16" s="93">
        <v>2009</v>
      </c>
      <c r="H16" s="325">
        <v>1313895.18</v>
      </c>
      <c r="I16" s="93">
        <v>2021</v>
      </c>
      <c r="J16" s="325">
        <v>0</v>
      </c>
      <c r="K16" s="147"/>
      <c r="R16" s="3" t="s">
        <v>488</v>
      </c>
    </row>
    <row r="17" spans="2:18">
      <c r="B17" s="93" t="s">
        <v>563</v>
      </c>
      <c r="C17" s="90"/>
      <c r="D17" s="90"/>
      <c r="E17" s="90"/>
      <c r="F17" s="93" t="s">
        <v>361</v>
      </c>
      <c r="G17" s="93">
        <v>2009</v>
      </c>
      <c r="H17" s="325">
        <v>3658553.4539964925</v>
      </c>
      <c r="I17" s="93">
        <v>2021</v>
      </c>
      <c r="J17" s="325">
        <v>0</v>
      </c>
      <c r="K17" s="147">
        <v>114985168</v>
      </c>
      <c r="R17" s="3" t="s">
        <v>488</v>
      </c>
    </row>
    <row r="18" spans="2:18">
      <c r="B18" s="93" t="s">
        <v>564</v>
      </c>
      <c r="C18" s="90"/>
      <c r="D18" s="90"/>
      <c r="E18" s="90"/>
      <c r="F18" s="93" t="s">
        <v>361</v>
      </c>
      <c r="G18" s="93">
        <v>2010</v>
      </c>
      <c r="H18" s="325">
        <v>17379179.522018339</v>
      </c>
      <c r="I18" s="93">
        <v>2021</v>
      </c>
      <c r="J18" s="325">
        <v>0</v>
      </c>
      <c r="K18" s="147"/>
      <c r="R18" s="3" t="s">
        <v>488</v>
      </c>
    </row>
    <row r="19" spans="2:18">
      <c r="B19" s="93" t="s">
        <v>565</v>
      </c>
      <c r="C19" s="90"/>
      <c r="D19" s="90"/>
      <c r="E19" s="90"/>
      <c r="F19" s="93" t="s">
        <v>323</v>
      </c>
      <c r="G19" s="93">
        <v>2010</v>
      </c>
      <c r="H19" s="325">
        <v>2369604.1752097155</v>
      </c>
      <c r="I19" s="93">
        <v>2021</v>
      </c>
      <c r="J19" s="325">
        <v>0</v>
      </c>
      <c r="K19" s="147"/>
      <c r="R19" s="3" t="s">
        <v>488</v>
      </c>
    </row>
    <row r="20" spans="2:18">
      <c r="B20" s="93" t="s">
        <v>566</v>
      </c>
      <c r="C20" s="90"/>
      <c r="D20" s="90"/>
      <c r="E20" s="90"/>
      <c r="F20" s="93" t="s">
        <v>362</v>
      </c>
      <c r="G20" s="93">
        <v>2010</v>
      </c>
      <c r="H20" s="325">
        <v>137063.35897796138</v>
      </c>
      <c r="I20" s="93">
        <v>2021</v>
      </c>
      <c r="J20" s="325">
        <v>0</v>
      </c>
      <c r="K20" s="147"/>
      <c r="R20" s="3" t="s">
        <v>488</v>
      </c>
    </row>
    <row r="21" spans="2:18">
      <c r="B21" s="93" t="s">
        <v>567</v>
      </c>
      <c r="C21" s="90"/>
      <c r="D21" s="90"/>
      <c r="E21" s="90"/>
      <c r="F21" s="93" t="s">
        <v>328</v>
      </c>
      <c r="G21" s="93">
        <v>2011</v>
      </c>
      <c r="H21" s="325">
        <v>852201.48356837523</v>
      </c>
      <c r="I21" s="93">
        <v>2021</v>
      </c>
      <c r="J21" s="325">
        <v>0</v>
      </c>
      <c r="K21" s="147"/>
      <c r="R21" s="3" t="s">
        <v>488</v>
      </c>
    </row>
    <row r="22" spans="2:18">
      <c r="B22" s="93" t="s">
        <v>568</v>
      </c>
      <c r="C22" s="90"/>
      <c r="D22" s="90"/>
      <c r="E22" s="90"/>
      <c r="F22" s="93" t="s">
        <v>344</v>
      </c>
      <c r="G22" s="93">
        <v>2011</v>
      </c>
      <c r="H22" s="325">
        <v>3100554.2541983742</v>
      </c>
      <c r="I22" s="93">
        <v>2021</v>
      </c>
      <c r="J22" s="325">
        <v>2372891.9585730941</v>
      </c>
      <c r="K22" s="147">
        <v>56326732</v>
      </c>
      <c r="R22" s="3" t="s">
        <v>488</v>
      </c>
    </row>
    <row r="23" spans="2:18">
      <c r="B23" s="93" t="s">
        <v>569</v>
      </c>
      <c r="C23" s="90"/>
      <c r="D23" s="90"/>
      <c r="E23" s="90"/>
      <c r="F23" s="93" t="s">
        <v>361</v>
      </c>
      <c r="G23" s="93">
        <v>2011</v>
      </c>
      <c r="H23" s="325">
        <v>30115806.268534236</v>
      </c>
      <c r="I23" s="93">
        <v>2021</v>
      </c>
      <c r="J23" s="325">
        <v>0</v>
      </c>
      <c r="K23" s="147"/>
      <c r="R23" s="3" t="s">
        <v>488</v>
      </c>
    </row>
    <row r="24" spans="2:18">
      <c r="B24" s="93" t="s">
        <v>570</v>
      </c>
      <c r="C24" s="90"/>
      <c r="D24" s="90"/>
      <c r="E24" s="90"/>
      <c r="F24" s="93" t="s">
        <v>317</v>
      </c>
      <c r="G24" s="93">
        <v>2011</v>
      </c>
      <c r="H24" s="325">
        <v>2437521.6070272112</v>
      </c>
      <c r="I24" s="93">
        <v>2021</v>
      </c>
      <c r="J24" s="325">
        <v>1865464.9930189459</v>
      </c>
      <c r="K24" s="147"/>
      <c r="R24" s="3" t="s">
        <v>488</v>
      </c>
    </row>
    <row r="25" spans="2:18">
      <c r="B25" s="93" t="s">
        <v>571</v>
      </c>
      <c r="C25" s="90"/>
      <c r="D25" s="90"/>
      <c r="E25" s="90"/>
      <c r="F25" s="93" t="s">
        <v>323</v>
      </c>
      <c r="G25" s="93">
        <v>2011</v>
      </c>
      <c r="H25" s="325">
        <v>322323.48030063207</v>
      </c>
      <c r="I25" s="93">
        <v>2021</v>
      </c>
      <c r="J25" s="325">
        <v>0</v>
      </c>
      <c r="K25" s="147"/>
      <c r="R25" s="3" t="s">
        <v>488</v>
      </c>
    </row>
    <row r="26" spans="2:18">
      <c r="B26" s="93" t="s">
        <v>572</v>
      </c>
      <c r="C26" s="90"/>
      <c r="D26" s="90"/>
      <c r="E26" s="90"/>
      <c r="F26" s="93" t="s">
        <v>334</v>
      </c>
      <c r="G26" s="93">
        <v>2011</v>
      </c>
      <c r="H26" s="325">
        <v>4126005.7948834877</v>
      </c>
      <c r="I26" s="93">
        <v>2021</v>
      </c>
      <c r="J26" s="325">
        <v>0</v>
      </c>
      <c r="K26" s="147"/>
      <c r="R26" s="3" t="s">
        <v>488</v>
      </c>
    </row>
    <row r="27" spans="2:18">
      <c r="B27" s="93" t="s">
        <v>573</v>
      </c>
      <c r="C27" s="90"/>
      <c r="D27" s="90"/>
      <c r="E27" s="90"/>
      <c r="F27" s="93" t="s">
        <v>361</v>
      </c>
      <c r="G27" s="93">
        <v>2012</v>
      </c>
      <c r="H27" s="325">
        <v>22695798.709637098</v>
      </c>
      <c r="I27" s="93">
        <v>2021</v>
      </c>
      <c r="J27" s="325">
        <v>0</v>
      </c>
      <c r="K27" s="147"/>
      <c r="R27" s="3" t="s">
        <v>488</v>
      </c>
    </row>
    <row r="28" spans="2:18">
      <c r="B28" s="93" t="s">
        <v>574</v>
      </c>
      <c r="C28" s="90"/>
      <c r="D28" s="90"/>
      <c r="E28" s="90"/>
      <c r="F28" s="93" t="s">
        <v>361</v>
      </c>
      <c r="G28" s="93">
        <v>2013</v>
      </c>
      <c r="H28" s="325">
        <v>18719949.80436749</v>
      </c>
      <c r="I28" s="93">
        <v>2021</v>
      </c>
      <c r="J28" s="325">
        <v>0</v>
      </c>
      <c r="K28" s="147"/>
      <c r="R28" s="3" t="s">
        <v>488</v>
      </c>
    </row>
    <row r="29" spans="2:18">
      <c r="B29" s="93" t="s">
        <v>575</v>
      </c>
      <c r="C29" s="90"/>
      <c r="D29" s="90"/>
      <c r="E29" s="90"/>
      <c r="F29" s="93" t="s">
        <v>334</v>
      </c>
      <c r="G29" s="93">
        <v>2013</v>
      </c>
      <c r="H29" s="325">
        <v>14233.766853302437</v>
      </c>
      <c r="I29" s="93">
        <v>2021</v>
      </c>
      <c r="J29" s="325">
        <v>2395.0433871794298</v>
      </c>
      <c r="K29" s="147"/>
      <c r="R29" s="3" t="s">
        <v>488</v>
      </c>
    </row>
    <row r="30" spans="2:18">
      <c r="B30" s="93" t="s">
        <v>576</v>
      </c>
      <c r="C30" s="90"/>
      <c r="D30" s="90"/>
      <c r="E30" s="90"/>
      <c r="F30" s="93" t="s">
        <v>323</v>
      </c>
      <c r="G30" s="93">
        <v>2013</v>
      </c>
      <c r="H30" s="325">
        <v>717715.3058753697</v>
      </c>
      <c r="I30" s="93">
        <v>2021</v>
      </c>
      <c r="J30" s="325">
        <v>120766.29573396736</v>
      </c>
      <c r="K30" s="147"/>
      <c r="R30" s="3" t="s">
        <v>488</v>
      </c>
    </row>
    <row r="31" spans="2:18">
      <c r="B31" s="93" t="s">
        <v>577</v>
      </c>
      <c r="C31" s="90"/>
      <c r="D31" s="90"/>
      <c r="E31" s="90"/>
      <c r="F31" s="93" t="s">
        <v>361</v>
      </c>
      <c r="G31" s="93">
        <v>2014</v>
      </c>
      <c r="H31" s="325">
        <v>29278944.009914741</v>
      </c>
      <c r="I31" s="93">
        <v>2021</v>
      </c>
      <c r="J31" s="325">
        <v>0</v>
      </c>
      <c r="K31" s="147"/>
      <c r="R31" s="3" t="s">
        <v>488</v>
      </c>
    </row>
    <row r="32" spans="2:18">
      <c r="B32" s="93" t="s">
        <v>578</v>
      </c>
      <c r="C32" s="90"/>
      <c r="D32" s="90"/>
      <c r="E32" s="90"/>
      <c r="F32" s="93" t="s">
        <v>366</v>
      </c>
      <c r="G32" s="93">
        <v>2014</v>
      </c>
      <c r="H32" s="325">
        <v>149619.99545874962</v>
      </c>
      <c r="I32" s="93">
        <v>2021</v>
      </c>
      <c r="J32" s="325">
        <v>40816.786477904512</v>
      </c>
      <c r="K32" s="147"/>
      <c r="R32" s="3" t="s">
        <v>488</v>
      </c>
    </row>
    <row r="33" spans="2:18">
      <c r="B33" s="93" t="s">
        <v>579</v>
      </c>
      <c r="C33" s="90"/>
      <c r="D33" s="90"/>
      <c r="E33" s="90"/>
      <c r="F33" s="93" t="s">
        <v>362</v>
      </c>
      <c r="G33" s="93">
        <v>2014</v>
      </c>
      <c r="H33" s="325">
        <v>180341</v>
      </c>
      <c r="I33" s="93">
        <v>2021</v>
      </c>
      <c r="J33" s="325">
        <v>0</v>
      </c>
      <c r="K33" s="147"/>
      <c r="R33" s="3" t="s">
        <v>488</v>
      </c>
    </row>
    <row r="34" spans="2:18">
      <c r="B34" s="93" t="s">
        <v>580</v>
      </c>
      <c r="C34" s="90"/>
      <c r="D34" s="90"/>
      <c r="E34" s="90"/>
      <c r="F34" s="93" t="s">
        <v>361</v>
      </c>
      <c r="G34" s="93">
        <v>2015</v>
      </c>
      <c r="H34" s="325">
        <v>16219637.049707994</v>
      </c>
      <c r="I34" s="93">
        <v>2021</v>
      </c>
      <c r="J34" s="325">
        <v>0</v>
      </c>
      <c r="K34" s="147"/>
      <c r="R34" s="3" t="s">
        <v>488</v>
      </c>
    </row>
    <row r="35" spans="2:18">
      <c r="B35" s="93" t="s">
        <v>581</v>
      </c>
      <c r="C35" s="90"/>
      <c r="D35" s="90"/>
      <c r="E35" s="90"/>
      <c r="F35" s="93" t="s">
        <v>334</v>
      </c>
      <c r="G35" s="93">
        <v>2015</v>
      </c>
      <c r="H35" s="325">
        <v>9111235.8707030155</v>
      </c>
      <c r="I35" s="93">
        <v>2021</v>
      </c>
      <c r="J35" s="325">
        <v>3445348.23215965</v>
      </c>
      <c r="K35" s="147"/>
      <c r="R35" s="3" t="s">
        <v>488</v>
      </c>
    </row>
    <row r="36" spans="2:18">
      <c r="B36" s="93" t="s">
        <v>582</v>
      </c>
      <c r="C36" s="90"/>
      <c r="D36" s="90"/>
      <c r="E36" s="90"/>
      <c r="F36" s="93" t="s">
        <v>323</v>
      </c>
      <c r="G36" s="93">
        <v>2015</v>
      </c>
      <c r="H36" s="325">
        <v>1215996.3265953835</v>
      </c>
      <c r="I36" s="93">
        <v>2021</v>
      </c>
      <c r="J36" s="325">
        <v>459820.25420057232</v>
      </c>
      <c r="K36" s="147"/>
      <c r="R36" s="3" t="s">
        <v>488</v>
      </c>
    </row>
    <row r="37" spans="2:18">
      <c r="B37" s="93" t="s">
        <v>583</v>
      </c>
      <c r="C37" s="90"/>
      <c r="D37" s="90"/>
      <c r="E37" s="90"/>
      <c r="F37" s="93" t="s">
        <v>333</v>
      </c>
      <c r="G37" s="93">
        <v>2015</v>
      </c>
      <c r="H37" s="325">
        <v>7968.6502792695001</v>
      </c>
      <c r="I37" s="93">
        <v>2021</v>
      </c>
      <c r="J37" s="325">
        <v>3013.2877188110033</v>
      </c>
      <c r="K37" s="147"/>
      <c r="R37" s="3" t="s">
        <v>488</v>
      </c>
    </row>
    <row r="38" spans="2:18">
      <c r="B38" s="93" t="s">
        <v>584</v>
      </c>
      <c r="C38" s="90"/>
      <c r="D38" s="90"/>
      <c r="E38" s="90"/>
      <c r="F38" s="93" t="s">
        <v>361</v>
      </c>
      <c r="G38" s="93">
        <v>2016</v>
      </c>
      <c r="H38" s="325">
        <v>15289349.60564645</v>
      </c>
      <c r="I38" s="93">
        <v>2021</v>
      </c>
      <c r="J38" s="325">
        <v>0</v>
      </c>
      <c r="K38" s="147"/>
      <c r="R38" s="3" t="s">
        <v>488</v>
      </c>
    </row>
    <row r="39" spans="2:18">
      <c r="B39" s="93" t="s">
        <v>585</v>
      </c>
      <c r="C39" s="90"/>
      <c r="D39" s="90"/>
      <c r="E39" s="90"/>
      <c r="F39" s="93" t="s">
        <v>327</v>
      </c>
      <c r="G39" s="93">
        <v>2016</v>
      </c>
      <c r="H39" s="325">
        <v>1481397.6896878041</v>
      </c>
      <c r="I39" s="93">
        <v>2021</v>
      </c>
      <c r="J39" s="325">
        <v>714515.13830443297</v>
      </c>
      <c r="K39" s="147"/>
      <c r="R39" s="3" t="s">
        <v>488</v>
      </c>
    </row>
    <row r="40" spans="2:18">
      <c r="B40" s="93" t="s">
        <v>586</v>
      </c>
      <c r="C40" s="90"/>
      <c r="D40" s="90"/>
      <c r="E40" s="90"/>
      <c r="F40" s="93" t="s">
        <v>334</v>
      </c>
      <c r="G40" s="93">
        <v>2016</v>
      </c>
      <c r="H40" s="325">
        <v>5338260.5379699524</v>
      </c>
      <c r="I40" s="93">
        <v>2021</v>
      </c>
      <c r="J40" s="325">
        <v>2574776.5054207225</v>
      </c>
      <c r="K40" s="147"/>
      <c r="R40" s="3" t="s">
        <v>488</v>
      </c>
    </row>
    <row r="41" spans="2:18">
      <c r="B41" s="93" t="s">
        <v>587</v>
      </c>
      <c r="C41" s="90"/>
      <c r="D41" s="90"/>
      <c r="E41" s="90"/>
      <c r="F41" s="93" t="s">
        <v>361</v>
      </c>
      <c r="G41" s="93">
        <v>2017</v>
      </c>
      <c r="H41" s="325">
        <v>17348227.126304951</v>
      </c>
      <c r="I41" s="93">
        <v>2021</v>
      </c>
      <c r="J41" s="325">
        <v>1855729.3459505453</v>
      </c>
      <c r="K41" s="147"/>
      <c r="R41" s="3" t="s">
        <v>488</v>
      </c>
    </row>
    <row r="42" spans="2:18">
      <c r="B42" s="93" t="s">
        <v>588</v>
      </c>
      <c r="C42" s="90"/>
      <c r="D42" s="90"/>
      <c r="E42" s="90"/>
      <c r="F42" s="93" t="s">
        <v>313</v>
      </c>
      <c r="G42" s="93">
        <v>2012</v>
      </c>
      <c r="H42" s="325">
        <v>56189.23</v>
      </c>
      <c r="I42" s="93">
        <v>2021</v>
      </c>
      <c r="J42" s="325">
        <v>3224.0442736663617</v>
      </c>
      <c r="K42" s="147"/>
      <c r="R42" s="3" t="s">
        <v>488</v>
      </c>
    </row>
    <row r="43" spans="2:18">
      <c r="B43" s="93" t="s">
        <v>589</v>
      </c>
      <c r="C43" s="90"/>
      <c r="D43" s="90"/>
      <c r="E43" s="90"/>
      <c r="F43" s="93" t="s">
        <v>361</v>
      </c>
      <c r="G43" s="93">
        <v>2018</v>
      </c>
      <c r="H43" s="325">
        <v>20811887.293785572</v>
      </c>
      <c r="I43" s="93">
        <v>2021</v>
      </c>
      <c r="J43" s="325">
        <v>6586494.0110704908</v>
      </c>
      <c r="K43" s="147"/>
      <c r="R43" s="3" t="s">
        <v>488</v>
      </c>
    </row>
    <row r="44" spans="2:18">
      <c r="B44" s="93" t="s">
        <v>590</v>
      </c>
      <c r="C44" s="90"/>
      <c r="D44" s="90"/>
      <c r="E44" s="90"/>
      <c r="F44" s="93" t="s">
        <v>361</v>
      </c>
      <c r="G44" s="93">
        <v>2005</v>
      </c>
      <c r="H44" s="325">
        <v>3284081.86</v>
      </c>
      <c r="I44" s="93">
        <v>2021</v>
      </c>
      <c r="J44" s="325">
        <v>0</v>
      </c>
      <c r="K44" s="147"/>
      <c r="R44" s="3" t="s">
        <v>488</v>
      </c>
    </row>
    <row r="45" spans="2:18">
      <c r="B45" s="93" t="s">
        <v>591</v>
      </c>
      <c r="C45" s="90"/>
      <c r="D45" s="90"/>
      <c r="E45" s="90"/>
      <c r="F45" s="93" t="s">
        <v>334</v>
      </c>
      <c r="G45" s="93">
        <v>2005</v>
      </c>
      <c r="H45" s="325">
        <v>1438517.3199999998</v>
      </c>
      <c r="I45" s="93">
        <v>2021</v>
      </c>
      <c r="J45" s="325">
        <v>0</v>
      </c>
      <c r="K45" s="147"/>
      <c r="R45" s="3" t="s">
        <v>488</v>
      </c>
    </row>
    <row r="46" spans="2:18">
      <c r="B46" s="93" t="s">
        <v>592</v>
      </c>
      <c r="C46" s="90"/>
      <c r="D46" s="90"/>
      <c r="E46" s="90"/>
      <c r="F46" s="93" t="s">
        <v>327</v>
      </c>
      <c r="G46" s="93">
        <v>2005</v>
      </c>
      <c r="H46" s="325">
        <v>499809.02999999997</v>
      </c>
      <c r="I46" s="93">
        <v>2021</v>
      </c>
      <c r="J46" s="325">
        <v>0</v>
      </c>
      <c r="K46" s="147"/>
      <c r="R46" s="3" t="s">
        <v>488</v>
      </c>
    </row>
    <row r="47" spans="2:18">
      <c r="B47" s="93" t="s">
        <v>593</v>
      </c>
      <c r="C47" s="90"/>
      <c r="D47" s="90"/>
      <c r="E47" s="90"/>
      <c r="F47" s="93" t="s">
        <v>335</v>
      </c>
      <c r="G47" s="93">
        <v>2005</v>
      </c>
      <c r="H47" s="325">
        <v>245809.3</v>
      </c>
      <c r="I47" s="93">
        <v>2021</v>
      </c>
      <c r="J47" s="325">
        <v>0</v>
      </c>
      <c r="K47" s="147"/>
      <c r="R47" s="3" t="s">
        <v>488</v>
      </c>
    </row>
    <row r="48" spans="2:18">
      <c r="B48" s="93" t="s">
        <v>594</v>
      </c>
      <c r="C48" s="90"/>
      <c r="D48" s="90"/>
      <c r="E48" s="90"/>
      <c r="F48" s="93" t="s">
        <v>323</v>
      </c>
      <c r="G48" s="93">
        <v>2005</v>
      </c>
      <c r="H48" s="325">
        <v>58217.59</v>
      </c>
      <c r="I48" s="93">
        <v>2021</v>
      </c>
      <c r="J48" s="325">
        <v>0</v>
      </c>
      <c r="K48" s="147"/>
      <c r="R48" s="3" t="s">
        <v>488</v>
      </c>
    </row>
    <row r="49" spans="2:18">
      <c r="B49" s="93" t="s">
        <v>595</v>
      </c>
      <c r="C49" s="90"/>
      <c r="D49" s="90"/>
      <c r="E49" s="90"/>
      <c r="F49" s="93" t="s">
        <v>361</v>
      </c>
      <c r="G49" s="93">
        <v>2006</v>
      </c>
      <c r="H49" s="325">
        <v>4639319.7116944697</v>
      </c>
      <c r="I49" s="93">
        <v>2021</v>
      </c>
      <c r="J49" s="325">
        <v>0</v>
      </c>
      <c r="K49" s="147"/>
      <c r="R49" s="3" t="s">
        <v>488</v>
      </c>
    </row>
    <row r="50" spans="2:18">
      <c r="B50" s="93" t="s">
        <v>596</v>
      </c>
      <c r="C50" s="90"/>
      <c r="D50" s="90"/>
      <c r="E50" s="90"/>
      <c r="F50" s="93" t="s">
        <v>321</v>
      </c>
      <c r="G50" s="93">
        <v>2006</v>
      </c>
      <c r="H50" s="325">
        <v>68586.959999999992</v>
      </c>
      <c r="I50" s="93">
        <v>2021</v>
      </c>
      <c r="J50" s="325">
        <v>0</v>
      </c>
      <c r="K50" s="147"/>
      <c r="R50" s="3" t="s">
        <v>488</v>
      </c>
    </row>
    <row r="51" spans="2:18">
      <c r="B51" s="93" t="s">
        <v>597</v>
      </c>
      <c r="C51" s="90"/>
      <c r="D51" s="90"/>
      <c r="E51" s="90"/>
      <c r="F51" s="93" t="s">
        <v>344</v>
      </c>
      <c r="G51" s="93">
        <v>2006</v>
      </c>
      <c r="H51" s="325">
        <v>104600</v>
      </c>
      <c r="I51" s="93">
        <v>2021</v>
      </c>
      <c r="J51" s="325">
        <v>64112.024048213396</v>
      </c>
      <c r="K51" s="147"/>
      <c r="R51" s="3" t="s">
        <v>488</v>
      </c>
    </row>
    <row r="52" spans="2:18">
      <c r="B52" s="93" t="s">
        <v>598</v>
      </c>
      <c r="C52" s="90"/>
      <c r="D52" s="90"/>
      <c r="E52" s="90"/>
      <c r="F52" s="93" t="s">
        <v>322</v>
      </c>
      <c r="G52" s="93">
        <v>2006</v>
      </c>
      <c r="H52" s="325">
        <v>243251.93</v>
      </c>
      <c r="I52" s="93">
        <v>2021</v>
      </c>
      <c r="J52" s="325">
        <v>0</v>
      </c>
      <c r="K52" s="147"/>
      <c r="R52" s="3" t="s">
        <v>488</v>
      </c>
    </row>
    <row r="53" spans="2:18">
      <c r="B53" s="93" t="s">
        <v>599</v>
      </c>
      <c r="C53" s="90"/>
      <c r="D53" s="90"/>
      <c r="E53" s="90"/>
      <c r="F53" s="93" t="s">
        <v>323</v>
      </c>
      <c r="G53" s="93">
        <v>2006</v>
      </c>
      <c r="H53" s="325">
        <v>585474.13</v>
      </c>
      <c r="I53" s="93">
        <v>2021</v>
      </c>
      <c r="J53" s="325">
        <v>0</v>
      </c>
      <c r="K53" s="147"/>
      <c r="R53" s="3" t="s">
        <v>488</v>
      </c>
    </row>
    <row r="54" spans="2:18">
      <c r="B54" s="93" t="s">
        <v>600</v>
      </c>
      <c r="C54" s="90"/>
      <c r="D54" s="90"/>
      <c r="E54" s="90"/>
      <c r="F54" s="93" t="s">
        <v>321</v>
      </c>
      <c r="G54" s="93">
        <v>2007</v>
      </c>
      <c r="H54" s="325">
        <v>332079.90999999997</v>
      </c>
      <c r="I54" s="93">
        <v>2021</v>
      </c>
      <c r="J54" s="325">
        <v>0</v>
      </c>
      <c r="K54" s="147"/>
      <c r="R54" s="3" t="s">
        <v>488</v>
      </c>
    </row>
    <row r="55" spans="2:18">
      <c r="B55" s="93" t="s">
        <v>601</v>
      </c>
      <c r="C55" s="90"/>
      <c r="D55" s="90"/>
      <c r="E55" s="90"/>
      <c r="F55" s="93" t="s">
        <v>344</v>
      </c>
      <c r="G55" s="93">
        <v>2007</v>
      </c>
      <c r="H55" s="325">
        <v>163550.16999999998</v>
      </c>
      <c r="I55" s="93">
        <v>2021</v>
      </c>
      <c r="J55" s="325">
        <v>105677.9899746046</v>
      </c>
      <c r="K55" s="147"/>
      <c r="R55" s="3" t="s">
        <v>488</v>
      </c>
    </row>
    <row r="56" spans="2:18">
      <c r="B56" s="93" t="s">
        <v>602</v>
      </c>
      <c r="C56" s="90"/>
      <c r="D56" s="90"/>
      <c r="E56" s="90"/>
      <c r="F56" s="93" t="s">
        <v>361</v>
      </c>
      <c r="G56" s="93">
        <v>2007</v>
      </c>
      <c r="H56" s="325">
        <v>21517730.71653875</v>
      </c>
      <c r="I56" s="93">
        <v>2021</v>
      </c>
      <c r="J56" s="325">
        <v>0</v>
      </c>
      <c r="K56" s="147"/>
      <c r="R56" s="3" t="s">
        <v>488</v>
      </c>
    </row>
    <row r="57" spans="2:18">
      <c r="B57" s="93" t="s">
        <v>603</v>
      </c>
      <c r="C57" s="90"/>
      <c r="D57" s="90"/>
      <c r="E57" s="90"/>
      <c r="F57" s="93" t="s">
        <v>323</v>
      </c>
      <c r="G57" s="93">
        <v>2007</v>
      </c>
      <c r="H57" s="325">
        <v>611283.49</v>
      </c>
      <c r="I57" s="93">
        <v>2021</v>
      </c>
      <c r="J57" s="325">
        <v>0</v>
      </c>
      <c r="K57" s="147"/>
      <c r="R57" s="3" t="s">
        <v>488</v>
      </c>
    </row>
    <row r="58" spans="2:18">
      <c r="B58" s="93" t="s">
        <v>604</v>
      </c>
      <c r="C58" s="90"/>
      <c r="D58" s="90"/>
      <c r="E58" s="90"/>
      <c r="F58" s="93" t="s">
        <v>322</v>
      </c>
      <c r="G58" s="93">
        <v>2007</v>
      </c>
      <c r="H58" s="325">
        <v>87193.72</v>
      </c>
      <c r="I58" s="93">
        <v>2021</v>
      </c>
      <c r="J58" s="325">
        <v>0</v>
      </c>
      <c r="K58" s="147"/>
      <c r="R58" s="3" t="s">
        <v>488</v>
      </c>
    </row>
    <row r="59" spans="2:18">
      <c r="B59" s="93" t="s">
        <v>605</v>
      </c>
      <c r="C59" s="90"/>
      <c r="D59" s="90"/>
      <c r="E59" s="90"/>
      <c r="F59" s="93" t="s">
        <v>332</v>
      </c>
      <c r="G59" s="93">
        <v>2007</v>
      </c>
      <c r="H59" s="325">
        <v>25760.58</v>
      </c>
      <c r="I59" s="93">
        <v>2021</v>
      </c>
      <c r="J59" s="325">
        <v>0</v>
      </c>
      <c r="K59" s="147"/>
      <c r="R59" s="3" t="s">
        <v>488</v>
      </c>
    </row>
    <row r="60" spans="2:18">
      <c r="B60" s="93" t="s">
        <v>606</v>
      </c>
      <c r="C60" s="90"/>
      <c r="D60" s="90"/>
      <c r="E60" s="90"/>
      <c r="F60" s="93" t="s">
        <v>363</v>
      </c>
      <c r="G60" s="93">
        <v>2007</v>
      </c>
      <c r="H60" s="325">
        <v>140047.50693888956</v>
      </c>
      <c r="I60" s="93">
        <v>2021</v>
      </c>
      <c r="J60" s="325">
        <v>0</v>
      </c>
      <c r="K60" s="147"/>
      <c r="R60" s="3" t="s">
        <v>488</v>
      </c>
    </row>
    <row r="61" spans="2:18">
      <c r="B61" s="93" t="s">
        <v>607</v>
      </c>
      <c r="C61" s="90"/>
      <c r="D61" s="90"/>
      <c r="E61" s="90"/>
      <c r="F61" s="93" t="s">
        <v>361</v>
      </c>
      <c r="G61" s="93">
        <v>2008</v>
      </c>
      <c r="H61" s="325">
        <v>1405801.5634173665</v>
      </c>
      <c r="I61" s="93">
        <v>2021</v>
      </c>
      <c r="J61" s="325">
        <v>0</v>
      </c>
      <c r="K61" s="147"/>
      <c r="R61" s="3" t="s">
        <v>488</v>
      </c>
    </row>
    <row r="62" spans="2:18">
      <c r="B62" s="93" t="s">
        <v>608</v>
      </c>
      <c r="C62" s="90"/>
      <c r="D62" s="90"/>
      <c r="E62" s="90"/>
      <c r="F62" s="93" t="s">
        <v>332</v>
      </c>
      <c r="G62" s="93">
        <v>2008</v>
      </c>
      <c r="H62" s="325">
        <v>6485.6</v>
      </c>
      <c r="I62" s="93">
        <v>2021</v>
      </c>
      <c r="J62" s="325">
        <v>0</v>
      </c>
      <c r="K62" s="147"/>
      <c r="R62" s="3" t="s">
        <v>488</v>
      </c>
    </row>
    <row r="63" spans="2:18">
      <c r="B63" s="93" t="s">
        <v>609</v>
      </c>
      <c r="C63" s="90"/>
      <c r="D63" s="90"/>
      <c r="E63" s="90"/>
      <c r="F63" s="93" t="s">
        <v>311</v>
      </c>
      <c r="G63" s="93">
        <v>1956</v>
      </c>
      <c r="H63" s="325">
        <v>32433.599999999999</v>
      </c>
      <c r="I63" s="93">
        <v>2021</v>
      </c>
      <c r="J63" s="325">
        <v>275057.7098199001</v>
      </c>
      <c r="K63" s="147"/>
      <c r="R63" s="3" t="s">
        <v>488</v>
      </c>
    </row>
    <row r="64" spans="2:18">
      <c r="B64" s="93" t="s">
        <v>610</v>
      </c>
      <c r="C64" s="90"/>
      <c r="D64" s="90"/>
      <c r="E64" s="90"/>
      <c r="F64" s="93" t="s">
        <v>311</v>
      </c>
      <c r="G64" s="93">
        <v>1968</v>
      </c>
      <c r="H64" s="325">
        <v>219516.18</v>
      </c>
      <c r="I64" s="93">
        <v>2021</v>
      </c>
      <c r="J64" s="325">
        <v>1219692.8562955547</v>
      </c>
      <c r="K64" s="147"/>
      <c r="R64" s="3" t="s">
        <v>488</v>
      </c>
    </row>
    <row r="65" spans="2:18">
      <c r="B65" s="93" t="s">
        <v>611</v>
      </c>
      <c r="C65" s="90"/>
      <c r="D65" s="90"/>
      <c r="E65" s="90"/>
      <c r="F65" s="93" t="s">
        <v>311</v>
      </c>
      <c r="G65" s="93">
        <v>1972</v>
      </c>
      <c r="H65" s="325">
        <v>411128.51</v>
      </c>
      <c r="I65" s="93">
        <v>2021</v>
      </c>
      <c r="J65" s="325">
        <v>1824024.3386379536</v>
      </c>
      <c r="K65" s="147"/>
      <c r="R65" s="3" t="s">
        <v>488</v>
      </c>
    </row>
    <row r="66" spans="2:18">
      <c r="B66" s="93" t="s">
        <v>612</v>
      </c>
      <c r="C66" s="90"/>
      <c r="D66" s="90"/>
      <c r="E66" s="90"/>
      <c r="F66" s="93" t="s">
        <v>313</v>
      </c>
      <c r="G66" s="93">
        <v>1970</v>
      </c>
      <c r="H66" s="325">
        <v>65342.54</v>
      </c>
      <c r="I66" s="93">
        <v>2021</v>
      </c>
      <c r="J66" s="325">
        <v>0</v>
      </c>
      <c r="K66" s="147"/>
      <c r="R66" s="3" t="s">
        <v>488</v>
      </c>
    </row>
    <row r="67" spans="2:18">
      <c r="B67" s="93" t="s">
        <v>613</v>
      </c>
      <c r="C67" s="90"/>
      <c r="D67" s="90"/>
      <c r="E67" s="90"/>
      <c r="F67" s="93" t="s">
        <v>317</v>
      </c>
      <c r="G67" s="93">
        <v>1980</v>
      </c>
      <c r="H67" s="325">
        <v>1188787.02</v>
      </c>
      <c r="I67" s="93">
        <v>2021</v>
      </c>
      <c r="J67" s="325">
        <v>0</v>
      </c>
      <c r="K67" s="147"/>
      <c r="R67" s="3" t="s">
        <v>488</v>
      </c>
    </row>
    <row r="68" spans="2:18">
      <c r="B68" s="93" t="s">
        <v>614</v>
      </c>
      <c r="C68" s="90"/>
      <c r="D68" s="90"/>
      <c r="E68" s="90"/>
      <c r="F68" s="93" t="s">
        <v>317</v>
      </c>
      <c r="G68" s="93">
        <v>1971</v>
      </c>
      <c r="H68" s="325">
        <v>1287617.6299999999</v>
      </c>
      <c r="I68" s="93">
        <v>2021</v>
      </c>
      <c r="J68" s="325">
        <v>0</v>
      </c>
      <c r="K68" s="147"/>
      <c r="R68" s="3" t="s">
        <v>488</v>
      </c>
    </row>
    <row r="69" spans="2:18">
      <c r="B69" s="93" t="s">
        <v>615</v>
      </c>
      <c r="C69" s="90"/>
      <c r="D69" s="90"/>
      <c r="E69" s="90"/>
      <c r="F69" s="93" t="s">
        <v>317</v>
      </c>
      <c r="G69" s="93">
        <v>1986</v>
      </c>
      <c r="H69" s="325">
        <v>986052.31</v>
      </c>
      <c r="I69" s="93">
        <v>2021</v>
      </c>
      <c r="J69" s="325">
        <v>0</v>
      </c>
      <c r="K69" s="147"/>
      <c r="R69" s="3" t="s">
        <v>488</v>
      </c>
    </row>
    <row r="70" spans="2:18">
      <c r="B70" s="93" t="s">
        <v>616</v>
      </c>
      <c r="C70" s="90"/>
      <c r="D70" s="90"/>
      <c r="E70" s="90"/>
      <c r="F70" s="93" t="s">
        <v>317</v>
      </c>
      <c r="G70" s="93">
        <v>1988</v>
      </c>
      <c r="H70" s="325">
        <v>45049.48</v>
      </c>
      <c r="I70" s="93">
        <v>2021</v>
      </c>
      <c r="J70" s="325">
        <v>0</v>
      </c>
      <c r="K70" s="147"/>
      <c r="R70" s="3" t="s">
        <v>488</v>
      </c>
    </row>
    <row r="71" spans="2:18">
      <c r="B71" s="93" t="s">
        <v>617</v>
      </c>
      <c r="C71" s="90"/>
      <c r="D71" s="90"/>
      <c r="E71" s="90"/>
      <c r="F71" s="93" t="s">
        <v>311</v>
      </c>
      <c r="G71" s="93">
        <v>1969</v>
      </c>
      <c r="H71" s="325">
        <v>35732.019999999997</v>
      </c>
      <c r="I71" s="93">
        <v>2021</v>
      </c>
      <c r="J71" s="325">
        <v>192194.60406110552</v>
      </c>
      <c r="K71" s="147"/>
      <c r="R71" s="3" t="s">
        <v>488</v>
      </c>
    </row>
    <row r="72" spans="2:18">
      <c r="B72" s="93" t="s">
        <v>618</v>
      </c>
      <c r="C72" s="90"/>
      <c r="D72" s="90"/>
      <c r="E72" s="90"/>
      <c r="F72" s="93" t="s">
        <v>317</v>
      </c>
      <c r="G72" s="93">
        <v>1993</v>
      </c>
      <c r="H72" s="325">
        <v>4915025</v>
      </c>
      <c r="I72" s="93">
        <v>2021</v>
      </c>
      <c r="J72" s="325">
        <v>420683.7813984917</v>
      </c>
      <c r="K72" s="147"/>
      <c r="R72" s="3" t="s">
        <v>488</v>
      </c>
    </row>
    <row r="73" spans="2:18">
      <c r="B73" s="93" t="s">
        <v>619</v>
      </c>
      <c r="C73" s="90"/>
      <c r="D73" s="90"/>
      <c r="E73" s="90"/>
      <c r="F73" s="93" t="s">
        <v>311</v>
      </c>
      <c r="G73" s="93">
        <v>1990</v>
      </c>
      <c r="H73" s="325">
        <v>4936129.59</v>
      </c>
      <c r="I73" s="93">
        <v>2021</v>
      </c>
      <c r="J73" s="325">
        <v>9367389.4688880406</v>
      </c>
      <c r="K73" s="147"/>
      <c r="R73" s="3" t="s">
        <v>488</v>
      </c>
    </row>
    <row r="74" spans="2:18">
      <c r="B74" s="93" t="s">
        <v>620</v>
      </c>
      <c r="C74" s="90"/>
      <c r="D74" s="90"/>
      <c r="E74" s="90"/>
      <c r="F74" s="93" t="s">
        <v>322</v>
      </c>
      <c r="G74" s="93">
        <v>1994</v>
      </c>
      <c r="H74" s="325">
        <v>5646696.2199999997</v>
      </c>
      <c r="I74" s="93">
        <v>2021</v>
      </c>
      <c r="J74" s="325">
        <v>0</v>
      </c>
      <c r="K74" s="147"/>
      <c r="R74" s="3" t="s">
        <v>488</v>
      </c>
    </row>
    <row r="75" spans="2:18">
      <c r="B75" s="93" t="s">
        <v>621</v>
      </c>
      <c r="C75" s="90"/>
      <c r="D75" s="90"/>
      <c r="E75" s="90"/>
      <c r="F75" s="93" t="s">
        <v>317</v>
      </c>
      <c r="G75" s="93">
        <v>1994</v>
      </c>
      <c r="H75" s="325">
        <v>326095.09000000003</v>
      </c>
      <c r="I75" s="93">
        <v>2021</v>
      </c>
      <c r="J75" s="325">
        <v>45606.0937185246</v>
      </c>
      <c r="K75" s="147"/>
      <c r="R75" s="3" t="s">
        <v>488</v>
      </c>
    </row>
    <row r="76" spans="2:18">
      <c r="B76" s="93" t="s">
        <v>622</v>
      </c>
      <c r="C76" s="90"/>
      <c r="D76" s="90"/>
      <c r="E76" s="90"/>
      <c r="F76" s="93" t="s">
        <v>313</v>
      </c>
      <c r="G76" s="93">
        <v>1993</v>
      </c>
      <c r="H76" s="325">
        <v>174007.47</v>
      </c>
      <c r="I76" s="93">
        <v>2021</v>
      </c>
      <c r="J76" s="325">
        <v>0</v>
      </c>
      <c r="K76" s="147"/>
      <c r="R76" s="3" t="s">
        <v>488</v>
      </c>
    </row>
    <row r="77" spans="2:18">
      <c r="B77" s="93" t="s">
        <v>623</v>
      </c>
      <c r="C77" s="90"/>
      <c r="D77" s="90"/>
      <c r="E77" s="90"/>
      <c r="F77" s="93" t="s">
        <v>344</v>
      </c>
      <c r="G77" s="93">
        <v>1991</v>
      </c>
      <c r="H77" s="325">
        <v>475302.12</v>
      </c>
      <c r="I77" s="93">
        <v>2021</v>
      </c>
      <c r="J77" s="325">
        <v>0</v>
      </c>
      <c r="K77" s="147"/>
      <c r="R77" s="3" t="s">
        <v>488</v>
      </c>
    </row>
    <row r="78" spans="2:18">
      <c r="B78" s="93" t="s">
        <v>624</v>
      </c>
      <c r="C78" s="90"/>
      <c r="D78" s="90"/>
      <c r="E78" s="90"/>
      <c r="F78" s="93" t="s">
        <v>321</v>
      </c>
      <c r="G78" s="93">
        <v>1995</v>
      </c>
      <c r="H78" s="325">
        <v>365539.92999999993</v>
      </c>
      <c r="I78" s="93">
        <v>2021</v>
      </c>
      <c r="J78" s="325">
        <v>0</v>
      </c>
      <c r="K78" s="147"/>
      <c r="R78" s="3" t="s">
        <v>488</v>
      </c>
    </row>
    <row r="79" spans="2:18">
      <c r="B79" s="93" t="s">
        <v>625</v>
      </c>
      <c r="C79" s="90"/>
      <c r="D79" s="90"/>
      <c r="E79" s="90"/>
      <c r="F79" s="93" t="s">
        <v>321</v>
      </c>
      <c r="G79" s="93">
        <v>1994</v>
      </c>
      <c r="H79" s="325">
        <v>6615395.4499999993</v>
      </c>
      <c r="I79" s="93">
        <v>2021</v>
      </c>
      <c r="J79" s="325">
        <v>0</v>
      </c>
      <c r="K79" s="147"/>
      <c r="R79" s="3" t="s">
        <v>488</v>
      </c>
    </row>
    <row r="80" spans="2:18">
      <c r="B80" s="93" t="s">
        <v>626</v>
      </c>
      <c r="C80" s="90"/>
      <c r="D80" s="90"/>
      <c r="E80" s="90"/>
      <c r="F80" s="93" t="s">
        <v>344</v>
      </c>
      <c r="G80" s="93">
        <v>1998</v>
      </c>
      <c r="H80" s="325">
        <v>789493.11</v>
      </c>
      <c r="I80" s="93">
        <v>2021</v>
      </c>
      <c r="J80" s="325">
        <v>263672.8175889462</v>
      </c>
      <c r="K80" s="147"/>
      <c r="R80" s="3" t="s">
        <v>488</v>
      </c>
    </row>
    <row r="81" spans="2:18">
      <c r="B81" s="93" t="s">
        <v>627</v>
      </c>
      <c r="C81" s="90"/>
      <c r="D81" s="90"/>
      <c r="E81" s="90"/>
      <c r="F81" s="93" t="s">
        <v>344</v>
      </c>
      <c r="G81" s="93">
        <v>1995</v>
      </c>
      <c r="H81" s="325">
        <v>93310335.520000011</v>
      </c>
      <c r="I81" s="93">
        <v>2021</v>
      </c>
      <c r="J81" s="325">
        <v>17806929.596040629</v>
      </c>
      <c r="K81" s="147"/>
      <c r="R81" s="3" t="s">
        <v>488</v>
      </c>
    </row>
    <row r="82" spans="2:18">
      <c r="B82" s="93" t="s">
        <v>628</v>
      </c>
      <c r="C82" s="90"/>
      <c r="D82" s="90"/>
      <c r="E82" s="90"/>
      <c r="F82" s="93" t="s">
        <v>322</v>
      </c>
      <c r="G82" s="93">
        <v>1997</v>
      </c>
      <c r="H82" s="325">
        <v>3767.74</v>
      </c>
      <c r="I82" s="93">
        <v>2021</v>
      </c>
      <c r="J82" s="325">
        <v>0</v>
      </c>
      <c r="K82" s="147"/>
      <c r="R82" s="3" t="s">
        <v>488</v>
      </c>
    </row>
    <row r="83" spans="2:18">
      <c r="B83" s="93" t="s">
        <v>629</v>
      </c>
      <c r="C83" s="90"/>
      <c r="D83" s="90"/>
      <c r="E83" s="90"/>
      <c r="F83" s="93" t="s">
        <v>321</v>
      </c>
      <c r="G83" s="93">
        <v>2002</v>
      </c>
      <c r="H83" s="325">
        <v>257167.26</v>
      </c>
      <c r="I83" s="93">
        <v>2021</v>
      </c>
      <c r="J83" s="325">
        <v>0</v>
      </c>
      <c r="K83" s="147"/>
      <c r="R83" s="3" t="s">
        <v>488</v>
      </c>
    </row>
    <row r="84" spans="2:18">
      <c r="B84" s="93" t="s">
        <v>630</v>
      </c>
      <c r="C84" s="90"/>
      <c r="D84" s="90"/>
      <c r="E84" s="90"/>
      <c r="F84" s="93" t="s">
        <v>344</v>
      </c>
      <c r="G84" s="93">
        <v>1997</v>
      </c>
      <c r="H84" s="325">
        <v>9956.39</v>
      </c>
      <c r="I84" s="93">
        <v>2021</v>
      </c>
      <c r="J84" s="325">
        <v>2886.7927731398736</v>
      </c>
      <c r="K84" s="147"/>
      <c r="R84" s="3" t="s">
        <v>488</v>
      </c>
    </row>
    <row r="85" spans="2:18">
      <c r="B85" s="93" t="s">
        <v>631</v>
      </c>
      <c r="C85" s="90"/>
      <c r="D85" s="90"/>
      <c r="E85" s="90"/>
      <c r="F85" s="93" t="s">
        <v>322</v>
      </c>
      <c r="G85" s="93">
        <v>2002</v>
      </c>
      <c r="H85" s="325">
        <v>259859.76</v>
      </c>
      <c r="I85" s="93">
        <v>2021</v>
      </c>
      <c r="J85" s="325">
        <v>0</v>
      </c>
      <c r="K85" s="147"/>
      <c r="R85" s="3" t="s">
        <v>488</v>
      </c>
    </row>
    <row r="86" spans="2:18">
      <c r="B86" s="93" t="s">
        <v>632</v>
      </c>
      <c r="C86" s="90"/>
      <c r="D86" s="90"/>
      <c r="E86" s="90"/>
      <c r="F86" s="93" t="s">
        <v>361</v>
      </c>
      <c r="G86" s="93">
        <v>1998</v>
      </c>
      <c r="H86" s="325">
        <v>194674.43</v>
      </c>
      <c r="I86" s="93">
        <v>2021</v>
      </c>
      <c r="J86" s="325">
        <v>0</v>
      </c>
      <c r="K86" s="147"/>
      <c r="R86" s="3" t="s">
        <v>488</v>
      </c>
    </row>
    <row r="87" spans="2:18">
      <c r="B87" s="93" t="s">
        <v>633</v>
      </c>
      <c r="C87" s="90"/>
      <c r="D87" s="90"/>
      <c r="E87" s="90"/>
      <c r="F87" s="93" t="s">
        <v>332</v>
      </c>
      <c r="G87" s="93">
        <v>2000</v>
      </c>
      <c r="H87" s="325">
        <v>5437.76</v>
      </c>
      <c r="I87" s="93">
        <v>2021</v>
      </c>
      <c r="J87" s="325">
        <v>0</v>
      </c>
      <c r="K87" s="147"/>
      <c r="R87" s="3" t="s">
        <v>488</v>
      </c>
    </row>
    <row r="88" spans="2:18">
      <c r="B88" s="93" t="s">
        <v>634</v>
      </c>
      <c r="C88" s="90"/>
      <c r="D88" s="90"/>
      <c r="E88" s="90"/>
      <c r="F88" s="93" t="s">
        <v>322</v>
      </c>
      <c r="G88" s="93">
        <v>1998</v>
      </c>
      <c r="H88" s="325">
        <v>159402.09</v>
      </c>
      <c r="I88" s="93">
        <v>2021</v>
      </c>
      <c r="J88" s="325">
        <v>0</v>
      </c>
      <c r="K88" s="147"/>
      <c r="R88" s="3" t="s">
        <v>488</v>
      </c>
    </row>
    <row r="89" spans="2:18">
      <c r="B89" s="93" t="s">
        <v>635</v>
      </c>
      <c r="C89" s="90"/>
      <c r="D89" s="90"/>
      <c r="E89" s="90"/>
      <c r="F89" s="93" t="s">
        <v>321</v>
      </c>
      <c r="G89" s="93">
        <v>1998</v>
      </c>
      <c r="H89" s="325">
        <v>120568.99000000002</v>
      </c>
      <c r="I89" s="93">
        <v>2021</v>
      </c>
      <c r="J89" s="325">
        <v>0</v>
      </c>
      <c r="K89" s="147"/>
      <c r="R89" s="3" t="s">
        <v>488</v>
      </c>
    </row>
    <row r="90" spans="2:18">
      <c r="B90" s="93" t="s">
        <v>636</v>
      </c>
      <c r="C90" s="90"/>
      <c r="D90" s="90"/>
      <c r="E90" s="90"/>
      <c r="F90" s="93" t="s">
        <v>361</v>
      </c>
      <c r="G90" s="93">
        <v>2002</v>
      </c>
      <c r="H90" s="325">
        <v>342396.39</v>
      </c>
      <c r="I90" s="93">
        <v>2021</v>
      </c>
      <c r="J90" s="325">
        <v>0</v>
      </c>
      <c r="K90" s="147"/>
      <c r="R90" s="3" t="s">
        <v>488</v>
      </c>
    </row>
    <row r="91" spans="2:18">
      <c r="B91" s="93" t="s">
        <v>637</v>
      </c>
      <c r="C91" s="90"/>
      <c r="D91" s="90"/>
      <c r="E91" s="90"/>
      <c r="F91" s="93" t="s">
        <v>363</v>
      </c>
      <c r="G91" s="93">
        <v>2000</v>
      </c>
      <c r="H91" s="325">
        <v>717051.87</v>
      </c>
      <c r="I91" s="93">
        <v>2021</v>
      </c>
      <c r="J91" s="325">
        <v>0</v>
      </c>
      <c r="K91" s="147"/>
      <c r="R91" s="3" t="s">
        <v>488</v>
      </c>
    </row>
    <row r="92" spans="2:18">
      <c r="B92" s="93" t="s">
        <v>638</v>
      </c>
      <c r="C92" s="90"/>
      <c r="D92" s="90"/>
      <c r="E92" s="90"/>
      <c r="F92" s="93" t="s">
        <v>322</v>
      </c>
      <c r="G92" s="93">
        <v>1999</v>
      </c>
      <c r="H92" s="325">
        <v>64305.72</v>
      </c>
      <c r="I92" s="93">
        <v>2021</v>
      </c>
      <c r="J92" s="325">
        <v>0</v>
      </c>
      <c r="K92" s="147"/>
      <c r="R92" s="3" t="s">
        <v>488</v>
      </c>
    </row>
    <row r="93" spans="2:18">
      <c r="B93" s="93" t="s">
        <v>639</v>
      </c>
      <c r="C93" s="90"/>
      <c r="D93" s="90"/>
      <c r="E93" s="90"/>
      <c r="F93" s="93" t="s">
        <v>321</v>
      </c>
      <c r="G93" s="93">
        <v>1999</v>
      </c>
      <c r="H93" s="325">
        <v>41263.56</v>
      </c>
      <c r="I93" s="93">
        <v>2021</v>
      </c>
      <c r="J93" s="325">
        <v>0</v>
      </c>
      <c r="K93" s="147"/>
      <c r="R93" s="3" t="s">
        <v>488</v>
      </c>
    </row>
    <row r="94" spans="2:18">
      <c r="B94" s="93" t="s">
        <v>640</v>
      </c>
      <c r="C94" s="90"/>
      <c r="D94" s="90"/>
      <c r="E94" s="90"/>
      <c r="F94" s="93" t="s">
        <v>322</v>
      </c>
      <c r="G94" s="93">
        <v>2000</v>
      </c>
      <c r="H94" s="325">
        <v>5312.4</v>
      </c>
      <c r="I94" s="93">
        <v>2021</v>
      </c>
      <c r="J94" s="325">
        <v>0</v>
      </c>
      <c r="K94" s="147"/>
      <c r="R94" s="3" t="s">
        <v>488</v>
      </c>
    </row>
    <row r="95" spans="2:18">
      <c r="B95" s="93" t="s">
        <v>641</v>
      </c>
      <c r="C95" s="90"/>
      <c r="D95" s="90"/>
      <c r="E95" s="90"/>
      <c r="F95" s="93" t="s">
        <v>361</v>
      </c>
      <c r="G95" s="93">
        <v>2001</v>
      </c>
      <c r="H95" s="325">
        <v>1754908.7700000003</v>
      </c>
      <c r="I95" s="93">
        <v>2021</v>
      </c>
      <c r="J95" s="325">
        <v>0</v>
      </c>
      <c r="K95" s="147"/>
      <c r="R95" s="3" t="s">
        <v>488</v>
      </c>
    </row>
    <row r="96" spans="2:18">
      <c r="B96" s="93" t="s">
        <v>642</v>
      </c>
      <c r="C96" s="90"/>
      <c r="D96" s="90"/>
      <c r="E96" s="90"/>
      <c r="F96" s="93" t="s">
        <v>327</v>
      </c>
      <c r="G96" s="93">
        <v>2000</v>
      </c>
      <c r="H96" s="325">
        <v>86461.709999999992</v>
      </c>
      <c r="I96" s="93">
        <v>2021</v>
      </c>
      <c r="J96" s="325">
        <v>0</v>
      </c>
      <c r="K96" s="147"/>
      <c r="R96" s="3" t="s">
        <v>488</v>
      </c>
    </row>
    <row r="97" spans="2:18">
      <c r="B97" s="93" t="s">
        <v>643</v>
      </c>
      <c r="C97" s="90"/>
      <c r="D97" s="90"/>
      <c r="E97" s="90"/>
      <c r="F97" s="93" t="s">
        <v>332</v>
      </c>
      <c r="G97" s="93">
        <v>1998</v>
      </c>
      <c r="H97" s="325">
        <v>3630.24</v>
      </c>
      <c r="I97" s="93">
        <v>2021</v>
      </c>
      <c r="J97" s="325">
        <v>0</v>
      </c>
      <c r="K97" s="147"/>
      <c r="R97" s="3" t="s">
        <v>488</v>
      </c>
    </row>
    <row r="98" spans="2:18">
      <c r="B98" s="93" t="s">
        <v>644</v>
      </c>
      <c r="C98" s="90"/>
      <c r="D98" s="90"/>
      <c r="E98" s="90"/>
      <c r="F98" s="93" t="s">
        <v>361</v>
      </c>
      <c r="G98" s="93">
        <v>2000</v>
      </c>
      <c r="H98" s="325">
        <v>63690.75</v>
      </c>
      <c r="I98" s="93">
        <v>2021</v>
      </c>
      <c r="J98" s="325">
        <v>0</v>
      </c>
      <c r="K98" s="147"/>
      <c r="R98" s="3" t="s">
        <v>488</v>
      </c>
    </row>
    <row r="99" spans="2:18">
      <c r="B99" s="93" t="s">
        <v>645</v>
      </c>
      <c r="C99" s="90"/>
      <c r="D99" s="90"/>
      <c r="E99" s="90"/>
      <c r="F99" s="93" t="s">
        <v>321</v>
      </c>
      <c r="G99" s="93">
        <v>2000</v>
      </c>
      <c r="H99" s="325">
        <v>53314.77</v>
      </c>
      <c r="I99" s="93">
        <v>2021</v>
      </c>
      <c r="J99" s="325">
        <v>0</v>
      </c>
      <c r="K99" s="147"/>
      <c r="R99" s="3" t="s">
        <v>488</v>
      </c>
    </row>
    <row r="100" spans="2:18">
      <c r="B100" s="93" t="s">
        <v>646</v>
      </c>
      <c r="C100" s="90"/>
      <c r="D100" s="90"/>
      <c r="E100" s="90"/>
      <c r="F100" s="93" t="s">
        <v>334</v>
      </c>
      <c r="G100" s="93">
        <v>2000</v>
      </c>
      <c r="H100" s="325">
        <v>36334.86</v>
      </c>
      <c r="I100" s="93">
        <v>2021</v>
      </c>
      <c r="J100" s="325">
        <v>0</v>
      </c>
      <c r="K100" s="147"/>
      <c r="R100" s="3" t="s">
        <v>488</v>
      </c>
    </row>
    <row r="101" spans="2:18">
      <c r="B101" s="93" t="s">
        <v>647</v>
      </c>
      <c r="C101" s="90"/>
      <c r="D101" s="90"/>
      <c r="E101" s="90"/>
      <c r="F101" s="93" t="s">
        <v>317</v>
      </c>
      <c r="G101" s="93">
        <v>2000</v>
      </c>
      <c r="H101" s="325">
        <v>61022.52</v>
      </c>
      <c r="I101" s="93">
        <v>2021</v>
      </c>
      <c r="J101" s="325">
        <v>25541.383007029126</v>
      </c>
      <c r="K101" s="147"/>
      <c r="R101" s="3" t="s">
        <v>488</v>
      </c>
    </row>
    <row r="102" spans="2:18">
      <c r="B102" s="93" t="s">
        <v>648</v>
      </c>
      <c r="C102" s="90"/>
      <c r="D102" s="90"/>
      <c r="E102" s="90"/>
      <c r="F102" s="93" t="s">
        <v>327</v>
      </c>
      <c r="G102" s="93">
        <v>2001</v>
      </c>
      <c r="H102" s="325">
        <v>11928.48</v>
      </c>
      <c r="I102" s="93">
        <v>2021</v>
      </c>
      <c r="J102" s="325">
        <v>0</v>
      </c>
      <c r="K102" s="147"/>
      <c r="R102" s="3" t="s">
        <v>488</v>
      </c>
    </row>
    <row r="103" spans="2:18">
      <c r="B103" s="93" t="s">
        <v>649</v>
      </c>
      <c r="C103" s="90"/>
      <c r="D103" s="90"/>
      <c r="E103" s="90"/>
      <c r="F103" s="93" t="s">
        <v>334</v>
      </c>
      <c r="G103" s="93">
        <v>2001</v>
      </c>
      <c r="H103" s="325">
        <v>70639.289999999994</v>
      </c>
      <c r="I103" s="93">
        <v>2021</v>
      </c>
      <c r="J103" s="325">
        <v>0</v>
      </c>
      <c r="K103" s="147"/>
      <c r="R103" s="3" t="s">
        <v>488</v>
      </c>
    </row>
    <row r="104" spans="2:18">
      <c r="B104" s="93" t="s">
        <v>650</v>
      </c>
      <c r="C104" s="90"/>
      <c r="D104" s="90"/>
      <c r="E104" s="90"/>
      <c r="F104" s="93" t="s">
        <v>322</v>
      </c>
      <c r="G104" s="93">
        <v>2001</v>
      </c>
      <c r="H104" s="325">
        <v>55051.729999999996</v>
      </c>
      <c r="I104" s="93">
        <v>2021</v>
      </c>
      <c r="J104" s="325">
        <v>0</v>
      </c>
      <c r="K104" s="147"/>
      <c r="R104" s="3" t="s">
        <v>488</v>
      </c>
    </row>
    <row r="105" spans="2:18">
      <c r="B105" s="93" t="s">
        <v>651</v>
      </c>
      <c r="C105" s="90"/>
      <c r="D105" s="90"/>
      <c r="E105" s="90"/>
      <c r="F105" s="93" t="s">
        <v>323</v>
      </c>
      <c r="G105" s="93">
        <v>2002</v>
      </c>
      <c r="H105" s="325">
        <v>26546</v>
      </c>
      <c r="I105" s="93">
        <v>2021</v>
      </c>
      <c r="J105" s="325">
        <v>0</v>
      </c>
      <c r="K105" s="147"/>
      <c r="R105" s="3" t="s">
        <v>488</v>
      </c>
    </row>
    <row r="106" spans="2:18">
      <c r="B106" s="93" t="s">
        <v>652</v>
      </c>
      <c r="C106" s="90"/>
      <c r="D106" s="90"/>
      <c r="E106" s="90"/>
      <c r="F106" s="93" t="s">
        <v>310</v>
      </c>
      <c r="G106" s="93">
        <v>2001</v>
      </c>
      <c r="H106" s="325">
        <v>16968.61</v>
      </c>
      <c r="I106" s="93">
        <v>2021</v>
      </c>
      <c r="J106" s="325">
        <v>0</v>
      </c>
      <c r="K106" s="147"/>
      <c r="R106" s="3" t="s">
        <v>488</v>
      </c>
    </row>
    <row r="107" spans="2:18">
      <c r="B107" s="93" t="s">
        <v>653</v>
      </c>
      <c r="C107" s="90"/>
      <c r="D107" s="90"/>
      <c r="E107" s="90"/>
      <c r="F107" s="93" t="s">
        <v>321</v>
      </c>
      <c r="G107" s="93">
        <v>2001</v>
      </c>
      <c r="H107" s="325">
        <v>7752.83</v>
      </c>
      <c r="I107" s="93">
        <v>2021</v>
      </c>
      <c r="J107" s="325">
        <v>0</v>
      </c>
      <c r="K107" s="147"/>
      <c r="R107" s="3" t="s">
        <v>488</v>
      </c>
    </row>
    <row r="108" spans="2:18">
      <c r="B108" s="93" t="s">
        <v>654</v>
      </c>
      <c r="C108" s="90"/>
      <c r="D108" s="90"/>
      <c r="E108" s="90"/>
      <c r="F108" s="93" t="s">
        <v>363</v>
      </c>
      <c r="G108" s="93">
        <v>2001</v>
      </c>
      <c r="H108" s="325">
        <v>757040.92</v>
      </c>
      <c r="I108" s="93">
        <v>2021</v>
      </c>
      <c r="J108" s="325">
        <v>0</v>
      </c>
      <c r="K108" s="147"/>
      <c r="R108" s="3" t="s">
        <v>488</v>
      </c>
    </row>
    <row r="109" spans="2:18">
      <c r="B109" s="93" t="s">
        <v>655</v>
      </c>
      <c r="C109" s="90"/>
      <c r="D109" s="90"/>
      <c r="E109" s="90"/>
      <c r="F109" s="93" t="s">
        <v>332</v>
      </c>
      <c r="G109" s="93">
        <v>2001</v>
      </c>
      <c r="H109" s="325">
        <v>2746.92</v>
      </c>
      <c r="I109" s="93">
        <v>2021</v>
      </c>
      <c r="J109" s="325">
        <v>0</v>
      </c>
      <c r="K109" s="147"/>
      <c r="R109" s="3" t="s">
        <v>488</v>
      </c>
    </row>
    <row r="110" spans="2:18">
      <c r="B110" s="93" t="s">
        <v>656</v>
      </c>
      <c r="C110" s="90"/>
      <c r="D110" s="90"/>
      <c r="E110" s="90"/>
      <c r="F110" s="93" t="s">
        <v>327</v>
      </c>
      <c r="G110" s="93">
        <v>2002</v>
      </c>
      <c r="H110" s="325">
        <v>108571.05</v>
      </c>
      <c r="I110" s="93">
        <v>2021</v>
      </c>
      <c r="J110" s="325">
        <v>0</v>
      </c>
      <c r="K110" s="147"/>
      <c r="R110" s="3" t="s">
        <v>488</v>
      </c>
    </row>
    <row r="111" spans="2:18">
      <c r="B111" s="93" t="s">
        <v>657</v>
      </c>
      <c r="C111" s="90"/>
      <c r="D111" s="90"/>
      <c r="E111" s="90"/>
      <c r="F111" s="93" t="s">
        <v>363</v>
      </c>
      <c r="G111" s="93">
        <v>2002</v>
      </c>
      <c r="H111" s="325">
        <v>27589.78</v>
      </c>
      <c r="I111" s="93">
        <v>2021</v>
      </c>
      <c r="J111" s="325">
        <v>0</v>
      </c>
      <c r="K111" s="147"/>
      <c r="R111" s="3" t="s">
        <v>488</v>
      </c>
    </row>
    <row r="112" spans="2:18">
      <c r="B112" s="93" t="s">
        <v>658</v>
      </c>
      <c r="C112" s="90"/>
      <c r="D112" s="90"/>
      <c r="E112" s="90"/>
      <c r="F112" s="93" t="s">
        <v>334</v>
      </c>
      <c r="G112" s="93">
        <v>2002</v>
      </c>
      <c r="H112" s="325">
        <v>7905</v>
      </c>
      <c r="I112" s="93">
        <v>2021</v>
      </c>
      <c r="J112" s="325">
        <v>0</v>
      </c>
      <c r="K112" s="147"/>
      <c r="R112" s="3" t="s">
        <v>488</v>
      </c>
    </row>
    <row r="113" spans="2:18">
      <c r="B113" s="93" t="s">
        <v>659</v>
      </c>
      <c r="C113" s="90"/>
      <c r="D113" s="90"/>
      <c r="E113" s="90"/>
      <c r="F113" s="93" t="s">
        <v>332</v>
      </c>
      <c r="G113" s="93">
        <v>2002</v>
      </c>
      <c r="H113" s="325">
        <v>1243</v>
      </c>
      <c r="I113" s="93">
        <v>2021</v>
      </c>
      <c r="J113" s="325">
        <v>0</v>
      </c>
      <c r="K113" s="147"/>
      <c r="R113" s="3" t="s">
        <v>488</v>
      </c>
    </row>
    <row r="114" spans="2:18">
      <c r="B114" s="93" t="s">
        <v>660</v>
      </c>
      <c r="C114" s="90"/>
      <c r="D114" s="90"/>
      <c r="E114" s="90"/>
      <c r="F114" s="93" t="s">
        <v>317</v>
      </c>
      <c r="G114" s="93">
        <v>2002</v>
      </c>
      <c r="H114" s="325">
        <v>68637.27</v>
      </c>
      <c r="I114" s="93">
        <v>2021</v>
      </c>
      <c r="J114" s="325">
        <v>33068.469795601901</v>
      </c>
      <c r="K114" s="147"/>
      <c r="R114" s="3" t="s">
        <v>488</v>
      </c>
    </row>
    <row r="115" spans="2:18">
      <c r="B115" s="93" t="s">
        <v>661</v>
      </c>
      <c r="C115" s="90"/>
      <c r="D115" s="90"/>
      <c r="E115" s="90"/>
      <c r="F115" s="93" t="s">
        <v>322</v>
      </c>
      <c r="G115" s="93">
        <v>2003</v>
      </c>
      <c r="H115" s="325">
        <v>108222.26</v>
      </c>
      <c r="I115" s="93">
        <v>2021</v>
      </c>
      <c r="J115" s="325">
        <v>0</v>
      </c>
      <c r="K115" s="147"/>
      <c r="R115" s="3" t="s">
        <v>488</v>
      </c>
    </row>
    <row r="116" spans="2:18">
      <c r="B116" s="93" t="s">
        <v>662</v>
      </c>
      <c r="C116" s="90"/>
      <c r="D116" s="90"/>
      <c r="E116" s="90"/>
      <c r="F116" s="93" t="s">
        <v>327</v>
      </c>
      <c r="G116" s="93">
        <v>2003</v>
      </c>
      <c r="H116" s="325">
        <v>135681.9</v>
      </c>
      <c r="I116" s="93">
        <v>2021</v>
      </c>
      <c r="J116" s="325">
        <v>0</v>
      </c>
      <c r="K116" s="147"/>
      <c r="R116" s="3" t="s">
        <v>488</v>
      </c>
    </row>
    <row r="117" spans="2:18">
      <c r="B117" s="93" t="s">
        <v>663</v>
      </c>
      <c r="C117" s="90"/>
      <c r="D117" s="90"/>
      <c r="E117" s="90"/>
      <c r="F117" s="93" t="s">
        <v>361</v>
      </c>
      <c r="G117" s="93">
        <v>2003</v>
      </c>
      <c r="H117" s="325">
        <v>869353.66999999993</v>
      </c>
      <c r="I117" s="93">
        <v>2021</v>
      </c>
      <c r="J117" s="325">
        <v>0</v>
      </c>
      <c r="K117" s="147"/>
      <c r="R117" s="3" t="s">
        <v>488</v>
      </c>
    </row>
    <row r="118" spans="2:18">
      <c r="B118" s="93" t="s">
        <v>664</v>
      </c>
      <c r="C118" s="90"/>
      <c r="D118" s="90"/>
      <c r="E118" s="90"/>
      <c r="F118" s="93" t="s">
        <v>363</v>
      </c>
      <c r="G118" s="93">
        <v>2003</v>
      </c>
      <c r="H118" s="325">
        <v>1210667.97</v>
      </c>
      <c r="I118" s="93">
        <v>2021</v>
      </c>
      <c r="J118" s="325">
        <v>0</v>
      </c>
      <c r="K118" s="147"/>
      <c r="R118" s="3" t="s">
        <v>488</v>
      </c>
    </row>
    <row r="119" spans="2:18">
      <c r="B119" s="93" t="s">
        <v>665</v>
      </c>
      <c r="C119" s="90"/>
      <c r="D119" s="90"/>
      <c r="E119" s="90"/>
      <c r="F119" s="93" t="s">
        <v>323</v>
      </c>
      <c r="G119" s="93">
        <v>2003</v>
      </c>
      <c r="H119" s="325">
        <v>62325</v>
      </c>
      <c r="I119" s="93">
        <v>2021</v>
      </c>
      <c r="J119" s="325">
        <v>0</v>
      </c>
      <c r="K119" s="147"/>
      <c r="R119" s="3" t="s">
        <v>488</v>
      </c>
    </row>
    <row r="120" spans="2:18">
      <c r="B120" s="93" t="s">
        <v>666</v>
      </c>
      <c r="C120" s="90"/>
      <c r="D120" s="90"/>
      <c r="E120" s="90"/>
      <c r="F120" s="93" t="s">
        <v>317</v>
      </c>
      <c r="G120" s="93">
        <v>2003</v>
      </c>
      <c r="H120" s="325">
        <v>206366.74</v>
      </c>
      <c r="I120" s="93">
        <v>2021</v>
      </c>
      <c r="J120" s="325">
        <v>105414.90479883776</v>
      </c>
      <c r="K120" s="147"/>
      <c r="R120" s="3" t="s">
        <v>488</v>
      </c>
    </row>
    <row r="121" spans="2:18">
      <c r="B121" s="93" t="s">
        <v>667</v>
      </c>
      <c r="C121" s="90"/>
      <c r="D121" s="90"/>
      <c r="E121" s="90"/>
      <c r="F121" s="93" t="s">
        <v>332</v>
      </c>
      <c r="G121" s="93">
        <v>2003</v>
      </c>
      <c r="H121" s="325">
        <v>1830.54</v>
      </c>
      <c r="I121" s="93">
        <v>2021</v>
      </c>
      <c r="J121" s="325">
        <v>0</v>
      </c>
      <c r="K121" s="147"/>
      <c r="R121" s="3" t="s">
        <v>488</v>
      </c>
    </row>
    <row r="122" spans="2:18">
      <c r="B122" s="93" t="s">
        <v>668</v>
      </c>
      <c r="C122" s="90"/>
      <c r="D122" s="90"/>
      <c r="E122" s="90"/>
      <c r="F122" s="93" t="s">
        <v>361</v>
      </c>
      <c r="G122" s="93">
        <v>2004</v>
      </c>
      <c r="H122" s="325">
        <v>2583848.4300000002</v>
      </c>
      <c r="I122" s="93">
        <v>2021</v>
      </c>
      <c r="J122" s="325">
        <v>0</v>
      </c>
      <c r="K122" s="147"/>
      <c r="R122" s="3" t="s">
        <v>488</v>
      </c>
    </row>
    <row r="123" spans="2:18">
      <c r="B123" s="93" t="s">
        <v>669</v>
      </c>
      <c r="C123" s="90"/>
      <c r="D123" s="90"/>
      <c r="E123" s="90"/>
      <c r="F123" s="93" t="s">
        <v>363</v>
      </c>
      <c r="G123" s="93">
        <v>2004</v>
      </c>
      <c r="H123" s="325">
        <v>263122.5</v>
      </c>
      <c r="I123" s="93">
        <v>2021</v>
      </c>
      <c r="J123" s="325">
        <v>0</v>
      </c>
      <c r="K123" s="147"/>
      <c r="R123" s="3" t="s">
        <v>488</v>
      </c>
    </row>
    <row r="124" spans="2:18">
      <c r="B124" s="93" t="s">
        <v>670</v>
      </c>
      <c r="C124" s="90"/>
      <c r="D124" s="90"/>
      <c r="E124" s="90"/>
      <c r="F124" s="93" t="s">
        <v>322</v>
      </c>
      <c r="G124" s="93">
        <v>2004</v>
      </c>
      <c r="H124" s="325">
        <v>142655</v>
      </c>
      <c r="I124" s="93">
        <v>2021</v>
      </c>
      <c r="J124" s="325">
        <v>0</v>
      </c>
      <c r="K124" s="147"/>
      <c r="R124" s="3" t="s">
        <v>488</v>
      </c>
    </row>
    <row r="125" spans="2:18">
      <c r="B125" s="93" t="s">
        <v>671</v>
      </c>
      <c r="C125" s="90"/>
      <c r="D125" s="90"/>
      <c r="E125" s="90"/>
      <c r="F125" s="93" t="s">
        <v>327</v>
      </c>
      <c r="G125" s="93">
        <v>2004</v>
      </c>
      <c r="H125" s="325">
        <v>77020.09</v>
      </c>
      <c r="I125" s="93">
        <v>2021</v>
      </c>
      <c r="J125" s="325">
        <v>0</v>
      </c>
      <c r="K125" s="147"/>
      <c r="R125" s="3" t="s">
        <v>488</v>
      </c>
    </row>
    <row r="126" spans="2:18">
      <c r="B126" s="93" t="s">
        <v>672</v>
      </c>
      <c r="C126" s="90"/>
      <c r="D126" s="90"/>
      <c r="E126" s="90"/>
      <c r="F126" s="93" t="s">
        <v>334</v>
      </c>
      <c r="G126" s="93">
        <v>2004</v>
      </c>
      <c r="H126" s="325">
        <v>195332.07</v>
      </c>
      <c r="I126" s="93">
        <v>2021</v>
      </c>
      <c r="J126" s="325">
        <v>0</v>
      </c>
      <c r="K126" s="147"/>
      <c r="R126" s="3" t="s">
        <v>488</v>
      </c>
    </row>
    <row r="127" spans="2:18">
      <c r="B127" s="93" t="s">
        <v>673</v>
      </c>
      <c r="C127" s="90"/>
      <c r="D127" s="90"/>
      <c r="E127" s="90"/>
      <c r="F127" s="93" t="s">
        <v>332</v>
      </c>
      <c r="G127" s="93">
        <v>2004</v>
      </c>
      <c r="H127" s="325">
        <v>1265</v>
      </c>
      <c r="I127" s="93">
        <v>2021</v>
      </c>
      <c r="J127" s="325">
        <v>0</v>
      </c>
      <c r="K127" s="147"/>
      <c r="R127" s="3" t="s">
        <v>488</v>
      </c>
    </row>
    <row r="128" spans="2:18">
      <c r="B128" s="93" t="s">
        <v>674</v>
      </c>
      <c r="C128" s="90"/>
      <c r="D128" s="90"/>
      <c r="E128" s="90"/>
      <c r="F128" s="93" t="s">
        <v>321</v>
      </c>
      <c r="G128" s="93">
        <v>2004</v>
      </c>
      <c r="H128" s="325">
        <v>62865.23</v>
      </c>
      <c r="I128" s="93">
        <v>2021</v>
      </c>
      <c r="J128" s="325">
        <v>0</v>
      </c>
      <c r="K128" s="147"/>
      <c r="R128" s="3" t="s">
        <v>488</v>
      </c>
    </row>
    <row r="129" spans="2:18">
      <c r="B129" s="93" t="s">
        <v>675</v>
      </c>
      <c r="C129" s="90"/>
      <c r="D129" s="90"/>
      <c r="E129" s="90"/>
      <c r="F129" s="93" t="s">
        <v>331</v>
      </c>
      <c r="G129" s="93">
        <v>2004</v>
      </c>
      <c r="H129" s="325">
        <v>47369.03</v>
      </c>
      <c r="I129" s="93">
        <v>2021</v>
      </c>
      <c r="J129" s="325">
        <v>0</v>
      </c>
      <c r="K129" s="147"/>
      <c r="R129" s="3" t="s">
        <v>488</v>
      </c>
    </row>
    <row r="130" spans="2:18">
      <c r="B130" s="93" t="s">
        <v>676</v>
      </c>
      <c r="C130" s="90"/>
      <c r="D130" s="90"/>
      <c r="E130" s="90"/>
      <c r="F130" s="93" t="s">
        <v>317</v>
      </c>
      <c r="G130" s="93">
        <v>2005</v>
      </c>
      <c r="H130" s="325">
        <v>13716.41</v>
      </c>
      <c r="I130" s="93">
        <v>2021</v>
      </c>
      <c r="J130" s="325">
        <v>7968.2289834864932</v>
      </c>
      <c r="K130" s="147"/>
      <c r="R130" s="3" t="s">
        <v>488</v>
      </c>
    </row>
    <row r="131" spans="2:18">
      <c r="B131" s="93" t="s">
        <v>677</v>
      </c>
      <c r="C131" s="90"/>
      <c r="D131" s="90"/>
      <c r="E131" s="90"/>
      <c r="F131" s="93" t="s">
        <v>332</v>
      </c>
      <c r="G131" s="93">
        <v>2005</v>
      </c>
      <c r="H131" s="325">
        <v>5690.5</v>
      </c>
      <c r="I131" s="93">
        <v>2021</v>
      </c>
      <c r="J131" s="325">
        <v>0</v>
      </c>
      <c r="K131" s="147"/>
      <c r="R131" s="3" t="s">
        <v>488</v>
      </c>
    </row>
    <row r="132" spans="2:18">
      <c r="B132" s="93" t="s">
        <v>678</v>
      </c>
      <c r="C132" s="90"/>
      <c r="D132" s="90"/>
      <c r="E132" s="90"/>
      <c r="F132" s="93" t="s">
        <v>321</v>
      </c>
      <c r="G132" s="93">
        <v>2005</v>
      </c>
      <c r="H132" s="325">
        <v>149702.98000000001</v>
      </c>
      <c r="I132" s="93">
        <v>2021</v>
      </c>
      <c r="J132" s="325">
        <v>0</v>
      </c>
      <c r="K132" s="147"/>
      <c r="R132" s="3" t="s">
        <v>488</v>
      </c>
    </row>
    <row r="133" spans="2:18">
      <c r="B133" s="93" t="s">
        <v>679</v>
      </c>
      <c r="C133" s="90"/>
      <c r="D133" s="90"/>
      <c r="E133" s="90"/>
      <c r="F133" s="93" t="s">
        <v>331</v>
      </c>
      <c r="G133" s="93">
        <v>2005</v>
      </c>
      <c r="H133" s="325">
        <v>144500</v>
      </c>
      <c r="I133" s="93">
        <v>2021</v>
      </c>
      <c r="J133" s="325">
        <v>0</v>
      </c>
      <c r="K133" s="147"/>
      <c r="R133" s="3" t="s">
        <v>488</v>
      </c>
    </row>
    <row r="134" spans="2:18">
      <c r="B134" s="93" t="s">
        <v>680</v>
      </c>
      <c r="C134" s="90"/>
      <c r="D134" s="90"/>
      <c r="E134" s="90"/>
      <c r="F134" s="93" t="s">
        <v>322</v>
      </c>
      <c r="G134" s="93">
        <v>2005</v>
      </c>
      <c r="H134" s="325">
        <v>22500</v>
      </c>
      <c r="I134" s="93">
        <v>2021</v>
      </c>
      <c r="J134" s="325">
        <v>0</v>
      </c>
      <c r="K134" s="147"/>
      <c r="R134" s="3" t="s">
        <v>488</v>
      </c>
    </row>
    <row r="135" spans="2:18">
      <c r="B135" s="93" t="s">
        <v>681</v>
      </c>
      <c r="C135" s="90"/>
      <c r="D135" s="90"/>
      <c r="E135" s="90"/>
      <c r="F135" s="93" t="s">
        <v>334</v>
      </c>
      <c r="G135" s="93">
        <v>2006</v>
      </c>
      <c r="H135" s="325">
        <v>23374</v>
      </c>
      <c r="I135" s="93">
        <v>2021</v>
      </c>
      <c r="J135" s="325">
        <v>0</v>
      </c>
      <c r="K135" s="147"/>
      <c r="R135" s="3" t="s">
        <v>488</v>
      </c>
    </row>
    <row r="136" spans="2:18">
      <c r="B136" s="93" t="s">
        <v>682</v>
      </c>
      <c r="C136" s="90"/>
      <c r="D136" s="90"/>
      <c r="E136" s="90"/>
      <c r="F136" s="93" t="s">
        <v>317</v>
      </c>
      <c r="G136" s="93">
        <v>2006</v>
      </c>
      <c r="H136" s="325">
        <v>216791.4</v>
      </c>
      <c r="I136" s="93">
        <v>2021</v>
      </c>
      <c r="J136" s="325">
        <v>132877.0119526372</v>
      </c>
      <c r="K136" s="147"/>
      <c r="R136" s="3" t="s">
        <v>488</v>
      </c>
    </row>
    <row r="137" spans="2:18">
      <c r="B137" s="93" t="s">
        <v>683</v>
      </c>
      <c r="C137" s="90"/>
      <c r="D137" s="90"/>
      <c r="E137" s="90"/>
      <c r="F137" s="93" t="s">
        <v>327</v>
      </c>
      <c r="G137" s="93">
        <v>2006</v>
      </c>
      <c r="H137" s="325">
        <v>39984.959999999999</v>
      </c>
      <c r="I137" s="93">
        <v>2021</v>
      </c>
      <c r="J137" s="325">
        <v>0</v>
      </c>
      <c r="K137" s="147"/>
      <c r="R137" s="3" t="s">
        <v>488</v>
      </c>
    </row>
    <row r="138" spans="2:18">
      <c r="B138" s="93" t="s">
        <v>684</v>
      </c>
      <c r="C138" s="90"/>
      <c r="D138" s="90"/>
      <c r="E138" s="90"/>
      <c r="F138" s="93" t="s">
        <v>317</v>
      </c>
      <c r="G138" s="93">
        <v>2007</v>
      </c>
      <c r="H138" s="325">
        <v>25858.771191949236</v>
      </c>
      <c r="I138" s="93">
        <v>2021</v>
      </c>
      <c r="J138" s="325">
        <v>16708.652536273155</v>
      </c>
      <c r="K138" s="147"/>
      <c r="R138" s="3" t="s">
        <v>488</v>
      </c>
    </row>
    <row r="139" spans="2:18">
      <c r="B139" s="93" t="s">
        <v>685</v>
      </c>
      <c r="C139" s="90"/>
      <c r="D139" s="90"/>
      <c r="E139" s="90"/>
      <c r="F139" s="93" t="s">
        <v>327</v>
      </c>
      <c r="G139" s="93">
        <v>2007</v>
      </c>
      <c r="H139" s="325">
        <v>1088351.8199999998</v>
      </c>
      <c r="I139" s="93">
        <v>2021</v>
      </c>
      <c r="J139" s="325">
        <v>0</v>
      </c>
      <c r="K139" s="147"/>
      <c r="R139" s="3" t="s">
        <v>488</v>
      </c>
    </row>
    <row r="140" spans="2:18">
      <c r="B140" s="93" t="s">
        <v>686</v>
      </c>
      <c r="C140" s="90"/>
      <c r="D140" s="90"/>
      <c r="E140" s="90"/>
      <c r="F140" s="93" t="s">
        <v>334</v>
      </c>
      <c r="G140" s="93">
        <v>2007</v>
      </c>
      <c r="H140" s="325">
        <v>661943.85</v>
      </c>
      <c r="I140" s="93">
        <v>2021</v>
      </c>
      <c r="J140" s="325">
        <v>0</v>
      </c>
      <c r="K140" s="147"/>
      <c r="R140" s="3" t="s">
        <v>488</v>
      </c>
    </row>
    <row r="141" spans="2:18">
      <c r="B141" s="93" t="s">
        <v>687</v>
      </c>
      <c r="C141" s="90"/>
      <c r="D141" s="90"/>
      <c r="E141" s="90"/>
      <c r="F141" s="93" t="s">
        <v>331</v>
      </c>
      <c r="G141" s="93">
        <v>2007</v>
      </c>
      <c r="H141" s="325">
        <v>154091.65000000002</v>
      </c>
      <c r="I141" s="93">
        <v>2021</v>
      </c>
      <c r="J141" s="325">
        <v>0</v>
      </c>
      <c r="K141" s="147"/>
      <c r="R141" s="3" t="s">
        <v>488</v>
      </c>
    </row>
    <row r="142" spans="2:18">
      <c r="B142" s="93" t="s">
        <v>688</v>
      </c>
      <c r="C142" s="90"/>
      <c r="D142" s="90"/>
      <c r="E142" s="90"/>
      <c r="F142" s="93" t="s">
        <v>313</v>
      </c>
      <c r="G142" s="93">
        <v>2007</v>
      </c>
      <c r="H142" s="325">
        <v>79744.08</v>
      </c>
      <c r="I142" s="93">
        <v>2021</v>
      </c>
      <c r="J142" s="325">
        <v>0</v>
      </c>
      <c r="K142" s="147"/>
      <c r="R142" s="3" t="s">
        <v>488</v>
      </c>
    </row>
    <row r="143" spans="2:18">
      <c r="B143" s="93" t="s">
        <v>689</v>
      </c>
      <c r="C143" s="90"/>
      <c r="D143" s="90"/>
      <c r="E143" s="90"/>
      <c r="F143" s="93" t="s">
        <v>344</v>
      </c>
      <c r="G143" s="93">
        <v>2008</v>
      </c>
      <c r="H143" s="325">
        <v>4978200.5000000009</v>
      </c>
      <c r="I143" s="93">
        <v>2021</v>
      </c>
      <c r="J143" s="325">
        <v>3386936.2239016104</v>
      </c>
      <c r="K143" s="147"/>
      <c r="R143" s="3" t="s">
        <v>488</v>
      </c>
    </row>
    <row r="144" spans="2:18">
      <c r="B144" s="93" t="s">
        <v>690</v>
      </c>
      <c r="C144" s="90"/>
      <c r="D144" s="90"/>
      <c r="E144" s="90"/>
      <c r="F144" s="93" t="s">
        <v>317</v>
      </c>
      <c r="G144" s="93">
        <v>2008</v>
      </c>
      <c r="H144" s="325">
        <v>233293.04544821067</v>
      </c>
      <c r="I144" s="93">
        <v>2021</v>
      </c>
      <c r="J144" s="325">
        <v>158721.74421517763</v>
      </c>
      <c r="K144" s="147"/>
      <c r="R144" s="3" t="s">
        <v>488</v>
      </c>
    </row>
    <row r="145" spans="2:18">
      <c r="B145" s="93" t="s">
        <v>691</v>
      </c>
      <c r="C145" s="90"/>
      <c r="D145" s="90"/>
      <c r="E145" s="90"/>
      <c r="F145" s="93" t="s">
        <v>323</v>
      </c>
      <c r="G145" s="93">
        <v>2008</v>
      </c>
      <c r="H145" s="325">
        <v>178157.88</v>
      </c>
      <c r="I145" s="93">
        <v>2021</v>
      </c>
      <c r="J145" s="325">
        <v>0</v>
      </c>
      <c r="K145" s="147"/>
      <c r="R145" s="3" t="s">
        <v>488</v>
      </c>
    </row>
    <row r="146" spans="2:18">
      <c r="B146" s="93" t="s">
        <v>692</v>
      </c>
      <c r="C146" s="90"/>
      <c r="D146" s="90"/>
      <c r="E146" s="90"/>
      <c r="F146" s="93" t="s">
        <v>334</v>
      </c>
      <c r="G146" s="93">
        <v>2008</v>
      </c>
      <c r="H146" s="325">
        <v>1299449.8500000001</v>
      </c>
      <c r="I146" s="93">
        <v>2021</v>
      </c>
      <c r="J146" s="325">
        <v>0</v>
      </c>
      <c r="K146" s="147"/>
      <c r="R146" s="3" t="s">
        <v>488</v>
      </c>
    </row>
    <row r="147" spans="2:18">
      <c r="B147" s="93" t="s">
        <v>693</v>
      </c>
      <c r="C147" s="90"/>
      <c r="D147" s="90"/>
      <c r="E147" s="90"/>
      <c r="F147" s="93" t="s">
        <v>363</v>
      </c>
      <c r="G147" s="93">
        <v>2008</v>
      </c>
      <c r="H147" s="325">
        <v>8310.1200000000008</v>
      </c>
      <c r="I147" s="93">
        <v>2021</v>
      </c>
      <c r="J147" s="325">
        <v>0</v>
      </c>
      <c r="K147" s="147"/>
      <c r="R147" s="3" t="s">
        <v>488</v>
      </c>
    </row>
    <row r="148" spans="2:18">
      <c r="B148" s="93" t="s">
        <v>694</v>
      </c>
      <c r="C148" s="90"/>
      <c r="D148" s="90"/>
      <c r="E148" s="90"/>
      <c r="F148" s="93" t="s">
        <v>327</v>
      </c>
      <c r="G148" s="93">
        <v>2008</v>
      </c>
      <c r="H148" s="325">
        <v>427546.18</v>
      </c>
      <c r="I148" s="93">
        <v>2021</v>
      </c>
      <c r="J148" s="325">
        <v>0</v>
      </c>
      <c r="K148" s="147"/>
      <c r="R148" s="3" t="s">
        <v>488</v>
      </c>
    </row>
    <row r="149" spans="2:18">
      <c r="B149" s="93" t="s">
        <v>695</v>
      </c>
      <c r="C149" s="90"/>
      <c r="D149" s="90"/>
      <c r="E149" s="90"/>
      <c r="F149" s="93" t="s">
        <v>321</v>
      </c>
      <c r="G149" s="93">
        <v>2008</v>
      </c>
      <c r="H149" s="325">
        <v>1194171.3899999999</v>
      </c>
      <c r="I149" s="93">
        <v>2021</v>
      </c>
      <c r="J149" s="325">
        <v>0</v>
      </c>
      <c r="K149" s="147"/>
      <c r="R149" s="3" t="s">
        <v>488</v>
      </c>
    </row>
    <row r="150" spans="2:18">
      <c r="B150" s="93" t="s">
        <v>696</v>
      </c>
      <c r="C150" s="90"/>
      <c r="D150" s="90"/>
      <c r="E150" s="90"/>
      <c r="F150" s="93" t="s">
        <v>321</v>
      </c>
      <c r="G150" s="93">
        <v>2009</v>
      </c>
      <c r="H150" s="325">
        <v>124506.82</v>
      </c>
      <c r="I150" s="93">
        <v>2021</v>
      </c>
      <c r="J150" s="325">
        <v>0</v>
      </c>
      <c r="K150" s="147"/>
      <c r="R150" s="3" t="s">
        <v>488</v>
      </c>
    </row>
    <row r="151" spans="2:18">
      <c r="B151" s="93" t="s">
        <v>697</v>
      </c>
      <c r="C151" s="90"/>
      <c r="D151" s="90"/>
      <c r="E151" s="90"/>
      <c r="F151" s="93" t="s">
        <v>334</v>
      </c>
      <c r="G151" s="93">
        <v>2009</v>
      </c>
      <c r="H151" s="325">
        <v>285378.59999999998</v>
      </c>
      <c r="I151" s="93">
        <v>2021</v>
      </c>
      <c r="J151" s="325">
        <v>0</v>
      </c>
      <c r="K151" s="147"/>
      <c r="R151" s="3" t="s">
        <v>488</v>
      </c>
    </row>
    <row r="152" spans="2:18">
      <c r="B152" s="93" t="s">
        <v>698</v>
      </c>
      <c r="C152" s="90"/>
      <c r="D152" s="90"/>
      <c r="E152" s="90"/>
      <c r="F152" s="93" t="s">
        <v>317</v>
      </c>
      <c r="G152" s="93">
        <v>2009</v>
      </c>
      <c r="H152" s="325">
        <v>35389.120000000003</v>
      </c>
      <c r="I152" s="93">
        <v>2021</v>
      </c>
      <c r="J152" s="325">
        <v>24744.506996892218</v>
      </c>
      <c r="K152" s="147"/>
      <c r="R152" s="3" t="s">
        <v>488</v>
      </c>
    </row>
    <row r="153" spans="2:18">
      <c r="B153" s="93" t="s">
        <v>699</v>
      </c>
      <c r="C153" s="90"/>
      <c r="D153" s="90"/>
      <c r="E153" s="90"/>
      <c r="F153" s="93" t="s">
        <v>322</v>
      </c>
      <c r="G153" s="93">
        <v>2009</v>
      </c>
      <c r="H153" s="325">
        <v>537011.27</v>
      </c>
      <c r="I153" s="93">
        <v>2021</v>
      </c>
      <c r="J153" s="325">
        <v>0</v>
      </c>
      <c r="K153" s="147"/>
      <c r="R153" s="3" t="s">
        <v>488</v>
      </c>
    </row>
    <row r="154" spans="2:18">
      <c r="B154" s="93" t="s">
        <v>700</v>
      </c>
      <c r="C154" s="90"/>
      <c r="D154" s="90"/>
      <c r="E154" s="90"/>
      <c r="F154" s="93" t="s">
        <v>344</v>
      </c>
      <c r="G154" s="93">
        <v>2009</v>
      </c>
      <c r="H154" s="325">
        <v>2416053.9300000006</v>
      </c>
      <c r="I154" s="93">
        <v>2021</v>
      </c>
      <c r="J154" s="325">
        <v>1689334.5575067692</v>
      </c>
      <c r="K154" s="147"/>
      <c r="R154" s="3" t="s">
        <v>488</v>
      </c>
    </row>
    <row r="155" spans="2:18">
      <c r="B155" s="93" t="s">
        <v>701</v>
      </c>
      <c r="C155" s="90"/>
      <c r="D155" s="90"/>
      <c r="E155" s="90"/>
      <c r="F155" s="93" t="s">
        <v>313</v>
      </c>
      <c r="G155" s="93">
        <v>2009</v>
      </c>
      <c r="H155" s="325">
        <v>97690.9</v>
      </c>
      <c r="I155" s="93">
        <v>2021</v>
      </c>
      <c r="J155" s="325">
        <v>0</v>
      </c>
      <c r="K155" s="147"/>
      <c r="R155" s="3" t="s">
        <v>488</v>
      </c>
    </row>
    <row r="156" spans="2:18">
      <c r="B156" s="93" t="s">
        <v>702</v>
      </c>
      <c r="C156" s="90"/>
      <c r="D156" s="90"/>
      <c r="E156" s="90"/>
      <c r="F156" s="93" t="s">
        <v>332</v>
      </c>
      <c r="G156" s="93">
        <v>2009</v>
      </c>
      <c r="H156" s="325">
        <v>655669.05999999994</v>
      </c>
      <c r="I156" s="93">
        <v>2021</v>
      </c>
      <c r="J156" s="325">
        <v>0</v>
      </c>
      <c r="K156" s="147"/>
      <c r="R156" s="3" t="s">
        <v>488</v>
      </c>
    </row>
    <row r="157" spans="2:18">
      <c r="B157" s="93" t="s">
        <v>703</v>
      </c>
      <c r="C157" s="90"/>
      <c r="D157" s="90"/>
      <c r="E157" s="90"/>
      <c r="F157" s="93" t="s">
        <v>327</v>
      </c>
      <c r="G157" s="93">
        <v>2010</v>
      </c>
      <c r="H157" s="325">
        <v>453194.78213502961</v>
      </c>
      <c r="I157" s="93">
        <v>2021</v>
      </c>
      <c r="J157" s="325">
        <v>0</v>
      </c>
      <c r="K157" s="147"/>
      <c r="R157" s="3" t="s">
        <v>488</v>
      </c>
    </row>
    <row r="158" spans="2:18">
      <c r="B158" s="93" t="s">
        <v>704</v>
      </c>
      <c r="C158" s="90"/>
      <c r="D158" s="90"/>
      <c r="E158" s="90"/>
      <c r="F158" s="93" t="s">
        <v>334</v>
      </c>
      <c r="G158" s="93">
        <v>2010</v>
      </c>
      <c r="H158" s="325">
        <v>179634.02000000002</v>
      </c>
      <c r="I158" s="93">
        <v>2021</v>
      </c>
      <c r="J158" s="325">
        <v>0</v>
      </c>
      <c r="K158" s="147"/>
      <c r="R158" s="3" t="s">
        <v>488</v>
      </c>
    </row>
    <row r="159" spans="2:18">
      <c r="B159" s="93" t="s">
        <v>705</v>
      </c>
      <c r="C159" s="90"/>
      <c r="D159" s="90"/>
      <c r="E159" s="90"/>
      <c r="F159" s="93" t="s">
        <v>331</v>
      </c>
      <c r="G159" s="93">
        <v>2011</v>
      </c>
      <c r="H159" s="325">
        <v>293470.62269139342</v>
      </c>
      <c r="I159" s="93">
        <v>2021</v>
      </c>
      <c r="J159" s="325">
        <v>0</v>
      </c>
      <c r="K159" s="147"/>
      <c r="R159" s="3" t="s">
        <v>488</v>
      </c>
    </row>
    <row r="160" spans="2:18">
      <c r="B160" s="93" t="s">
        <v>706</v>
      </c>
      <c r="C160" s="90"/>
      <c r="D160" s="90"/>
      <c r="E160" s="90"/>
      <c r="F160" s="93" t="s">
        <v>321</v>
      </c>
      <c r="G160" s="93">
        <v>2011</v>
      </c>
      <c r="H160" s="325">
        <v>309147.61872011481</v>
      </c>
      <c r="I160" s="93">
        <v>2021</v>
      </c>
      <c r="J160" s="325">
        <v>0</v>
      </c>
      <c r="K160" s="147"/>
      <c r="R160" s="3" t="s">
        <v>488</v>
      </c>
    </row>
    <row r="161" spans="2:18">
      <c r="B161" s="93" t="s">
        <v>707</v>
      </c>
      <c r="C161" s="90"/>
      <c r="D161" s="90"/>
      <c r="E161" s="90"/>
      <c r="F161" s="93" t="s">
        <v>366</v>
      </c>
      <c r="G161" s="93">
        <v>2011</v>
      </c>
      <c r="H161" s="325">
        <v>24343500.983545668</v>
      </c>
      <c r="I161" s="93">
        <v>2021</v>
      </c>
      <c r="J161" s="325">
        <v>0</v>
      </c>
      <c r="K161" s="147"/>
      <c r="R161" s="3" t="s">
        <v>488</v>
      </c>
    </row>
    <row r="162" spans="2:18">
      <c r="B162" s="93" t="s">
        <v>708</v>
      </c>
      <c r="C162" s="90"/>
      <c r="D162" s="90"/>
      <c r="E162" s="90"/>
      <c r="F162" s="93" t="s">
        <v>327</v>
      </c>
      <c r="G162" s="93">
        <v>2011</v>
      </c>
      <c r="H162" s="325">
        <v>345005.47060998465</v>
      </c>
      <c r="I162" s="93">
        <v>2021</v>
      </c>
      <c r="J162" s="325">
        <v>0</v>
      </c>
      <c r="K162" s="147"/>
      <c r="R162" s="3" t="s">
        <v>488</v>
      </c>
    </row>
    <row r="163" spans="2:18">
      <c r="B163" s="93" t="s">
        <v>709</v>
      </c>
      <c r="C163" s="90"/>
      <c r="D163" s="90"/>
      <c r="E163" s="90"/>
      <c r="F163" s="93" t="s">
        <v>332</v>
      </c>
      <c r="G163" s="93">
        <v>2011</v>
      </c>
      <c r="H163" s="325">
        <v>10931.96</v>
      </c>
      <c r="I163" s="93">
        <v>2021</v>
      </c>
      <c r="J163" s="325">
        <v>0</v>
      </c>
      <c r="K163" s="147"/>
      <c r="R163" s="3" t="s">
        <v>488</v>
      </c>
    </row>
    <row r="164" spans="2:18">
      <c r="B164" s="93" t="s">
        <v>710</v>
      </c>
      <c r="C164" s="90"/>
      <c r="D164" s="90"/>
      <c r="E164" s="90"/>
      <c r="F164" s="93" t="s">
        <v>362</v>
      </c>
      <c r="G164" s="93">
        <v>2012</v>
      </c>
      <c r="H164" s="325">
        <v>817297.73457401327</v>
      </c>
      <c r="I164" s="93">
        <v>2021</v>
      </c>
      <c r="J164" s="325">
        <v>0</v>
      </c>
      <c r="K164" s="147"/>
      <c r="R164" s="3" t="s">
        <v>488</v>
      </c>
    </row>
    <row r="165" spans="2:18">
      <c r="B165" s="93" t="s">
        <v>711</v>
      </c>
      <c r="C165" s="90"/>
      <c r="D165" s="90"/>
      <c r="E165" s="90"/>
      <c r="F165" s="93" t="s">
        <v>327</v>
      </c>
      <c r="G165" s="93">
        <v>2012</v>
      </c>
      <c r="H165" s="325">
        <v>237528.30775638262</v>
      </c>
      <c r="I165" s="93">
        <v>2021</v>
      </c>
      <c r="J165" s="325">
        <v>13628.978016883706</v>
      </c>
      <c r="K165" s="147"/>
      <c r="R165" s="3" t="s">
        <v>488</v>
      </c>
    </row>
    <row r="166" spans="2:18">
      <c r="B166" s="93" t="s">
        <v>712</v>
      </c>
      <c r="C166" s="90"/>
      <c r="D166" s="90"/>
      <c r="E166" s="90"/>
      <c r="F166" s="93" t="s">
        <v>332</v>
      </c>
      <c r="G166" s="93">
        <v>2012</v>
      </c>
      <c r="H166" s="325">
        <v>20000</v>
      </c>
      <c r="I166" s="93">
        <v>2021</v>
      </c>
      <c r="J166" s="325">
        <v>1147.5666328463135</v>
      </c>
      <c r="K166" s="147"/>
      <c r="R166" s="3" t="s">
        <v>488</v>
      </c>
    </row>
    <row r="167" spans="2:18">
      <c r="B167" s="93" t="s">
        <v>713</v>
      </c>
      <c r="C167" s="90"/>
      <c r="D167" s="90"/>
      <c r="E167" s="90"/>
      <c r="F167" s="93" t="s">
        <v>344</v>
      </c>
      <c r="G167" s="93">
        <v>2012</v>
      </c>
      <c r="H167" s="325">
        <v>701380.67501665035</v>
      </c>
      <c r="I167" s="93">
        <v>2021</v>
      </c>
      <c r="J167" s="325">
        <v>550002.05737442558</v>
      </c>
      <c r="K167" s="147"/>
      <c r="R167" s="3" t="s">
        <v>488</v>
      </c>
    </row>
    <row r="168" spans="2:18">
      <c r="B168" s="93" t="s">
        <v>714</v>
      </c>
      <c r="C168" s="90"/>
      <c r="D168" s="90"/>
      <c r="E168" s="90"/>
      <c r="F168" s="93" t="s">
        <v>323</v>
      </c>
      <c r="G168" s="93">
        <v>2012</v>
      </c>
      <c r="H168" s="325">
        <v>102288.01000000001</v>
      </c>
      <c r="I168" s="93">
        <v>2021</v>
      </c>
      <c r="J168" s="325">
        <v>5869.1153608124732</v>
      </c>
      <c r="K168" s="147"/>
      <c r="R168" s="3" t="s">
        <v>488</v>
      </c>
    </row>
    <row r="169" spans="2:18">
      <c r="B169" s="93" t="s">
        <v>715</v>
      </c>
      <c r="C169" s="90"/>
      <c r="D169" s="90"/>
      <c r="E169" s="90"/>
      <c r="F169" s="93" t="s">
        <v>322</v>
      </c>
      <c r="G169" s="93">
        <v>2012</v>
      </c>
      <c r="H169" s="325">
        <v>321753.96830222307</v>
      </c>
      <c r="I169" s="93">
        <v>2021</v>
      </c>
      <c r="J169" s="325">
        <v>18461.705900476001</v>
      </c>
      <c r="K169" s="147"/>
      <c r="R169" s="3" t="s">
        <v>488</v>
      </c>
    </row>
    <row r="170" spans="2:18">
      <c r="B170" s="93" t="s">
        <v>716</v>
      </c>
      <c r="C170" s="90"/>
      <c r="D170" s="90"/>
      <c r="E170" s="90"/>
      <c r="F170" s="93" t="s">
        <v>334</v>
      </c>
      <c r="G170" s="93">
        <v>2012</v>
      </c>
      <c r="H170" s="325">
        <v>341738.83030935976</v>
      </c>
      <c r="I170" s="93">
        <v>2021</v>
      </c>
      <c r="J170" s="325">
        <v>19608.403940547396</v>
      </c>
      <c r="K170" s="147"/>
      <c r="R170" s="3" t="s">
        <v>488</v>
      </c>
    </row>
    <row r="171" spans="2:18">
      <c r="B171" s="93" t="s">
        <v>717</v>
      </c>
      <c r="C171" s="90"/>
      <c r="D171" s="90"/>
      <c r="E171" s="90"/>
      <c r="F171" s="93" t="s">
        <v>321</v>
      </c>
      <c r="G171" s="93">
        <v>2012</v>
      </c>
      <c r="H171" s="325">
        <v>737114.28212566266</v>
      </c>
      <c r="I171" s="93">
        <v>2021</v>
      </c>
      <c r="J171" s="325">
        <v>42294.387738093574</v>
      </c>
      <c r="K171" s="147"/>
      <c r="R171" s="3" t="s">
        <v>488</v>
      </c>
    </row>
    <row r="172" spans="2:18">
      <c r="B172" s="93" t="s">
        <v>718</v>
      </c>
      <c r="C172" s="90"/>
      <c r="D172" s="90"/>
      <c r="E172" s="90"/>
      <c r="F172" s="93" t="s">
        <v>327</v>
      </c>
      <c r="G172" s="93">
        <v>2013</v>
      </c>
      <c r="H172" s="325">
        <v>5005059.40396435</v>
      </c>
      <c r="I172" s="93">
        <v>2021</v>
      </c>
      <c r="J172" s="325">
        <v>842175.83099752699</v>
      </c>
      <c r="K172" s="147"/>
      <c r="R172" s="3" t="s">
        <v>488</v>
      </c>
    </row>
    <row r="173" spans="2:18">
      <c r="B173" s="93" t="s">
        <v>719</v>
      </c>
      <c r="C173" s="90"/>
      <c r="D173" s="90"/>
      <c r="E173" s="90"/>
      <c r="F173" s="93" t="s">
        <v>344</v>
      </c>
      <c r="G173" s="93">
        <v>2013</v>
      </c>
      <c r="H173" s="325">
        <v>1237826.9064472313</v>
      </c>
      <c r="I173" s="93">
        <v>2021</v>
      </c>
      <c r="J173" s="325">
        <v>995129.04477620148</v>
      </c>
      <c r="K173" s="147"/>
      <c r="R173" s="3" t="s">
        <v>488</v>
      </c>
    </row>
    <row r="174" spans="2:18">
      <c r="B174" s="93" t="s">
        <v>720</v>
      </c>
      <c r="C174" s="90"/>
      <c r="D174" s="90"/>
      <c r="E174" s="90"/>
      <c r="F174" s="93" t="s">
        <v>322</v>
      </c>
      <c r="G174" s="93">
        <v>2013</v>
      </c>
      <c r="H174" s="325">
        <v>292655.61609467439</v>
      </c>
      <c r="I174" s="93">
        <v>2021</v>
      </c>
      <c r="J174" s="325">
        <v>49243.668613684422</v>
      </c>
      <c r="K174" s="147"/>
      <c r="R174" s="3" t="s">
        <v>488</v>
      </c>
    </row>
    <row r="175" spans="2:18">
      <c r="B175" s="93" t="s">
        <v>721</v>
      </c>
      <c r="C175" s="90"/>
      <c r="D175" s="90"/>
      <c r="E175" s="90"/>
      <c r="F175" s="93" t="s">
        <v>344</v>
      </c>
      <c r="G175" s="93">
        <v>2014</v>
      </c>
      <c r="H175" s="325">
        <v>4973944.9463818558</v>
      </c>
      <c r="I175" s="93">
        <v>2021</v>
      </c>
      <c r="J175" s="325">
        <v>4070721.5945336674</v>
      </c>
      <c r="K175" s="147"/>
      <c r="R175" s="3" t="s">
        <v>488</v>
      </c>
    </row>
    <row r="176" spans="2:18">
      <c r="B176" s="93" t="s">
        <v>722</v>
      </c>
      <c r="C176" s="90"/>
      <c r="D176" s="90"/>
      <c r="E176" s="90"/>
      <c r="F176" s="93" t="s">
        <v>322</v>
      </c>
      <c r="G176" s="93">
        <v>2014</v>
      </c>
      <c r="H176" s="325">
        <v>332895.6529706032</v>
      </c>
      <c r="I176" s="93">
        <v>2021</v>
      </c>
      <c r="J176" s="325">
        <v>90814.939173486709</v>
      </c>
      <c r="K176" s="147"/>
      <c r="R176" s="3" t="s">
        <v>488</v>
      </c>
    </row>
    <row r="177" spans="2:18">
      <c r="B177" s="93" t="s">
        <v>723</v>
      </c>
      <c r="C177" s="90"/>
      <c r="D177" s="90"/>
      <c r="E177" s="90"/>
      <c r="F177" s="93" t="s">
        <v>323</v>
      </c>
      <c r="G177" s="93">
        <v>2014</v>
      </c>
      <c r="H177" s="325">
        <v>294123.8734031191</v>
      </c>
      <c r="I177" s="93">
        <v>2021</v>
      </c>
      <c r="J177" s="325">
        <v>80237.880651848885</v>
      </c>
      <c r="K177" s="147"/>
      <c r="R177" s="3" t="s">
        <v>488</v>
      </c>
    </row>
    <row r="178" spans="2:18">
      <c r="B178" s="93" t="s">
        <v>724</v>
      </c>
      <c r="C178" s="90"/>
      <c r="D178" s="90"/>
      <c r="E178" s="90"/>
      <c r="F178" s="93" t="s">
        <v>332</v>
      </c>
      <c r="G178" s="93">
        <v>2014</v>
      </c>
      <c r="H178" s="325">
        <v>24919.261718386999</v>
      </c>
      <c r="I178" s="93">
        <v>2021</v>
      </c>
      <c r="J178" s="325">
        <v>6798.0498303573586</v>
      </c>
      <c r="K178" s="147"/>
      <c r="R178" s="3" t="s">
        <v>488</v>
      </c>
    </row>
    <row r="179" spans="2:18">
      <c r="B179" s="93" t="s">
        <v>725</v>
      </c>
      <c r="C179" s="90"/>
      <c r="D179" s="90"/>
      <c r="E179" s="90"/>
      <c r="F179" s="93" t="s">
        <v>327</v>
      </c>
      <c r="G179" s="93">
        <v>2014</v>
      </c>
      <c r="H179" s="325">
        <v>264974.99557180319</v>
      </c>
      <c r="I179" s="93">
        <v>2021</v>
      </c>
      <c r="J179" s="325">
        <v>72285.978776277945</v>
      </c>
      <c r="K179" s="147"/>
      <c r="R179" s="3" t="s">
        <v>488</v>
      </c>
    </row>
    <row r="180" spans="2:18">
      <c r="B180" s="93" t="s">
        <v>726</v>
      </c>
      <c r="C180" s="90"/>
      <c r="D180" s="90"/>
      <c r="E180" s="90"/>
      <c r="F180" s="93" t="s">
        <v>321</v>
      </c>
      <c r="G180" s="93">
        <v>2014</v>
      </c>
      <c r="H180" s="325">
        <v>724167.86511950963</v>
      </c>
      <c r="I180" s="93">
        <v>2021</v>
      </c>
      <c r="J180" s="325">
        <v>197555.1799351057</v>
      </c>
      <c r="K180" s="147"/>
      <c r="R180" s="3" t="s">
        <v>488</v>
      </c>
    </row>
    <row r="181" spans="2:18">
      <c r="B181" s="93" t="s">
        <v>727</v>
      </c>
      <c r="C181" s="90"/>
      <c r="D181" s="90"/>
      <c r="E181" s="90"/>
      <c r="F181" s="93" t="s">
        <v>335</v>
      </c>
      <c r="G181" s="93">
        <v>2014</v>
      </c>
      <c r="H181" s="325">
        <v>1415.9999999999968</v>
      </c>
      <c r="I181" s="93">
        <v>2021</v>
      </c>
      <c r="J181" s="325">
        <v>386.28907503641284</v>
      </c>
      <c r="K181" s="147"/>
      <c r="R181" s="3" t="s">
        <v>488</v>
      </c>
    </row>
    <row r="182" spans="2:18">
      <c r="B182" s="93" t="s">
        <v>728</v>
      </c>
      <c r="C182" s="90"/>
      <c r="D182" s="90"/>
      <c r="E182" s="90"/>
      <c r="F182" s="93" t="s">
        <v>335</v>
      </c>
      <c r="G182" s="93">
        <v>2015</v>
      </c>
      <c r="H182" s="325">
        <v>43315.304046858677</v>
      </c>
      <c r="I182" s="93">
        <v>2021</v>
      </c>
      <c r="J182" s="325">
        <v>16379.370300704035</v>
      </c>
      <c r="K182" s="147"/>
      <c r="R182" s="3" t="s">
        <v>488</v>
      </c>
    </row>
    <row r="183" spans="2:18">
      <c r="B183" s="93" t="s">
        <v>729</v>
      </c>
      <c r="C183" s="90"/>
      <c r="D183" s="90"/>
      <c r="E183" s="90"/>
      <c r="F183" s="93" t="s">
        <v>332</v>
      </c>
      <c r="G183" s="93">
        <v>2015</v>
      </c>
      <c r="H183" s="325">
        <v>78424.550748692549</v>
      </c>
      <c r="I183" s="93">
        <v>2021</v>
      </c>
      <c r="J183" s="325">
        <v>29655.679110310892</v>
      </c>
      <c r="K183" s="147"/>
      <c r="R183" s="3" t="s">
        <v>488</v>
      </c>
    </row>
    <row r="184" spans="2:18">
      <c r="B184" s="93" t="s">
        <v>730</v>
      </c>
      <c r="C184" s="90"/>
      <c r="D184" s="90"/>
      <c r="E184" s="90"/>
      <c r="F184" s="93" t="s">
        <v>327</v>
      </c>
      <c r="G184" s="93">
        <v>2015</v>
      </c>
      <c r="H184" s="325">
        <v>481116.61247078225</v>
      </c>
      <c r="I184" s="93">
        <v>2021</v>
      </c>
      <c r="J184" s="325">
        <v>181930.78236168518</v>
      </c>
      <c r="K184" s="147"/>
      <c r="R184" s="3" t="s">
        <v>488</v>
      </c>
    </row>
    <row r="185" spans="2:18">
      <c r="B185" s="93" t="s">
        <v>731</v>
      </c>
      <c r="C185" s="90"/>
      <c r="D185" s="90"/>
      <c r="E185" s="90"/>
      <c r="F185" s="93" t="s">
        <v>367</v>
      </c>
      <c r="G185" s="93">
        <v>2015</v>
      </c>
      <c r="H185" s="325">
        <v>13785822.782425826</v>
      </c>
      <c r="I185" s="93">
        <v>2021</v>
      </c>
      <c r="J185" s="325">
        <v>8440110.7970265597</v>
      </c>
      <c r="K185" s="147"/>
      <c r="R185" s="3" t="s">
        <v>488</v>
      </c>
    </row>
    <row r="186" spans="2:18">
      <c r="B186" s="93" t="s">
        <v>732</v>
      </c>
      <c r="C186" s="90"/>
      <c r="D186" s="90"/>
      <c r="E186" s="90"/>
      <c r="F186" s="93" t="s">
        <v>331</v>
      </c>
      <c r="G186" s="93">
        <v>2015</v>
      </c>
      <c r="H186" s="325">
        <v>43877.173224174046</v>
      </c>
      <c r="I186" s="93">
        <v>2021</v>
      </c>
      <c r="J186" s="325">
        <v>16591.837083941773</v>
      </c>
      <c r="K186" s="147"/>
      <c r="R186" s="3" t="s">
        <v>488</v>
      </c>
    </row>
    <row r="187" spans="2:18">
      <c r="B187" s="93" t="s">
        <v>733</v>
      </c>
      <c r="C187" s="90"/>
      <c r="D187" s="90"/>
      <c r="E187" s="90"/>
      <c r="F187" s="93" t="s">
        <v>322</v>
      </c>
      <c r="G187" s="93">
        <v>2015</v>
      </c>
      <c r="H187" s="325">
        <v>153470.91831934603</v>
      </c>
      <c r="I187" s="93">
        <v>2021</v>
      </c>
      <c r="J187" s="325">
        <v>58033.922579009974</v>
      </c>
      <c r="K187" s="147"/>
      <c r="R187" s="3" t="s">
        <v>488</v>
      </c>
    </row>
    <row r="188" spans="2:18">
      <c r="B188" s="93" t="s">
        <v>734</v>
      </c>
      <c r="C188" s="90"/>
      <c r="D188" s="90"/>
      <c r="E188" s="90"/>
      <c r="F188" s="93" t="s">
        <v>344</v>
      </c>
      <c r="G188" s="93">
        <v>2015</v>
      </c>
      <c r="H188" s="325">
        <v>2375369.7957282378</v>
      </c>
      <c r="I188" s="93">
        <v>2021</v>
      </c>
      <c r="J188" s="325">
        <v>2010322.0086927759</v>
      </c>
      <c r="K188" s="147"/>
      <c r="R188" s="3" t="s">
        <v>488</v>
      </c>
    </row>
    <row r="189" spans="2:18">
      <c r="B189" s="93" t="s">
        <v>735</v>
      </c>
      <c r="C189" s="90"/>
      <c r="D189" s="90"/>
      <c r="E189" s="90"/>
      <c r="F189" s="93" t="s">
        <v>317</v>
      </c>
      <c r="G189" s="93">
        <v>2015</v>
      </c>
      <c r="H189" s="325">
        <v>516544.29057147249</v>
      </c>
      <c r="I189" s="93">
        <v>2021</v>
      </c>
      <c r="J189" s="325">
        <v>437161.55592610373</v>
      </c>
      <c r="K189" s="147"/>
      <c r="R189" s="3" t="s">
        <v>488</v>
      </c>
    </row>
    <row r="190" spans="2:18">
      <c r="B190" s="93" t="s">
        <v>736</v>
      </c>
      <c r="C190" s="90"/>
      <c r="D190" s="90"/>
      <c r="E190" s="90"/>
      <c r="F190" s="93" t="s">
        <v>321</v>
      </c>
      <c r="G190" s="93">
        <v>2015</v>
      </c>
      <c r="H190" s="325">
        <v>406758.82739129546</v>
      </c>
      <c r="I190" s="93">
        <v>2021</v>
      </c>
      <c r="J190" s="325">
        <v>153812.9214033616</v>
      </c>
      <c r="K190" s="147"/>
      <c r="R190" s="3" t="s">
        <v>488</v>
      </c>
    </row>
    <row r="191" spans="2:18">
      <c r="B191" s="93" t="s">
        <v>737</v>
      </c>
      <c r="C191" s="90"/>
      <c r="D191" s="90"/>
      <c r="E191" s="90"/>
      <c r="F191" s="93" t="s">
        <v>344</v>
      </c>
      <c r="G191" s="93">
        <v>2016</v>
      </c>
      <c r="H191" s="325">
        <v>229380.26938547671</v>
      </c>
      <c r="I191" s="93">
        <v>2021</v>
      </c>
      <c r="J191" s="325">
        <v>200783.5579674957</v>
      </c>
      <c r="K191" s="147"/>
      <c r="R191" s="3" t="s">
        <v>488</v>
      </c>
    </row>
    <row r="192" spans="2:18">
      <c r="B192" s="93" t="s">
        <v>738</v>
      </c>
      <c r="C192" s="90"/>
      <c r="D192" s="90"/>
      <c r="E192" s="90"/>
      <c r="F192" s="93" t="s">
        <v>367</v>
      </c>
      <c r="G192" s="93">
        <v>2016</v>
      </c>
      <c r="H192" s="325">
        <v>529286.5107518764</v>
      </c>
      <c r="I192" s="93">
        <v>2021</v>
      </c>
      <c r="J192" s="325">
        <v>359294.38470756344</v>
      </c>
      <c r="K192" s="147"/>
      <c r="R192" s="3" t="s">
        <v>488</v>
      </c>
    </row>
    <row r="193" spans="2:18">
      <c r="B193" s="93" t="s">
        <v>739</v>
      </c>
      <c r="C193" s="90"/>
      <c r="D193" s="90"/>
      <c r="E193" s="90"/>
      <c r="F193" s="93" t="s">
        <v>331</v>
      </c>
      <c r="G193" s="93">
        <v>2016</v>
      </c>
      <c r="H193" s="325">
        <v>28567.827468907908</v>
      </c>
      <c r="I193" s="93">
        <v>2021</v>
      </c>
      <c r="J193" s="325">
        <v>13778.977338155324</v>
      </c>
      <c r="K193" s="147"/>
      <c r="R193" s="3" t="s">
        <v>488</v>
      </c>
    </row>
    <row r="194" spans="2:18">
      <c r="B194" s="93" t="s">
        <v>740</v>
      </c>
      <c r="C194" s="90"/>
      <c r="D194" s="90"/>
      <c r="E194" s="90"/>
      <c r="F194" s="93" t="s">
        <v>317</v>
      </c>
      <c r="G194" s="93">
        <v>2016</v>
      </c>
      <c r="H194" s="325">
        <v>69569.550579382194</v>
      </c>
      <c r="I194" s="93">
        <v>2021</v>
      </c>
      <c r="J194" s="325">
        <v>60896.353156050573</v>
      </c>
      <c r="K194" s="147"/>
      <c r="R194" s="3" t="s">
        <v>488</v>
      </c>
    </row>
    <row r="195" spans="2:18">
      <c r="B195" s="93" t="s">
        <v>741</v>
      </c>
      <c r="C195" s="90"/>
      <c r="D195" s="90"/>
      <c r="E195" s="90"/>
      <c r="F195" s="93" t="s">
        <v>322</v>
      </c>
      <c r="G195" s="93">
        <v>2016</v>
      </c>
      <c r="H195" s="325">
        <v>285684.31746031862</v>
      </c>
      <c r="I195" s="93">
        <v>2021</v>
      </c>
      <c r="J195" s="325">
        <v>137792.68796118168</v>
      </c>
      <c r="K195" s="147"/>
      <c r="R195" s="3" t="s">
        <v>488</v>
      </c>
    </row>
    <row r="196" spans="2:18">
      <c r="B196" s="93" t="s">
        <v>742</v>
      </c>
      <c r="C196" s="90"/>
      <c r="D196" s="90"/>
      <c r="E196" s="90"/>
      <c r="F196" s="93" t="s">
        <v>321</v>
      </c>
      <c r="G196" s="93">
        <v>2016</v>
      </c>
      <c r="H196" s="325">
        <v>23169.006741347624</v>
      </c>
      <c r="I196" s="93">
        <v>2021</v>
      </c>
      <c r="J196" s="325">
        <v>11174.991139387506</v>
      </c>
      <c r="K196" s="147"/>
      <c r="R196" s="3" t="s">
        <v>488</v>
      </c>
    </row>
    <row r="197" spans="2:18">
      <c r="B197" s="93" t="s">
        <v>743</v>
      </c>
      <c r="C197" s="90"/>
      <c r="D197" s="90"/>
      <c r="E197" s="90"/>
      <c r="F197" s="93" t="s">
        <v>330</v>
      </c>
      <c r="G197" s="93">
        <v>2017</v>
      </c>
      <c r="H197" s="325">
        <v>42505.139899436123</v>
      </c>
      <c r="I197" s="93">
        <v>2021</v>
      </c>
      <c r="J197" s="325">
        <v>25007.119857240814</v>
      </c>
      <c r="K197" s="147"/>
      <c r="R197" s="3" t="s">
        <v>488</v>
      </c>
    </row>
    <row r="198" spans="2:18">
      <c r="B198" s="93" t="s">
        <v>744</v>
      </c>
      <c r="C198" s="90"/>
      <c r="D198" s="90"/>
      <c r="E198" s="90"/>
      <c r="F198" s="93" t="s">
        <v>323</v>
      </c>
      <c r="G198" s="93">
        <v>2017</v>
      </c>
      <c r="H198" s="325">
        <v>283180.78041617683</v>
      </c>
      <c r="I198" s="93">
        <v>2021</v>
      </c>
      <c r="J198" s="325">
        <v>166604.2208986652</v>
      </c>
      <c r="K198" s="147"/>
      <c r="R198" s="3" t="s">
        <v>488</v>
      </c>
    </row>
    <row r="199" spans="2:18">
      <c r="B199" s="93" t="s">
        <v>745</v>
      </c>
      <c r="C199" s="90"/>
      <c r="D199" s="90"/>
      <c r="E199" s="90"/>
      <c r="F199" s="93" t="s">
        <v>323</v>
      </c>
      <c r="G199" s="93">
        <v>2016</v>
      </c>
      <c r="H199" s="325">
        <v>59355.750635093973</v>
      </c>
      <c r="I199" s="93">
        <v>2021</v>
      </c>
      <c r="J199" s="325">
        <v>28628.76232994219</v>
      </c>
      <c r="K199" s="147"/>
      <c r="R199" s="3" t="s">
        <v>488</v>
      </c>
    </row>
    <row r="200" spans="2:18">
      <c r="B200" s="93" t="s">
        <v>746</v>
      </c>
      <c r="C200" s="90"/>
      <c r="D200" s="90"/>
      <c r="E200" s="90"/>
      <c r="F200" s="93" t="s">
        <v>344</v>
      </c>
      <c r="G200" s="93">
        <v>2017</v>
      </c>
      <c r="H200" s="325">
        <v>1235103.6006231268</v>
      </c>
      <c r="I200" s="93">
        <v>2021</v>
      </c>
      <c r="J200" s="325">
        <v>1123005.4133120223</v>
      </c>
      <c r="K200" s="147"/>
      <c r="R200" s="3" t="s">
        <v>488</v>
      </c>
    </row>
    <row r="201" spans="2:18">
      <c r="B201" s="93" t="s">
        <v>747</v>
      </c>
      <c r="C201" s="90"/>
      <c r="D201" s="90"/>
      <c r="E201" s="90"/>
      <c r="F201" s="93" t="s">
        <v>332</v>
      </c>
      <c r="G201" s="93">
        <v>2017</v>
      </c>
      <c r="H201" s="325">
        <v>251242.94461834809</v>
      </c>
      <c r="I201" s="93">
        <v>2021</v>
      </c>
      <c r="J201" s="325">
        <v>147814.18069019204</v>
      </c>
      <c r="K201" s="147"/>
      <c r="R201" s="3" t="s">
        <v>488</v>
      </c>
    </row>
    <row r="202" spans="2:18">
      <c r="B202" s="93" t="s">
        <v>748</v>
      </c>
      <c r="C202" s="90"/>
      <c r="D202" s="90"/>
      <c r="E202" s="90"/>
      <c r="F202" s="93" t="s">
        <v>331</v>
      </c>
      <c r="G202" s="93">
        <v>2017</v>
      </c>
      <c r="H202" s="325">
        <v>342149.84909853589</v>
      </c>
      <c r="I202" s="93">
        <v>2021</v>
      </c>
      <c r="J202" s="325">
        <v>201297.59143922853</v>
      </c>
      <c r="K202" s="147"/>
      <c r="R202" s="3" t="s">
        <v>488</v>
      </c>
    </row>
    <row r="203" spans="2:18">
      <c r="B203" s="93" t="s">
        <v>749</v>
      </c>
      <c r="C203" s="90"/>
      <c r="D203" s="90"/>
      <c r="E203" s="90"/>
      <c r="F203" s="93" t="s">
        <v>326</v>
      </c>
      <c r="G203" s="93">
        <v>2017</v>
      </c>
      <c r="H203" s="325">
        <v>492613.45921199484</v>
      </c>
      <c r="I203" s="93">
        <v>2021</v>
      </c>
      <c r="J203" s="325">
        <v>289820.09815635922</v>
      </c>
      <c r="K203" s="147"/>
      <c r="R203" s="3" t="s">
        <v>488</v>
      </c>
    </row>
    <row r="204" spans="2:18">
      <c r="B204" s="93" t="s">
        <v>750</v>
      </c>
      <c r="C204" s="90"/>
      <c r="D204" s="90"/>
      <c r="E204" s="90"/>
      <c r="F204" s="93" t="s">
        <v>327</v>
      </c>
      <c r="G204" s="93">
        <v>2017</v>
      </c>
      <c r="H204" s="325">
        <v>2185364.6124668787</v>
      </c>
      <c r="I204" s="93">
        <v>2021</v>
      </c>
      <c r="J204" s="325">
        <v>1285719.20772473</v>
      </c>
      <c r="K204" s="147"/>
      <c r="R204" s="3" t="s">
        <v>488</v>
      </c>
    </row>
    <row r="205" spans="2:18">
      <c r="B205" s="93" t="s">
        <v>751</v>
      </c>
      <c r="C205" s="90"/>
      <c r="D205" s="90"/>
      <c r="E205" s="90"/>
      <c r="F205" s="93" t="s">
        <v>334</v>
      </c>
      <c r="G205" s="93">
        <v>2017</v>
      </c>
      <c r="H205" s="325">
        <v>68624.022512808762</v>
      </c>
      <c r="I205" s="93">
        <v>2021</v>
      </c>
      <c r="J205" s="325">
        <v>40373.685632465487</v>
      </c>
      <c r="K205" s="147"/>
      <c r="R205" s="3" t="s">
        <v>488</v>
      </c>
    </row>
    <row r="206" spans="2:18">
      <c r="B206" s="93" t="s">
        <v>752</v>
      </c>
      <c r="C206" s="90"/>
      <c r="D206" s="90"/>
      <c r="E206" s="90"/>
      <c r="F206" s="93" t="s">
        <v>322</v>
      </c>
      <c r="G206" s="93">
        <v>2017</v>
      </c>
      <c r="H206" s="325">
        <v>75086.588886849713</v>
      </c>
      <c r="I206" s="93">
        <v>2021</v>
      </c>
      <c r="J206" s="325">
        <v>44175.81808711389</v>
      </c>
      <c r="K206" s="147"/>
      <c r="R206" s="3" t="s">
        <v>488</v>
      </c>
    </row>
    <row r="207" spans="2:18">
      <c r="B207" s="93" t="s">
        <v>753</v>
      </c>
      <c r="C207" s="90"/>
      <c r="D207" s="90"/>
      <c r="E207" s="90"/>
      <c r="F207" s="93" t="s">
        <v>321</v>
      </c>
      <c r="G207" s="93">
        <v>2017</v>
      </c>
      <c r="H207" s="325">
        <v>894081.48176313401</v>
      </c>
      <c r="I207" s="93">
        <v>2021</v>
      </c>
      <c r="J207" s="325">
        <v>526016.44952794898</v>
      </c>
      <c r="K207" s="147"/>
      <c r="R207" s="3" t="s">
        <v>488</v>
      </c>
    </row>
    <row r="208" spans="2:18">
      <c r="B208" s="93" t="s">
        <v>754</v>
      </c>
      <c r="C208" s="90"/>
      <c r="D208" s="90"/>
      <c r="E208" s="90"/>
      <c r="F208" s="93" t="s">
        <v>322</v>
      </c>
      <c r="G208" s="93">
        <v>2018</v>
      </c>
      <c r="H208" s="325">
        <v>490885.08786120504</v>
      </c>
      <c r="I208" s="93">
        <v>2021</v>
      </c>
      <c r="J208" s="325">
        <v>336600.51580018562</v>
      </c>
      <c r="K208" s="147"/>
      <c r="R208" s="3" t="s">
        <v>488</v>
      </c>
    </row>
    <row r="209" spans="2:18">
      <c r="B209" s="93" t="s">
        <v>755</v>
      </c>
      <c r="C209" s="90"/>
      <c r="D209" s="90"/>
      <c r="E209" s="90"/>
      <c r="F209" s="93" t="s">
        <v>321</v>
      </c>
      <c r="G209" s="93">
        <v>2018</v>
      </c>
      <c r="H209" s="325">
        <v>533703.76265516167</v>
      </c>
      <c r="I209" s="93">
        <v>2021</v>
      </c>
      <c r="J209" s="325">
        <v>365961.33440708811</v>
      </c>
      <c r="K209" s="147"/>
      <c r="R209" s="3" t="s">
        <v>488</v>
      </c>
    </row>
    <row r="210" spans="2:18">
      <c r="B210" s="93" t="s">
        <v>756</v>
      </c>
      <c r="C210" s="90"/>
      <c r="D210" s="90"/>
      <c r="E210" s="90"/>
      <c r="F210" s="93" t="s">
        <v>327</v>
      </c>
      <c r="G210" s="93">
        <v>2018</v>
      </c>
      <c r="H210" s="325">
        <v>2619455.826851733</v>
      </c>
      <c r="I210" s="93">
        <v>2021</v>
      </c>
      <c r="J210" s="325">
        <v>1796164.1211708463</v>
      </c>
      <c r="K210" s="147"/>
      <c r="R210" s="3" t="s">
        <v>488</v>
      </c>
    </row>
    <row r="211" spans="2:18">
      <c r="B211" s="93" t="s">
        <v>757</v>
      </c>
      <c r="C211" s="90"/>
      <c r="D211" s="90"/>
      <c r="E211" s="90"/>
      <c r="F211" s="93" t="s">
        <v>323</v>
      </c>
      <c r="G211" s="93">
        <v>2018</v>
      </c>
      <c r="H211" s="325">
        <v>252164.79428194632</v>
      </c>
      <c r="I211" s="93">
        <v>2021</v>
      </c>
      <c r="J211" s="325">
        <v>172909.7133338665</v>
      </c>
      <c r="K211" s="147"/>
      <c r="R211" s="3" t="s">
        <v>488</v>
      </c>
    </row>
    <row r="212" spans="2:18">
      <c r="B212" s="93" t="s">
        <v>758</v>
      </c>
      <c r="C212" s="90"/>
      <c r="D212" s="90"/>
      <c r="E212" s="90"/>
      <c r="F212" s="93" t="s">
        <v>330</v>
      </c>
      <c r="G212" s="93">
        <v>2018</v>
      </c>
      <c r="H212" s="325">
        <v>13021546.318391869</v>
      </c>
      <c r="I212" s="93">
        <v>2021</v>
      </c>
      <c r="J212" s="325">
        <v>8928890.519742161</v>
      </c>
      <c r="K212" s="147"/>
      <c r="R212" s="3" t="s">
        <v>488</v>
      </c>
    </row>
    <row r="213" spans="2:18">
      <c r="B213" s="93" t="s">
        <v>759</v>
      </c>
      <c r="C213" s="90"/>
      <c r="D213" s="90"/>
      <c r="E213" s="90"/>
      <c r="F213" s="93" t="s">
        <v>344</v>
      </c>
      <c r="G213" s="93">
        <v>2018</v>
      </c>
      <c r="H213" s="325">
        <v>5158473.573657441</v>
      </c>
      <c r="I213" s="93">
        <v>2021</v>
      </c>
      <c r="J213" s="325">
        <v>4806925.7125234623</v>
      </c>
      <c r="K213" s="147"/>
      <c r="R213" s="3" t="s">
        <v>488</v>
      </c>
    </row>
    <row r="214" spans="2:18">
      <c r="B214" s="93" t="s">
        <v>760</v>
      </c>
      <c r="C214" s="90"/>
      <c r="D214" s="90"/>
      <c r="E214" s="90"/>
      <c r="F214" s="93" t="s">
        <v>368</v>
      </c>
      <c r="G214" s="93">
        <v>2018</v>
      </c>
      <c r="H214" s="325">
        <v>21147142.000000007</v>
      </c>
      <c r="I214" s="93">
        <v>2021</v>
      </c>
      <c r="J214" s="325">
        <v>17103297.263965867</v>
      </c>
      <c r="K214" s="147"/>
      <c r="R214" s="3" t="s">
        <v>488</v>
      </c>
    </row>
    <row r="215" spans="2:18">
      <c r="B215" s="93" t="s">
        <v>761</v>
      </c>
      <c r="C215" s="90"/>
      <c r="D215" s="90"/>
      <c r="E215" s="90"/>
      <c r="F215" s="93" t="s">
        <v>364</v>
      </c>
      <c r="G215" s="93">
        <v>2018</v>
      </c>
      <c r="H215" s="325">
        <v>1669649.9999999995</v>
      </c>
      <c r="I215" s="93">
        <v>2021</v>
      </c>
      <c r="J215" s="325">
        <v>528406.65386783984</v>
      </c>
      <c r="K215" s="147"/>
      <c r="R215" s="3" t="s">
        <v>488</v>
      </c>
    </row>
    <row r="216" spans="2:18">
      <c r="B216" s="93" t="s">
        <v>762</v>
      </c>
      <c r="C216" s="90"/>
      <c r="D216" s="90"/>
      <c r="E216" s="90"/>
      <c r="F216" s="93" t="s">
        <v>313</v>
      </c>
      <c r="G216" s="93">
        <v>2017</v>
      </c>
      <c r="H216" s="325">
        <v>41129.587663444909</v>
      </c>
      <c r="I216" s="93">
        <v>2021</v>
      </c>
      <c r="J216" s="325">
        <v>24197.83891576614</v>
      </c>
      <c r="K216" s="147"/>
      <c r="R216" s="3" t="s">
        <v>488</v>
      </c>
    </row>
    <row r="217" spans="2:18">
      <c r="B217" s="93" t="s">
        <v>763</v>
      </c>
      <c r="C217" s="90"/>
      <c r="D217" s="90"/>
      <c r="E217" s="90"/>
      <c r="F217" s="93" t="s">
        <v>317</v>
      </c>
      <c r="G217" s="93">
        <v>2018</v>
      </c>
      <c r="H217" s="325">
        <v>1769813.2968497979</v>
      </c>
      <c r="I217" s="93">
        <v>2021</v>
      </c>
      <c r="J217" s="325">
        <v>1649201.2455850111</v>
      </c>
      <c r="K217" s="147"/>
      <c r="R217" s="3" t="s">
        <v>488</v>
      </c>
    </row>
    <row r="218" spans="2:18">
      <c r="B218" s="93" t="s">
        <v>764</v>
      </c>
      <c r="C218" s="90"/>
      <c r="D218" s="90"/>
      <c r="E218" s="90"/>
      <c r="F218" s="93" t="s">
        <v>334</v>
      </c>
      <c r="G218" s="93">
        <v>2018</v>
      </c>
      <c r="H218" s="325">
        <v>20291.448993786991</v>
      </c>
      <c r="I218" s="93">
        <v>2021</v>
      </c>
      <c r="J218" s="325">
        <v>13913.871833835448</v>
      </c>
      <c r="K218" s="147"/>
      <c r="R218" s="3" t="s">
        <v>488</v>
      </c>
    </row>
    <row r="219" spans="2:18">
      <c r="B219" s="93" t="s">
        <v>765</v>
      </c>
      <c r="C219" s="90"/>
      <c r="D219" s="90"/>
      <c r="E219" s="90"/>
      <c r="F219" s="93" t="s">
        <v>325</v>
      </c>
      <c r="G219" s="93">
        <v>2018</v>
      </c>
      <c r="H219" s="325">
        <v>59796.38767845487</v>
      </c>
      <c r="I219" s="93">
        <v>2021</v>
      </c>
      <c r="J219" s="325">
        <v>41002.457465659885</v>
      </c>
      <c r="K219" s="147"/>
      <c r="R219" s="3" t="s">
        <v>488</v>
      </c>
    </row>
    <row r="220" spans="2:18">
      <c r="B220" s="93" t="s">
        <v>766</v>
      </c>
      <c r="C220" s="90"/>
      <c r="D220" s="90"/>
      <c r="E220" s="90"/>
      <c r="F220" s="93" t="s">
        <v>313</v>
      </c>
      <c r="G220" s="93">
        <v>2018</v>
      </c>
      <c r="H220" s="325">
        <v>70537.619152208252</v>
      </c>
      <c r="I220" s="93">
        <v>2021</v>
      </c>
      <c r="J220" s="325">
        <v>48367.733257897518</v>
      </c>
      <c r="K220" s="147"/>
      <c r="R220" s="3" t="s">
        <v>488</v>
      </c>
    </row>
    <row r="221" spans="2:18">
      <c r="B221" s="93" t="s">
        <v>767</v>
      </c>
      <c r="C221" s="90"/>
      <c r="D221" s="90"/>
      <c r="E221" s="90"/>
      <c r="F221" s="93" t="s">
        <v>365</v>
      </c>
      <c r="G221" s="93">
        <v>2018</v>
      </c>
      <c r="H221" s="325">
        <v>1033593</v>
      </c>
      <c r="I221" s="93">
        <v>2021</v>
      </c>
      <c r="J221" s="325">
        <v>327108.92617687664</v>
      </c>
      <c r="K221" s="147"/>
      <c r="R221" s="3" t="s">
        <v>488</v>
      </c>
    </row>
    <row r="222" spans="2:18">
      <c r="B222" s="93" t="s">
        <v>768</v>
      </c>
      <c r="C222" s="90"/>
      <c r="D222" s="90"/>
      <c r="E222" s="90"/>
      <c r="F222" s="93" t="s">
        <v>361</v>
      </c>
      <c r="G222" s="93">
        <v>2019</v>
      </c>
      <c r="H222" s="325">
        <v>7023542.7917365544</v>
      </c>
      <c r="I222" s="93">
        <v>2021</v>
      </c>
      <c r="J222" s="325">
        <v>3660726.6913954271</v>
      </c>
      <c r="K222" s="147"/>
      <c r="R222" s="3" t="s">
        <v>488</v>
      </c>
    </row>
    <row r="223" spans="2:18">
      <c r="B223" s="93" t="s">
        <v>769</v>
      </c>
      <c r="C223" s="90"/>
      <c r="D223" s="90"/>
      <c r="E223" s="90"/>
      <c r="F223" s="93" t="s">
        <v>334</v>
      </c>
      <c r="G223" s="93">
        <v>2019</v>
      </c>
      <c r="H223" s="325">
        <v>857388.09237261105</v>
      </c>
      <c r="I223" s="93">
        <v>2021</v>
      </c>
      <c r="J223" s="325">
        <v>670316.29927401594</v>
      </c>
      <c r="K223" s="147"/>
      <c r="R223" s="3" t="s">
        <v>488</v>
      </c>
    </row>
    <row r="224" spans="2:18">
      <c r="B224" s="93" t="s">
        <v>770</v>
      </c>
      <c r="C224" s="90"/>
      <c r="D224" s="90"/>
      <c r="E224" s="90"/>
      <c r="F224" s="93" t="s">
        <v>321</v>
      </c>
      <c r="G224" s="93">
        <v>2019</v>
      </c>
      <c r="H224" s="325">
        <v>460067.29247706069</v>
      </c>
      <c r="I224" s="93">
        <v>2021</v>
      </c>
      <c r="J224" s="325">
        <v>359686.13006607577</v>
      </c>
      <c r="K224" s="147"/>
      <c r="R224" s="3" t="s">
        <v>488</v>
      </c>
    </row>
    <row r="225" spans="2:18">
      <c r="B225" s="93" t="s">
        <v>771</v>
      </c>
      <c r="C225" s="90"/>
      <c r="D225" s="90"/>
      <c r="E225" s="90"/>
      <c r="F225" s="93" t="s">
        <v>364</v>
      </c>
      <c r="G225" s="93">
        <v>2019</v>
      </c>
      <c r="H225" s="325">
        <v>119060</v>
      </c>
      <c r="I225" s="93">
        <v>2021</v>
      </c>
      <c r="J225" s="325">
        <v>62055.024479999985</v>
      </c>
      <c r="K225" s="147"/>
      <c r="R225" s="3" t="s">
        <v>488</v>
      </c>
    </row>
    <row r="226" spans="2:18">
      <c r="B226" s="93" t="s">
        <v>772</v>
      </c>
      <c r="C226" s="90"/>
      <c r="D226" s="90"/>
      <c r="E226" s="90"/>
      <c r="F226" s="93" t="s">
        <v>327</v>
      </c>
      <c r="G226" s="93">
        <v>2019</v>
      </c>
      <c r="H226" s="325">
        <v>288666.6970011855</v>
      </c>
      <c r="I226" s="93">
        <v>2021</v>
      </c>
      <c r="J226" s="325">
        <v>225683.08771589081</v>
      </c>
      <c r="K226" s="147"/>
      <c r="R226" s="3" t="s">
        <v>488</v>
      </c>
    </row>
    <row r="227" spans="2:18">
      <c r="B227" s="93" t="s">
        <v>773</v>
      </c>
      <c r="C227" s="90"/>
      <c r="D227" s="90"/>
      <c r="E227" s="90"/>
      <c r="F227" s="93" t="s">
        <v>344</v>
      </c>
      <c r="G227" s="93">
        <v>2019</v>
      </c>
      <c r="H227" s="325">
        <v>1170372.8470650064</v>
      </c>
      <c r="I227" s="93">
        <v>2021</v>
      </c>
      <c r="J227" s="325">
        <v>1118347.433267273</v>
      </c>
      <c r="K227" s="147"/>
      <c r="R227" s="3" t="s">
        <v>488</v>
      </c>
    </row>
    <row r="228" spans="2:18">
      <c r="B228" s="93" t="s">
        <v>774</v>
      </c>
      <c r="C228" s="90"/>
      <c r="D228" s="90"/>
      <c r="E228" s="90"/>
      <c r="F228" s="93" t="s">
        <v>365</v>
      </c>
      <c r="G228" s="93">
        <v>2019</v>
      </c>
      <c r="H228" s="325">
        <v>73704</v>
      </c>
      <c r="I228" s="93">
        <v>2021</v>
      </c>
      <c r="J228" s="325">
        <v>38415.114431999995</v>
      </c>
      <c r="K228" s="147"/>
      <c r="R228" s="3" t="s">
        <v>488</v>
      </c>
    </row>
    <row r="229" spans="2:18">
      <c r="B229" s="93" t="s">
        <v>775</v>
      </c>
      <c r="C229" s="90"/>
      <c r="D229" s="90"/>
      <c r="E229" s="90"/>
      <c r="F229" s="93" t="s">
        <v>363</v>
      </c>
      <c r="G229" s="93">
        <v>2019</v>
      </c>
      <c r="H229" s="325">
        <v>138775.45971332947</v>
      </c>
      <c r="I229" s="93">
        <v>2021</v>
      </c>
      <c r="J229" s="325">
        <v>72330.879806265031</v>
      </c>
      <c r="K229" s="147"/>
      <c r="R229" s="3" t="s">
        <v>488</v>
      </c>
    </row>
    <row r="230" spans="2:18">
      <c r="B230" s="93" t="s">
        <v>776</v>
      </c>
      <c r="C230" s="90"/>
      <c r="D230" s="90"/>
      <c r="E230" s="90"/>
      <c r="F230" s="93" t="s">
        <v>323</v>
      </c>
      <c r="G230" s="93">
        <v>2019</v>
      </c>
      <c r="H230" s="325">
        <v>142771.1801450084</v>
      </c>
      <c r="I230" s="93">
        <v>2021</v>
      </c>
      <c r="J230" s="325">
        <v>111620.22189152931</v>
      </c>
      <c r="K230" s="147"/>
      <c r="R230" s="3" t="s">
        <v>488</v>
      </c>
    </row>
    <row r="231" spans="2:18">
      <c r="B231" s="93" t="s">
        <v>777</v>
      </c>
      <c r="C231" s="90"/>
      <c r="D231" s="90"/>
      <c r="E231" s="90"/>
      <c r="F231" s="93" t="s">
        <v>367</v>
      </c>
      <c r="G231" s="93">
        <v>2018</v>
      </c>
      <c r="H231" s="325">
        <v>66462443.599999994</v>
      </c>
      <c r="I231" s="93">
        <v>2021</v>
      </c>
      <c r="J231" s="325">
        <v>53753217.800323352</v>
      </c>
      <c r="K231" s="147"/>
      <c r="R231" s="3" t="s">
        <v>488</v>
      </c>
    </row>
    <row r="232" spans="2:18">
      <c r="B232" s="93" t="s">
        <v>778</v>
      </c>
      <c r="C232" s="90"/>
      <c r="D232" s="90"/>
      <c r="E232" s="90"/>
      <c r="F232" s="93" t="s">
        <v>369</v>
      </c>
      <c r="G232" s="93">
        <v>2018</v>
      </c>
      <c r="H232" s="325">
        <v>13091088</v>
      </c>
      <c r="I232" s="93">
        <v>2021</v>
      </c>
      <c r="J232" s="325">
        <v>10587755.526147995</v>
      </c>
      <c r="K232" s="147"/>
      <c r="R232" s="3" t="s">
        <v>488</v>
      </c>
    </row>
    <row r="233" spans="2:18">
      <c r="B233" s="93" t="s">
        <v>779</v>
      </c>
      <c r="C233" s="90"/>
      <c r="D233" s="90"/>
      <c r="E233" s="90"/>
      <c r="F233" s="93" t="s">
        <v>368</v>
      </c>
      <c r="G233" s="93">
        <v>2019</v>
      </c>
      <c r="H233" s="325">
        <v>510273.00000000006</v>
      </c>
      <c r="I233" s="93">
        <v>2021</v>
      </c>
      <c r="J233" s="325">
        <v>443263.94964000006</v>
      </c>
      <c r="K233" s="147"/>
      <c r="R233" s="3" t="s">
        <v>488</v>
      </c>
    </row>
    <row r="234" spans="2:18">
      <c r="B234" s="93" t="s">
        <v>780</v>
      </c>
      <c r="C234" s="90"/>
      <c r="D234" s="90"/>
      <c r="E234" s="90"/>
      <c r="F234" s="93" t="s">
        <v>361</v>
      </c>
      <c r="G234" s="93">
        <v>2020</v>
      </c>
      <c r="H234" s="325">
        <v>4054436.8604233577</v>
      </c>
      <c r="I234" s="93">
        <v>2021</v>
      </c>
      <c r="J234" s="325">
        <v>2883515.4951330922</v>
      </c>
      <c r="K234" s="147"/>
      <c r="R234" s="3" t="s">
        <v>488</v>
      </c>
    </row>
    <row r="235" spans="2:18">
      <c r="B235" s="93" t="s">
        <v>781</v>
      </c>
      <c r="C235" s="90"/>
      <c r="D235" s="90"/>
      <c r="E235" s="90"/>
      <c r="F235" s="93" t="s">
        <v>327</v>
      </c>
      <c r="G235" s="93">
        <v>2021</v>
      </c>
      <c r="H235" s="325">
        <v>2667062.5363170211</v>
      </c>
      <c r="I235" s="93">
        <v>2021</v>
      </c>
      <c r="J235" s="325">
        <v>2533709.4095011703</v>
      </c>
      <c r="K235" s="147"/>
      <c r="R235" s="3" t="s">
        <v>488</v>
      </c>
    </row>
    <row r="236" spans="2:18">
      <c r="B236" s="93" t="s">
        <v>782</v>
      </c>
      <c r="C236" s="90"/>
      <c r="D236" s="90"/>
      <c r="E236" s="90"/>
      <c r="F236" s="93" t="s">
        <v>323</v>
      </c>
      <c r="G236" s="93">
        <v>2021</v>
      </c>
      <c r="H236" s="325">
        <v>467492.45719026914</v>
      </c>
      <c r="I236" s="93">
        <v>2021</v>
      </c>
      <c r="J236" s="325">
        <v>444117.83433075569</v>
      </c>
      <c r="K236" s="147"/>
      <c r="R236" s="3" t="s">
        <v>488</v>
      </c>
    </row>
    <row r="237" spans="2:18">
      <c r="B237" s="93" t="s">
        <v>783</v>
      </c>
      <c r="C237" s="90"/>
      <c r="D237" s="90"/>
      <c r="E237" s="90"/>
      <c r="F237" s="93" t="s">
        <v>366</v>
      </c>
      <c r="G237" s="93">
        <v>2021</v>
      </c>
      <c r="H237" s="325">
        <v>3432262.7310020467</v>
      </c>
      <c r="I237" s="93">
        <v>2021</v>
      </c>
      <c r="J237" s="325">
        <v>3260649.5944519443</v>
      </c>
      <c r="K237" s="147"/>
      <c r="R237" s="3" t="s">
        <v>488</v>
      </c>
    </row>
    <row r="238" spans="2:18">
      <c r="B238" s="93" t="s">
        <v>784</v>
      </c>
      <c r="C238" s="90"/>
      <c r="D238" s="90"/>
      <c r="E238" s="90"/>
      <c r="F238" s="93" t="s">
        <v>361</v>
      </c>
      <c r="G238" s="93">
        <v>2021</v>
      </c>
      <c r="H238" s="325">
        <v>8176022.700880779</v>
      </c>
      <c r="I238" s="93">
        <v>2021</v>
      </c>
      <c r="J238" s="325">
        <v>7358420.4307927005</v>
      </c>
      <c r="K238" s="147"/>
      <c r="R238" s="3" t="s">
        <v>488</v>
      </c>
    </row>
    <row r="239" spans="2:18">
      <c r="B239" s="93" t="s">
        <v>785</v>
      </c>
      <c r="C239" s="90"/>
      <c r="D239" s="90"/>
      <c r="E239" s="90"/>
      <c r="F239" s="93" t="s">
        <v>367</v>
      </c>
      <c r="G239" s="93">
        <v>2019</v>
      </c>
      <c r="H239" s="325">
        <v>1603714.1720507673</v>
      </c>
      <c r="I239" s="93">
        <v>2021</v>
      </c>
      <c r="J239" s="325">
        <v>1393114.426977061</v>
      </c>
      <c r="K239" s="147"/>
      <c r="R239" s="3" t="s">
        <v>488</v>
      </c>
    </row>
    <row r="240" spans="2:18">
      <c r="B240" s="93" t="s">
        <v>786</v>
      </c>
      <c r="C240" s="90"/>
      <c r="D240" s="90"/>
      <c r="E240" s="90"/>
      <c r="F240" s="93" t="s">
        <v>369</v>
      </c>
      <c r="G240" s="93">
        <v>2019</v>
      </c>
      <c r="H240" s="325">
        <v>315883</v>
      </c>
      <c r="I240" s="93">
        <v>2021</v>
      </c>
      <c r="J240" s="325">
        <v>274401.24443999998</v>
      </c>
      <c r="K240" s="147"/>
      <c r="R240" s="3" t="s">
        <v>488</v>
      </c>
    </row>
    <row r="241" spans="1:18">
      <c r="B241" s="93" t="s">
        <v>787</v>
      </c>
      <c r="C241" s="90"/>
      <c r="D241" s="90"/>
      <c r="E241" s="90"/>
      <c r="F241" s="93" t="s">
        <v>367</v>
      </c>
      <c r="G241" s="93">
        <v>2020</v>
      </c>
      <c r="H241" s="325">
        <v>437.7361508808076</v>
      </c>
      <c r="I241" s="93">
        <v>2021</v>
      </c>
      <c r="J241" s="325">
        <v>400.26593636541048</v>
      </c>
      <c r="K241" s="147"/>
      <c r="R241" s="3" t="s">
        <v>488</v>
      </c>
    </row>
    <row r="242" spans="1:18">
      <c r="B242" s="93" t="s">
        <v>788</v>
      </c>
      <c r="C242" s="90"/>
      <c r="D242" s="90"/>
      <c r="E242" s="90"/>
      <c r="F242" s="93" t="s">
        <v>313</v>
      </c>
      <c r="G242" s="93">
        <v>2020</v>
      </c>
      <c r="H242" s="325">
        <v>274981.09053004743</v>
      </c>
      <c r="I242" s="93">
        <v>2021</v>
      </c>
      <c r="J242" s="325">
        <v>237473.66978174893</v>
      </c>
      <c r="K242" s="147"/>
      <c r="R242" s="3" t="s">
        <v>488</v>
      </c>
    </row>
    <row r="243" spans="1:18">
      <c r="B243" s="93" t="s">
        <v>789</v>
      </c>
      <c r="C243" s="90"/>
      <c r="D243" s="90"/>
      <c r="E243" s="90"/>
      <c r="F243" s="93" t="s">
        <v>311</v>
      </c>
      <c r="G243" s="93">
        <v>2020</v>
      </c>
      <c r="H243" s="325">
        <v>1155506.2616599156</v>
      </c>
      <c r="I243" s="93">
        <v>2021</v>
      </c>
      <c r="J243" s="325">
        <v>1173994.3618464742</v>
      </c>
      <c r="K243" s="147"/>
      <c r="R243" s="3" t="s">
        <v>488</v>
      </c>
    </row>
    <row r="244" spans="1:18">
      <c r="B244" s="93" t="s">
        <v>790</v>
      </c>
      <c r="C244" s="90"/>
      <c r="D244" s="90"/>
      <c r="E244" s="90"/>
      <c r="F244" s="93" t="s">
        <v>321</v>
      </c>
      <c r="G244" s="93">
        <v>2020</v>
      </c>
      <c r="H244" s="325">
        <v>227204.18889764068</v>
      </c>
      <c r="I244" s="93">
        <v>2021</v>
      </c>
      <c r="J244" s="325">
        <v>196213.53753200249</v>
      </c>
      <c r="K244" s="147"/>
      <c r="R244" s="3" t="s">
        <v>488</v>
      </c>
    </row>
    <row r="245" spans="1:18">
      <c r="B245" s="93" t="s">
        <v>791</v>
      </c>
      <c r="C245" s="90"/>
      <c r="D245" s="90"/>
      <c r="E245" s="90"/>
      <c r="F245" s="93" t="s">
        <v>327</v>
      </c>
      <c r="G245" s="93">
        <v>2020</v>
      </c>
      <c r="H245" s="325">
        <v>880855.41897943604</v>
      </c>
      <c r="I245" s="93">
        <v>2021</v>
      </c>
      <c r="J245" s="325">
        <v>760706.73983064084</v>
      </c>
      <c r="K245" s="147"/>
      <c r="R245" s="3" t="s">
        <v>488</v>
      </c>
    </row>
    <row r="246" spans="1:18">
      <c r="B246" s="93" t="s">
        <v>792</v>
      </c>
      <c r="C246" s="90"/>
      <c r="D246" s="90"/>
      <c r="E246" s="90"/>
      <c r="F246" s="93" t="s">
        <v>334</v>
      </c>
      <c r="G246" s="93">
        <v>2020</v>
      </c>
      <c r="H246" s="325">
        <v>111163.8757407683</v>
      </c>
      <c r="I246" s="93">
        <v>2021</v>
      </c>
      <c r="J246" s="325">
        <v>96001.123089727509</v>
      </c>
      <c r="K246" s="147"/>
      <c r="R246" s="3" t="s">
        <v>488</v>
      </c>
    </row>
    <row r="247" spans="1:18">
      <c r="B247" s="93" t="s">
        <v>793</v>
      </c>
      <c r="C247" s="90"/>
      <c r="D247" s="90"/>
      <c r="E247" s="90"/>
      <c r="F247" s="93" t="s">
        <v>366</v>
      </c>
      <c r="G247" s="93">
        <v>2020</v>
      </c>
      <c r="H247" s="325">
        <v>2253829.6322485749</v>
      </c>
      <c r="I247" s="93">
        <v>2021</v>
      </c>
      <c r="J247" s="325">
        <v>1946407.2704098693</v>
      </c>
      <c r="K247" s="147"/>
      <c r="R247" s="3" t="s">
        <v>488</v>
      </c>
    </row>
    <row r="248" spans="1:18">
      <c r="B248" s="93" t="s">
        <v>794</v>
      </c>
      <c r="C248" s="90"/>
      <c r="D248" s="90"/>
      <c r="E248" s="90"/>
      <c r="F248" s="93" t="s">
        <v>344</v>
      </c>
      <c r="G248" s="93">
        <v>2020</v>
      </c>
      <c r="H248" s="325">
        <v>715175.01653112471</v>
      </c>
      <c r="I248" s="93">
        <v>2021</v>
      </c>
      <c r="J248" s="325">
        <v>690286.92595584155</v>
      </c>
      <c r="K248" s="147"/>
      <c r="R248" s="3" t="s">
        <v>488</v>
      </c>
    </row>
    <row r="249" spans="1:18">
      <c r="B249" s="93" t="s">
        <v>795</v>
      </c>
      <c r="C249" s="90"/>
      <c r="D249" s="90"/>
      <c r="E249" s="90"/>
      <c r="F249" s="93" t="s">
        <v>317</v>
      </c>
      <c r="G249" s="93">
        <v>2020</v>
      </c>
      <c r="H249" s="325">
        <v>611310.12783119339</v>
      </c>
      <c r="I249" s="93">
        <v>2021</v>
      </c>
      <c r="J249" s="325">
        <v>590036.53538266791</v>
      </c>
      <c r="K249" s="147"/>
      <c r="R249" s="3" t="s">
        <v>488</v>
      </c>
    </row>
    <row r="250" spans="1:18">
      <c r="B250" s="93" t="s">
        <v>796</v>
      </c>
      <c r="C250" s="90"/>
      <c r="D250" s="90"/>
      <c r="E250" s="90"/>
      <c r="F250" s="93" t="s">
        <v>321</v>
      </c>
      <c r="G250" s="93">
        <v>2021</v>
      </c>
      <c r="H250" s="325">
        <v>384242.51972392667</v>
      </c>
      <c r="I250" s="93">
        <v>2021</v>
      </c>
      <c r="J250" s="325">
        <v>365030.39373773034</v>
      </c>
      <c r="K250" s="147"/>
      <c r="R250" s="3" t="s">
        <v>488</v>
      </c>
    </row>
    <row r="251" spans="1:18">
      <c r="B251" s="93" t="s">
        <v>797</v>
      </c>
      <c r="C251" s="90"/>
      <c r="D251" s="90"/>
      <c r="E251" s="90"/>
      <c r="F251" s="93" t="s">
        <v>344</v>
      </c>
      <c r="G251" s="93">
        <v>2021</v>
      </c>
      <c r="H251" s="325">
        <v>1098657.1778898467</v>
      </c>
      <c r="I251" s="93">
        <v>2021</v>
      </c>
      <c r="J251" s="325">
        <v>1080346.2249250161</v>
      </c>
      <c r="K251" s="147"/>
      <c r="R251" s="3" t="s">
        <v>488</v>
      </c>
    </row>
    <row r="252" spans="1:18">
      <c r="B252" s="93" t="s">
        <v>798</v>
      </c>
      <c r="C252" s="90"/>
      <c r="D252" s="90"/>
      <c r="E252" s="90"/>
      <c r="F252" s="93" t="s">
        <v>310</v>
      </c>
      <c r="G252" s="93">
        <v>1993</v>
      </c>
      <c r="H252" s="325">
        <v>27208128.690000001</v>
      </c>
      <c r="I252" s="93">
        <v>2021</v>
      </c>
      <c r="J252" s="325">
        <v>0</v>
      </c>
      <c r="K252" s="147"/>
      <c r="R252" s="3" t="s">
        <v>488</v>
      </c>
    </row>
    <row r="253" spans="1:18">
      <c r="B253" s="93" t="s">
        <v>799</v>
      </c>
      <c r="C253" s="90"/>
      <c r="D253" s="90"/>
      <c r="E253" s="90"/>
      <c r="F253" s="93" t="s">
        <v>317</v>
      </c>
      <c r="G253" s="93">
        <v>2021</v>
      </c>
      <c r="H253" s="325">
        <v>114485.52709029273</v>
      </c>
      <c r="I253" s="93">
        <v>2021</v>
      </c>
      <c r="J253" s="325">
        <v>112577.43497212119</v>
      </c>
      <c r="K253" s="147"/>
      <c r="R253" s="3" t="s">
        <v>488</v>
      </c>
    </row>
    <row r="254" spans="1:18">
      <c r="B254" s="93" t="s">
        <v>800</v>
      </c>
      <c r="C254" s="90"/>
      <c r="D254" s="90"/>
      <c r="E254" s="90"/>
      <c r="F254" s="93" t="s">
        <v>366</v>
      </c>
      <c r="G254" s="93">
        <v>2019</v>
      </c>
      <c r="H254" s="325">
        <v>5155994.869123158</v>
      </c>
      <c r="I254" s="93">
        <v>2021</v>
      </c>
      <c r="J254" s="325">
        <v>4031018.6606189152</v>
      </c>
      <c r="K254" s="147"/>
      <c r="R254" s="3" t="s">
        <v>488</v>
      </c>
    </row>
    <row r="256" spans="1:18" s="314" customFormat="1" ht="12.75" customHeight="1">
      <c r="A256" s="320"/>
      <c r="B256" s="33" t="s">
        <v>801</v>
      </c>
      <c r="C256" s="33"/>
      <c r="D256" s="33"/>
      <c r="E256" s="33"/>
      <c r="F256" s="33"/>
      <c r="G256" s="33"/>
      <c r="H256" s="186"/>
      <c r="I256" s="186"/>
      <c r="J256" s="186"/>
      <c r="L256" s="33"/>
      <c r="M256" s="33"/>
      <c r="N256" s="33"/>
    </row>
    <row r="257" spans="1:14" s="315" customFormat="1" ht="12.75" customHeight="1">
      <c r="A257" s="321"/>
      <c r="B257" s="34" t="s">
        <v>157</v>
      </c>
      <c r="C257" s="34"/>
      <c r="D257" s="34" t="s">
        <v>199</v>
      </c>
      <c r="E257" s="34"/>
      <c r="F257" s="34" t="s">
        <v>301</v>
      </c>
      <c r="G257" s="34" t="s">
        <v>802</v>
      </c>
      <c r="H257" s="101" t="s">
        <v>521</v>
      </c>
      <c r="I257" s="101" t="s">
        <v>302</v>
      </c>
      <c r="J257" s="101"/>
      <c r="K257" s="316"/>
      <c r="L257" s="34" t="s">
        <v>201</v>
      </c>
      <c r="M257" s="34"/>
      <c r="N257" s="34" t="s">
        <v>202</v>
      </c>
    </row>
    <row r="258" spans="1:14" s="4" customFormat="1">
      <c r="B258" s="3"/>
      <c r="C258" s="3"/>
      <c r="D258" s="3"/>
      <c r="E258" s="3"/>
      <c r="F258" s="3"/>
      <c r="G258" s="3"/>
      <c r="H258" s="3"/>
      <c r="I258" s="3"/>
      <c r="J258" s="3"/>
    </row>
    <row r="259" spans="1:14" s="4" customFormat="1">
      <c r="B259" s="93" t="s">
        <v>558</v>
      </c>
      <c r="C259" s="93" t="s">
        <v>803</v>
      </c>
      <c r="D259" s="93"/>
      <c r="E259" s="93"/>
      <c r="F259" s="93" t="s">
        <v>308</v>
      </c>
      <c r="G259" s="93">
        <v>2022</v>
      </c>
      <c r="H259" s="325">
        <v>16559.007294242547</v>
      </c>
      <c r="I259" s="93">
        <v>30</v>
      </c>
      <c r="J259" s="3"/>
      <c r="L259" s="3" t="s">
        <v>488</v>
      </c>
    </row>
    <row r="260" spans="1:14" s="4" customFormat="1">
      <c r="B260" s="93" t="s">
        <v>559</v>
      </c>
      <c r="C260" s="93" t="s">
        <v>803</v>
      </c>
      <c r="D260" s="93"/>
      <c r="E260" s="93"/>
      <c r="F260" s="93" t="s">
        <v>313</v>
      </c>
      <c r="G260" s="93">
        <v>2022</v>
      </c>
      <c r="H260" s="325">
        <v>260373.81710683607</v>
      </c>
      <c r="I260" s="93">
        <v>10</v>
      </c>
      <c r="J260" s="3"/>
      <c r="L260" s="3" t="s">
        <v>488</v>
      </c>
    </row>
    <row r="261" spans="1:14" s="4" customFormat="1">
      <c r="B261" s="93" t="s">
        <v>560</v>
      </c>
      <c r="C261" s="93" t="s">
        <v>803</v>
      </c>
      <c r="D261" s="93"/>
      <c r="E261" s="93"/>
      <c r="F261" s="93" t="s">
        <v>317</v>
      </c>
      <c r="G261" s="93">
        <v>2022</v>
      </c>
      <c r="H261" s="325">
        <v>122473.44778654278</v>
      </c>
      <c r="I261" s="93">
        <v>30</v>
      </c>
      <c r="J261" s="3"/>
      <c r="L261" s="3" t="s">
        <v>488</v>
      </c>
    </row>
    <row r="262" spans="1:14" s="4" customFormat="1">
      <c r="B262" s="93" t="s">
        <v>561</v>
      </c>
      <c r="C262" s="93" t="s">
        <v>803</v>
      </c>
      <c r="D262" s="93"/>
      <c r="E262" s="93"/>
      <c r="F262" s="93" t="s">
        <v>321</v>
      </c>
      <c r="G262" s="93">
        <v>2022</v>
      </c>
      <c r="H262" s="325">
        <v>36759.559841941234</v>
      </c>
      <c r="I262" s="93">
        <v>10</v>
      </c>
      <c r="J262" s="3"/>
      <c r="L262" s="3" t="s">
        <v>488</v>
      </c>
    </row>
    <row r="263" spans="1:14" s="4" customFormat="1">
      <c r="B263" s="93" t="s">
        <v>562</v>
      </c>
      <c r="C263" s="93" t="s">
        <v>803</v>
      </c>
      <c r="D263" s="93"/>
      <c r="E263" s="93"/>
      <c r="F263" s="93" t="s">
        <v>323</v>
      </c>
      <c r="G263" s="93">
        <v>2022</v>
      </c>
      <c r="H263" s="325">
        <v>21601.372149086525</v>
      </c>
      <c r="I263" s="93">
        <v>10</v>
      </c>
      <c r="J263" s="3"/>
      <c r="L263" s="3" t="s">
        <v>488</v>
      </c>
    </row>
    <row r="264" spans="1:14" s="4" customFormat="1">
      <c r="B264" s="93" t="s">
        <v>563</v>
      </c>
      <c r="C264" s="93" t="s">
        <v>803</v>
      </c>
      <c r="D264" s="93"/>
      <c r="E264" s="93"/>
      <c r="F264" s="93" t="s">
        <v>327</v>
      </c>
      <c r="G264" s="93">
        <v>2022</v>
      </c>
      <c r="H264" s="325">
        <v>27449.908957678137</v>
      </c>
      <c r="I264" s="93">
        <v>10</v>
      </c>
      <c r="J264" s="3"/>
      <c r="L264" s="3" t="s">
        <v>488</v>
      </c>
    </row>
    <row r="265" spans="1:14" s="4" customFormat="1">
      <c r="B265" s="93" t="s">
        <v>564</v>
      </c>
      <c r="C265" s="93" t="s">
        <v>803</v>
      </c>
      <c r="D265" s="93"/>
      <c r="E265" s="93"/>
      <c r="F265" s="93" t="s">
        <v>332</v>
      </c>
      <c r="G265" s="93">
        <v>2022</v>
      </c>
      <c r="H265" s="325">
        <v>5479.9654928677874</v>
      </c>
      <c r="I265" s="93">
        <v>10</v>
      </c>
      <c r="J265" s="3"/>
      <c r="L265" s="3" t="s">
        <v>488</v>
      </c>
    </row>
    <row r="266" spans="1:14" s="4" customFormat="1">
      <c r="B266" s="93" t="s">
        <v>565</v>
      </c>
      <c r="C266" s="93" t="s">
        <v>803</v>
      </c>
      <c r="D266" s="93"/>
      <c r="E266" s="93"/>
      <c r="F266" s="93" t="s">
        <v>344</v>
      </c>
      <c r="G266" s="93">
        <v>2022</v>
      </c>
      <c r="H266" s="325">
        <v>1725081.9671582393</v>
      </c>
      <c r="I266" s="93">
        <v>30</v>
      </c>
      <c r="J266" s="3"/>
      <c r="L266" s="3" t="s">
        <v>488</v>
      </c>
    </row>
    <row r="267" spans="1:14" s="4" customFormat="1">
      <c r="B267" s="93" t="s">
        <v>566</v>
      </c>
      <c r="C267" s="93" t="s">
        <v>803</v>
      </c>
      <c r="D267" s="93"/>
      <c r="E267" s="93"/>
      <c r="F267" s="93" t="s">
        <v>361</v>
      </c>
      <c r="G267" s="93">
        <v>2022</v>
      </c>
      <c r="H267" s="325">
        <v>4476157.998399551</v>
      </c>
      <c r="I267" s="93">
        <v>5</v>
      </c>
      <c r="J267" s="3"/>
      <c r="L267" s="3" t="s">
        <v>488</v>
      </c>
    </row>
    <row r="268" spans="1:14" s="4" customFormat="1">
      <c r="B268" s="93" t="s">
        <v>567</v>
      </c>
      <c r="C268" s="93" t="s">
        <v>803</v>
      </c>
      <c r="D268" s="93"/>
      <c r="E268" s="93"/>
      <c r="F268" s="93" t="s">
        <v>366</v>
      </c>
      <c r="G268" s="93">
        <v>2022</v>
      </c>
      <c r="H268" s="325">
        <v>7088672.5580014829</v>
      </c>
      <c r="I268" s="93">
        <v>10</v>
      </c>
      <c r="J268" s="3"/>
      <c r="L268" s="3" t="s">
        <v>488</v>
      </c>
    </row>
    <row r="269" spans="1:14" s="4" customFormat="1">
      <c r="B269" s="93" t="s">
        <v>568</v>
      </c>
      <c r="C269" s="93" t="s">
        <v>803</v>
      </c>
      <c r="D269" s="93"/>
      <c r="E269" s="93"/>
      <c r="F269" s="93" t="s">
        <v>313</v>
      </c>
      <c r="G269" s="93">
        <v>2023</v>
      </c>
      <c r="H269" s="325">
        <v>11177.445801540334</v>
      </c>
      <c r="I269" s="93">
        <v>10</v>
      </c>
      <c r="J269" s="3"/>
      <c r="L269" s="3" t="s">
        <v>488</v>
      </c>
    </row>
    <row r="270" spans="1:14" s="4" customFormat="1">
      <c r="B270" s="93" t="s">
        <v>569</v>
      </c>
      <c r="C270" s="93" t="s">
        <v>803</v>
      </c>
      <c r="D270" s="93"/>
      <c r="E270" s="93"/>
      <c r="F270" s="93" t="s">
        <v>317</v>
      </c>
      <c r="G270" s="93">
        <v>2023</v>
      </c>
      <c r="H270" s="325">
        <v>-4073.7374626236651</v>
      </c>
      <c r="I270" s="93">
        <v>30</v>
      </c>
      <c r="J270" s="3"/>
      <c r="L270" s="3" t="s">
        <v>488</v>
      </c>
    </row>
    <row r="271" spans="1:14" s="4" customFormat="1">
      <c r="B271" s="93" t="s">
        <v>570</v>
      </c>
      <c r="C271" s="93" t="s">
        <v>803</v>
      </c>
      <c r="D271" s="93"/>
      <c r="E271" s="93"/>
      <c r="F271" s="93" t="s">
        <v>321</v>
      </c>
      <c r="G271" s="93">
        <v>2023</v>
      </c>
      <c r="H271" s="325">
        <v>17573.135050625202</v>
      </c>
      <c r="I271" s="93">
        <v>10</v>
      </c>
      <c r="J271" s="3"/>
      <c r="L271" s="3" t="s">
        <v>488</v>
      </c>
    </row>
    <row r="272" spans="1:14" s="4" customFormat="1">
      <c r="B272" s="93" t="s">
        <v>571</v>
      </c>
      <c r="C272" s="93" t="s">
        <v>803</v>
      </c>
      <c r="D272" s="93"/>
      <c r="E272" s="93"/>
      <c r="F272" s="93" t="s">
        <v>323</v>
      </c>
      <c r="G272" s="93">
        <v>2023</v>
      </c>
      <c r="H272" s="325">
        <v>67874.603678325308</v>
      </c>
      <c r="I272" s="93">
        <v>10</v>
      </c>
      <c r="J272" s="3"/>
      <c r="L272" s="3" t="s">
        <v>488</v>
      </c>
    </row>
    <row r="273" spans="1:12" s="4" customFormat="1">
      <c r="B273" s="93" t="s">
        <v>572</v>
      </c>
      <c r="C273" s="93" t="s">
        <v>803</v>
      </c>
      <c r="D273" s="93"/>
      <c r="E273" s="93"/>
      <c r="F273" s="93" t="s">
        <v>327</v>
      </c>
      <c r="G273" s="93">
        <v>2023</v>
      </c>
      <c r="H273" s="325">
        <v>855785.56065618468</v>
      </c>
      <c r="I273" s="93">
        <v>10</v>
      </c>
      <c r="J273" s="3"/>
      <c r="L273" s="3" t="s">
        <v>488</v>
      </c>
    </row>
    <row r="274" spans="1:12" s="4" customFormat="1">
      <c r="B274" s="93" t="s">
        <v>573</v>
      </c>
      <c r="C274" s="93" t="s">
        <v>803</v>
      </c>
      <c r="D274" s="93"/>
      <c r="E274" s="93"/>
      <c r="F274" s="93" t="s">
        <v>344</v>
      </c>
      <c r="G274" s="93">
        <v>2023</v>
      </c>
      <c r="H274" s="325">
        <v>1174802.9772874359</v>
      </c>
      <c r="I274" s="93">
        <v>30</v>
      </c>
      <c r="J274" s="3"/>
      <c r="L274" s="3" t="s">
        <v>488</v>
      </c>
    </row>
    <row r="275" spans="1:12" s="4" customFormat="1">
      <c r="B275" s="93" t="s">
        <v>574</v>
      </c>
      <c r="C275" s="93" t="s">
        <v>803</v>
      </c>
      <c r="D275" s="93"/>
      <c r="E275" s="93"/>
      <c r="F275" s="93" t="s">
        <v>361</v>
      </c>
      <c r="G275" s="93">
        <v>2023</v>
      </c>
      <c r="H275" s="325">
        <v>6239530.5600440903</v>
      </c>
      <c r="I275" s="93">
        <v>5</v>
      </c>
      <c r="J275" s="3"/>
      <c r="L275" s="3" t="s">
        <v>488</v>
      </c>
    </row>
    <row r="276" spans="1:12" s="4" customFormat="1">
      <c r="B276" s="93" t="s">
        <v>575</v>
      </c>
      <c r="C276" s="93" t="s">
        <v>803</v>
      </c>
      <c r="D276" s="93"/>
      <c r="E276" s="93"/>
      <c r="F276" s="93" t="s">
        <v>366</v>
      </c>
      <c r="G276" s="93">
        <v>2023</v>
      </c>
      <c r="H276" s="325">
        <v>6222.6743563099471</v>
      </c>
      <c r="I276" s="93">
        <v>10</v>
      </c>
      <c r="J276" s="3"/>
      <c r="L276" s="3" t="s">
        <v>488</v>
      </c>
    </row>
    <row r="277" spans="1:12" s="4" customFormat="1" ht="14.25">
      <c r="B277" s="132" t="s">
        <v>576</v>
      </c>
      <c r="C277" s="132" t="s">
        <v>803</v>
      </c>
      <c r="D277" s="132"/>
      <c r="E277" s="132"/>
      <c r="F277" s="132" t="s">
        <v>344</v>
      </c>
      <c r="G277" s="132">
        <v>2024</v>
      </c>
      <c r="H277" s="326">
        <v>34319.620000000003</v>
      </c>
      <c r="I277" s="132">
        <v>30</v>
      </c>
      <c r="J277" s="168"/>
      <c r="K277" s="343"/>
    </row>
    <row r="278" spans="1:12" s="4" customFormat="1" ht="14.25">
      <c r="B278" s="132" t="s">
        <v>577</v>
      </c>
      <c r="C278" s="132" t="s">
        <v>803</v>
      </c>
      <c r="D278" s="132"/>
      <c r="E278" s="132"/>
      <c r="F278" s="132" t="s">
        <v>344</v>
      </c>
      <c r="G278" s="132">
        <v>2024</v>
      </c>
      <c r="H278" s="326">
        <v>7115.03</v>
      </c>
      <c r="I278" s="132">
        <v>30</v>
      </c>
      <c r="J278" s="168"/>
      <c r="K278" s="343"/>
    </row>
    <row r="279" spans="1:12" ht="14.25">
      <c r="A279" s="4"/>
      <c r="B279" s="132" t="s">
        <v>578</v>
      </c>
      <c r="C279" s="132" t="s">
        <v>803</v>
      </c>
      <c r="D279" s="132"/>
      <c r="E279" s="132"/>
      <c r="F279" s="132" t="s">
        <v>344</v>
      </c>
      <c r="G279" s="132">
        <v>2024</v>
      </c>
      <c r="H279" s="326">
        <v>5441710.2199999997</v>
      </c>
      <c r="I279" s="132">
        <v>30</v>
      </c>
      <c r="J279" s="168"/>
      <c r="K279" s="343"/>
    </row>
    <row r="280" spans="1:12" ht="14.25">
      <c r="A280" s="4"/>
      <c r="B280" s="132" t="s">
        <v>579</v>
      </c>
      <c r="C280" s="132" t="s">
        <v>803</v>
      </c>
      <c r="D280" s="132"/>
      <c r="E280" s="132"/>
      <c r="F280" s="132" t="s">
        <v>344</v>
      </c>
      <c r="G280" s="132">
        <v>2024</v>
      </c>
      <c r="H280" s="326">
        <v>872258.5</v>
      </c>
      <c r="I280" s="132">
        <v>30</v>
      </c>
      <c r="J280" s="168"/>
      <c r="K280" s="343"/>
    </row>
    <row r="281" spans="1:12" ht="14.25">
      <c r="A281" s="4"/>
      <c r="B281" s="132" t="s">
        <v>580</v>
      </c>
      <c r="C281" s="132" t="s">
        <v>803</v>
      </c>
      <c r="D281" s="132"/>
      <c r="E281" s="132"/>
      <c r="F281" s="132" t="s">
        <v>313</v>
      </c>
      <c r="G281" s="132">
        <v>2024</v>
      </c>
      <c r="H281" s="326">
        <v>949.25</v>
      </c>
      <c r="I281" s="132">
        <v>10</v>
      </c>
      <c r="J281" s="168"/>
      <c r="K281" s="343"/>
    </row>
    <row r="282" spans="1:12" ht="14.25">
      <c r="A282" s="4"/>
      <c r="B282" s="132" t="s">
        <v>581</v>
      </c>
      <c r="C282" s="132" t="s">
        <v>803</v>
      </c>
      <c r="D282" s="132"/>
      <c r="E282" s="132"/>
      <c r="F282" s="132" t="s">
        <v>323</v>
      </c>
      <c r="G282" s="132">
        <v>2024</v>
      </c>
      <c r="H282" s="326">
        <v>57302.38</v>
      </c>
      <c r="I282" s="132">
        <v>10</v>
      </c>
      <c r="J282" s="168"/>
      <c r="K282" s="343"/>
    </row>
    <row r="283" spans="1:12" ht="14.25">
      <c r="A283" s="4"/>
      <c r="B283" s="132" t="s">
        <v>582</v>
      </c>
      <c r="C283" s="132" t="s">
        <v>803</v>
      </c>
      <c r="D283" s="132"/>
      <c r="E283" s="132"/>
      <c r="F283" s="132" t="s">
        <v>323</v>
      </c>
      <c r="G283" s="132">
        <v>2024</v>
      </c>
      <c r="H283" s="326">
        <v>543.80999999999995</v>
      </c>
      <c r="I283" s="132">
        <v>10</v>
      </c>
      <c r="J283" s="168"/>
      <c r="K283" s="343"/>
    </row>
    <row r="284" spans="1:12" ht="14.25">
      <c r="A284" s="4"/>
      <c r="B284" s="132" t="s">
        <v>583</v>
      </c>
      <c r="C284" s="132" t="s">
        <v>803</v>
      </c>
      <c r="D284" s="132"/>
      <c r="E284" s="132"/>
      <c r="F284" s="132" t="s">
        <v>361</v>
      </c>
      <c r="G284" s="132">
        <v>2024</v>
      </c>
      <c r="H284" s="326">
        <v>1487353.31</v>
      </c>
      <c r="I284" s="132">
        <v>5</v>
      </c>
      <c r="J284" s="168"/>
      <c r="K284" s="343"/>
    </row>
    <row r="285" spans="1:12" ht="14.25">
      <c r="A285" s="4"/>
      <c r="B285" s="132" t="s">
        <v>584</v>
      </c>
      <c r="C285" s="132" t="s">
        <v>803</v>
      </c>
      <c r="D285" s="132"/>
      <c r="E285" s="132"/>
      <c r="F285" s="132" t="s">
        <v>361</v>
      </c>
      <c r="G285" s="132">
        <v>2024</v>
      </c>
      <c r="H285" s="326">
        <v>936361.01</v>
      </c>
      <c r="I285" s="132">
        <v>5</v>
      </c>
      <c r="J285" s="168"/>
      <c r="K285" s="343"/>
    </row>
    <row r="286" spans="1:12" ht="14.25">
      <c r="A286" s="4"/>
      <c r="B286" s="132" t="s">
        <v>585</v>
      </c>
      <c r="C286" s="132" t="s">
        <v>803</v>
      </c>
      <c r="D286" s="132"/>
      <c r="E286" s="132"/>
      <c r="F286" s="132" t="s">
        <v>361</v>
      </c>
      <c r="G286" s="132">
        <v>2024</v>
      </c>
      <c r="H286" s="326">
        <v>438039.14</v>
      </c>
      <c r="I286" s="132">
        <v>5</v>
      </c>
      <c r="J286" s="168"/>
      <c r="K286" s="343"/>
    </row>
    <row r="287" spans="1:12" ht="14.25">
      <c r="A287" s="4"/>
      <c r="B287" s="132" t="s">
        <v>586</v>
      </c>
      <c r="C287" s="132" t="s">
        <v>803</v>
      </c>
      <c r="D287" s="132"/>
      <c r="E287" s="132"/>
      <c r="F287" s="132" t="s">
        <v>361</v>
      </c>
      <c r="G287" s="132">
        <v>2024</v>
      </c>
      <c r="H287" s="326">
        <v>1519536.38</v>
      </c>
      <c r="I287" s="132">
        <v>5</v>
      </c>
      <c r="J287" s="168"/>
      <c r="K287" s="343"/>
    </row>
    <row r="288" spans="1:12" ht="14.25">
      <c r="A288" s="4"/>
      <c r="B288" s="132" t="s">
        <v>587</v>
      </c>
      <c r="C288" s="132" t="s">
        <v>803</v>
      </c>
      <c r="D288" s="132"/>
      <c r="E288" s="132"/>
      <c r="F288" s="132" t="s">
        <v>361</v>
      </c>
      <c r="G288" s="132">
        <v>2024</v>
      </c>
      <c r="H288" s="326">
        <v>4539688.4400000004</v>
      </c>
      <c r="I288" s="132">
        <v>5</v>
      </c>
      <c r="J288" s="168"/>
      <c r="K288" s="343"/>
    </row>
    <row r="289" spans="1:11" ht="14.25">
      <c r="A289" s="4"/>
      <c r="B289" s="132" t="s">
        <v>588</v>
      </c>
      <c r="C289" s="132" t="s">
        <v>803</v>
      </c>
      <c r="D289" s="132"/>
      <c r="E289" s="132"/>
      <c r="F289" s="132" t="s">
        <v>366</v>
      </c>
      <c r="G289" s="132">
        <v>2024</v>
      </c>
      <c r="H289" s="326">
        <v>6226578.5599999996</v>
      </c>
      <c r="I289" s="132">
        <v>10</v>
      </c>
      <c r="J289" s="168"/>
      <c r="K289" s="343"/>
    </row>
    <row r="290" spans="1:11" ht="14.25">
      <c r="A290" s="4"/>
      <c r="B290" s="132" t="s">
        <v>589</v>
      </c>
      <c r="C290" s="132" t="s">
        <v>803</v>
      </c>
      <c r="D290" s="132"/>
      <c r="E290" s="132"/>
      <c r="F290" s="132" t="s">
        <v>366</v>
      </c>
      <c r="G290" s="132">
        <v>2024</v>
      </c>
      <c r="H290" s="326">
        <v>187.42</v>
      </c>
      <c r="I290" s="132">
        <v>10</v>
      </c>
      <c r="J290" s="168"/>
      <c r="K290" s="343"/>
    </row>
    <row r="291" spans="1:11" ht="14.25">
      <c r="A291" s="4"/>
      <c r="B291" s="132" t="s">
        <v>590</v>
      </c>
      <c r="C291" s="132" t="s">
        <v>803</v>
      </c>
      <c r="D291" s="132"/>
      <c r="E291" s="132"/>
      <c r="F291" s="132" t="s">
        <v>367</v>
      </c>
      <c r="G291" s="132">
        <v>2024</v>
      </c>
      <c r="H291" s="326">
        <v>42771036.399999999</v>
      </c>
      <c r="I291" s="132">
        <v>15</v>
      </c>
      <c r="J291" s="168"/>
      <c r="K291" s="343"/>
    </row>
    <row r="292" spans="1:11">
      <c r="A292" s="4"/>
    </row>
    <row r="293" spans="1:11">
      <c r="A293" s="4"/>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CB87-609E-4AA1-889C-D811DF4A50B3}">
  <sheetPr>
    <tabColor rgb="FFCCFFCC"/>
  </sheetPr>
  <dimension ref="B2:U31"/>
  <sheetViews>
    <sheetView showGridLines="0" zoomScale="85" zoomScaleNormal="85" workbookViewId="0"/>
  </sheetViews>
  <sheetFormatPr defaultColWidth="9.140625" defaultRowHeight="12.75"/>
  <cols>
    <col min="1" max="1" width="2.5703125" style="3" customWidth="1"/>
    <col min="2" max="2" width="57.42578125" style="3" customWidth="1"/>
    <col min="3" max="3" width="2.5703125" style="3" customWidth="1"/>
    <col min="4" max="4" width="13.5703125" style="3" customWidth="1"/>
    <col min="5" max="5" width="2.5703125" style="3" customWidth="1"/>
    <col min="6" max="6" width="53.5703125" style="3" bestFit="1" customWidth="1"/>
    <col min="7" max="7" width="33.5703125" style="3" bestFit="1" customWidth="1"/>
    <col min="8" max="9" width="14.5703125" style="3" customWidth="1"/>
    <col min="10" max="10" width="22.42578125" style="3" bestFit="1" customWidth="1"/>
    <col min="11" max="11" width="27.140625" style="3" bestFit="1" customWidth="1"/>
    <col min="12" max="12" width="44.140625" style="3" bestFit="1" customWidth="1"/>
    <col min="13" max="17" width="14.5703125" style="3" customWidth="1"/>
    <col min="18" max="18" width="2.5703125" style="3" customWidth="1"/>
    <col min="19" max="19" width="20.5703125" style="3" customWidth="1"/>
    <col min="20" max="20" width="2.5703125" style="3" customWidth="1"/>
    <col min="21" max="34" width="13.5703125" style="3" customWidth="1"/>
    <col min="35" max="16384" width="9.140625" style="3"/>
  </cols>
  <sheetData>
    <row r="2" spans="2:21" s="12" customFormat="1" ht="18">
      <c r="B2" s="12" t="s">
        <v>804</v>
      </c>
    </row>
    <row r="4" spans="2:21">
      <c r="B4" s="16" t="s">
        <v>197</v>
      </c>
      <c r="C4" s="2"/>
    </row>
    <row r="5" spans="2:21" ht="15.75" customHeight="1">
      <c r="B5" s="349" t="s">
        <v>535</v>
      </c>
      <c r="C5" s="349"/>
      <c r="D5" s="349"/>
      <c r="F5" s="13"/>
    </row>
    <row r="7" spans="2:21">
      <c r="B7" s="17" t="s">
        <v>153</v>
      </c>
    </row>
    <row r="8" spans="2:21" ht="33" customHeight="1">
      <c r="B8" s="354" t="s">
        <v>551</v>
      </c>
      <c r="C8" s="354"/>
      <c r="D8" s="354"/>
    </row>
    <row r="10" spans="2:21" s="8" customFormat="1" ht="12.75" customHeight="1">
      <c r="B10" s="8" t="s">
        <v>157</v>
      </c>
      <c r="D10" s="8" t="s">
        <v>199</v>
      </c>
      <c r="F10" s="8" t="s">
        <v>200</v>
      </c>
      <c r="H10" s="46">
        <v>2017</v>
      </c>
      <c r="I10" s="46">
        <v>2018</v>
      </c>
      <c r="J10" s="46">
        <v>2019</v>
      </c>
      <c r="K10" s="46">
        <v>2020</v>
      </c>
      <c r="L10" s="46">
        <v>2021</v>
      </c>
      <c r="M10" s="46">
        <v>2022</v>
      </c>
      <c r="N10" s="46">
        <v>2023</v>
      </c>
      <c r="O10" s="46">
        <v>2024</v>
      </c>
      <c r="P10" s="46">
        <v>2025</v>
      </c>
      <c r="Q10" s="46">
        <v>2026</v>
      </c>
      <c r="S10" s="8" t="s">
        <v>201</v>
      </c>
      <c r="U10" s="8" t="s">
        <v>202</v>
      </c>
    </row>
    <row r="12" spans="2:21">
      <c r="B12" s="301"/>
      <c r="C12" s="13"/>
      <c r="D12" s="301"/>
      <c r="E12" s="13"/>
      <c r="F12" s="301"/>
      <c r="G12" s="13"/>
      <c r="H12" s="301"/>
      <c r="I12" s="301"/>
      <c r="J12" s="301"/>
      <c r="K12" s="301"/>
      <c r="L12" s="132"/>
      <c r="M12" s="132"/>
      <c r="N12" s="132"/>
      <c r="O12" s="132"/>
      <c r="P12" s="302"/>
      <c r="Q12" s="302"/>
    </row>
    <row r="13" spans="2:21" s="4" customFormat="1">
      <c r="B13" s="317"/>
      <c r="C13" s="317"/>
      <c r="D13" s="317"/>
      <c r="E13" s="317"/>
      <c r="F13" s="317"/>
      <c r="G13" s="317"/>
      <c r="H13" s="318"/>
      <c r="I13" s="317"/>
      <c r="J13" s="317"/>
      <c r="K13" s="318"/>
      <c r="L13" s="318"/>
      <c r="P13" s="319"/>
      <c r="Q13" s="319"/>
    </row>
    <row r="14" spans="2:21" s="4" customFormat="1">
      <c r="B14" s="317"/>
      <c r="C14" s="317"/>
      <c r="D14" s="317"/>
      <c r="E14" s="317"/>
      <c r="F14" s="317"/>
      <c r="G14" s="317"/>
      <c r="H14" s="318"/>
      <c r="I14" s="317"/>
      <c r="J14" s="317"/>
      <c r="K14" s="318"/>
      <c r="L14" s="318"/>
      <c r="P14" s="319"/>
      <c r="Q14" s="319"/>
    </row>
    <row r="15" spans="2:21" s="4" customFormat="1">
      <c r="B15" s="317"/>
      <c r="C15" s="317"/>
      <c r="D15" s="317"/>
      <c r="E15" s="317"/>
      <c r="F15" s="317"/>
      <c r="G15" s="317"/>
      <c r="H15" s="318"/>
      <c r="I15" s="317"/>
      <c r="J15" s="317"/>
      <c r="K15" s="318"/>
      <c r="L15" s="318"/>
    </row>
    <row r="16" spans="2:21" s="4" customFormat="1">
      <c r="B16" s="317"/>
      <c r="C16" s="317"/>
      <c r="D16" s="317"/>
      <c r="E16" s="317"/>
      <c r="F16" s="317"/>
      <c r="G16" s="317"/>
      <c r="H16" s="318"/>
      <c r="I16" s="317"/>
      <c r="J16" s="317"/>
      <c r="K16" s="318"/>
      <c r="L16" s="318"/>
    </row>
    <row r="17" spans="2:12" s="4" customFormat="1">
      <c r="B17" s="317"/>
      <c r="C17" s="317"/>
      <c r="D17" s="317"/>
      <c r="E17" s="317"/>
      <c r="F17" s="317"/>
      <c r="G17" s="317"/>
      <c r="H17" s="318"/>
      <c r="I17" s="317"/>
      <c r="J17" s="317"/>
      <c r="K17" s="318"/>
      <c r="L17" s="318"/>
    </row>
    <row r="18" spans="2:12" s="4" customFormat="1">
      <c r="B18" s="317"/>
      <c r="C18" s="317"/>
      <c r="D18" s="317"/>
      <c r="E18" s="317"/>
      <c r="F18" s="317"/>
      <c r="G18" s="317"/>
      <c r="H18" s="318"/>
      <c r="I18" s="317"/>
      <c r="J18" s="317"/>
      <c r="K18" s="318"/>
      <c r="L18" s="318"/>
    </row>
    <row r="19" spans="2:12" s="4" customFormat="1">
      <c r="B19" s="317"/>
      <c r="C19" s="317"/>
      <c r="D19" s="317"/>
      <c r="E19" s="317"/>
      <c r="F19" s="317"/>
      <c r="G19" s="317"/>
      <c r="H19" s="318"/>
      <c r="I19" s="317"/>
      <c r="J19" s="317"/>
      <c r="K19" s="318"/>
      <c r="L19" s="318"/>
    </row>
    <row r="20" spans="2:12" s="4" customFormat="1">
      <c r="B20" s="317"/>
      <c r="C20" s="317"/>
      <c r="D20" s="317"/>
      <c r="E20" s="317"/>
      <c r="F20" s="317"/>
      <c r="G20" s="317"/>
      <c r="H20" s="318"/>
      <c r="I20" s="317"/>
      <c r="J20" s="317"/>
      <c r="K20" s="318"/>
      <c r="L20" s="318"/>
    </row>
    <row r="21" spans="2:12" s="4" customFormat="1">
      <c r="B21" s="317"/>
      <c r="C21" s="317"/>
      <c r="D21" s="317"/>
      <c r="E21" s="317"/>
      <c r="F21" s="317"/>
      <c r="G21" s="317"/>
      <c r="H21" s="318"/>
      <c r="I21" s="317"/>
      <c r="J21" s="317"/>
      <c r="K21" s="318"/>
      <c r="L21" s="318"/>
    </row>
    <row r="22" spans="2:12" s="4" customFormat="1">
      <c r="B22" s="317"/>
      <c r="C22" s="317"/>
      <c r="D22" s="317"/>
      <c r="E22" s="317"/>
      <c r="F22" s="317"/>
      <c r="G22" s="317"/>
      <c r="H22" s="318"/>
      <c r="I22" s="317"/>
      <c r="J22" s="317"/>
      <c r="K22" s="318"/>
      <c r="L22" s="318"/>
    </row>
    <row r="23" spans="2:12" s="4" customFormat="1">
      <c r="B23" s="317"/>
      <c r="C23" s="317"/>
      <c r="D23" s="317"/>
      <c r="E23" s="317"/>
      <c r="F23" s="317"/>
      <c r="G23" s="317"/>
      <c r="H23" s="318"/>
      <c r="I23" s="317"/>
      <c r="J23" s="317"/>
      <c r="K23" s="318"/>
      <c r="L23" s="318"/>
    </row>
    <row r="24" spans="2:12" s="4" customFormat="1">
      <c r="B24" s="317"/>
      <c r="C24" s="317"/>
      <c r="D24" s="317"/>
      <c r="E24" s="317"/>
      <c r="F24" s="317"/>
      <c r="G24" s="317"/>
      <c r="H24" s="318"/>
      <c r="I24" s="317"/>
      <c r="J24" s="317"/>
      <c r="K24" s="318"/>
      <c r="L24" s="318"/>
    </row>
    <row r="25" spans="2:12" s="4" customFormat="1">
      <c r="B25" s="317"/>
      <c r="C25" s="317"/>
      <c r="D25" s="317"/>
      <c r="E25" s="317"/>
      <c r="F25" s="317"/>
      <c r="G25" s="317"/>
      <c r="H25" s="318"/>
      <c r="I25" s="317"/>
      <c r="J25" s="317"/>
      <c r="K25" s="318"/>
      <c r="L25" s="318"/>
    </row>
    <row r="26" spans="2:12" s="4" customFormat="1">
      <c r="B26" s="317"/>
      <c r="C26" s="317"/>
      <c r="D26" s="317"/>
      <c r="E26" s="317"/>
      <c r="F26" s="317"/>
      <c r="G26" s="317"/>
      <c r="H26" s="318"/>
      <c r="I26" s="317"/>
      <c r="J26" s="317"/>
      <c r="K26" s="318"/>
      <c r="L26" s="318"/>
    </row>
    <row r="27" spans="2:12" s="4" customFormat="1">
      <c r="B27" s="317"/>
      <c r="C27" s="317"/>
      <c r="D27" s="317"/>
      <c r="E27" s="317"/>
      <c r="F27" s="317"/>
      <c r="G27" s="317"/>
      <c r="H27" s="318"/>
      <c r="I27" s="317"/>
      <c r="J27" s="317"/>
      <c r="K27" s="318"/>
      <c r="L27" s="318"/>
    </row>
    <row r="28" spans="2:12" s="4" customFormat="1">
      <c r="B28" s="317"/>
      <c r="C28" s="317"/>
      <c r="D28" s="317"/>
      <c r="E28" s="317"/>
      <c r="F28" s="317"/>
      <c r="G28" s="317"/>
      <c r="H28" s="318"/>
      <c r="I28" s="317"/>
      <c r="J28" s="317"/>
      <c r="K28" s="318"/>
      <c r="L28" s="318"/>
    </row>
    <row r="29" spans="2:12" s="4" customFormat="1">
      <c r="B29" s="317"/>
      <c r="C29" s="317"/>
      <c r="D29" s="317"/>
      <c r="E29" s="317"/>
      <c r="F29" s="317"/>
      <c r="G29" s="317"/>
      <c r="H29" s="318"/>
      <c r="I29" s="317"/>
      <c r="J29" s="317"/>
      <c r="K29" s="318"/>
      <c r="L29" s="318"/>
    </row>
    <row r="30" spans="2:12" s="4" customFormat="1">
      <c r="B30" s="317"/>
      <c r="C30" s="317"/>
      <c r="D30" s="317"/>
      <c r="E30" s="317"/>
      <c r="F30" s="317"/>
      <c r="G30" s="317"/>
      <c r="H30" s="318"/>
      <c r="I30" s="317"/>
      <c r="J30" s="317"/>
      <c r="K30" s="318"/>
      <c r="L30" s="318"/>
    </row>
    <row r="31" spans="2:12" s="4" customFormat="1">
      <c r="B31" s="317"/>
      <c r="C31" s="317"/>
      <c r="D31" s="317"/>
      <c r="E31" s="317"/>
      <c r="F31" s="317"/>
      <c r="G31" s="317"/>
      <c r="H31" s="318"/>
      <c r="I31" s="317"/>
      <c r="J31" s="317"/>
      <c r="K31" s="318"/>
      <c r="L31" s="318"/>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4" width="12.5703125" style="3" customWidth="1"/>
    <col min="15" max="15" width="2.5703125" style="3" customWidth="1"/>
    <col min="16" max="16" width="20.5703125" style="3" customWidth="1"/>
    <col min="17" max="17" width="2.5703125" style="3" customWidth="1"/>
    <col min="18" max="18" width="20.5703125" style="3" customWidth="1"/>
    <col min="19" max="31" width="13.5703125" style="3" customWidth="1"/>
    <col min="32" max="16384" width="9.140625" style="3"/>
  </cols>
  <sheetData>
    <row r="2" spans="2:18" s="12" customFormat="1" ht="18">
      <c r="B2" s="12" t="s">
        <v>805</v>
      </c>
    </row>
    <row r="4" spans="2:18">
      <c r="B4" s="16" t="s">
        <v>197</v>
      </c>
      <c r="C4" s="2"/>
    </row>
    <row r="5" spans="2:18" ht="27.75" customHeight="1">
      <c r="B5" s="346" t="s">
        <v>806</v>
      </c>
      <c r="C5" s="349"/>
      <c r="D5" s="349"/>
      <c r="F5" s="13"/>
    </row>
    <row r="7" spans="2:18" s="8" customFormat="1">
      <c r="B7" s="8" t="s">
        <v>157</v>
      </c>
      <c r="D7" s="8" t="s">
        <v>199</v>
      </c>
      <c r="F7" s="8" t="s">
        <v>200</v>
      </c>
      <c r="H7" s="53">
        <v>2020</v>
      </c>
      <c r="I7" s="46">
        <v>2021</v>
      </c>
      <c r="J7" s="46">
        <v>2022</v>
      </c>
      <c r="K7" s="46">
        <v>2023</v>
      </c>
      <c r="L7" s="46">
        <v>2024</v>
      </c>
      <c r="M7" s="46">
        <v>2025</v>
      </c>
      <c r="N7" s="46">
        <v>2026</v>
      </c>
      <c r="P7" s="8" t="s">
        <v>201</v>
      </c>
      <c r="R7" s="8" t="s">
        <v>202</v>
      </c>
    </row>
    <row r="9" spans="2:18" s="8" customFormat="1">
      <c r="B9" s="8" t="s">
        <v>807</v>
      </c>
    </row>
    <row r="11" spans="2:18">
      <c r="B11" s="16" t="s">
        <v>807</v>
      </c>
    </row>
    <row r="12" spans="2:18">
      <c r="B12" s="3" t="s">
        <v>808</v>
      </c>
      <c r="D12" s="3" t="s">
        <v>809</v>
      </c>
      <c r="H12" s="10"/>
      <c r="I12" s="10"/>
      <c r="J12" s="10"/>
      <c r="K12" s="10"/>
      <c r="L12" s="10"/>
      <c r="M12" s="10"/>
      <c r="N12" s="284">
        <v>120046510</v>
      </c>
      <c r="P12" s="3" t="s">
        <v>488</v>
      </c>
    </row>
    <row r="13" spans="2:18">
      <c r="B13" s="3" t="s">
        <v>810</v>
      </c>
      <c r="D13" s="3" t="s">
        <v>809</v>
      </c>
      <c r="H13" s="10"/>
      <c r="I13" s="10"/>
      <c r="J13" s="10"/>
      <c r="K13" s="10"/>
      <c r="L13" s="10"/>
      <c r="M13" s="10"/>
      <c r="N13" s="284">
        <v>209953490</v>
      </c>
      <c r="P13" s="3" t="s">
        <v>488</v>
      </c>
    </row>
    <row r="14" spans="2:18">
      <c r="J14" s="13"/>
      <c r="K14" s="13"/>
      <c r="L14" s="13"/>
      <c r="M14" s="13"/>
      <c r="N14" s="168"/>
    </row>
    <row r="15" spans="2:18">
      <c r="B15" s="3" t="s">
        <v>811</v>
      </c>
      <c r="D15" s="3" t="s">
        <v>809</v>
      </c>
      <c r="H15" s="10"/>
      <c r="I15" s="10"/>
      <c r="J15" s="10"/>
      <c r="K15" s="10"/>
      <c r="L15" s="10"/>
      <c r="M15" s="10"/>
      <c r="N15" s="284">
        <v>39223965</v>
      </c>
      <c r="P15" s="3" t="s">
        <v>488</v>
      </c>
    </row>
    <row r="16" spans="2:18">
      <c r="B16" s="3" t="s">
        <v>812</v>
      </c>
      <c r="D16" s="3" t="s">
        <v>809</v>
      </c>
      <c r="H16" s="10"/>
      <c r="I16" s="10"/>
      <c r="J16" s="10"/>
      <c r="K16" s="10"/>
      <c r="L16" s="10"/>
      <c r="M16" s="10"/>
      <c r="N16" s="284">
        <v>25534868</v>
      </c>
      <c r="P16" s="3" t="s">
        <v>488</v>
      </c>
    </row>
    <row r="17" spans="2:16">
      <c r="J17" s="13"/>
      <c r="N17" s="168"/>
    </row>
    <row r="18" spans="2:16">
      <c r="B18" s="3" t="s">
        <v>813</v>
      </c>
      <c r="D18" s="3" t="s">
        <v>809</v>
      </c>
      <c r="H18" s="10"/>
      <c r="I18" s="10"/>
      <c r="J18" s="10"/>
      <c r="K18" s="10"/>
      <c r="L18" s="10"/>
      <c r="M18" s="10"/>
      <c r="N18" s="284">
        <v>32891425</v>
      </c>
      <c r="P18" s="3" t="s">
        <v>488</v>
      </c>
    </row>
    <row r="24" spans="2:16">
      <c r="M24" s="168"/>
    </row>
    <row r="25" spans="2:16">
      <c r="M25" s="168"/>
    </row>
    <row r="26" spans="2:16">
      <c r="M26" s="168"/>
    </row>
    <row r="27" spans="2:16">
      <c r="M27" s="168"/>
    </row>
    <row r="28" spans="2:16">
      <c r="M28" s="168"/>
    </row>
    <row r="29" spans="2:16">
      <c r="M29" s="168"/>
    </row>
    <row r="30" spans="2:16">
      <c r="M30" s="168"/>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92F9-15BB-410B-A532-CFD1F4153D40}">
  <sheetPr>
    <tabColor theme="0" tint="-4.9989318521683403E-2"/>
  </sheetPr>
  <dimension ref="A1"/>
  <sheetViews>
    <sheetView showGridLines="0" zoomScale="80" zoomScaleNormal="80"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2557-6705-45AF-9884-B23064425D2B}">
  <sheetPr>
    <tabColor rgb="FFCCCCFF"/>
  </sheetPr>
  <dimension ref="B1:H50"/>
  <sheetViews>
    <sheetView showGridLines="0" zoomScale="85" zoomScaleNormal="85" workbookViewId="0"/>
  </sheetViews>
  <sheetFormatPr defaultRowHeight="12.75"/>
  <cols>
    <col min="1" max="1" width="2.5703125" customWidth="1"/>
    <col min="2" max="2" width="8.5703125" bestFit="1" customWidth="1"/>
    <col min="3" max="3" width="21.42578125" bestFit="1" customWidth="1"/>
    <col min="4" max="4" width="24" bestFit="1" customWidth="1"/>
    <col min="5" max="5" width="31.42578125" bestFit="1" customWidth="1"/>
    <col min="6" max="6" width="25.5703125" bestFit="1" customWidth="1"/>
    <col min="7" max="7" width="15.5703125" bestFit="1" customWidth="1"/>
    <col min="8" max="8" width="72.42578125" bestFit="1" customWidth="1"/>
  </cols>
  <sheetData>
    <row r="1" spans="2:7" s="3" customFormat="1" ht="10.7" customHeight="1"/>
    <row r="2" spans="2:7" s="12" customFormat="1" ht="18">
      <c r="B2" s="12" t="s">
        <v>814</v>
      </c>
    </row>
    <row r="3" spans="2:7" s="3" customFormat="1" ht="10.7" customHeight="1"/>
    <row r="4" spans="2:7" s="3" customFormat="1">
      <c r="B4" s="2" t="s">
        <v>197</v>
      </c>
    </row>
    <row r="5" spans="2:7" s="3" customFormat="1" ht="27.75" customHeight="1">
      <c r="B5" s="346" t="s">
        <v>815</v>
      </c>
      <c r="C5" s="346"/>
      <c r="D5" s="346"/>
      <c r="E5" s="346"/>
      <c r="F5" s="346"/>
      <c r="G5" s="1"/>
    </row>
    <row r="6" spans="2:7" s="3" customFormat="1" ht="10.7" customHeight="1"/>
    <row r="7" spans="2:7" s="3" customFormat="1">
      <c r="B7" s="16" t="s">
        <v>816</v>
      </c>
      <c r="D7" s="2"/>
    </row>
    <row r="8" spans="2:7" s="3" customFormat="1" ht="16.5" customHeight="1">
      <c r="B8" s="349" t="s">
        <v>817</v>
      </c>
      <c r="C8" s="349"/>
      <c r="D8" s="349"/>
      <c r="E8" s="349"/>
      <c r="F8" s="349"/>
      <c r="G8" s="119"/>
    </row>
    <row r="9" spans="2:7" s="3" customFormat="1" ht="10.7" customHeight="1">
      <c r="B9" s="4"/>
    </row>
    <row r="10" spans="2:7" s="3" customFormat="1">
      <c r="B10" s="178" t="s">
        <v>818</v>
      </c>
    </row>
    <row r="11" spans="2:7" s="3" customFormat="1">
      <c r="B11" s="355">
        <v>45050</v>
      </c>
      <c r="C11" s="355"/>
      <c r="D11" s="355"/>
      <c r="E11" s="120"/>
    </row>
    <row r="12" spans="2:7" ht="10.7" customHeight="1"/>
    <row r="13" spans="2:7">
      <c r="B13" s="178" t="s">
        <v>819</v>
      </c>
      <c r="D13" s="3"/>
      <c r="E13" s="3"/>
    </row>
    <row r="14" spans="2:7" ht="26.25" customHeight="1">
      <c r="B14" s="346" t="s">
        <v>820</v>
      </c>
      <c r="C14" s="346"/>
      <c r="D14" s="346"/>
      <c r="E14" s="346"/>
      <c r="F14" s="346"/>
      <c r="G14" s="1"/>
    </row>
    <row r="15" spans="2:7" ht="10.7" customHeight="1"/>
    <row r="16" spans="2:7">
      <c r="B16" s="179" t="s">
        <v>821</v>
      </c>
    </row>
    <row r="17" spans="2:8">
      <c r="B17" s="127">
        <f>SUBTOTAL(103,B20:B574)</f>
        <v>31</v>
      </c>
    </row>
    <row r="18" spans="2:8" ht="10.7" customHeight="1"/>
    <row r="19" spans="2:8" s="8" customFormat="1">
      <c r="B19" s="8" t="s">
        <v>822</v>
      </c>
      <c r="C19" s="34" t="s">
        <v>521</v>
      </c>
      <c r="D19" s="34" t="s">
        <v>823</v>
      </c>
      <c r="E19" s="34" t="s">
        <v>824</v>
      </c>
      <c r="F19" s="34" t="s">
        <v>825</v>
      </c>
      <c r="G19" s="252" t="s">
        <v>826</v>
      </c>
      <c r="H19" s="34" t="s">
        <v>827</v>
      </c>
    </row>
    <row r="20" spans="2:8">
      <c r="B20">
        <v>1</v>
      </c>
      <c r="C20" s="180">
        <v>560010.50868726079</v>
      </c>
      <c r="D20">
        <v>2020</v>
      </c>
      <c r="E20" t="s">
        <v>308</v>
      </c>
      <c r="F20" t="s">
        <v>828</v>
      </c>
      <c r="G20" t="s">
        <v>829</v>
      </c>
      <c r="H20" t="s">
        <v>830</v>
      </c>
    </row>
    <row r="21" spans="2:8">
      <c r="B21">
        <v>2</v>
      </c>
      <c r="C21" s="180">
        <v>1887912.8589451036</v>
      </c>
      <c r="D21">
        <v>2022</v>
      </c>
      <c r="E21" t="s">
        <v>304</v>
      </c>
      <c r="F21" t="s">
        <v>828</v>
      </c>
      <c r="G21" t="s">
        <v>829</v>
      </c>
      <c r="H21" t="s">
        <v>831</v>
      </c>
    </row>
    <row r="22" spans="2:8">
      <c r="B22">
        <v>3</v>
      </c>
      <c r="C22" s="180">
        <v>2724356.4622969897</v>
      </c>
      <c r="D22">
        <v>2022</v>
      </c>
      <c r="E22" t="s">
        <v>308</v>
      </c>
      <c r="F22" t="s">
        <v>828</v>
      </c>
      <c r="G22" t="s">
        <v>829</v>
      </c>
      <c r="H22" t="s">
        <v>831</v>
      </c>
    </row>
    <row r="23" spans="2:8">
      <c r="B23">
        <v>4</v>
      </c>
      <c r="C23" s="180">
        <v>226794.9736094765</v>
      </c>
      <c r="D23">
        <v>2022</v>
      </c>
      <c r="E23" t="s">
        <v>317</v>
      </c>
      <c r="F23" t="s">
        <v>828</v>
      </c>
      <c r="G23" t="s">
        <v>829</v>
      </c>
      <c r="H23" t="s">
        <v>831</v>
      </c>
    </row>
    <row r="24" spans="2:8">
      <c r="B24">
        <v>5</v>
      </c>
      <c r="C24" s="180">
        <v>3824577.1209736457</v>
      </c>
      <c r="D24">
        <v>2022</v>
      </c>
      <c r="E24" t="s">
        <v>345</v>
      </c>
      <c r="F24" t="s">
        <v>828</v>
      </c>
      <c r="G24" t="s">
        <v>829</v>
      </c>
      <c r="H24" t="s">
        <v>831</v>
      </c>
    </row>
    <row r="25" spans="2:8">
      <c r="B25">
        <v>6</v>
      </c>
      <c r="C25" s="180">
        <v>3150608.2540416676</v>
      </c>
      <c r="D25">
        <v>2022</v>
      </c>
      <c r="E25" t="s">
        <v>351</v>
      </c>
      <c r="F25" t="s">
        <v>828</v>
      </c>
      <c r="G25" t="s">
        <v>829</v>
      </c>
      <c r="H25" t="s">
        <v>831</v>
      </c>
    </row>
    <row r="26" spans="2:8">
      <c r="B26">
        <v>7</v>
      </c>
      <c r="C26" s="180">
        <v>1821898.5094885458</v>
      </c>
      <c r="D26">
        <v>2023</v>
      </c>
      <c r="E26" t="s">
        <v>311</v>
      </c>
      <c r="F26" t="s">
        <v>491</v>
      </c>
      <c r="G26" t="s">
        <v>16</v>
      </c>
      <c r="H26" t="s">
        <v>832</v>
      </c>
    </row>
    <row r="27" spans="2:8">
      <c r="B27">
        <v>8</v>
      </c>
      <c r="C27" s="180">
        <v>41241409.443761975</v>
      </c>
      <c r="D27">
        <v>2023</v>
      </c>
      <c r="E27" t="s">
        <v>313</v>
      </c>
      <c r="F27" t="s">
        <v>491</v>
      </c>
      <c r="G27" t="s">
        <v>16</v>
      </c>
      <c r="H27" t="s">
        <v>832</v>
      </c>
    </row>
    <row r="28" spans="2:8">
      <c r="B28">
        <v>9</v>
      </c>
      <c r="C28" s="180">
        <v>26179329.440538418</v>
      </c>
      <c r="D28">
        <v>2023</v>
      </c>
      <c r="E28" t="s">
        <v>317</v>
      </c>
      <c r="F28" t="s">
        <v>491</v>
      </c>
      <c r="G28" t="s">
        <v>16</v>
      </c>
      <c r="H28" t="s">
        <v>832</v>
      </c>
    </row>
    <row r="29" spans="2:8">
      <c r="B29">
        <v>10</v>
      </c>
      <c r="C29" s="180">
        <v>324466.46385633486</v>
      </c>
      <c r="D29">
        <v>2023</v>
      </c>
      <c r="E29" t="s">
        <v>321</v>
      </c>
      <c r="F29" t="s">
        <v>491</v>
      </c>
      <c r="G29" t="s">
        <v>16</v>
      </c>
      <c r="H29" t="s">
        <v>832</v>
      </c>
    </row>
    <row r="30" spans="2:8">
      <c r="B30">
        <v>11</v>
      </c>
      <c r="C30" s="180">
        <v>358620.80849138752</v>
      </c>
      <c r="D30">
        <v>2023</v>
      </c>
      <c r="E30" t="s">
        <v>322</v>
      </c>
      <c r="F30" t="s">
        <v>491</v>
      </c>
      <c r="G30" t="s">
        <v>16</v>
      </c>
      <c r="H30" t="s">
        <v>832</v>
      </c>
    </row>
    <row r="31" spans="2:8">
      <c r="B31">
        <v>12</v>
      </c>
      <c r="C31" s="180">
        <v>77940287.016589478</v>
      </c>
      <c r="D31">
        <v>2023</v>
      </c>
      <c r="E31" t="s">
        <v>341</v>
      </c>
      <c r="F31" t="s">
        <v>491</v>
      </c>
      <c r="G31" t="s">
        <v>16</v>
      </c>
      <c r="H31" t="s">
        <v>832</v>
      </c>
    </row>
    <row r="32" spans="2:8">
      <c r="B32">
        <v>13</v>
      </c>
      <c r="C32" s="180">
        <v>21107403.53252615</v>
      </c>
      <c r="D32">
        <v>2023</v>
      </c>
      <c r="E32" t="s">
        <v>345</v>
      </c>
      <c r="F32" t="s">
        <v>491</v>
      </c>
      <c r="G32" t="s">
        <v>16</v>
      </c>
      <c r="H32" t="s">
        <v>832</v>
      </c>
    </row>
    <row r="33" spans="2:8">
      <c r="B33">
        <v>14</v>
      </c>
      <c r="C33" s="180">
        <v>18334898.10779709</v>
      </c>
      <c r="D33">
        <v>2023</v>
      </c>
      <c r="E33" t="s">
        <v>360</v>
      </c>
      <c r="F33" t="s">
        <v>491</v>
      </c>
      <c r="G33" t="s">
        <v>16</v>
      </c>
      <c r="H33" t="s">
        <v>832</v>
      </c>
    </row>
    <row r="34" spans="2:8">
      <c r="B34">
        <v>15</v>
      </c>
      <c r="C34" s="180">
        <v>3620364.0601766575</v>
      </c>
      <c r="D34">
        <v>2023</v>
      </c>
      <c r="E34" t="s">
        <v>371</v>
      </c>
      <c r="F34" t="s">
        <v>491</v>
      </c>
      <c r="G34" t="s">
        <v>16</v>
      </c>
      <c r="H34" t="s">
        <v>832</v>
      </c>
    </row>
    <row r="35" spans="2:8">
      <c r="B35">
        <v>16</v>
      </c>
      <c r="C35" s="180">
        <v>480761.86491484893</v>
      </c>
      <c r="D35">
        <v>2023</v>
      </c>
      <c r="E35" t="s">
        <v>304</v>
      </c>
      <c r="F35" t="s">
        <v>828</v>
      </c>
      <c r="G35" t="s">
        <v>829</v>
      </c>
      <c r="H35" t="s">
        <v>832</v>
      </c>
    </row>
    <row r="36" spans="2:8">
      <c r="B36">
        <v>17</v>
      </c>
      <c r="C36" s="180">
        <v>1837695.4875736441</v>
      </c>
      <c r="D36">
        <v>2023</v>
      </c>
      <c r="E36" t="s">
        <v>308</v>
      </c>
      <c r="F36" t="s">
        <v>828</v>
      </c>
      <c r="G36" t="s">
        <v>829</v>
      </c>
      <c r="H36" t="s">
        <v>832</v>
      </c>
    </row>
    <row r="37" spans="2:8">
      <c r="B37">
        <v>18</v>
      </c>
      <c r="C37" s="180">
        <v>12952.219318794072</v>
      </c>
      <c r="D37">
        <v>2023</v>
      </c>
      <c r="E37" t="s">
        <v>317</v>
      </c>
      <c r="F37" t="s">
        <v>828</v>
      </c>
      <c r="G37" t="s">
        <v>829</v>
      </c>
      <c r="H37" t="s">
        <v>832</v>
      </c>
    </row>
    <row r="38" spans="2:8">
      <c r="B38">
        <v>19</v>
      </c>
      <c r="C38" s="180">
        <v>4401460.9803481428</v>
      </c>
      <c r="D38">
        <v>2023</v>
      </c>
      <c r="E38" t="s">
        <v>345</v>
      </c>
      <c r="F38" t="s">
        <v>828</v>
      </c>
      <c r="G38" t="s">
        <v>829</v>
      </c>
      <c r="H38" t="s">
        <v>832</v>
      </c>
    </row>
    <row r="39" spans="2:8">
      <c r="B39">
        <v>20</v>
      </c>
      <c r="C39" s="180">
        <v>179930.39320672158</v>
      </c>
      <c r="D39">
        <v>2023</v>
      </c>
      <c r="E39" t="s">
        <v>351</v>
      </c>
      <c r="F39" t="s">
        <v>828</v>
      </c>
      <c r="G39" t="s">
        <v>829</v>
      </c>
      <c r="H39" t="s">
        <v>832</v>
      </c>
    </row>
    <row r="40" spans="2:8">
      <c r="B40" s="336">
        <v>21</v>
      </c>
      <c r="C40" s="342">
        <v>30711053.170000002</v>
      </c>
      <c r="D40" s="336">
        <v>2024</v>
      </c>
      <c r="E40" s="336" t="s">
        <v>313</v>
      </c>
      <c r="F40" s="336" t="s">
        <v>491</v>
      </c>
      <c r="G40" s="336" t="s">
        <v>16</v>
      </c>
      <c r="H40" s="336"/>
    </row>
    <row r="41" spans="2:8">
      <c r="B41" s="336">
        <v>22</v>
      </c>
      <c r="C41" s="342">
        <v>103280388.23999999</v>
      </c>
      <c r="D41" s="336">
        <v>2024</v>
      </c>
      <c r="E41" s="336" t="s">
        <v>317</v>
      </c>
      <c r="F41" s="336" t="s">
        <v>491</v>
      </c>
      <c r="G41" s="336" t="s">
        <v>16</v>
      </c>
      <c r="H41" s="336"/>
    </row>
    <row r="42" spans="2:8">
      <c r="B42" s="336">
        <v>23</v>
      </c>
      <c r="C42" s="342">
        <v>1964.46</v>
      </c>
      <c r="D42" s="336">
        <v>2024</v>
      </c>
      <c r="E42" s="336" t="s">
        <v>321</v>
      </c>
      <c r="F42" s="336" t="s">
        <v>491</v>
      </c>
      <c r="G42" s="336" t="s">
        <v>16</v>
      </c>
      <c r="H42" s="336"/>
    </row>
    <row r="43" spans="2:8">
      <c r="B43" s="336">
        <v>24</v>
      </c>
      <c r="C43" s="342">
        <v>224147.45</v>
      </c>
      <c r="D43" s="336">
        <v>2024</v>
      </c>
      <c r="E43" s="336" t="s">
        <v>341</v>
      </c>
      <c r="F43" s="336" t="s">
        <v>491</v>
      </c>
      <c r="G43" s="336" t="s">
        <v>16</v>
      </c>
      <c r="H43" s="336"/>
    </row>
    <row r="44" spans="2:8">
      <c r="B44" s="336">
        <v>25</v>
      </c>
      <c r="C44" s="342">
        <v>60702.53</v>
      </c>
      <c r="D44" s="336">
        <v>2024</v>
      </c>
      <c r="E44" s="336" t="s">
        <v>345</v>
      </c>
      <c r="F44" s="336" t="s">
        <v>491</v>
      </c>
      <c r="G44" s="336" t="s">
        <v>16</v>
      </c>
      <c r="H44" s="336"/>
    </row>
    <row r="45" spans="2:8">
      <c r="B45" s="336">
        <v>26</v>
      </c>
      <c r="C45" s="342">
        <v>345979197.91000003</v>
      </c>
      <c r="D45" s="336">
        <v>2024</v>
      </c>
      <c r="E45" s="336" t="s">
        <v>360</v>
      </c>
      <c r="F45" s="336" t="s">
        <v>491</v>
      </c>
      <c r="G45" s="336" t="s">
        <v>16</v>
      </c>
      <c r="H45" s="336"/>
    </row>
    <row r="46" spans="2:8">
      <c r="B46" s="336">
        <v>27</v>
      </c>
      <c r="C46" s="342">
        <v>10411.74</v>
      </c>
      <c r="D46" s="336">
        <v>2024</v>
      </c>
      <c r="E46" s="336" t="s">
        <v>371</v>
      </c>
      <c r="F46" s="336" t="s">
        <v>491</v>
      </c>
      <c r="G46" s="336" t="s">
        <v>16</v>
      </c>
      <c r="H46" s="336"/>
    </row>
    <row r="47" spans="2:8">
      <c r="B47" s="336">
        <v>28</v>
      </c>
      <c r="C47" s="342">
        <v>5531647.6200000001</v>
      </c>
      <c r="D47" s="336">
        <v>2024</v>
      </c>
      <c r="E47" s="336" t="s">
        <v>304</v>
      </c>
      <c r="F47" s="336" t="s">
        <v>828</v>
      </c>
      <c r="G47" s="336" t="s">
        <v>829</v>
      </c>
      <c r="H47" s="336"/>
    </row>
    <row r="48" spans="2:8">
      <c r="B48" s="336">
        <v>29</v>
      </c>
      <c r="C48" s="342">
        <v>2027103.15</v>
      </c>
      <c r="D48" s="336">
        <v>2024</v>
      </c>
      <c r="E48" s="336" t="s">
        <v>308</v>
      </c>
      <c r="F48" s="336" t="s">
        <v>828</v>
      </c>
      <c r="G48" s="336" t="s">
        <v>829</v>
      </c>
      <c r="H48" s="336"/>
    </row>
    <row r="49" spans="2:8">
      <c r="B49" s="336">
        <v>30</v>
      </c>
      <c r="C49" s="342">
        <v>33082111.84</v>
      </c>
      <c r="D49" s="336">
        <v>2024</v>
      </c>
      <c r="E49" s="336" t="s">
        <v>345</v>
      </c>
      <c r="F49" s="336" t="s">
        <v>828</v>
      </c>
      <c r="G49" s="336" t="s">
        <v>829</v>
      </c>
      <c r="H49" s="336"/>
    </row>
    <row r="50" spans="2:8">
      <c r="B50" s="336">
        <v>31</v>
      </c>
      <c r="C50" s="342">
        <v>136024.09</v>
      </c>
      <c r="D50" s="336">
        <v>2024</v>
      </c>
      <c r="E50" s="336" t="s">
        <v>351</v>
      </c>
      <c r="F50" s="336" t="s">
        <v>828</v>
      </c>
      <c r="G50" s="336" t="s">
        <v>829</v>
      </c>
      <c r="H50" s="336"/>
    </row>
  </sheetData>
  <mergeCells count="4">
    <mergeCell ref="B5:F5"/>
    <mergeCell ref="B8:F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7E20-C45A-4909-B91A-205F73719146}">
  <sheetPr>
    <tabColor rgb="FFCCCCFF"/>
  </sheetPr>
  <dimension ref="B1:M130"/>
  <sheetViews>
    <sheetView showGridLines="0" topLeftCell="A69" zoomScale="85" zoomScaleNormal="85" workbookViewId="0">
      <selection activeCell="AO148" sqref="AO148"/>
    </sheetView>
  </sheetViews>
  <sheetFormatPr defaultRowHeight="12.75"/>
  <cols>
    <col min="1" max="1" width="2.5703125" customWidth="1"/>
    <col min="2" max="2" width="8.5703125" bestFit="1" customWidth="1"/>
    <col min="3" max="3" width="21.42578125" bestFit="1" customWidth="1"/>
    <col min="4" max="4" width="24" bestFit="1" customWidth="1"/>
    <col min="5" max="5" width="37.5703125" bestFit="1" customWidth="1"/>
    <col min="6" max="6" width="76.42578125" bestFit="1" customWidth="1"/>
    <col min="7" max="7" width="9.5703125" bestFit="1" customWidth="1"/>
  </cols>
  <sheetData>
    <row r="1" spans="2:13" s="3" customFormat="1"/>
    <row r="2" spans="2:13" s="12" customFormat="1" ht="18">
      <c r="B2" s="12" t="s">
        <v>833</v>
      </c>
    </row>
    <row r="3" spans="2:13" s="3" customFormat="1"/>
    <row r="4" spans="2:13" s="3" customFormat="1">
      <c r="B4" s="2" t="s">
        <v>197</v>
      </c>
    </row>
    <row r="5" spans="2:13" s="3" customFormat="1" ht="27" customHeight="1">
      <c r="B5" s="346" t="s">
        <v>834</v>
      </c>
      <c r="C5" s="346"/>
      <c r="D5" s="346"/>
      <c r="E5" s="346"/>
      <c r="F5" s="346"/>
    </row>
    <row r="6" spans="2:13" s="3" customFormat="1"/>
    <row r="7" spans="2:13" s="3" customFormat="1">
      <c r="B7" s="16" t="s">
        <v>816</v>
      </c>
      <c r="D7" s="2"/>
    </row>
    <row r="8" spans="2:13" s="3" customFormat="1" ht="16.5" customHeight="1">
      <c r="B8" s="349" t="s">
        <v>817</v>
      </c>
      <c r="C8" s="349"/>
      <c r="D8" s="349"/>
      <c r="E8" s="349"/>
      <c r="F8" s="349"/>
      <c r="G8" s="349"/>
      <c r="H8" s="349"/>
      <c r="I8" s="349"/>
      <c r="J8" s="349"/>
      <c r="K8" s="349"/>
      <c r="L8" s="349"/>
      <c r="M8" s="349"/>
    </row>
    <row r="9" spans="2:13" s="3" customFormat="1">
      <c r="B9" s="4"/>
    </row>
    <row r="10" spans="2:13" s="3" customFormat="1">
      <c r="B10" s="178" t="s">
        <v>818</v>
      </c>
    </row>
    <row r="11" spans="2:13" s="3" customFormat="1">
      <c r="B11" s="355">
        <v>45245</v>
      </c>
      <c r="C11" s="355"/>
      <c r="D11" s="355"/>
      <c r="E11" s="120"/>
    </row>
    <row r="13" spans="2:13">
      <c r="B13" s="178" t="s">
        <v>819</v>
      </c>
      <c r="D13" s="3"/>
      <c r="E13" s="3"/>
    </row>
    <row r="14" spans="2:13" ht="26.25" customHeight="1">
      <c r="B14" s="346" t="s">
        <v>835</v>
      </c>
      <c r="C14" s="346"/>
      <c r="D14" s="346"/>
      <c r="E14" s="346"/>
      <c r="F14" s="346"/>
    </row>
    <row r="16" spans="2:13">
      <c r="B16" s="179" t="s">
        <v>821</v>
      </c>
    </row>
    <row r="17" spans="2:7">
      <c r="B17" s="127">
        <f>SUBTOTAL(103,B20:B540)</f>
        <v>107</v>
      </c>
    </row>
    <row r="18" spans="2:7" ht="14.25" customHeight="1"/>
    <row r="19" spans="2:7" s="8" customFormat="1">
      <c r="B19" s="8" t="s">
        <v>822</v>
      </c>
      <c r="C19" s="34" t="s">
        <v>521</v>
      </c>
      <c r="D19" s="34" t="s">
        <v>823</v>
      </c>
      <c r="E19" s="34" t="s">
        <v>824</v>
      </c>
      <c r="F19" s="34" t="s">
        <v>827</v>
      </c>
      <c r="G19" s="34" t="s">
        <v>836</v>
      </c>
    </row>
    <row r="20" spans="2:7">
      <c r="B20">
        <v>1</v>
      </c>
      <c r="C20" s="180">
        <v>31360107.14852399</v>
      </c>
      <c r="D20">
        <v>2020</v>
      </c>
      <c r="E20" t="s">
        <v>304</v>
      </c>
      <c r="F20" t="s">
        <v>830</v>
      </c>
      <c r="G20">
        <v>1</v>
      </c>
    </row>
    <row r="21" spans="2:7">
      <c r="B21">
        <v>2</v>
      </c>
      <c r="C21" s="180">
        <v>4529775.5276718521</v>
      </c>
      <c r="D21">
        <v>2020</v>
      </c>
      <c r="E21" t="s">
        <v>308</v>
      </c>
      <c r="F21" t="s">
        <v>830</v>
      </c>
      <c r="G21">
        <v>1</v>
      </c>
    </row>
    <row r="22" spans="2:7">
      <c r="B22">
        <v>3</v>
      </c>
      <c r="C22" s="180">
        <v>1155721.8280173452</v>
      </c>
      <c r="D22">
        <v>2020</v>
      </c>
      <c r="E22" t="s">
        <v>311</v>
      </c>
      <c r="F22" t="s">
        <v>830</v>
      </c>
      <c r="G22">
        <v>1</v>
      </c>
    </row>
    <row r="23" spans="2:7">
      <c r="B23">
        <v>4</v>
      </c>
      <c r="C23" s="180">
        <v>320593.27893508447</v>
      </c>
      <c r="D23">
        <v>2020</v>
      </c>
      <c r="E23" t="s">
        <v>313</v>
      </c>
      <c r="F23" t="s">
        <v>830</v>
      </c>
      <c r="G23">
        <v>1</v>
      </c>
    </row>
    <row r="24" spans="2:7">
      <c r="B24">
        <v>5</v>
      </c>
      <c r="C24" s="180">
        <v>1555027.7495395842</v>
      </c>
      <c r="D24">
        <v>2020</v>
      </c>
      <c r="E24" t="s">
        <v>317</v>
      </c>
      <c r="F24" t="s">
        <v>830</v>
      </c>
      <c r="G24">
        <v>1</v>
      </c>
    </row>
    <row r="25" spans="2:7">
      <c r="B25">
        <v>6</v>
      </c>
      <c r="C25" s="180">
        <v>227358.20364143242</v>
      </c>
      <c r="D25">
        <v>2020</v>
      </c>
      <c r="E25" t="s">
        <v>321</v>
      </c>
      <c r="F25" t="s">
        <v>830</v>
      </c>
      <c r="G25">
        <v>1</v>
      </c>
    </row>
    <row r="26" spans="2:7">
      <c r="B26">
        <v>7</v>
      </c>
      <c r="C26" s="180">
        <v>-2031.2069601401199</v>
      </c>
      <c r="D26">
        <v>2020</v>
      </c>
      <c r="E26" t="s">
        <v>322</v>
      </c>
      <c r="F26" t="s">
        <v>830</v>
      </c>
      <c r="G26">
        <v>1</v>
      </c>
    </row>
    <row r="27" spans="2:7">
      <c r="B27">
        <v>8</v>
      </c>
      <c r="C27" s="180">
        <v>971.16619787636887</v>
      </c>
      <c r="D27">
        <v>2020</v>
      </c>
      <c r="E27" t="s">
        <v>323</v>
      </c>
      <c r="F27" t="s">
        <v>830</v>
      </c>
      <c r="G27">
        <v>1</v>
      </c>
    </row>
    <row r="28" spans="2:7">
      <c r="B28">
        <v>9</v>
      </c>
      <c r="C28" s="180">
        <v>897693.90315601986</v>
      </c>
      <c r="D28">
        <v>2020</v>
      </c>
      <c r="E28" t="s">
        <v>327</v>
      </c>
      <c r="F28" t="s">
        <v>830</v>
      </c>
      <c r="G28">
        <v>1</v>
      </c>
    </row>
    <row r="29" spans="2:7">
      <c r="B29">
        <v>10</v>
      </c>
      <c r="C29" s="180">
        <v>119157.79156970895</v>
      </c>
      <c r="D29">
        <v>2020</v>
      </c>
      <c r="E29" t="s">
        <v>334</v>
      </c>
      <c r="F29" t="s">
        <v>830</v>
      </c>
      <c r="G29">
        <v>1</v>
      </c>
    </row>
    <row r="30" spans="2:7">
      <c r="B30">
        <v>11</v>
      </c>
      <c r="C30" s="180">
        <v>847435.58289065212</v>
      </c>
      <c r="D30">
        <v>2020</v>
      </c>
      <c r="E30" t="s">
        <v>339</v>
      </c>
      <c r="F30" t="s">
        <v>830</v>
      </c>
      <c r="G30">
        <v>1</v>
      </c>
    </row>
    <row r="31" spans="2:7">
      <c r="B31">
        <v>12</v>
      </c>
      <c r="C31" s="180">
        <v>9057966.2936882433</v>
      </c>
      <c r="D31">
        <v>2020</v>
      </c>
      <c r="E31" t="s">
        <v>337</v>
      </c>
      <c r="F31" t="s">
        <v>830</v>
      </c>
      <c r="G31">
        <v>1</v>
      </c>
    </row>
    <row r="32" spans="2:7">
      <c r="B32">
        <v>13</v>
      </c>
      <c r="C32" s="180">
        <v>505581.67726689682</v>
      </c>
      <c r="D32">
        <v>2020</v>
      </c>
      <c r="E32" t="s">
        <v>340</v>
      </c>
      <c r="F32" t="s">
        <v>830</v>
      </c>
      <c r="G32">
        <v>1</v>
      </c>
    </row>
    <row r="33" spans="2:7">
      <c r="B33">
        <v>14</v>
      </c>
      <c r="C33" s="180">
        <v>26405484.075497396</v>
      </c>
      <c r="D33">
        <v>2020</v>
      </c>
      <c r="E33" t="s">
        <v>341</v>
      </c>
      <c r="F33" t="s">
        <v>830</v>
      </c>
      <c r="G33">
        <v>1</v>
      </c>
    </row>
    <row r="34" spans="2:7">
      <c r="B34">
        <v>15</v>
      </c>
      <c r="C34" s="180">
        <v>756400.94229177735</v>
      </c>
      <c r="D34">
        <v>2020</v>
      </c>
      <c r="E34" t="s">
        <v>344</v>
      </c>
      <c r="F34" t="s">
        <v>830</v>
      </c>
      <c r="G34">
        <v>1</v>
      </c>
    </row>
    <row r="35" spans="2:7">
      <c r="B35">
        <v>16</v>
      </c>
      <c r="C35" s="180">
        <v>12922329.119819744</v>
      </c>
      <c r="D35">
        <v>2020</v>
      </c>
      <c r="E35" t="s">
        <v>345</v>
      </c>
      <c r="F35" t="s">
        <v>830</v>
      </c>
      <c r="G35">
        <v>1</v>
      </c>
    </row>
    <row r="36" spans="2:7">
      <c r="B36">
        <v>17</v>
      </c>
      <c r="C36" s="180">
        <v>686952.98173478153</v>
      </c>
      <c r="D36">
        <v>2020</v>
      </c>
      <c r="E36" t="s">
        <v>351</v>
      </c>
      <c r="F36" t="s">
        <v>830</v>
      </c>
      <c r="G36">
        <v>1</v>
      </c>
    </row>
    <row r="37" spans="2:7">
      <c r="B37">
        <v>18</v>
      </c>
      <c r="C37" s="180">
        <v>975839.82625029294</v>
      </c>
      <c r="D37">
        <v>2020</v>
      </c>
      <c r="E37" t="s">
        <v>354</v>
      </c>
      <c r="F37" t="s">
        <v>830</v>
      </c>
      <c r="G37">
        <v>1</v>
      </c>
    </row>
    <row r="38" spans="2:7">
      <c r="B38">
        <v>19</v>
      </c>
      <c r="C38" s="180">
        <v>31012.676750044764</v>
      </c>
      <c r="D38">
        <v>2020</v>
      </c>
      <c r="E38" t="s">
        <v>356</v>
      </c>
      <c r="F38" t="s">
        <v>830</v>
      </c>
      <c r="G38">
        <v>1</v>
      </c>
    </row>
    <row r="39" spans="2:7">
      <c r="B39">
        <v>20</v>
      </c>
      <c r="C39" s="180">
        <v>12132.747993912169</v>
      </c>
      <c r="D39">
        <v>2020</v>
      </c>
      <c r="E39" t="s">
        <v>359</v>
      </c>
      <c r="F39" t="s">
        <v>830</v>
      </c>
      <c r="G39">
        <v>1</v>
      </c>
    </row>
    <row r="40" spans="2:7">
      <c r="B40">
        <v>21</v>
      </c>
      <c r="C40" s="180">
        <v>6654019.8779814392</v>
      </c>
      <c r="D40">
        <v>2020</v>
      </c>
      <c r="E40" t="s">
        <v>360</v>
      </c>
      <c r="F40" t="s">
        <v>830</v>
      </c>
      <c r="G40">
        <v>1</v>
      </c>
    </row>
    <row r="41" spans="2:7">
      <c r="B41">
        <v>22</v>
      </c>
      <c r="C41" s="180">
        <v>4047998.6160165961</v>
      </c>
      <c r="D41">
        <v>2020</v>
      </c>
      <c r="E41" t="s">
        <v>361</v>
      </c>
      <c r="F41" t="s">
        <v>830</v>
      </c>
      <c r="G41">
        <v>1</v>
      </c>
    </row>
    <row r="42" spans="2:7">
      <c r="B42">
        <v>23</v>
      </c>
      <c r="C42" s="180">
        <v>2403625.2498371834</v>
      </c>
      <c r="D42">
        <v>2020</v>
      </c>
      <c r="E42" t="s">
        <v>366</v>
      </c>
      <c r="F42" t="s">
        <v>830</v>
      </c>
      <c r="G42">
        <v>1</v>
      </c>
    </row>
    <row r="43" spans="2:7">
      <c r="B43">
        <v>24</v>
      </c>
      <c r="C43" s="180">
        <v>437.7361508808076</v>
      </c>
      <c r="D43">
        <v>2020</v>
      </c>
      <c r="E43" t="s">
        <v>367</v>
      </c>
      <c r="F43" t="s">
        <v>830</v>
      </c>
      <c r="G43">
        <v>1</v>
      </c>
    </row>
    <row r="44" spans="2:7">
      <c r="B44">
        <v>25</v>
      </c>
      <c r="C44" s="180">
        <v>11388.804547887481</v>
      </c>
      <c r="D44">
        <v>2020</v>
      </c>
      <c r="E44" t="s">
        <v>371</v>
      </c>
      <c r="F44" t="s">
        <v>830</v>
      </c>
      <c r="G44">
        <v>1</v>
      </c>
    </row>
    <row r="45" spans="2:7">
      <c r="B45">
        <v>26</v>
      </c>
      <c r="C45" s="180">
        <v>629346.76893527061</v>
      </c>
      <c r="D45">
        <v>2020</v>
      </c>
      <c r="E45" t="s">
        <v>372</v>
      </c>
      <c r="F45" t="s">
        <v>830</v>
      </c>
      <c r="G45">
        <v>1</v>
      </c>
    </row>
    <row r="46" spans="2:7">
      <c r="B46">
        <v>27</v>
      </c>
      <c r="C46" s="180">
        <v>17036.436079166462</v>
      </c>
      <c r="D46">
        <v>2020</v>
      </c>
      <c r="E46" t="s">
        <v>375</v>
      </c>
      <c r="F46" t="s">
        <v>830</v>
      </c>
      <c r="G46">
        <v>1</v>
      </c>
    </row>
    <row r="47" spans="2:7">
      <c r="B47">
        <v>28</v>
      </c>
      <c r="C47" s="180">
        <v>25706134.090591587</v>
      </c>
      <c r="D47">
        <v>2021</v>
      </c>
      <c r="E47" t="s">
        <v>304</v>
      </c>
      <c r="F47" t="s">
        <v>837</v>
      </c>
      <c r="G47">
        <v>1</v>
      </c>
    </row>
    <row r="48" spans="2:7">
      <c r="B48">
        <v>29</v>
      </c>
      <c r="C48" s="180">
        <v>4851611.3998010792</v>
      </c>
      <c r="D48">
        <v>2021</v>
      </c>
      <c r="E48" t="s">
        <v>308</v>
      </c>
      <c r="F48" t="s">
        <v>837</v>
      </c>
      <c r="G48">
        <v>1</v>
      </c>
    </row>
    <row r="49" spans="2:7">
      <c r="B49">
        <v>30</v>
      </c>
      <c r="C49" s="180">
        <v>1383899.1314390239</v>
      </c>
      <c r="D49">
        <v>2021</v>
      </c>
      <c r="E49" t="s">
        <v>309</v>
      </c>
      <c r="F49" t="s">
        <v>837</v>
      </c>
      <c r="G49">
        <v>1</v>
      </c>
    </row>
    <row r="50" spans="2:7">
      <c r="B50">
        <v>31</v>
      </c>
      <c r="C50" s="180">
        <v>36.126161654819548</v>
      </c>
      <c r="D50">
        <v>2021</v>
      </c>
      <c r="E50" t="s">
        <v>312</v>
      </c>
      <c r="F50" t="s">
        <v>837</v>
      </c>
      <c r="G50">
        <v>1</v>
      </c>
    </row>
    <row r="51" spans="2:7">
      <c r="B51">
        <v>32</v>
      </c>
      <c r="C51" s="180">
        <v>1248204.1157067129</v>
      </c>
      <c r="D51">
        <v>2021</v>
      </c>
      <c r="E51" t="s">
        <v>313</v>
      </c>
      <c r="F51" t="s">
        <v>837</v>
      </c>
      <c r="G51">
        <v>1</v>
      </c>
    </row>
    <row r="52" spans="2:7">
      <c r="B52">
        <v>33</v>
      </c>
      <c r="C52" s="180">
        <v>23454.576356302689</v>
      </c>
      <c r="D52">
        <v>2021</v>
      </c>
      <c r="E52" t="s">
        <v>314</v>
      </c>
      <c r="F52" t="s">
        <v>837</v>
      </c>
      <c r="G52">
        <v>1</v>
      </c>
    </row>
    <row r="53" spans="2:7">
      <c r="B53">
        <v>34</v>
      </c>
      <c r="C53" s="180">
        <v>1097396.6149389972</v>
      </c>
      <c r="D53">
        <v>2021</v>
      </c>
      <c r="E53" t="s">
        <v>317</v>
      </c>
      <c r="F53" t="s">
        <v>837</v>
      </c>
      <c r="G53">
        <v>1</v>
      </c>
    </row>
    <row r="54" spans="2:7">
      <c r="B54">
        <v>35</v>
      </c>
      <c r="C54" s="180">
        <v>21.673674251477685</v>
      </c>
      <c r="D54">
        <v>2021</v>
      </c>
      <c r="E54" t="s">
        <v>318</v>
      </c>
      <c r="F54" t="s">
        <v>837</v>
      </c>
      <c r="G54">
        <v>1</v>
      </c>
    </row>
    <row r="55" spans="2:7">
      <c r="B55">
        <v>36</v>
      </c>
      <c r="C55" s="180">
        <v>396020.07371979632</v>
      </c>
      <c r="D55">
        <v>2021</v>
      </c>
      <c r="E55" t="s">
        <v>321</v>
      </c>
      <c r="F55" t="s">
        <v>837</v>
      </c>
      <c r="G55">
        <v>1</v>
      </c>
    </row>
    <row r="56" spans="2:7">
      <c r="B56">
        <v>37</v>
      </c>
      <c r="C56" s="180">
        <v>467492.18719026912</v>
      </c>
      <c r="D56">
        <v>2021</v>
      </c>
      <c r="E56" t="s">
        <v>323</v>
      </c>
      <c r="F56" t="s">
        <v>837</v>
      </c>
      <c r="G56">
        <v>1</v>
      </c>
    </row>
    <row r="57" spans="2:7">
      <c r="B57">
        <v>38</v>
      </c>
      <c r="C57" s="180">
        <v>2674366.8931494337</v>
      </c>
      <c r="D57">
        <v>2021</v>
      </c>
      <c r="E57" t="s">
        <v>327</v>
      </c>
      <c r="F57" t="s">
        <v>837</v>
      </c>
      <c r="G57">
        <v>1</v>
      </c>
    </row>
    <row r="58" spans="2:7">
      <c r="B58">
        <v>39</v>
      </c>
      <c r="C58" s="180">
        <v>49.981940341018536</v>
      </c>
      <c r="D58">
        <v>2021</v>
      </c>
      <c r="E58" t="s">
        <v>334</v>
      </c>
      <c r="F58" t="s">
        <v>837</v>
      </c>
      <c r="G58">
        <v>1</v>
      </c>
    </row>
    <row r="59" spans="2:7">
      <c r="B59">
        <v>40</v>
      </c>
      <c r="C59" s="180">
        <v>503372.15987408569</v>
      </c>
      <c r="D59">
        <v>2021</v>
      </c>
      <c r="E59" t="s">
        <v>339</v>
      </c>
      <c r="F59" t="s">
        <v>837</v>
      </c>
      <c r="G59">
        <v>1</v>
      </c>
    </row>
    <row r="60" spans="2:7">
      <c r="B60">
        <v>41</v>
      </c>
      <c r="C60" s="180">
        <v>8924117.8015749045</v>
      </c>
      <c r="D60">
        <v>2021</v>
      </c>
      <c r="E60" t="s">
        <v>337</v>
      </c>
      <c r="F60" t="s">
        <v>837</v>
      </c>
      <c r="G60">
        <v>1</v>
      </c>
    </row>
    <row r="61" spans="2:7">
      <c r="B61">
        <v>42</v>
      </c>
      <c r="C61" s="180">
        <v>302473.20248261362</v>
      </c>
      <c r="D61">
        <v>2021</v>
      </c>
      <c r="E61" t="s">
        <v>340</v>
      </c>
      <c r="F61" t="s">
        <v>837</v>
      </c>
      <c r="G61">
        <v>1</v>
      </c>
    </row>
    <row r="62" spans="2:7">
      <c r="B62">
        <v>43</v>
      </c>
      <c r="C62" s="180">
        <v>2052183.8724388792</v>
      </c>
      <c r="D62">
        <v>2021</v>
      </c>
      <c r="E62" t="s">
        <v>341</v>
      </c>
      <c r="F62" t="s">
        <v>837</v>
      </c>
      <c r="G62">
        <v>1</v>
      </c>
    </row>
    <row r="63" spans="2:7">
      <c r="B63">
        <v>44</v>
      </c>
      <c r="C63" s="180">
        <v>2389093.2206175276</v>
      </c>
      <c r="D63">
        <v>2021</v>
      </c>
      <c r="E63" t="s">
        <v>344</v>
      </c>
      <c r="F63" t="s">
        <v>837</v>
      </c>
      <c r="G63">
        <v>1</v>
      </c>
    </row>
    <row r="64" spans="2:7">
      <c r="B64">
        <v>45</v>
      </c>
      <c r="C64" s="180">
        <v>2623152.226809788</v>
      </c>
      <c r="D64">
        <v>2021</v>
      </c>
      <c r="E64" t="s">
        <v>345</v>
      </c>
      <c r="F64" t="s">
        <v>837</v>
      </c>
      <c r="G64">
        <v>1</v>
      </c>
    </row>
    <row r="65" spans="2:7">
      <c r="B65">
        <v>46</v>
      </c>
      <c r="C65" s="180">
        <v>1633023.1294499158</v>
      </c>
      <c r="D65">
        <v>2021</v>
      </c>
      <c r="E65" t="s">
        <v>348</v>
      </c>
      <c r="F65" t="s">
        <v>837</v>
      </c>
      <c r="G65">
        <v>1</v>
      </c>
    </row>
    <row r="66" spans="2:7">
      <c r="B66">
        <v>47</v>
      </c>
      <c r="C66" s="180">
        <v>1234463.3646877937</v>
      </c>
      <c r="D66">
        <v>2021</v>
      </c>
      <c r="E66" t="s">
        <v>351</v>
      </c>
      <c r="F66" t="s">
        <v>837</v>
      </c>
      <c r="G66">
        <v>1</v>
      </c>
    </row>
    <row r="67" spans="2:7">
      <c r="B67">
        <v>48</v>
      </c>
      <c r="C67" s="180">
        <v>374278.37821483467</v>
      </c>
      <c r="D67">
        <v>2021</v>
      </c>
      <c r="E67" t="s">
        <v>354</v>
      </c>
      <c r="F67" t="s">
        <v>837</v>
      </c>
      <c r="G67">
        <v>1</v>
      </c>
    </row>
    <row r="68" spans="2:7">
      <c r="B68">
        <v>49</v>
      </c>
      <c r="C68" s="180">
        <v>889564.28597105667</v>
      </c>
      <c r="D68">
        <v>2021</v>
      </c>
      <c r="E68" t="s">
        <v>356</v>
      </c>
      <c r="F68" t="s">
        <v>837</v>
      </c>
      <c r="G68">
        <v>1</v>
      </c>
    </row>
    <row r="69" spans="2:7">
      <c r="B69">
        <v>50</v>
      </c>
      <c r="C69" s="180">
        <v>21.673674251477685</v>
      </c>
      <c r="D69">
        <v>2021</v>
      </c>
      <c r="E69" t="s">
        <v>358</v>
      </c>
      <c r="F69" t="s">
        <v>837</v>
      </c>
      <c r="G69">
        <v>1</v>
      </c>
    </row>
    <row r="70" spans="2:7">
      <c r="B70">
        <v>51</v>
      </c>
      <c r="C70" s="180">
        <v>66907.138099665128</v>
      </c>
      <c r="D70">
        <v>2021</v>
      </c>
      <c r="E70" t="s">
        <v>360</v>
      </c>
      <c r="F70" t="s">
        <v>837</v>
      </c>
      <c r="G70">
        <v>1</v>
      </c>
    </row>
    <row r="71" spans="2:7">
      <c r="B71">
        <v>52</v>
      </c>
      <c r="C71" s="180">
        <v>8176022.9143784875</v>
      </c>
      <c r="D71">
        <v>2021</v>
      </c>
      <c r="E71" t="s">
        <v>361</v>
      </c>
      <c r="F71" t="s">
        <v>837</v>
      </c>
      <c r="G71">
        <v>1</v>
      </c>
    </row>
    <row r="72" spans="2:7">
      <c r="B72">
        <v>53</v>
      </c>
      <c r="C72" s="180">
        <v>3432263.071002047</v>
      </c>
      <c r="D72">
        <v>2021</v>
      </c>
      <c r="E72" t="s">
        <v>366</v>
      </c>
      <c r="F72" t="s">
        <v>837</v>
      </c>
      <c r="G72">
        <v>1</v>
      </c>
    </row>
    <row r="73" spans="2:7">
      <c r="B73">
        <v>54</v>
      </c>
      <c r="C73" s="180">
        <v>280.60480266320502</v>
      </c>
      <c r="D73">
        <v>2021</v>
      </c>
      <c r="E73" t="s">
        <v>371</v>
      </c>
      <c r="F73" t="s">
        <v>837</v>
      </c>
      <c r="G73">
        <v>1</v>
      </c>
    </row>
    <row r="74" spans="2:7">
      <c r="B74">
        <v>55</v>
      </c>
      <c r="C74" s="180">
        <v>13637663.667912096</v>
      </c>
      <c r="D74">
        <v>2021</v>
      </c>
      <c r="E74" t="s">
        <v>372</v>
      </c>
      <c r="F74" t="s">
        <v>837</v>
      </c>
      <c r="G74">
        <v>1</v>
      </c>
    </row>
    <row r="75" spans="2:7">
      <c r="B75">
        <v>56</v>
      </c>
      <c r="C75" s="180">
        <v>6068.2242421309429</v>
      </c>
      <c r="D75">
        <v>2021</v>
      </c>
      <c r="E75" t="s">
        <v>375</v>
      </c>
      <c r="F75" t="s">
        <v>837</v>
      </c>
      <c r="G75">
        <v>1</v>
      </c>
    </row>
    <row r="76" spans="2:7">
      <c r="B76">
        <v>57</v>
      </c>
      <c r="C76" s="180">
        <v>2134515.8335881382</v>
      </c>
      <c r="D76">
        <v>2021</v>
      </c>
      <c r="E76" t="s">
        <v>376</v>
      </c>
      <c r="F76" t="s">
        <v>837</v>
      </c>
      <c r="G76">
        <v>1</v>
      </c>
    </row>
    <row r="77" spans="2:7">
      <c r="B77">
        <v>58</v>
      </c>
      <c r="C77" s="180">
        <v>33813410.918106742</v>
      </c>
      <c r="D77">
        <v>2022</v>
      </c>
      <c r="E77" t="s">
        <v>304</v>
      </c>
      <c r="F77" t="s">
        <v>831</v>
      </c>
      <c r="G77">
        <v>2</v>
      </c>
    </row>
    <row r="78" spans="2:7">
      <c r="B78">
        <v>59</v>
      </c>
      <c r="C78" s="180">
        <v>6849959.2876701923</v>
      </c>
      <c r="D78">
        <v>2022</v>
      </c>
      <c r="E78" t="s">
        <v>308</v>
      </c>
      <c r="F78" t="s">
        <v>831</v>
      </c>
      <c r="G78">
        <v>2</v>
      </c>
    </row>
    <row r="79" spans="2:7">
      <c r="B79">
        <v>60</v>
      </c>
      <c r="C79" s="180">
        <v>664518.3858161252</v>
      </c>
      <c r="D79">
        <v>2022</v>
      </c>
      <c r="E79" t="s">
        <v>313</v>
      </c>
      <c r="F79" t="s">
        <v>831</v>
      </c>
      <c r="G79">
        <v>2</v>
      </c>
    </row>
    <row r="80" spans="2:7">
      <c r="B80">
        <v>61</v>
      </c>
      <c r="C80" s="180">
        <v>906873.84029764659</v>
      </c>
      <c r="D80">
        <v>2022</v>
      </c>
      <c r="E80" t="s">
        <v>317</v>
      </c>
      <c r="F80" t="s">
        <v>831</v>
      </c>
      <c r="G80">
        <v>2</v>
      </c>
    </row>
    <row r="81" spans="2:7">
      <c r="B81">
        <v>62</v>
      </c>
      <c r="C81" s="180">
        <v>57338.455544922595</v>
      </c>
      <c r="D81">
        <v>2022</v>
      </c>
      <c r="E81" t="s">
        <v>321</v>
      </c>
      <c r="F81" t="s">
        <v>831</v>
      </c>
      <c r="G81">
        <v>2</v>
      </c>
    </row>
    <row r="82" spans="2:7">
      <c r="B82">
        <v>63</v>
      </c>
      <c r="C82" s="180">
        <v>105283.66667709664</v>
      </c>
      <c r="D82">
        <v>2022</v>
      </c>
      <c r="E82" t="s">
        <v>339</v>
      </c>
      <c r="F82" t="s">
        <v>831</v>
      </c>
      <c r="G82">
        <v>2</v>
      </c>
    </row>
    <row r="83" spans="2:7">
      <c r="B83">
        <v>64</v>
      </c>
      <c r="C83" s="180">
        <v>6293355.1961035738</v>
      </c>
      <c r="D83">
        <v>2022</v>
      </c>
      <c r="E83" t="s">
        <v>337</v>
      </c>
      <c r="F83" t="s">
        <v>831</v>
      </c>
      <c r="G83">
        <v>2</v>
      </c>
    </row>
    <row r="84" spans="2:7">
      <c r="B84">
        <v>65</v>
      </c>
      <c r="C84" s="180">
        <v>10404800.792079909</v>
      </c>
      <c r="D84">
        <v>2022</v>
      </c>
      <c r="E84" t="s">
        <v>340</v>
      </c>
      <c r="F84" t="s">
        <v>831</v>
      </c>
      <c r="G84">
        <v>2</v>
      </c>
    </row>
    <row r="85" spans="2:7">
      <c r="B85">
        <v>66</v>
      </c>
      <c r="C85" s="180">
        <v>3092987.1234078766</v>
      </c>
      <c r="D85">
        <v>2022</v>
      </c>
      <c r="E85" t="s">
        <v>341</v>
      </c>
      <c r="F85" t="s">
        <v>831</v>
      </c>
      <c r="G85">
        <v>2</v>
      </c>
    </row>
    <row r="86" spans="2:7">
      <c r="B86">
        <v>67</v>
      </c>
      <c r="C86" s="180">
        <v>1027512.2926749249</v>
      </c>
      <c r="D86">
        <v>2022</v>
      </c>
      <c r="E86" t="s">
        <v>344</v>
      </c>
      <c r="F86" t="s">
        <v>831</v>
      </c>
      <c r="G86">
        <v>2</v>
      </c>
    </row>
    <row r="87" spans="2:7">
      <c r="B87">
        <v>68</v>
      </c>
      <c r="C87" s="180">
        <v>15717781.33321991</v>
      </c>
      <c r="D87">
        <v>2022</v>
      </c>
      <c r="E87" t="s">
        <v>345</v>
      </c>
      <c r="F87" t="s">
        <v>831</v>
      </c>
      <c r="G87">
        <v>2</v>
      </c>
    </row>
    <row r="88" spans="2:7">
      <c r="B88">
        <v>69</v>
      </c>
      <c r="C88" s="180">
        <v>4052946.4637069628</v>
      </c>
      <c r="D88">
        <v>2022</v>
      </c>
      <c r="E88" t="s">
        <v>351</v>
      </c>
      <c r="F88" t="s">
        <v>831</v>
      </c>
      <c r="G88">
        <v>2</v>
      </c>
    </row>
    <row r="89" spans="2:7">
      <c r="B89">
        <v>70</v>
      </c>
      <c r="C89" s="180">
        <v>646.81735113356922</v>
      </c>
      <c r="D89">
        <v>2022</v>
      </c>
      <c r="E89" t="s">
        <v>354</v>
      </c>
      <c r="F89" t="s">
        <v>831</v>
      </c>
      <c r="G89">
        <v>2</v>
      </c>
    </row>
    <row r="90" spans="2:7">
      <c r="B90">
        <v>71</v>
      </c>
      <c r="C90" s="180">
        <v>183674.23028357985</v>
      </c>
      <c r="D90">
        <v>2022</v>
      </c>
      <c r="E90" t="s">
        <v>356</v>
      </c>
      <c r="F90" t="s">
        <v>831</v>
      </c>
      <c r="G90">
        <v>2</v>
      </c>
    </row>
    <row r="91" spans="2:7">
      <c r="B91">
        <v>72</v>
      </c>
      <c r="C91" s="180">
        <v>914035.73224221612</v>
      </c>
      <c r="D91">
        <v>2022</v>
      </c>
      <c r="E91" t="s">
        <v>360</v>
      </c>
      <c r="F91" t="s">
        <v>831</v>
      </c>
      <c r="G91">
        <v>2</v>
      </c>
    </row>
    <row r="92" spans="2:7">
      <c r="B92">
        <v>73</v>
      </c>
      <c r="C92" s="180">
        <v>-5587235.5025544362</v>
      </c>
      <c r="D92">
        <v>2022</v>
      </c>
      <c r="E92" t="s">
        <v>372</v>
      </c>
      <c r="F92" t="s">
        <v>831</v>
      </c>
      <c r="G92">
        <v>2</v>
      </c>
    </row>
    <row r="93" spans="2:7">
      <c r="B93">
        <v>74</v>
      </c>
      <c r="C93" s="180">
        <v>622622.73355007381</v>
      </c>
      <c r="D93">
        <v>2022</v>
      </c>
      <c r="E93" t="s">
        <v>376</v>
      </c>
      <c r="F93" t="s">
        <v>831</v>
      </c>
      <c r="G93">
        <v>2</v>
      </c>
    </row>
    <row r="94" spans="2:7">
      <c r="B94">
        <v>75</v>
      </c>
      <c r="C94" s="180">
        <v>35129736.152436331</v>
      </c>
      <c r="D94">
        <v>2023</v>
      </c>
      <c r="E94" t="s">
        <v>304</v>
      </c>
      <c r="F94" t="s">
        <v>832</v>
      </c>
      <c r="G94">
        <v>1</v>
      </c>
    </row>
    <row r="95" spans="2:7">
      <c r="B95">
        <v>76</v>
      </c>
      <c r="C95" s="180">
        <v>3911702.9434979558</v>
      </c>
      <c r="D95">
        <v>2023</v>
      </c>
      <c r="E95" t="s">
        <v>308</v>
      </c>
      <c r="F95" t="s">
        <v>832</v>
      </c>
      <c r="G95">
        <v>1</v>
      </c>
    </row>
    <row r="96" spans="2:7">
      <c r="B96">
        <v>77</v>
      </c>
      <c r="C96" s="180">
        <v>211106.04067513763</v>
      </c>
      <c r="D96">
        <v>2023</v>
      </c>
      <c r="E96" t="s">
        <v>313</v>
      </c>
      <c r="F96" t="s">
        <v>832</v>
      </c>
      <c r="G96">
        <v>1</v>
      </c>
    </row>
    <row r="97" spans="2:7">
      <c r="B97">
        <v>78</v>
      </c>
      <c r="C97" s="180">
        <v>87365.41867156743</v>
      </c>
      <c r="D97">
        <v>2023</v>
      </c>
      <c r="E97" t="s">
        <v>317</v>
      </c>
      <c r="F97" t="s">
        <v>832</v>
      </c>
      <c r="G97">
        <v>1</v>
      </c>
    </row>
    <row r="98" spans="2:7">
      <c r="B98">
        <v>79</v>
      </c>
      <c r="C98" s="180">
        <v>512.30039495694564</v>
      </c>
      <c r="D98">
        <v>2023</v>
      </c>
      <c r="E98" t="s">
        <v>321</v>
      </c>
      <c r="F98" t="s">
        <v>832</v>
      </c>
      <c r="G98">
        <v>1</v>
      </c>
    </row>
    <row r="99" spans="2:7">
      <c r="B99">
        <v>80</v>
      </c>
      <c r="C99" s="180">
        <v>52227.302738377963</v>
      </c>
      <c r="D99">
        <v>2023</v>
      </c>
      <c r="E99" t="s">
        <v>339</v>
      </c>
      <c r="F99" t="s">
        <v>832</v>
      </c>
      <c r="G99">
        <v>1</v>
      </c>
    </row>
    <row r="100" spans="2:7">
      <c r="B100">
        <v>81</v>
      </c>
      <c r="C100" s="180">
        <v>1503868.6390986054</v>
      </c>
      <c r="D100">
        <v>2023</v>
      </c>
      <c r="E100" t="s">
        <v>337</v>
      </c>
      <c r="F100" t="s">
        <v>832</v>
      </c>
      <c r="G100">
        <v>1</v>
      </c>
    </row>
    <row r="101" spans="2:7">
      <c r="B101">
        <v>82</v>
      </c>
      <c r="C101" s="180">
        <v>2183439.2423609141</v>
      </c>
      <c r="D101">
        <v>2023</v>
      </c>
      <c r="E101" t="s">
        <v>340</v>
      </c>
      <c r="F101" t="s">
        <v>832</v>
      </c>
      <c r="G101">
        <v>1</v>
      </c>
    </row>
    <row r="102" spans="2:7">
      <c r="B102">
        <v>83</v>
      </c>
      <c r="C102" s="180">
        <v>999432.73169850267</v>
      </c>
      <c r="D102">
        <v>2023</v>
      </c>
      <c r="E102" t="s">
        <v>341</v>
      </c>
      <c r="F102" t="s">
        <v>832</v>
      </c>
      <c r="G102">
        <v>1</v>
      </c>
    </row>
    <row r="103" spans="2:7">
      <c r="B103">
        <v>84</v>
      </c>
      <c r="C103" s="180">
        <v>1817413.6692713664</v>
      </c>
      <c r="D103">
        <v>2023</v>
      </c>
      <c r="E103" t="s">
        <v>344</v>
      </c>
      <c r="F103" t="s">
        <v>832</v>
      </c>
      <c r="G103">
        <v>1</v>
      </c>
    </row>
    <row r="104" spans="2:7">
      <c r="B104">
        <v>85</v>
      </c>
      <c r="C104" s="180">
        <v>22543419.613286749</v>
      </c>
      <c r="D104">
        <v>2023</v>
      </c>
      <c r="E104" t="s">
        <v>345</v>
      </c>
      <c r="F104" t="s">
        <v>832</v>
      </c>
      <c r="G104">
        <v>1</v>
      </c>
    </row>
    <row r="105" spans="2:7">
      <c r="B105">
        <v>86</v>
      </c>
      <c r="C105" s="180">
        <v>1283661.605903188</v>
      </c>
      <c r="D105">
        <v>2023</v>
      </c>
      <c r="E105" t="s">
        <v>351</v>
      </c>
      <c r="F105" t="s">
        <v>832</v>
      </c>
      <c r="G105">
        <v>1</v>
      </c>
    </row>
    <row r="106" spans="2:7">
      <c r="B106">
        <v>87</v>
      </c>
      <c r="C106" s="180">
        <v>403062.53576066508</v>
      </c>
      <c r="D106">
        <v>2023</v>
      </c>
      <c r="E106" t="s">
        <v>354</v>
      </c>
      <c r="F106" t="s">
        <v>832</v>
      </c>
      <c r="G106">
        <v>1</v>
      </c>
    </row>
    <row r="107" spans="2:7">
      <c r="B107">
        <v>88</v>
      </c>
      <c r="C107" s="180">
        <v>141832.85648723919</v>
      </c>
      <c r="D107">
        <v>2023</v>
      </c>
      <c r="E107" t="s">
        <v>356</v>
      </c>
      <c r="F107" t="s">
        <v>832</v>
      </c>
      <c r="G107">
        <v>1</v>
      </c>
    </row>
    <row r="108" spans="2:7">
      <c r="B108">
        <v>89</v>
      </c>
      <c r="C108" s="180">
        <v>106149.96916572338</v>
      </c>
      <c r="D108">
        <v>2023</v>
      </c>
      <c r="E108" t="s">
        <v>359</v>
      </c>
      <c r="F108" t="s">
        <v>832</v>
      </c>
      <c r="G108">
        <v>1</v>
      </c>
    </row>
    <row r="109" spans="2:7">
      <c r="B109">
        <v>90</v>
      </c>
      <c r="C109" s="180">
        <v>22782.771765883743</v>
      </c>
      <c r="D109">
        <v>2023</v>
      </c>
      <c r="E109" t="s">
        <v>360</v>
      </c>
      <c r="F109" t="s">
        <v>832</v>
      </c>
      <c r="G109">
        <v>1</v>
      </c>
    </row>
    <row r="110" spans="2:7">
      <c r="B110">
        <v>91</v>
      </c>
      <c r="C110" s="180">
        <v>-7843704.5403578533</v>
      </c>
      <c r="D110">
        <v>2023</v>
      </c>
      <c r="E110" t="s">
        <v>372</v>
      </c>
      <c r="F110" t="s">
        <v>832</v>
      </c>
      <c r="G110">
        <v>1</v>
      </c>
    </row>
    <row r="111" spans="2:7">
      <c r="B111" s="336">
        <v>92</v>
      </c>
      <c r="C111" s="342">
        <v>34638760.530000001</v>
      </c>
      <c r="D111" s="336">
        <v>2024</v>
      </c>
      <c r="E111" s="336" t="s">
        <v>304</v>
      </c>
      <c r="F111" s="336"/>
      <c r="G111" s="336"/>
    </row>
    <row r="112" spans="2:7">
      <c r="B112" s="336">
        <v>93</v>
      </c>
      <c r="C112" s="342">
        <v>7519513.5300000003</v>
      </c>
      <c r="D112" s="336">
        <v>2024</v>
      </c>
      <c r="E112" s="336" t="s">
        <v>308</v>
      </c>
      <c r="F112" s="336"/>
      <c r="G112" s="336"/>
    </row>
    <row r="113" spans="2:7">
      <c r="B113" s="336">
        <v>94</v>
      </c>
      <c r="C113" s="342">
        <v>1572406.76</v>
      </c>
      <c r="D113" s="336">
        <v>2024</v>
      </c>
      <c r="E113" s="336" t="s">
        <v>313</v>
      </c>
      <c r="F113" s="336"/>
      <c r="G113" s="336"/>
    </row>
    <row r="114" spans="2:7">
      <c r="B114" s="336">
        <v>95</v>
      </c>
      <c r="C114" s="342">
        <v>4287092.05</v>
      </c>
      <c r="D114" s="336">
        <v>2024</v>
      </c>
      <c r="E114" s="336" t="s">
        <v>317</v>
      </c>
      <c r="F114" s="336"/>
      <c r="G114" s="336"/>
    </row>
    <row r="115" spans="2:7">
      <c r="B115" s="336">
        <v>96</v>
      </c>
      <c r="C115" s="342">
        <v>292.68</v>
      </c>
      <c r="D115" s="336">
        <v>2024</v>
      </c>
      <c r="E115" s="336" t="s">
        <v>321</v>
      </c>
      <c r="F115" s="336"/>
      <c r="G115" s="336"/>
    </row>
    <row r="116" spans="2:7">
      <c r="B116" s="336">
        <v>97</v>
      </c>
      <c r="C116" s="342">
        <v>315351.99</v>
      </c>
      <c r="D116" s="336">
        <v>2024</v>
      </c>
      <c r="E116" s="336" t="s">
        <v>339</v>
      </c>
      <c r="F116" s="336"/>
      <c r="G116" s="336"/>
    </row>
    <row r="117" spans="2:7">
      <c r="B117" s="336">
        <v>98</v>
      </c>
      <c r="C117" s="342">
        <v>3902230.05</v>
      </c>
      <c r="D117" s="336">
        <v>2024</v>
      </c>
      <c r="E117" s="336" t="s">
        <v>337</v>
      </c>
      <c r="F117" s="336"/>
      <c r="G117" s="336"/>
    </row>
    <row r="118" spans="2:7">
      <c r="B118" s="336">
        <v>99</v>
      </c>
      <c r="C118" s="342">
        <v>324403.28999999998</v>
      </c>
      <c r="D118" s="336">
        <v>2024</v>
      </c>
      <c r="E118" s="336" t="s">
        <v>340</v>
      </c>
      <c r="F118" s="336"/>
      <c r="G118" s="336"/>
    </row>
    <row r="119" spans="2:7">
      <c r="B119" s="336">
        <v>100</v>
      </c>
      <c r="C119" s="342">
        <v>1863550.44</v>
      </c>
      <c r="D119" s="336">
        <v>2024</v>
      </c>
      <c r="E119" s="336" t="s">
        <v>341</v>
      </c>
      <c r="F119" s="336"/>
      <c r="G119" s="336"/>
    </row>
    <row r="120" spans="2:7">
      <c r="B120" s="336">
        <v>101</v>
      </c>
      <c r="C120" s="342">
        <v>9517259.8200000003</v>
      </c>
      <c r="D120" s="336">
        <v>2024</v>
      </c>
      <c r="E120" s="336" t="s">
        <v>345</v>
      </c>
      <c r="F120" s="336"/>
      <c r="G120" s="336"/>
    </row>
    <row r="121" spans="2:7">
      <c r="B121" s="336">
        <v>102</v>
      </c>
      <c r="C121" s="342">
        <v>383647.64</v>
      </c>
      <c r="D121" s="336">
        <v>2024</v>
      </c>
      <c r="E121" s="336" t="s">
        <v>351</v>
      </c>
      <c r="F121" s="336"/>
      <c r="G121" s="336"/>
    </row>
    <row r="122" spans="2:7">
      <c r="B122" s="336">
        <v>103</v>
      </c>
      <c r="C122" s="342">
        <v>319917.19</v>
      </c>
      <c r="D122" s="336">
        <v>2024</v>
      </c>
      <c r="E122" s="336" t="s">
        <v>354</v>
      </c>
      <c r="F122" s="336"/>
      <c r="G122" s="336"/>
    </row>
    <row r="123" spans="2:7">
      <c r="B123" s="336">
        <v>104</v>
      </c>
      <c r="C123" s="342">
        <v>668703.51</v>
      </c>
      <c r="D123" s="336">
        <v>2024</v>
      </c>
      <c r="E123" s="336" t="s">
        <v>356</v>
      </c>
      <c r="F123" s="336"/>
      <c r="G123" s="336"/>
    </row>
    <row r="124" spans="2:7">
      <c r="B124" s="336">
        <v>105</v>
      </c>
      <c r="C124" s="342">
        <v>27477.31</v>
      </c>
      <c r="D124" s="336">
        <v>2024</v>
      </c>
      <c r="E124" s="336" t="s">
        <v>359</v>
      </c>
      <c r="F124" s="336"/>
      <c r="G124" s="336"/>
    </row>
    <row r="125" spans="2:7">
      <c r="B125" s="336">
        <v>106</v>
      </c>
      <c r="C125" s="342">
        <v>23985165.949999999</v>
      </c>
      <c r="D125" s="336">
        <v>2024</v>
      </c>
      <c r="E125" s="336" t="s">
        <v>360</v>
      </c>
      <c r="F125" s="336"/>
      <c r="G125" s="336"/>
    </row>
    <row r="126" spans="2:7">
      <c r="B126" s="336">
        <v>107</v>
      </c>
      <c r="C126" s="342">
        <v>2862737.08</v>
      </c>
      <c r="D126" s="336">
        <v>2024</v>
      </c>
      <c r="E126" s="336" t="s">
        <v>372</v>
      </c>
      <c r="F126" s="336"/>
      <c r="G126" s="336"/>
    </row>
    <row r="127" spans="2:7">
      <c r="B127" s="336"/>
      <c r="C127" s="336"/>
      <c r="D127" s="336"/>
      <c r="E127" s="336"/>
      <c r="F127" s="336"/>
      <c r="G127" s="336"/>
    </row>
    <row r="128" spans="2:7">
      <c r="B128" s="336"/>
      <c r="C128" s="336"/>
      <c r="D128" s="336"/>
      <c r="E128" s="336"/>
      <c r="F128" s="336"/>
      <c r="G128" s="336"/>
    </row>
    <row r="129" spans="2:7">
      <c r="B129" s="336"/>
      <c r="C129" s="336"/>
      <c r="D129" s="336"/>
      <c r="E129" s="336"/>
      <c r="F129" s="336"/>
      <c r="G129" s="336"/>
    </row>
    <row r="130" spans="2:7">
      <c r="B130" s="336"/>
      <c r="C130" s="336"/>
      <c r="D130" s="336"/>
      <c r="E130" s="336"/>
      <c r="F130" s="336"/>
      <c r="G130" s="336"/>
    </row>
  </sheetData>
  <mergeCells count="4">
    <mergeCell ref="B5:F5"/>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79D67-66AD-481F-AD57-EC32F22BD4B2}">
  <sheetPr>
    <tabColor rgb="FFCCCCFF"/>
  </sheetPr>
  <dimension ref="B1:M667"/>
  <sheetViews>
    <sheetView showGridLines="0" zoomScale="85" zoomScaleNormal="85" workbookViewId="0"/>
  </sheetViews>
  <sheetFormatPr defaultRowHeight="12.75"/>
  <cols>
    <col min="1" max="1" width="2.5703125" customWidth="1"/>
    <col min="2" max="2" width="8.5703125" bestFit="1" customWidth="1"/>
    <col min="3" max="3" width="72.85546875" bestFit="1" customWidth="1"/>
    <col min="4" max="4" width="32.5703125" bestFit="1" customWidth="1"/>
    <col min="5" max="5" width="52.140625" bestFit="1" customWidth="1"/>
    <col min="6" max="6" width="51" bestFit="1" customWidth="1"/>
    <col min="7" max="7" width="7.5703125" bestFit="1" customWidth="1"/>
    <col min="8" max="8" width="76.42578125" bestFit="1" customWidth="1"/>
    <col min="9" max="9" width="9.5703125" bestFit="1" customWidth="1"/>
  </cols>
  <sheetData>
    <row r="1" spans="2:13" s="3" customFormat="1">
      <c r="C1" s="183"/>
    </row>
    <row r="2" spans="2:13" s="12" customFormat="1" ht="18">
      <c r="B2" s="12" t="s">
        <v>838</v>
      </c>
      <c r="C2" s="184"/>
    </row>
    <row r="3" spans="2:13" s="3" customFormat="1">
      <c r="C3" s="183"/>
    </row>
    <row r="4" spans="2:13" s="3" customFormat="1">
      <c r="B4" s="2" t="s">
        <v>197</v>
      </c>
      <c r="C4" s="183"/>
    </row>
    <row r="5" spans="2:13" s="3" customFormat="1">
      <c r="B5" s="3" t="s">
        <v>839</v>
      </c>
      <c r="C5" s="183"/>
    </row>
    <row r="6" spans="2:13" s="3" customFormat="1">
      <c r="C6" s="183"/>
    </row>
    <row r="7" spans="2:13" s="3" customFormat="1">
      <c r="B7" s="16" t="s">
        <v>816</v>
      </c>
      <c r="C7" s="183"/>
      <c r="D7" s="2"/>
    </row>
    <row r="8" spans="2:13" s="3" customFormat="1" ht="16.5" customHeight="1">
      <c r="B8" s="349" t="s">
        <v>840</v>
      </c>
      <c r="C8" s="349"/>
      <c r="D8" s="349"/>
      <c r="E8" s="349"/>
      <c r="F8" s="349"/>
      <c r="G8" s="349"/>
      <c r="H8" s="349"/>
      <c r="I8" s="349"/>
      <c r="J8" s="349"/>
      <c r="K8" s="349"/>
      <c r="L8" s="349"/>
      <c r="M8" s="349"/>
    </row>
    <row r="9" spans="2:13" s="3" customFormat="1">
      <c r="B9" s="4"/>
      <c r="C9" s="183"/>
    </row>
    <row r="10" spans="2:13" s="3" customFormat="1">
      <c r="B10" s="178" t="s">
        <v>818</v>
      </c>
      <c r="C10" s="183"/>
    </row>
    <row r="11" spans="2:13" s="3" customFormat="1">
      <c r="B11" s="355">
        <v>45050</v>
      </c>
      <c r="C11" s="355"/>
      <c r="D11" s="355"/>
      <c r="E11" s="120"/>
    </row>
    <row r="12" spans="2:13">
      <c r="C12" s="181"/>
    </row>
    <row r="13" spans="2:13">
      <c r="B13" s="178" t="s">
        <v>819</v>
      </c>
      <c r="C13" s="181"/>
      <c r="D13" s="3"/>
      <c r="E13" s="3"/>
    </row>
    <row r="14" spans="2:13">
      <c r="B14" s="346" t="s">
        <v>841</v>
      </c>
      <c r="C14" s="346"/>
      <c r="D14" s="346"/>
      <c r="E14" s="120"/>
    </row>
    <row r="15" spans="2:13">
      <c r="C15" s="181"/>
    </row>
    <row r="16" spans="2:13">
      <c r="B16" s="179" t="s">
        <v>821</v>
      </c>
      <c r="C16" s="181"/>
    </row>
    <row r="17" spans="2:9">
      <c r="B17" s="127">
        <f>SUBTOTAL(103,B20:B836)</f>
        <v>648</v>
      </c>
      <c r="C17" s="181"/>
    </row>
    <row r="18" spans="2:9" ht="14.25" customHeight="1">
      <c r="C18" s="181"/>
    </row>
    <row r="19" spans="2:9" s="8" customFormat="1">
      <c r="B19" s="8" t="s">
        <v>822</v>
      </c>
      <c r="C19" s="8" t="s">
        <v>301</v>
      </c>
      <c r="D19" s="8" t="s">
        <v>553</v>
      </c>
      <c r="E19" s="8" t="s">
        <v>842</v>
      </c>
      <c r="F19" s="8" t="s">
        <v>843</v>
      </c>
      <c r="G19" s="8" t="s">
        <v>163</v>
      </c>
      <c r="H19" s="8" t="s">
        <v>827</v>
      </c>
      <c r="I19" s="8" t="s">
        <v>836</v>
      </c>
    </row>
    <row r="20" spans="2:9">
      <c r="B20" s="328">
        <v>1</v>
      </c>
      <c r="C20" s="328" t="s">
        <v>304</v>
      </c>
      <c r="D20" s="328">
        <v>1955</v>
      </c>
      <c r="E20" s="329">
        <v>7756.11</v>
      </c>
      <c r="F20" s="328"/>
      <c r="G20" s="328">
        <v>2020</v>
      </c>
      <c r="H20" s="328" t="s">
        <v>830</v>
      </c>
      <c r="I20" s="328">
        <v>1</v>
      </c>
    </row>
    <row r="21" spans="2:9">
      <c r="B21" s="328">
        <v>2</v>
      </c>
      <c r="C21" s="328" t="s">
        <v>304</v>
      </c>
      <c r="D21" s="328">
        <v>1957</v>
      </c>
      <c r="E21" s="329">
        <v>1329.11</v>
      </c>
      <c r="F21" s="328"/>
      <c r="G21" s="328">
        <v>2020</v>
      </c>
      <c r="H21" s="328" t="s">
        <v>830</v>
      </c>
      <c r="I21" s="328">
        <v>1</v>
      </c>
    </row>
    <row r="22" spans="2:9">
      <c r="B22" s="328">
        <v>3</v>
      </c>
      <c r="C22" s="328" t="s">
        <v>304</v>
      </c>
      <c r="D22" s="328">
        <v>1958</v>
      </c>
      <c r="E22" s="329">
        <v>110951.25</v>
      </c>
      <c r="F22" s="328"/>
      <c r="G22" s="328">
        <v>2020</v>
      </c>
      <c r="H22" s="328" t="s">
        <v>830</v>
      </c>
      <c r="I22" s="328">
        <v>1</v>
      </c>
    </row>
    <row r="23" spans="2:9">
      <c r="B23" s="328">
        <v>4</v>
      </c>
      <c r="C23" s="328" t="s">
        <v>304</v>
      </c>
      <c r="D23" s="328">
        <v>1959</v>
      </c>
      <c r="E23" s="329">
        <v>1485.2</v>
      </c>
      <c r="F23" s="328"/>
      <c r="G23" s="328">
        <v>2020</v>
      </c>
      <c r="H23" s="328" t="s">
        <v>830</v>
      </c>
      <c r="I23" s="328">
        <v>1</v>
      </c>
    </row>
    <row r="24" spans="2:9">
      <c r="B24" s="328">
        <v>5</v>
      </c>
      <c r="C24" s="328" t="s">
        <v>304</v>
      </c>
      <c r="D24" s="328">
        <v>1960</v>
      </c>
      <c r="E24" s="329">
        <v>472102</v>
      </c>
      <c r="F24" s="328">
        <v>70000</v>
      </c>
      <c r="G24" s="328">
        <v>2020</v>
      </c>
      <c r="H24" s="328" t="s">
        <v>830</v>
      </c>
      <c r="I24" s="328">
        <v>1</v>
      </c>
    </row>
    <row r="25" spans="2:9">
      <c r="B25" s="328">
        <v>6</v>
      </c>
      <c r="C25" s="328" t="s">
        <v>304</v>
      </c>
      <c r="D25" s="328">
        <v>1963</v>
      </c>
      <c r="E25" s="329">
        <v>5199.87</v>
      </c>
      <c r="F25" s="328"/>
      <c r="G25" s="328">
        <v>2020</v>
      </c>
      <c r="H25" s="328" t="s">
        <v>830</v>
      </c>
      <c r="I25" s="328">
        <v>1</v>
      </c>
    </row>
    <row r="26" spans="2:9">
      <c r="B26" s="328">
        <v>7</v>
      </c>
      <c r="C26" s="328" t="s">
        <v>304</v>
      </c>
      <c r="D26" s="328">
        <v>1965</v>
      </c>
      <c r="E26" s="329">
        <v>323801.40000000002</v>
      </c>
      <c r="F26" s="328"/>
      <c r="G26" s="328">
        <v>2020</v>
      </c>
      <c r="H26" s="328" t="s">
        <v>830</v>
      </c>
      <c r="I26" s="328">
        <v>1</v>
      </c>
    </row>
    <row r="27" spans="2:9">
      <c r="B27" s="328">
        <v>8</v>
      </c>
      <c r="C27" s="328" t="s">
        <v>304</v>
      </c>
      <c r="D27" s="328">
        <v>1966</v>
      </c>
      <c r="E27" s="329">
        <v>436963.19</v>
      </c>
      <c r="F27" s="328"/>
      <c r="G27" s="328">
        <v>2020</v>
      </c>
      <c r="H27" s="328" t="s">
        <v>830</v>
      </c>
      <c r="I27" s="328">
        <v>1</v>
      </c>
    </row>
    <row r="28" spans="2:9">
      <c r="B28" s="328">
        <v>9</v>
      </c>
      <c r="C28" s="328" t="s">
        <v>304</v>
      </c>
      <c r="D28" s="328">
        <v>1967</v>
      </c>
      <c r="E28" s="329">
        <v>527887.29</v>
      </c>
      <c r="F28" s="328"/>
      <c r="G28" s="328">
        <v>2020</v>
      </c>
      <c r="H28" s="328" t="s">
        <v>830</v>
      </c>
      <c r="I28" s="328">
        <v>1</v>
      </c>
    </row>
    <row r="29" spans="2:9">
      <c r="B29" s="328">
        <v>10</v>
      </c>
      <c r="C29" s="328" t="s">
        <v>304</v>
      </c>
      <c r="D29" s="328">
        <v>1968</v>
      </c>
      <c r="E29" s="329">
        <v>243220.29</v>
      </c>
      <c r="F29" s="328"/>
      <c r="G29" s="328">
        <v>2020</v>
      </c>
      <c r="H29" s="328" t="s">
        <v>830</v>
      </c>
      <c r="I29" s="328">
        <v>1</v>
      </c>
    </row>
    <row r="30" spans="2:9">
      <c r="B30" s="328">
        <v>11</v>
      </c>
      <c r="C30" s="328" t="s">
        <v>304</v>
      </c>
      <c r="D30" s="328">
        <v>1969</v>
      </c>
      <c r="E30" s="329">
        <v>157118.15</v>
      </c>
      <c r="F30" s="328"/>
      <c r="G30" s="328">
        <v>2020</v>
      </c>
      <c r="H30" s="328" t="s">
        <v>830</v>
      </c>
      <c r="I30" s="328">
        <v>1</v>
      </c>
    </row>
    <row r="31" spans="2:9">
      <c r="B31" s="328">
        <v>12</v>
      </c>
      <c r="C31" s="328" t="s">
        <v>304</v>
      </c>
      <c r="D31" s="328">
        <v>1970</v>
      </c>
      <c r="E31" s="329">
        <v>186298.57</v>
      </c>
      <c r="F31" s="328"/>
      <c r="G31" s="328">
        <v>2020</v>
      </c>
      <c r="H31" s="328" t="s">
        <v>830</v>
      </c>
      <c r="I31" s="328">
        <v>1</v>
      </c>
    </row>
    <row r="32" spans="2:9">
      <c r="B32" s="328">
        <v>13</v>
      </c>
      <c r="C32" s="328" t="s">
        <v>304</v>
      </c>
      <c r="D32" s="328">
        <v>1971</v>
      </c>
      <c r="E32" s="329">
        <v>161892.66</v>
      </c>
      <c r="F32" s="328"/>
      <c r="G32" s="328">
        <v>2020</v>
      </c>
      <c r="H32" s="328" t="s">
        <v>830</v>
      </c>
      <c r="I32" s="328">
        <v>1</v>
      </c>
    </row>
    <row r="33" spans="2:9">
      <c r="B33" s="328">
        <v>14</v>
      </c>
      <c r="C33" s="328" t="s">
        <v>304</v>
      </c>
      <c r="D33" s="328">
        <v>1972</v>
      </c>
      <c r="E33" s="329">
        <v>414299.14</v>
      </c>
      <c r="F33" s="328"/>
      <c r="G33" s="328">
        <v>2020</v>
      </c>
      <c r="H33" s="328" t="s">
        <v>830</v>
      </c>
      <c r="I33" s="328">
        <v>1</v>
      </c>
    </row>
    <row r="34" spans="2:9">
      <c r="B34" s="328">
        <v>15</v>
      </c>
      <c r="C34" s="328" t="s">
        <v>304</v>
      </c>
      <c r="D34" s="328">
        <v>1973</v>
      </c>
      <c r="E34" s="329">
        <v>199407.52</v>
      </c>
      <c r="F34" s="328"/>
      <c r="G34" s="328">
        <v>2020</v>
      </c>
      <c r="H34" s="328" t="s">
        <v>830</v>
      </c>
      <c r="I34" s="328">
        <v>1</v>
      </c>
    </row>
    <row r="35" spans="2:9">
      <c r="B35" s="328">
        <v>16</v>
      </c>
      <c r="C35" s="328" t="s">
        <v>304</v>
      </c>
      <c r="D35" s="328">
        <v>1974</v>
      </c>
      <c r="E35" s="329">
        <v>45610.86</v>
      </c>
      <c r="F35" s="328"/>
      <c r="G35" s="328">
        <v>2020</v>
      </c>
      <c r="H35" s="328" t="s">
        <v>830</v>
      </c>
      <c r="I35" s="328">
        <v>1</v>
      </c>
    </row>
    <row r="36" spans="2:9">
      <c r="B36" s="328">
        <v>17</v>
      </c>
      <c r="C36" s="328" t="s">
        <v>304</v>
      </c>
      <c r="D36" s="328">
        <v>1975</v>
      </c>
      <c r="E36" s="329">
        <v>26637.1</v>
      </c>
      <c r="F36" s="328"/>
      <c r="G36" s="328">
        <v>2020</v>
      </c>
      <c r="H36" s="328" t="s">
        <v>830</v>
      </c>
      <c r="I36" s="328">
        <v>1</v>
      </c>
    </row>
    <row r="37" spans="2:9">
      <c r="B37" s="328">
        <v>18</v>
      </c>
      <c r="C37" s="328" t="s">
        <v>304</v>
      </c>
      <c r="D37" s="328">
        <v>1976</v>
      </c>
      <c r="E37" s="329">
        <v>110116.33</v>
      </c>
      <c r="F37" s="328"/>
      <c r="G37" s="328">
        <v>2020</v>
      </c>
      <c r="H37" s="328" t="s">
        <v>830</v>
      </c>
      <c r="I37" s="328">
        <v>1</v>
      </c>
    </row>
    <row r="38" spans="2:9">
      <c r="B38" s="328">
        <v>19</v>
      </c>
      <c r="C38" s="328" t="s">
        <v>304</v>
      </c>
      <c r="D38" s="328">
        <v>1977</v>
      </c>
      <c r="E38" s="329">
        <v>40000</v>
      </c>
      <c r="F38" s="328"/>
      <c r="G38" s="328">
        <v>2020</v>
      </c>
      <c r="H38" s="328" t="s">
        <v>830</v>
      </c>
      <c r="I38" s="328">
        <v>1</v>
      </c>
    </row>
    <row r="39" spans="2:9">
      <c r="B39" s="328">
        <v>20</v>
      </c>
      <c r="C39" s="328" t="s">
        <v>304</v>
      </c>
      <c r="D39" s="328">
        <v>1980</v>
      </c>
      <c r="E39" s="329">
        <v>104178.71</v>
      </c>
      <c r="F39" s="328"/>
      <c r="G39" s="328">
        <v>2020</v>
      </c>
      <c r="H39" s="328" t="s">
        <v>830</v>
      </c>
      <c r="I39" s="328">
        <v>1</v>
      </c>
    </row>
    <row r="40" spans="2:9">
      <c r="B40" s="328">
        <v>21</v>
      </c>
      <c r="C40" s="328" t="s">
        <v>304</v>
      </c>
      <c r="D40" s="328">
        <v>1986</v>
      </c>
      <c r="E40" s="329">
        <v>1666.04</v>
      </c>
      <c r="F40" s="328"/>
      <c r="G40" s="328">
        <v>2020</v>
      </c>
      <c r="H40" s="328" t="s">
        <v>830</v>
      </c>
      <c r="I40" s="328">
        <v>1</v>
      </c>
    </row>
    <row r="41" spans="2:9">
      <c r="B41" s="328">
        <v>22</v>
      </c>
      <c r="C41" s="328" t="s">
        <v>304</v>
      </c>
      <c r="D41" s="328">
        <v>1987</v>
      </c>
      <c r="E41" s="329">
        <v>35717.06</v>
      </c>
      <c r="F41" s="328"/>
      <c r="G41" s="328">
        <v>2020</v>
      </c>
      <c r="H41" s="328" t="s">
        <v>830</v>
      </c>
      <c r="I41" s="328">
        <v>1</v>
      </c>
    </row>
    <row r="42" spans="2:9">
      <c r="B42" s="328">
        <v>23</v>
      </c>
      <c r="C42" s="328" t="s">
        <v>304</v>
      </c>
      <c r="D42" s="328">
        <v>1988</v>
      </c>
      <c r="E42" s="329">
        <v>4808.08</v>
      </c>
      <c r="F42" s="328"/>
      <c r="G42" s="328">
        <v>2020</v>
      </c>
      <c r="H42" s="328" t="s">
        <v>830</v>
      </c>
      <c r="I42" s="328">
        <v>1</v>
      </c>
    </row>
    <row r="43" spans="2:9">
      <c r="B43" s="328">
        <v>24</v>
      </c>
      <c r="C43" s="328" t="s">
        <v>304</v>
      </c>
      <c r="D43" s="328">
        <v>1989</v>
      </c>
      <c r="E43" s="329">
        <v>24785.81</v>
      </c>
      <c r="F43" s="328"/>
      <c r="G43" s="328">
        <v>2020</v>
      </c>
      <c r="H43" s="328" t="s">
        <v>830</v>
      </c>
      <c r="I43" s="328">
        <v>1</v>
      </c>
    </row>
    <row r="44" spans="2:9">
      <c r="B44" s="328">
        <v>25</v>
      </c>
      <c r="C44" s="328" t="s">
        <v>304</v>
      </c>
      <c r="D44" s="328">
        <v>1992</v>
      </c>
      <c r="E44" s="329">
        <v>22986.32</v>
      </c>
      <c r="F44" s="328"/>
      <c r="G44" s="328">
        <v>2020</v>
      </c>
      <c r="H44" s="328" t="s">
        <v>830</v>
      </c>
      <c r="I44" s="328">
        <v>1</v>
      </c>
    </row>
    <row r="45" spans="2:9">
      <c r="B45" s="328">
        <v>26</v>
      </c>
      <c r="C45" s="328" t="s">
        <v>304</v>
      </c>
      <c r="D45" s="328">
        <v>1999</v>
      </c>
      <c r="E45" s="329">
        <v>62463.15</v>
      </c>
      <c r="F45" s="328"/>
      <c r="G45" s="328">
        <v>2020</v>
      </c>
      <c r="H45" s="328" t="s">
        <v>830</v>
      </c>
      <c r="I45" s="328">
        <v>1</v>
      </c>
    </row>
    <row r="46" spans="2:9">
      <c r="B46" s="328">
        <v>27</v>
      </c>
      <c r="C46" s="328" t="s">
        <v>304</v>
      </c>
      <c r="D46" s="328">
        <v>2000</v>
      </c>
      <c r="E46" s="329">
        <v>184556.79</v>
      </c>
      <c r="F46" s="328"/>
      <c r="G46" s="328">
        <v>2020</v>
      </c>
      <c r="H46" s="328" t="s">
        <v>830</v>
      </c>
      <c r="I46" s="328">
        <v>1</v>
      </c>
    </row>
    <row r="47" spans="2:9">
      <c r="B47" s="328">
        <v>28</v>
      </c>
      <c r="C47" s="328" t="s">
        <v>304</v>
      </c>
      <c r="D47" s="328">
        <v>2001</v>
      </c>
      <c r="E47" s="329">
        <v>74893.259999999995</v>
      </c>
      <c r="F47" s="328"/>
      <c r="G47" s="328">
        <v>2020</v>
      </c>
      <c r="H47" s="328" t="s">
        <v>830</v>
      </c>
      <c r="I47" s="328">
        <v>1</v>
      </c>
    </row>
    <row r="48" spans="2:9">
      <c r="B48" s="328">
        <v>29</v>
      </c>
      <c r="C48" s="328" t="s">
        <v>304</v>
      </c>
      <c r="D48" s="328">
        <v>2002</v>
      </c>
      <c r="E48" s="329">
        <v>98192.88</v>
      </c>
      <c r="F48" s="328"/>
      <c r="G48" s="328">
        <v>2020</v>
      </c>
      <c r="H48" s="328" t="s">
        <v>830</v>
      </c>
      <c r="I48" s="328">
        <v>1</v>
      </c>
    </row>
    <row r="49" spans="2:9">
      <c r="B49" s="328">
        <v>30</v>
      </c>
      <c r="C49" s="328" t="s">
        <v>304</v>
      </c>
      <c r="D49" s="328">
        <v>2003</v>
      </c>
      <c r="E49" s="329">
        <v>117678.13</v>
      </c>
      <c r="F49" s="328"/>
      <c r="G49" s="328">
        <v>2020</v>
      </c>
      <c r="H49" s="328" t="s">
        <v>830</v>
      </c>
      <c r="I49" s="328">
        <v>1</v>
      </c>
    </row>
    <row r="50" spans="2:9">
      <c r="B50" s="328">
        <v>31</v>
      </c>
      <c r="C50" s="328" t="s">
        <v>304</v>
      </c>
      <c r="D50" s="328">
        <v>2004</v>
      </c>
      <c r="E50" s="329">
        <v>26579.37</v>
      </c>
      <c r="F50" s="328"/>
      <c r="G50" s="328">
        <v>2020</v>
      </c>
      <c r="H50" s="328" t="s">
        <v>830</v>
      </c>
      <c r="I50" s="328">
        <v>1</v>
      </c>
    </row>
    <row r="51" spans="2:9">
      <c r="B51" s="328">
        <v>32</v>
      </c>
      <c r="C51" s="328" t="s">
        <v>304</v>
      </c>
      <c r="D51" s="328">
        <v>2005</v>
      </c>
      <c r="E51" s="329">
        <v>2763.58</v>
      </c>
      <c r="F51" s="328"/>
      <c r="G51" s="328">
        <v>2020</v>
      </c>
      <c r="H51" s="328" t="s">
        <v>830</v>
      </c>
      <c r="I51" s="328">
        <v>1</v>
      </c>
    </row>
    <row r="52" spans="2:9">
      <c r="B52" s="328">
        <v>33</v>
      </c>
      <c r="C52" s="328" t="s">
        <v>304</v>
      </c>
      <c r="D52" s="328">
        <v>2011</v>
      </c>
      <c r="E52" s="329">
        <v>6196.9935750000004</v>
      </c>
      <c r="F52" s="328"/>
      <c r="G52" s="328">
        <v>2020</v>
      </c>
      <c r="H52" s="328" t="s">
        <v>830</v>
      </c>
      <c r="I52" s="328">
        <v>1</v>
      </c>
    </row>
    <row r="53" spans="2:9">
      <c r="B53" s="328">
        <v>34</v>
      </c>
      <c r="C53" s="328" t="s">
        <v>304</v>
      </c>
      <c r="D53" s="328">
        <v>2013</v>
      </c>
      <c r="E53" s="329">
        <v>800675.63015999994</v>
      </c>
      <c r="F53" s="328"/>
      <c r="G53" s="328">
        <v>2020</v>
      </c>
      <c r="H53" s="328" t="s">
        <v>830</v>
      </c>
      <c r="I53" s="328">
        <v>1</v>
      </c>
    </row>
    <row r="54" spans="2:9">
      <c r="B54" s="328">
        <v>35</v>
      </c>
      <c r="C54" s="328" t="s">
        <v>306</v>
      </c>
      <c r="D54" s="328">
        <v>1966</v>
      </c>
      <c r="E54" s="329">
        <v>185.7</v>
      </c>
      <c r="F54" s="328"/>
      <c r="G54" s="328">
        <v>2020</v>
      </c>
      <c r="H54" s="328" t="s">
        <v>830</v>
      </c>
      <c r="I54" s="328">
        <v>1</v>
      </c>
    </row>
    <row r="55" spans="2:9">
      <c r="B55" s="328">
        <v>36</v>
      </c>
      <c r="C55" s="328" t="s">
        <v>306</v>
      </c>
      <c r="D55" s="328">
        <v>1969</v>
      </c>
      <c r="E55" s="329">
        <v>16723.95</v>
      </c>
      <c r="F55" s="328"/>
      <c r="G55" s="328">
        <v>2020</v>
      </c>
      <c r="H55" s="328" t="s">
        <v>830</v>
      </c>
      <c r="I55" s="328">
        <v>1</v>
      </c>
    </row>
    <row r="56" spans="2:9">
      <c r="B56" s="328">
        <v>37</v>
      </c>
      <c r="C56" s="328" t="s">
        <v>306</v>
      </c>
      <c r="D56" s="328">
        <v>1971</v>
      </c>
      <c r="E56" s="329">
        <v>20942.86</v>
      </c>
      <c r="F56" s="328"/>
      <c r="G56" s="328">
        <v>2020</v>
      </c>
      <c r="H56" s="328" t="s">
        <v>830</v>
      </c>
      <c r="I56" s="328">
        <v>1</v>
      </c>
    </row>
    <row r="57" spans="2:9">
      <c r="B57" s="328">
        <v>38</v>
      </c>
      <c r="C57" s="328" t="s">
        <v>306</v>
      </c>
      <c r="D57" s="328">
        <v>1972</v>
      </c>
      <c r="E57" s="329">
        <v>40987.47</v>
      </c>
      <c r="F57" s="328"/>
      <c r="G57" s="328">
        <v>2020</v>
      </c>
      <c r="H57" s="328" t="s">
        <v>830</v>
      </c>
      <c r="I57" s="328">
        <v>1</v>
      </c>
    </row>
    <row r="58" spans="2:9">
      <c r="B58" s="328">
        <v>39</v>
      </c>
      <c r="C58" s="328" t="s">
        <v>306</v>
      </c>
      <c r="D58" s="328">
        <v>1973</v>
      </c>
      <c r="E58" s="329">
        <v>12298.26</v>
      </c>
      <c r="F58" s="328"/>
      <c r="G58" s="328">
        <v>2020</v>
      </c>
      <c r="H58" s="328" t="s">
        <v>830</v>
      </c>
      <c r="I58" s="328">
        <v>1</v>
      </c>
    </row>
    <row r="59" spans="2:9">
      <c r="B59" s="328">
        <v>40</v>
      </c>
      <c r="C59" s="328" t="s">
        <v>306</v>
      </c>
      <c r="D59" s="328">
        <v>1975</v>
      </c>
      <c r="E59" s="329">
        <v>13362.9</v>
      </c>
      <c r="F59" s="328"/>
      <c r="G59" s="328">
        <v>2020</v>
      </c>
      <c r="H59" s="328" t="s">
        <v>830</v>
      </c>
      <c r="I59" s="328">
        <v>1</v>
      </c>
    </row>
    <row r="60" spans="2:9">
      <c r="B60" s="328">
        <v>41</v>
      </c>
      <c r="C60" s="328" t="s">
        <v>306</v>
      </c>
      <c r="D60" s="328">
        <v>1980</v>
      </c>
      <c r="E60" s="329">
        <v>47995.57</v>
      </c>
      <c r="F60" s="328"/>
      <c r="G60" s="328">
        <v>2020</v>
      </c>
      <c r="H60" s="328" t="s">
        <v>830</v>
      </c>
      <c r="I60" s="328">
        <v>1</v>
      </c>
    </row>
    <row r="61" spans="2:9">
      <c r="B61" s="328">
        <v>42</v>
      </c>
      <c r="C61" s="328" t="s">
        <v>308</v>
      </c>
      <c r="D61" s="328">
        <v>1965</v>
      </c>
      <c r="E61" s="329">
        <v>162736.70000000001</v>
      </c>
      <c r="F61" s="328"/>
      <c r="G61" s="328">
        <v>2020</v>
      </c>
      <c r="H61" s="328" t="s">
        <v>830</v>
      </c>
      <c r="I61" s="328">
        <v>1</v>
      </c>
    </row>
    <row r="62" spans="2:9">
      <c r="B62" s="328">
        <v>43</v>
      </c>
      <c r="C62" s="328" t="s">
        <v>308</v>
      </c>
      <c r="D62" s="328">
        <v>1966</v>
      </c>
      <c r="E62" s="329">
        <v>282042.34000000003</v>
      </c>
      <c r="F62" s="328"/>
      <c r="G62" s="328">
        <v>2020</v>
      </c>
      <c r="H62" s="328" t="s">
        <v>830</v>
      </c>
      <c r="I62" s="328">
        <v>1</v>
      </c>
    </row>
    <row r="63" spans="2:9">
      <c r="B63" s="328">
        <v>44</v>
      </c>
      <c r="C63" s="328" t="s">
        <v>308</v>
      </c>
      <c r="D63" s="328">
        <v>1967</v>
      </c>
      <c r="E63" s="329">
        <v>390313.68</v>
      </c>
      <c r="F63" s="328"/>
      <c r="G63" s="328">
        <v>2020</v>
      </c>
      <c r="H63" s="328" t="s">
        <v>830</v>
      </c>
      <c r="I63" s="328">
        <v>1</v>
      </c>
    </row>
    <row r="64" spans="2:9">
      <c r="B64" s="328">
        <v>45</v>
      </c>
      <c r="C64" s="328" t="s">
        <v>308</v>
      </c>
      <c r="D64" s="328">
        <v>1968</v>
      </c>
      <c r="E64" s="329">
        <v>337925.75</v>
      </c>
      <c r="F64" s="328"/>
      <c r="G64" s="328">
        <v>2020</v>
      </c>
      <c r="H64" s="328" t="s">
        <v>830</v>
      </c>
      <c r="I64" s="328">
        <v>1</v>
      </c>
    </row>
    <row r="65" spans="2:9">
      <c r="B65" s="328">
        <v>46</v>
      </c>
      <c r="C65" s="328" t="s">
        <v>308</v>
      </c>
      <c r="D65" s="328">
        <v>1969</v>
      </c>
      <c r="E65" s="329">
        <v>19730</v>
      </c>
      <c r="F65" s="328"/>
      <c r="G65" s="328">
        <v>2020</v>
      </c>
      <c r="H65" s="328" t="s">
        <v>830</v>
      </c>
      <c r="I65" s="328">
        <v>1</v>
      </c>
    </row>
    <row r="66" spans="2:9">
      <c r="B66" s="328">
        <v>47</v>
      </c>
      <c r="C66" s="328" t="s">
        <v>308</v>
      </c>
      <c r="D66" s="328">
        <v>1970</v>
      </c>
      <c r="E66" s="329">
        <v>169357.15</v>
      </c>
      <c r="F66" s="328"/>
      <c r="G66" s="328">
        <v>2020</v>
      </c>
      <c r="H66" s="328" t="s">
        <v>830</v>
      </c>
      <c r="I66" s="328">
        <v>1</v>
      </c>
    </row>
    <row r="67" spans="2:9">
      <c r="B67" s="328">
        <v>48</v>
      </c>
      <c r="C67" s="328" t="s">
        <v>308</v>
      </c>
      <c r="D67" s="328">
        <v>1971</v>
      </c>
      <c r="E67" s="329">
        <v>201451.64</v>
      </c>
      <c r="F67" s="328"/>
      <c r="G67" s="328">
        <v>2020</v>
      </c>
      <c r="H67" s="328" t="s">
        <v>830</v>
      </c>
      <c r="I67" s="328">
        <v>1</v>
      </c>
    </row>
    <row r="68" spans="2:9">
      <c r="B68" s="328">
        <v>49</v>
      </c>
      <c r="C68" s="328" t="s">
        <v>308</v>
      </c>
      <c r="D68" s="328">
        <v>1972</v>
      </c>
      <c r="E68" s="329">
        <v>147669.32</v>
      </c>
      <c r="F68" s="328"/>
      <c r="G68" s="328">
        <v>2020</v>
      </c>
      <c r="H68" s="328" t="s">
        <v>830</v>
      </c>
      <c r="I68" s="328">
        <v>1</v>
      </c>
    </row>
    <row r="69" spans="2:9">
      <c r="B69" s="328">
        <v>50</v>
      </c>
      <c r="C69" s="328" t="s">
        <v>308</v>
      </c>
      <c r="D69" s="328">
        <v>1974</v>
      </c>
      <c r="E69" s="329">
        <v>27434.639999999999</v>
      </c>
      <c r="F69" s="328"/>
      <c r="G69" s="328">
        <v>2020</v>
      </c>
      <c r="H69" s="328" t="s">
        <v>830</v>
      </c>
      <c r="I69" s="328">
        <v>1</v>
      </c>
    </row>
    <row r="70" spans="2:9">
      <c r="B70" s="328">
        <v>51</v>
      </c>
      <c r="C70" s="328" t="s">
        <v>308</v>
      </c>
      <c r="D70" s="328">
        <v>1975</v>
      </c>
      <c r="E70" s="329">
        <v>30000</v>
      </c>
      <c r="F70" s="328"/>
      <c r="G70" s="328">
        <v>2020</v>
      </c>
      <c r="H70" s="328" t="s">
        <v>830</v>
      </c>
      <c r="I70" s="328">
        <v>1</v>
      </c>
    </row>
    <row r="71" spans="2:9">
      <c r="B71" s="328">
        <v>52</v>
      </c>
      <c r="C71" s="328" t="s">
        <v>308</v>
      </c>
      <c r="D71" s="328">
        <v>1976</v>
      </c>
      <c r="E71" s="329">
        <v>72000</v>
      </c>
      <c r="F71" s="328"/>
      <c r="G71" s="328">
        <v>2020</v>
      </c>
      <c r="H71" s="328" t="s">
        <v>830</v>
      </c>
      <c r="I71" s="328">
        <v>1</v>
      </c>
    </row>
    <row r="72" spans="2:9">
      <c r="B72" s="328">
        <v>53</v>
      </c>
      <c r="C72" s="328" t="s">
        <v>308</v>
      </c>
      <c r="D72" s="328">
        <v>1977</v>
      </c>
      <c r="E72" s="329">
        <v>104527.46</v>
      </c>
      <c r="F72" s="328"/>
      <c r="G72" s="328">
        <v>2020</v>
      </c>
      <c r="H72" s="328" t="s">
        <v>830</v>
      </c>
      <c r="I72" s="328">
        <v>1</v>
      </c>
    </row>
    <row r="73" spans="2:9">
      <c r="B73" s="328">
        <v>54</v>
      </c>
      <c r="C73" s="328" t="s">
        <v>308</v>
      </c>
      <c r="D73" s="328">
        <v>1979</v>
      </c>
      <c r="E73" s="329">
        <v>102180.41</v>
      </c>
      <c r="F73" s="328"/>
      <c r="G73" s="328">
        <v>2020</v>
      </c>
      <c r="H73" s="328" t="s">
        <v>830</v>
      </c>
      <c r="I73" s="328">
        <v>1</v>
      </c>
    </row>
    <row r="74" spans="2:9">
      <c r="B74" s="328">
        <v>55</v>
      </c>
      <c r="C74" s="328" t="s">
        <v>308</v>
      </c>
      <c r="D74" s="328">
        <v>1982</v>
      </c>
      <c r="E74" s="329">
        <v>87225.38</v>
      </c>
      <c r="F74" s="328"/>
      <c r="G74" s="328">
        <v>2020</v>
      </c>
      <c r="H74" s="328" t="s">
        <v>830</v>
      </c>
      <c r="I74" s="328">
        <v>1</v>
      </c>
    </row>
    <row r="75" spans="2:9">
      <c r="B75" s="328">
        <v>56</v>
      </c>
      <c r="C75" s="328" t="s">
        <v>308</v>
      </c>
      <c r="D75" s="328">
        <v>1983</v>
      </c>
      <c r="E75" s="329">
        <v>30000</v>
      </c>
      <c r="F75" s="328"/>
      <c r="G75" s="328">
        <v>2020</v>
      </c>
      <c r="H75" s="328" t="s">
        <v>830</v>
      </c>
      <c r="I75" s="328">
        <v>1</v>
      </c>
    </row>
    <row r="76" spans="2:9">
      <c r="B76" s="328">
        <v>57</v>
      </c>
      <c r="C76" s="328" t="s">
        <v>308</v>
      </c>
      <c r="D76" s="328">
        <v>1985</v>
      </c>
      <c r="E76" s="329">
        <v>38613.07</v>
      </c>
      <c r="F76" s="328"/>
      <c r="G76" s="328">
        <v>2020</v>
      </c>
      <c r="H76" s="328" t="s">
        <v>830</v>
      </c>
      <c r="I76" s="328">
        <v>1</v>
      </c>
    </row>
    <row r="77" spans="2:9">
      <c r="B77" s="328">
        <v>58</v>
      </c>
      <c r="C77" s="328" t="s">
        <v>308</v>
      </c>
      <c r="D77" s="328">
        <v>1987</v>
      </c>
      <c r="E77" s="329">
        <v>8154.43</v>
      </c>
      <c r="F77" s="328"/>
      <c r="G77" s="328">
        <v>2020</v>
      </c>
      <c r="H77" s="328" t="s">
        <v>830</v>
      </c>
      <c r="I77" s="328">
        <v>1</v>
      </c>
    </row>
    <row r="78" spans="2:9">
      <c r="B78" s="328">
        <v>59</v>
      </c>
      <c r="C78" s="328" t="s">
        <v>308</v>
      </c>
      <c r="D78" s="328">
        <v>1992</v>
      </c>
      <c r="E78" s="329">
        <v>79800.429999999993</v>
      </c>
      <c r="F78" s="328"/>
      <c r="G78" s="328">
        <v>2020</v>
      </c>
      <c r="H78" s="328" t="s">
        <v>830</v>
      </c>
      <c r="I78" s="328">
        <v>1</v>
      </c>
    </row>
    <row r="79" spans="2:9">
      <c r="B79" s="328">
        <v>60</v>
      </c>
      <c r="C79" s="328" t="s">
        <v>308</v>
      </c>
      <c r="D79" s="328">
        <v>1995</v>
      </c>
      <c r="E79" s="329">
        <v>121494.29</v>
      </c>
      <c r="F79" s="328"/>
      <c r="G79" s="328">
        <v>2020</v>
      </c>
      <c r="H79" s="328" t="s">
        <v>830</v>
      </c>
      <c r="I79" s="328">
        <v>1</v>
      </c>
    </row>
    <row r="80" spans="2:9">
      <c r="B80" s="328">
        <v>61</v>
      </c>
      <c r="C80" s="328" t="s">
        <v>308</v>
      </c>
      <c r="D80" s="328">
        <v>1998</v>
      </c>
      <c r="E80" s="329">
        <v>45471.44</v>
      </c>
      <c r="F80" s="328"/>
      <c r="G80" s="328">
        <v>2020</v>
      </c>
      <c r="H80" s="328" t="s">
        <v>830</v>
      </c>
      <c r="I80" s="328">
        <v>1</v>
      </c>
    </row>
    <row r="81" spans="2:9">
      <c r="B81" s="328">
        <v>62</v>
      </c>
      <c r="C81" s="328" t="s">
        <v>308</v>
      </c>
      <c r="D81" s="328">
        <v>2002</v>
      </c>
      <c r="E81" s="329">
        <v>10346.200000000001</v>
      </c>
      <c r="F81" s="328"/>
      <c r="G81" s="328">
        <v>2020</v>
      </c>
      <c r="H81" s="328" t="s">
        <v>830</v>
      </c>
      <c r="I81" s="328">
        <v>1</v>
      </c>
    </row>
    <row r="82" spans="2:9">
      <c r="B82" s="328">
        <v>63</v>
      </c>
      <c r="C82" s="328" t="s">
        <v>308</v>
      </c>
      <c r="D82" s="328">
        <v>2003</v>
      </c>
      <c r="E82" s="329">
        <v>10560.43</v>
      </c>
      <c r="F82" s="328"/>
      <c r="G82" s="328">
        <v>2020</v>
      </c>
      <c r="H82" s="328" t="s">
        <v>830</v>
      </c>
      <c r="I82" s="328">
        <v>1</v>
      </c>
    </row>
    <row r="83" spans="2:9">
      <c r="B83" s="328">
        <v>64</v>
      </c>
      <c r="C83" s="328" t="s">
        <v>308</v>
      </c>
      <c r="D83" s="328">
        <v>2004</v>
      </c>
      <c r="E83" s="329">
        <v>65494.31</v>
      </c>
      <c r="F83" s="328"/>
      <c r="G83" s="328">
        <v>2020</v>
      </c>
      <c r="H83" s="328" t="s">
        <v>830</v>
      </c>
      <c r="I83" s="328">
        <v>1</v>
      </c>
    </row>
    <row r="84" spans="2:9">
      <c r="B84" s="328">
        <v>65</v>
      </c>
      <c r="C84" s="328" t="s">
        <v>308</v>
      </c>
      <c r="D84" s="328">
        <v>2006</v>
      </c>
      <c r="E84" s="329">
        <v>28786.400000000001</v>
      </c>
      <c r="F84" s="328"/>
      <c r="G84" s="328">
        <v>2020</v>
      </c>
      <c r="H84" s="328" t="s">
        <v>830</v>
      </c>
      <c r="I84" s="328">
        <v>1</v>
      </c>
    </row>
    <row r="85" spans="2:9">
      <c r="B85" s="328">
        <v>66</v>
      </c>
      <c r="C85" s="328" t="s">
        <v>308</v>
      </c>
      <c r="D85" s="328">
        <v>2008</v>
      </c>
      <c r="E85" s="329">
        <v>159796.69</v>
      </c>
      <c r="F85" s="328"/>
      <c r="G85" s="328">
        <v>2020</v>
      </c>
      <c r="H85" s="328" t="s">
        <v>830</v>
      </c>
      <c r="I85" s="328">
        <v>1</v>
      </c>
    </row>
    <row r="86" spans="2:9">
      <c r="B86" s="328">
        <v>67</v>
      </c>
      <c r="C86" s="328" t="s">
        <v>308</v>
      </c>
      <c r="D86" s="328">
        <v>2011</v>
      </c>
      <c r="E86" s="329">
        <v>54172.756048000003</v>
      </c>
      <c r="F86" s="328"/>
      <c r="G86" s="328">
        <v>2020</v>
      </c>
      <c r="H86" s="328" t="s">
        <v>830</v>
      </c>
      <c r="I86" s="328">
        <v>1</v>
      </c>
    </row>
    <row r="87" spans="2:9">
      <c r="B87" s="328">
        <v>68</v>
      </c>
      <c r="C87" s="328" t="s">
        <v>308</v>
      </c>
      <c r="D87" s="328">
        <v>2012</v>
      </c>
      <c r="E87" s="329">
        <v>16860.795606</v>
      </c>
      <c r="F87" s="328"/>
      <c r="G87" s="328">
        <v>2020</v>
      </c>
      <c r="H87" s="328" t="s">
        <v>830</v>
      </c>
      <c r="I87" s="328">
        <v>1</v>
      </c>
    </row>
    <row r="88" spans="2:9">
      <c r="B88" s="328">
        <v>69</v>
      </c>
      <c r="C88" s="328" t="s">
        <v>308</v>
      </c>
      <c r="D88" s="328">
        <v>2015</v>
      </c>
      <c r="E88" s="329">
        <v>15275.23848</v>
      </c>
      <c r="F88" s="328"/>
      <c r="G88" s="328">
        <v>2020</v>
      </c>
      <c r="H88" s="328" t="s">
        <v>830</v>
      </c>
      <c r="I88" s="328">
        <v>1</v>
      </c>
    </row>
    <row r="89" spans="2:9">
      <c r="B89" s="328">
        <v>70</v>
      </c>
      <c r="C89" s="328" t="s">
        <v>311</v>
      </c>
      <c r="D89" s="328">
        <v>1967</v>
      </c>
      <c r="E89" s="329">
        <v>74013.37</v>
      </c>
      <c r="F89" s="328">
        <v>439857.3081783966</v>
      </c>
      <c r="G89" s="328">
        <v>2020</v>
      </c>
      <c r="H89" s="328" t="s">
        <v>830</v>
      </c>
      <c r="I89" s="328">
        <v>1</v>
      </c>
    </row>
    <row r="90" spans="2:9">
      <c r="B90" s="328">
        <v>71</v>
      </c>
      <c r="C90" s="328" t="s">
        <v>317</v>
      </c>
      <c r="D90" s="328">
        <v>1961</v>
      </c>
      <c r="E90" s="329">
        <v>92634.240000000005</v>
      </c>
      <c r="F90" s="328"/>
      <c r="G90" s="328">
        <v>2020</v>
      </c>
      <c r="H90" s="328" t="s">
        <v>830</v>
      </c>
      <c r="I90" s="328">
        <v>1</v>
      </c>
    </row>
    <row r="91" spans="2:9">
      <c r="B91" s="328">
        <v>72</v>
      </c>
      <c r="C91" s="328" t="s">
        <v>317</v>
      </c>
      <c r="D91" s="328">
        <v>1968</v>
      </c>
      <c r="E91" s="329">
        <v>153440.79</v>
      </c>
      <c r="F91" s="328"/>
      <c r="G91" s="328">
        <v>2020</v>
      </c>
      <c r="H91" s="328" t="s">
        <v>830</v>
      </c>
      <c r="I91" s="328">
        <v>1</v>
      </c>
    </row>
    <row r="92" spans="2:9">
      <c r="B92" s="328">
        <v>73</v>
      </c>
      <c r="C92" s="328" t="s">
        <v>317</v>
      </c>
      <c r="D92" s="328">
        <v>1992</v>
      </c>
      <c r="E92" s="329">
        <v>267309.21999999997</v>
      </c>
      <c r="F92" s="328"/>
      <c r="G92" s="328">
        <v>2020</v>
      </c>
      <c r="H92" s="328" t="s">
        <v>830</v>
      </c>
      <c r="I92" s="328">
        <v>1</v>
      </c>
    </row>
    <row r="93" spans="2:9">
      <c r="B93" s="328">
        <v>74</v>
      </c>
      <c r="C93" s="328" t="s">
        <v>317</v>
      </c>
      <c r="D93" s="328">
        <v>2003</v>
      </c>
      <c r="E93" s="329">
        <v>40177</v>
      </c>
      <c r="F93" s="328">
        <v>238769.65838311971</v>
      </c>
      <c r="G93" s="328">
        <v>2020</v>
      </c>
      <c r="H93" s="328" t="s">
        <v>830</v>
      </c>
      <c r="I93" s="328">
        <v>1</v>
      </c>
    </row>
    <row r="94" spans="2:9">
      <c r="B94" s="328">
        <v>75</v>
      </c>
      <c r="C94" s="328" t="s">
        <v>317</v>
      </c>
      <c r="D94" s="328">
        <v>2005</v>
      </c>
      <c r="E94" s="329">
        <v>186030.7</v>
      </c>
      <c r="F94" s="328">
        <v>1105570.0198564508</v>
      </c>
      <c r="G94" s="328">
        <v>2020</v>
      </c>
      <c r="H94" s="328" t="s">
        <v>830</v>
      </c>
      <c r="I94" s="328">
        <v>1</v>
      </c>
    </row>
    <row r="95" spans="2:9">
      <c r="B95" s="328">
        <v>76</v>
      </c>
      <c r="C95" s="328" t="s">
        <v>317</v>
      </c>
      <c r="D95" s="328">
        <v>2010</v>
      </c>
      <c r="E95" s="329">
        <v>242998.14437600001</v>
      </c>
      <c r="F95" s="328"/>
      <c r="G95" s="328">
        <v>2020</v>
      </c>
      <c r="H95" s="328" t="s">
        <v>830</v>
      </c>
      <c r="I95" s="328">
        <v>1</v>
      </c>
    </row>
    <row r="96" spans="2:9">
      <c r="B96" s="328">
        <v>77</v>
      </c>
      <c r="C96" s="328" t="s">
        <v>317</v>
      </c>
      <c r="D96" s="328">
        <v>2012</v>
      </c>
      <c r="E96" s="329">
        <v>156496.05558799999</v>
      </c>
      <c r="F96" s="328"/>
      <c r="G96" s="328">
        <v>2020</v>
      </c>
      <c r="H96" s="328" t="s">
        <v>830</v>
      </c>
      <c r="I96" s="328">
        <v>1</v>
      </c>
    </row>
    <row r="97" spans="2:9">
      <c r="B97" s="328">
        <v>78</v>
      </c>
      <c r="C97" s="328" t="s">
        <v>321</v>
      </c>
      <c r="D97" s="328">
        <v>2017</v>
      </c>
      <c r="E97" s="329">
        <v>41550.210188999998</v>
      </c>
      <c r="F97" s="328">
        <v>240508.97978389595</v>
      </c>
      <c r="G97" s="328">
        <v>2020</v>
      </c>
      <c r="H97" s="328" t="s">
        <v>830</v>
      </c>
      <c r="I97" s="328">
        <v>1</v>
      </c>
    </row>
    <row r="98" spans="2:9">
      <c r="B98" s="328">
        <v>79</v>
      </c>
      <c r="C98" s="328" t="s">
        <v>322</v>
      </c>
      <c r="D98" s="328">
        <v>2003</v>
      </c>
      <c r="E98" s="329">
        <v>5549.99</v>
      </c>
      <c r="F98" s="328">
        <v>32983.279396911923</v>
      </c>
      <c r="G98" s="328">
        <v>2020</v>
      </c>
      <c r="H98" s="328" t="s">
        <v>830</v>
      </c>
      <c r="I98" s="328">
        <v>1</v>
      </c>
    </row>
    <row r="99" spans="2:9">
      <c r="B99" s="328">
        <v>80</v>
      </c>
      <c r="C99" s="328" t="s">
        <v>323</v>
      </c>
      <c r="D99" s="328">
        <v>1998</v>
      </c>
      <c r="E99" s="329">
        <v>366600.87</v>
      </c>
      <c r="F99" s="328"/>
      <c r="G99" s="328">
        <v>2020</v>
      </c>
      <c r="H99" s="328" t="s">
        <v>830</v>
      </c>
      <c r="I99" s="328">
        <v>1</v>
      </c>
    </row>
    <row r="100" spans="2:9">
      <c r="B100" s="328">
        <v>81</v>
      </c>
      <c r="C100" s="328" t="s">
        <v>323</v>
      </c>
      <c r="D100" s="328">
        <v>1999</v>
      </c>
      <c r="E100" s="329">
        <v>268665.56</v>
      </c>
      <c r="F100" s="328"/>
      <c r="G100" s="328">
        <v>2020</v>
      </c>
      <c r="H100" s="328" t="s">
        <v>830</v>
      </c>
      <c r="I100" s="328">
        <v>1</v>
      </c>
    </row>
    <row r="101" spans="2:9">
      <c r="B101" s="328">
        <v>82</v>
      </c>
      <c r="C101" s="328" t="s">
        <v>323</v>
      </c>
      <c r="D101" s="328">
        <v>2000</v>
      </c>
      <c r="E101" s="329">
        <v>92489.12</v>
      </c>
      <c r="F101" s="328"/>
      <c r="G101" s="328">
        <v>2020</v>
      </c>
      <c r="H101" s="328" t="s">
        <v>830</v>
      </c>
      <c r="I101" s="328">
        <v>1</v>
      </c>
    </row>
    <row r="102" spans="2:9">
      <c r="B102" s="328">
        <v>83</v>
      </c>
      <c r="C102" s="328" t="s">
        <v>337</v>
      </c>
      <c r="D102" s="328">
        <v>1971</v>
      </c>
      <c r="E102" s="329">
        <v>739448.2</v>
      </c>
      <c r="F102" s="328"/>
      <c r="G102" s="328">
        <v>2020</v>
      </c>
      <c r="H102" s="328" t="s">
        <v>830</v>
      </c>
      <c r="I102" s="328">
        <v>1</v>
      </c>
    </row>
    <row r="103" spans="2:9">
      <c r="B103" s="328">
        <v>84</v>
      </c>
      <c r="C103" s="328" t="s">
        <v>337</v>
      </c>
      <c r="D103" s="328">
        <v>1977</v>
      </c>
      <c r="E103" s="329">
        <v>68166.3</v>
      </c>
      <c r="F103" s="328"/>
      <c r="G103" s="328">
        <v>2020</v>
      </c>
      <c r="H103" s="328" t="s">
        <v>830</v>
      </c>
      <c r="I103" s="328">
        <v>1</v>
      </c>
    </row>
    <row r="104" spans="2:9">
      <c r="B104" s="328">
        <v>85</v>
      </c>
      <c r="C104" s="328" t="s">
        <v>337</v>
      </c>
      <c r="D104" s="328">
        <v>1994</v>
      </c>
      <c r="E104" s="329">
        <v>376175.8</v>
      </c>
      <c r="F104" s="328"/>
      <c r="G104" s="328">
        <v>2020</v>
      </c>
      <c r="H104" s="328" t="s">
        <v>830</v>
      </c>
      <c r="I104" s="328">
        <v>1</v>
      </c>
    </row>
    <row r="105" spans="2:9">
      <c r="B105" s="328">
        <v>86</v>
      </c>
      <c r="C105" s="328" t="s">
        <v>337</v>
      </c>
      <c r="D105" s="328">
        <v>1995</v>
      </c>
      <c r="E105" s="329">
        <v>1191241.1299999999</v>
      </c>
      <c r="F105" s="328"/>
      <c r="G105" s="328">
        <v>2020</v>
      </c>
      <c r="H105" s="328" t="s">
        <v>830</v>
      </c>
      <c r="I105" s="328">
        <v>1</v>
      </c>
    </row>
    <row r="106" spans="2:9">
      <c r="B106" s="328">
        <v>87</v>
      </c>
      <c r="C106" s="328" t="s">
        <v>337</v>
      </c>
      <c r="D106" s="328">
        <v>1996</v>
      </c>
      <c r="E106" s="329">
        <v>60266.55</v>
      </c>
      <c r="F106" s="328"/>
      <c r="G106" s="328">
        <v>2020</v>
      </c>
      <c r="H106" s="328" t="s">
        <v>830</v>
      </c>
      <c r="I106" s="328">
        <v>1</v>
      </c>
    </row>
    <row r="107" spans="2:9">
      <c r="B107" s="328">
        <v>88</v>
      </c>
      <c r="C107" s="328" t="s">
        <v>337</v>
      </c>
      <c r="D107" s="328">
        <v>1998</v>
      </c>
      <c r="E107" s="329">
        <v>117092.84999999999</v>
      </c>
      <c r="F107" s="328"/>
      <c r="G107" s="328">
        <v>2020</v>
      </c>
      <c r="H107" s="328" t="s">
        <v>830</v>
      </c>
      <c r="I107" s="328">
        <v>1</v>
      </c>
    </row>
    <row r="108" spans="2:9">
      <c r="B108" s="328">
        <v>89</v>
      </c>
      <c r="C108" s="328" t="s">
        <v>337</v>
      </c>
      <c r="D108" s="328">
        <v>2008</v>
      </c>
      <c r="E108" s="329">
        <v>526456.12101200002</v>
      </c>
      <c r="F108" s="328"/>
      <c r="G108" s="328">
        <v>2020</v>
      </c>
      <c r="H108" s="328" t="s">
        <v>830</v>
      </c>
      <c r="I108" s="328">
        <v>1</v>
      </c>
    </row>
    <row r="109" spans="2:9">
      <c r="B109" s="328">
        <v>90</v>
      </c>
      <c r="C109" s="328" t="s">
        <v>337</v>
      </c>
      <c r="D109" s="328">
        <v>2010</v>
      </c>
      <c r="E109" s="329">
        <v>488182.154064</v>
      </c>
      <c r="F109" s="328"/>
      <c r="G109" s="328">
        <v>2020</v>
      </c>
      <c r="H109" s="328" t="s">
        <v>830</v>
      </c>
      <c r="I109" s="328">
        <v>1</v>
      </c>
    </row>
    <row r="110" spans="2:9">
      <c r="B110" s="328">
        <v>91</v>
      </c>
      <c r="C110" s="328" t="s">
        <v>337</v>
      </c>
      <c r="D110" s="328">
        <v>2015</v>
      </c>
      <c r="E110" s="329">
        <v>95260.246860999992</v>
      </c>
      <c r="F110" s="328"/>
      <c r="G110" s="328">
        <v>2020</v>
      </c>
      <c r="H110" s="328" t="s">
        <v>830</v>
      </c>
      <c r="I110" s="328">
        <v>1</v>
      </c>
    </row>
    <row r="111" spans="2:9">
      <c r="B111" s="328">
        <v>92</v>
      </c>
      <c r="C111" s="328" t="s">
        <v>338</v>
      </c>
      <c r="D111" s="328">
        <v>1998</v>
      </c>
      <c r="E111" s="329">
        <v>127735.64</v>
      </c>
      <c r="F111" s="328"/>
      <c r="G111" s="328">
        <v>2020</v>
      </c>
      <c r="H111" s="328" t="s">
        <v>830</v>
      </c>
      <c r="I111" s="328">
        <v>1</v>
      </c>
    </row>
    <row r="112" spans="2:9">
      <c r="B112" s="328">
        <v>93</v>
      </c>
      <c r="C112" s="328" t="s">
        <v>340</v>
      </c>
      <c r="D112" s="328">
        <v>1977</v>
      </c>
      <c r="E112" s="329">
        <v>146130.37</v>
      </c>
      <c r="F112" s="328"/>
      <c r="G112" s="328">
        <v>2020</v>
      </c>
      <c r="H112" s="328" t="s">
        <v>830</v>
      </c>
      <c r="I112" s="328">
        <v>1</v>
      </c>
    </row>
    <row r="113" spans="2:9">
      <c r="B113" s="328">
        <v>94</v>
      </c>
      <c r="C113" s="328" t="s">
        <v>341</v>
      </c>
      <c r="D113" s="328">
        <v>1993</v>
      </c>
      <c r="E113" s="329">
        <v>2269257</v>
      </c>
      <c r="F113" s="328"/>
      <c r="G113" s="328">
        <v>2020</v>
      </c>
      <c r="H113" s="328" t="s">
        <v>830</v>
      </c>
      <c r="I113" s="328">
        <v>1</v>
      </c>
    </row>
    <row r="114" spans="2:9">
      <c r="B114" s="328">
        <v>95</v>
      </c>
      <c r="C114" s="328" t="s">
        <v>344</v>
      </c>
      <c r="D114" s="328">
        <v>1997</v>
      </c>
      <c r="E114" s="329">
        <v>4810.9799999999996</v>
      </c>
      <c r="F114" s="328">
        <v>28591.384401225107</v>
      </c>
      <c r="G114" s="328">
        <v>2020</v>
      </c>
      <c r="H114" s="328" t="s">
        <v>830</v>
      </c>
      <c r="I114" s="328">
        <v>1</v>
      </c>
    </row>
    <row r="115" spans="2:9">
      <c r="B115" s="328">
        <v>96</v>
      </c>
      <c r="C115" s="328" t="s">
        <v>345</v>
      </c>
      <c r="D115" s="328">
        <v>1964</v>
      </c>
      <c r="E115" s="329">
        <v>109225.21</v>
      </c>
      <c r="F115" s="328"/>
      <c r="G115" s="328">
        <v>2020</v>
      </c>
      <c r="H115" s="328" t="s">
        <v>830</v>
      </c>
      <c r="I115" s="328">
        <v>1</v>
      </c>
    </row>
    <row r="116" spans="2:9">
      <c r="B116" s="328">
        <v>97</v>
      </c>
      <c r="C116" s="328" t="s">
        <v>345</v>
      </c>
      <c r="D116" s="328">
        <v>1965</v>
      </c>
      <c r="E116" s="329">
        <v>79354.039999999994</v>
      </c>
      <c r="F116" s="328"/>
      <c r="G116" s="328">
        <v>2020</v>
      </c>
      <c r="H116" s="328" t="s">
        <v>830</v>
      </c>
      <c r="I116" s="328">
        <v>1</v>
      </c>
    </row>
    <row r="117" spans="2:9">
      <c r="B117" s="328">
        <v>98</v>
      </c>
      <c r="C117" s="328" t="s">
        <v>345</v>
      </c>
      <c r="D117" s="328">
        <v>1969</v>
      </c>
      <c r="E117" s="329">
        <v>160000</v>
      </c>
      <c r="F117" s="328"/>
      <c r="G117" s="328">
        <v>2020</v>
      </c>
      <c r="H117" s="328" t="s">
        <v>830</v>
      </c>
      <c r="I117" s="328">
        <v>1</v>
      </c>
    </row>
    <row r="118" spans="2:9">
      <c r="B118" s="328">
        <v>99</v>
      </c>
      <c r="C118" s="328" t="s">
        <v>345</v>
      </c>
      <c r="D118" s="328">
        <v>1970</v>
      </c>
      <c r="E118" s="329">
        <v>1644.48</v>
      </c>
      <c r="F118" s="328"/>
      <c r="G118" s="328">
        <v>2020</v>
      </c>
      <c r="H118" s="328" t="s">
        <v>830</v>
      </c>
      <c r="I118" s="328">
        <v>1</v>
      </c>
    </row>
    <row r="119" spans="2:9">
      <c r="B119" s="328">
        <v>100</v>
      </c>
      <c r="C119" s="328" t="s">
        <v>345</v>
      </c>
      <c r="D119" s="328">
        <v>1971</v>
      </c>
      <c r="E119" s="329">
        <v>104672.38</v>
      </c>
      <c r="F119" s="328"/>
      <c r="G119" s="328">
        <v>2020</v>
      </c>
      <c r="H119" s="328" t="s">
        <v>830</v>
      </c>
      <c r="I119" s="328">
        <v>1</v>
      </c>
    </row>
    <row r="120" spans="2:9">
      <c r="B120" s="328">
        <v>101</v>
      </c>
      <c r="C120" s="328" t="s">
        <v>345</v>
      </c>
      <c r="D120" s="328">
        <v>1972</v>
      </c>
      <c r="E120" s="329">
        <v>6833.93</v>
      </c>
      <c r="F120" s="328"/>
      <c r="G120" s="328">
        <v>2020</v>
      </c>
      <c r="H120" s="328" t="s">
        <v>830</v>
      </c>
      <c r="I120" s="328">
        <v>1</v>
      </c>
    </row>
    <row r="121" spans="2:9">
      <c r="B121" s="328">
        <v>102</v>
      </c>
      <c r="C121" s="328" t="s">
        <v>345</v>
      </c>
      <c r="D121" s="328">
        <v>1974</v>
      </c>
      <c r="E121" s="329">
        <v>78733.03</v>
      </c>
      <c r="F121" s="328"/>
      <c r="G121" s="328">
        <v>2020</v>
      </c>
      <c r="H121" s="328" t="s">
        <v>830</v>
      </c>
      <c r="I121" s="328">
        <v>1</v>
      </c>
    </row>
    <row r="122" spans="2:9">
      <c r="B122" s="328">
        <v>103</v>
      </c>
      <c r="C122" s="328" t="s">
        <v>345</v>
      </c>
      <c r="D122" s="328">
        <v>1975</v>
      </c>
      <c r="E122" s="329">
        <v>8893.32</v>
      </c>
      <c r="F122" s="328"/>
      <c r="G122" s="328">
        <v>2020</v>
      </c>
      <c r="H122" s="328" t="s">
        <v>830</v>
      </c>
      <c r="I122" s="328">
        <v>1</v>
      </c>
    </row>
    <row r="123" spans="2:9">
      <c r="B123" s="328">
        <v>104</v>
      </c>
      <c r="C123" s="328" t="s">
        <v>345</v>
      </c>
      <c r="D123" s="328">
        <v>1978</v>
      </c>
      <c r="E123" s="329">
        <v>174538.66</v>
      </c>
      <c r="F123" s="328"/>
      <c r="G123" s="328">
        <v>2020</v>
      </c>
      <c r="H123" s="328" t="s">
        <v>830</v>
      </c>
      <c r="I123" s="328">
        <v>1</v>
      </c>
    </row>
    <row r="124" spans="2:9">
      <c r="B124" s="328">
        <v>105</v>
      </c>
      <c r="C124" s="328" t="s">
        <v>345</v>
      </c>
      <c r="D124" s="328">
        <v>1983</v>
      </c>
      <c r="E124" s="329">
        <v>14249.66</v>
      </c>
      <c r="F124" s="328"/>
      <c r="G124" s="328">
        <v>2020</v>
      </c>
      <c r="H124" s="328" t="s">
        <v>830</v>
      </c>
      <c r="I124" s="328">
        <v>1</v>
      </c>
    </row>
    <row r="125" spans="2:9">
      <c r="B125" s="328">
        <v>106</v>
      </c>
      <c r="C125" s="328" t="s">
        <v>345</v>
      </c>
      <c r="D125" s="328">
        <v>1988</v>
      </c>
      <c r="E125" s="329">
        <v>44968.09</v>
      </c>
      <c r="F125" s="328"/>
      <c r="G125" s="328">
        <v>2020</v>
      </c>
      <c r="H125" s="328" t="s">
        <v>830</v>
      </c>
      <c r="I125" s="328">
        <v>1</v>
      </c>
    </row>
    <row r="126" spans="2:9">
      <c r="B126" s="328">
        <v>107</v>
      </c>
      <c r="C126" s="328" t="s">
        <v>345</v>
      </c>
      <c r="D126" s="328">
        <v>1995</v>
      </c>
      <c r="E126" s="329">
        <v>7512.54</v>
      </c>
      <c r="F126" s="328"/>
      <c r="G126" s="328">
        <v>2020</v>
      </c>
      <c r="H126" s="328" t="s">
        <v>830</v>
      </c>
      <c r="I126" s="328">
        <v>1</v>
      </c>
    </row>
    <row r="127" spans="2:9">
      <c r="B127" s="328">
        <v>108</v>
      </c>
      <c r="C127" s="328" t="s">
        <v>345</v>
      </c>
      <c r="D127" s="328">
        <v>2004</v>
      </c>
      <c r="E127" s="329">
        <v>187756.39</v>
      </c>
      <c r="F127" s="328"/>
      <c r="G127" s="328">
        <v>2020</v>
      </c>
      <c r="H127" s="328" t="s">
        <v>830</v>
      </c>
      <c r="I127" s="328">
        <v>1</v>
      </c>
    </row>
    <row r="128" spans="2:9">
      <c r="B128" s="328">
        <v>109</v>
      </c>
      <c r="C128" s="328" t="s">
        <v>346</v>
      </c>
      <c r="D128" s="328">
        <v>1971</v>
      </c>
      <c r="E128" s="329">
        <v>21999.06</v>
      </c>
      <c r="F128" s="328"/>
      <c r="G128" s="328">
        <v>2020</v>
      </c>
      <c r="H128" s="328" t="s">
        <v>830</v>
      </c>
      <c r="I128" s="328">
        <v>1</v>
      </c>
    </row>
    <row r="129" spans="2:9">
      <c r="B129" s="328">
        <v>110</v>
      </c>
      <c r="C129" s="328" t="s">
        <v>354</v>
      </c>
      <c r="D129" s="328">
        <v>2004</v>
      </c>
      <c r="E129" s="329">
        <v>2028.6</v>
      </c>
      <c r="F129" s="328"/>
      <c r="G129" s="328">
        <v>2020</v>
      </c>
      <c r="H129" s="328" t="s">
        <v>830</v>
      </c>
      <c r="I129" s="328">
        <v>1</v>
      </c>
    </row>
    <row r="130" spans="2:9">
      <c r="B130" s="328">
        <v>111</v>
      </c>
      <c r="C130" s="328" t="s">
        <v>354</v>
      </c>
      <c r="D130" s="328">
        <v>2011</v>
      </c>
      <c r="E130" s="329">
        <v>603616.46129999997</v>
      </c>
      <c r="F130" s="328"/>
      <c r="G130" s="328">
        <v>2020</v>
      </c>
      <c r="H130" s="328" t="s">
        <v>830</v>
      </c>
      <c r="I130" s="328">
        <v>1</v>
      </c>
    </row>
    <row r="131" spans="2:9">
      <c r="B131" s="328">
        <v>112</v>
      </c>
      <c r="C131" s="328" t="s">
        <v>356</v>
      </c>
      <c r="D131" s="328">
        <v>1998</v>
      </c>
      <c r="E131" s="329">
        <v>500000</v>
      </c>
      <c r="F131" s="328"/>
      <c r="G131" s="328">
        <v>2020</v>
      </c>
      <c r="H131" s="328" t="s">
        <v>830</v>
      </c>
      <c r="I131" s="328">
        <v>1</v>
      </c>
    </row>
    <row r="132" spans="2:9">
      <c r="B132" s="328">
        <v>113</v>
      </c>
      <c r="C132" s="328" t="s">
        <v>356</v>
      </c>
      <c r="D132" s="328">
        <v>2004</v>
      </c>
      <c r="E132" s="329">
        <v>45527.519999999997</v>
      </c>
      <c r="F132" s="328"/>
      <c r="G132" s="328">
        <v>2020</v>
      </c>
      <c r="H132" s="328" t="s">
        <v>830</v>
      </c>
      <c r="I132" s="328">
        <v>1</v>
      </c>
    </row>
    <row r="133" spans="2:9">
      <c r="B133" s="328">
        <v>114</v>
      </c>
      <c r="C133" s="328" t="s">
        <v>356</v>
      </c>
      <c r="D133" s="328">
        <v>2005</v>
      </c>
      <c r="E133" s="329">
        <v>9959.0400000000009</v>
      </c>
      <c r="F133" s="328"/>
      <c r="G133" s="328">
        <v>2020</v>
      </c>
      <c r="H133" s="328" t="s">
        <v>830</v>
      </c>
      <c r="I133" s="328">
        <v>1</v>
      </c>
    </row>
    <row r="134" spans="2:9">
      <c r="B134" s="328">
        <v>115</v>
      </c>
      <c r="C134" s="328" t="s">
        <v>356</v>
      </c>
      <c r="D134" s="328">
        <v>2016</v>
      </c>
      <c r="E134" s="329">
        <v>855977.36259199993</v>
      </c>
      <c r="F134" s="328"/>
      <c r="G134" s="328">
        <v>2020</v>
      </c>
      <c r="H134" s="328" t="s">
        <v>830</v>
      </c>
      <c r="I134" s="328">
        <v>1</v>
      </c>
    </row>
    <row r="135" spans="2:9">
      <c r="B135" s="328">
        <v>116</v>
      </c>
      <c r="C135" s="328" t="s">
        <v>359</v>
      </c>
      <c r="D135" s="328">
        <v>2016</v>
      </c>
      <c r="E135" s="329">
        <v>778785.35750399996</v>
      </c>
      <c r="F135" s="328"/>
      <c r="G135" s="328">
        <v>2020</v>
      </c>
      <c r="H135" s="328" t="s">
        <v>830</v>
      </c>
      <c r="I135" s="328">
        <v>1</v>
      </c>
    </row>
    <row r="136" spans="2:9">
      <c r="B136" s="328">
        <v>117</v>
      </c>
      <c r="C136" s="328" t="s">
        <v>360</v>
      </c>
      <c r="D136" s="328">
        <v>1988</v>
      </c>
      <c r="E136" s="329">
        <v>2894954.5</v>
      </c>
      <c r="F136" s="328"/>
      <c r="G136" s="328">
        <v>2020</v>
      </c>
      <c r="H136" s="328" t="s">
        <v>830</v>
      </c>
      <c r="I136" s="328">
        <v>1</v>
      </c>
    </row>
    <row r="137" spans="2:9">
      <c r="B137" s="328">
        <v>118</v>
      </c>
      <c r="C137" s="328" t="s">
        <v>361</v>
      </c>
      <c r="D137" s="328">
        <v>2016</v>
      </c>
      <c r="E137" s="329">
        <v>362355.80583999999</v>
      </c>
      <c r="F137" s="328"/>
      <c r="G137" s="328">
        <v>2020</v>
      </c>
      <c r="H137" s="328" t="s">
        <v>830</v>
      </c>
      <c r="I137" s="328">
        <v>1</v>
      </c>
    </row>
    <row r="138" spans="2:9">
      <c r="B138" s="328">
        <v>119</v>
      </c>
      <c r="C138" s="328" t="s">
        <v>371</v>
      </c>
      <c r="D138" s="328">
        <v>2012</v>
      </c>
      <c r="E138" s="329">
        <v>2282230.9217790002</v>
      </c>
      <c r="F138" s="328"/>
      <c r="G138" s="328">
        <v>2020</v>
      </c>
      <c r="H138" s="328" t="s">
        <v>830</v>
      </c>
      <c r="I138" s="328">
        <v>1</v>
      </c>
    </row>
    <row r="139" spans="2:9">
      <c r="B139" s="328">
        <v>120</v>
      </c>
      <c r="C139" s="328" t="s">
        <v>304</v>
      </c>
      <c r="D139" s="328">
        <v>1950</v>
      </c>
      <c r="E139" s="329">
        <v>107805.84</v>
      </c>
      <c r="F139" s="328"/>
      <c r="G139" s="328">
        <v>2021</v>
      </c>
      <c r="H139" s="328" t="s">
        <v>837</v>
      </c>
      <c r="I139" s="328">
        <v>1</v>
      </c>
    </row>
    <row r="140" spans="2:9">
      <c r="B140" s="328">
        <v>121</v>
      </c>
      <c r="C140" s="328" t="s">
        <v>304</v>
      </c>
      <c r="D140" s="328">
        <v>1953</v>
      </c>
      <c r="E140" s="329">
        <v>55835.41</v>
      </c>
      <c r="F140" s="328"/>
      <c r="G140" s="328">
        <v>2021</v>
      </c>
      <c r="H140" s="328" t="s">
        <v>837</v>
      </c>
      <c r="I140" s="328">
        <v>1</v>
      </c>
    </row>
    <row r="141" spans="2:9">
      <c r="B141" s="328">
        <v>122</v>
      </c>
      <c r="C141" s="328" t="s">
        <v>304</v>
      </c>
      <c r="D141" s="328">
        <v>1962</v>
      </c>
      <c r="E141" s="329">
        <v>40000</v>
      </c>
      <c r="F141" s="328"/>
      <c r="G141" s="328">
        <v>2021</v>
      </c>
      <c r="H141" s="328" t="s">
        <v>837</v>
      </c>
      <c r="I141" s="328">
        <v>1</v>
      </c>
    </row>
    <row r="142" spans="2:9">
      <c r="B142" s="328">
        <v>123</v>
      </c>
      <c r="C142" s="328" t="s">
        <v>304</v>
      </c>
      <c r="D142" s="328">
        <v>1965</v>
      </c>
      <c r="E142" s="329">
        <v>25702.75</v>
      </c>
      <c r="F142" s="328"/>
      <c r="G142" s="328">
        <v>2021</v>
      </c>
      <c r="H142" s="328" t="s">
        <v>837</v>
      </c>
      <c r="I142" s="328">
        <v>1</v>
      </c>
    </row>
    <row r="143" spans="2:9">
      <c r="B143" s="328">
        <v>124</v>
      </c>
      <c r="C143" s="328" t="s">
        <v>304</v>
      </c>
      <c r="D143" s="328">
        <v>1966</v>
      </c>
      <c r="E143" s="329">
        <v>109434.39</v>
      </c>
      <c r="F143" s="328"/>
      <c r="G143" s="328">
        <v>2021</v>
      </c>
      <c r="H143" s="328" t="s">
        <v>837</v>
      </c>
      <c r="I143" s="328">
        <v>1</v>
      </c>
    </row>
    <row r="144" spans="2:9">
      <c r="B144" s="328">
        <v>125</v>
      </c>
      <c r="C144" s="328" t="s">
        <v>304</v>
      </c>
      <c r="D144" s="328">
        <v>1967</v>
      </c>
      <c r="E144" s="329">
        <v>190675.34999999998</v>
      </c>
      <c r="F144" s="328"/>
      <c r="G144" s="328">
        <v>2021</v>
      </c>
      <c r="H144" s="328" t="s">
        <v>837</v>
      </c>
      <c r="I144" s="328">
        <v>1</v>
      </c>
    </row>
    <row r="145" spans="2:9">
      <c r="B145" s="328">
        <v>126</v>
      </c>
      <c r="C145" s="328" t="s">
        <v>304</v>
      </c>
      <c r="D145" s="328">
        <v>1968</v>
      </c>
      <c r="E145" s="329">
        <v>99063.760000000009</v>
      </c>
      <c r="F145" s="328"/>
      <c r="G145" s="328">
        <v>2021</v>
      </c>
      <c r="H145" s="328" t="s">
        <v>837</v>
      </c>
      <c r="I145" s="328">
        <v>1</v>
      </c>
    </row>
    <row r="146" spans="2:9">
      <c r="B146" s="328">
        <v>127</v>
      </c>
      <c r="C146" s="328" t="s">
        <v>304</v>
      </c>
      <c r="D146" s="328">
        <v>1969</v>
      </c>
      <c r="E146" s="329">
        <v>91756</v>
      </c>
      <c r="F146" s="328"/>
      <c r="G146" s="328">
        <v>2021</v>
      </c>
      <c r="H146" s="328" t="s">
        <v>837</v>
      </c>
      <c r="I146" s="328">
        <v>1</v>
      </c>
    </row>
    <row r="147" spans="2:9">
      <c r="B147" s="328">
        <v>128</v>
      </c>
      <c r="C147" s="328" t="s">
        <v>304</v>
      </c>
      <c r="D147" s="328">
        <v>1970</v>
      </c>
      <c r="E147" s="329">
        <v>226775.59999999998</v>
      </c>
      <c r="F147" s="328"/>
      <c r="G147" s="328">
        <v>2021</v>
      </c>
      <c r="H147" s="328" t="s">
        <v>837</v>
      </c>
      <c r="I147" s="328">
        <v>1</v>
      </c>
    </row>
    <row r="148" spans="2:9">
      <c r="B148" s="328">
        <v>129</v>
      </c>
      <c r="C148" s="328" t="s">
        <v>304</v>
      </c>
      <c r="D148" s="328">
        <v>1971</v>
      </c>
      <c r="E148" s="329">
        <v>280880.57</v>
      </c>
      <c r="F148" s="328"/>
      <c r="G148" s="328">
        <v>2021</v>
      </c>
      <c r="H148" s="328" t="s">
        <v>837</v>
      </c>
      <c r="I148" s="328">
        <v>1</v>
      </c>
    </row>
    <row r="149" spans="2:9">
      <c r="B149" s="328">
        <v>130</v>
      </c>
      <c r="C149" s="328" t="s">
        <v>304</v>
      </c>
      <c r="D149" s="328">
        <v>1972</v>
      </c>
      <c r="E149" s="329">
        <v>113518.65</v>
      </c>
      <c r="F149" s="328"/>
      <c r="G149" s="328">
        <v>2021</v>
      </c>
      <c r="H149" s="328" t="s">
        <v>837</v>
      </c>
      <c r="I149" s="328">
        <v>1</v>
      </c>
    </row>
    <row r="150" spans="2:9">
      <c r="B150" s="328">
        <v>131</v>
      </c>
      <c r="C150" s="328" t="s">
        <v>304</v>
      </c>
      <c r="D150" s="328">
        <v>1973</v>
      </c>
      <c r="E150" s="329">
        <v>71403.600000000006</v>
      </c>
      <c r="F150" s="328"/>
      <c r="G150" s="328">
        <v>2021</v>
      </c>
      <c r="H150" s="328" t="s">
        <v>837</v>
      </c>
      <c r="I150" s="328">
        <v>1</v>
      </c>
    </row>
    <row r="151" spans="2:9">
      <c r="B151" s="328">
        <v>132</v>
      </c>
      <c r="C151" s="328" t="s">
        <v>304</v>
      </c>
      <c r="D151" s="328">
        <v>1975</v>
      </c>
      <c r="E151" s="329">
        <v>19198.080000000002</v>
      </c>
      <c r="F151" s="328"/>
      <c r="G151" s="328">
        <v>2021</v>
      </c>
      <c r="H151" s="328" t="s">
        <v>837</v>
      </c>
      <c r="I151" s="328">
        <v>1</v>
      </c>
    </row>
    <row r="152" spans="2:9">
      <c r="B152" s="328">
        <v>133</v>
      </c>
      <c r="C152" s="328" t="s">
        <v>304</v>
      </c>
      <c r="D152" s="328">
        <v>1979</v>
      </c>
      <c r="E152" s="329">
        <v>42081.31</v>
      </c>
      <c r="F152" s="328"/>
      <c r="G152" s="328">
        <v>2021</v>
      </c>
      <c r="H152" s="328" t="s">
        <v>837</v>
      </c>
      <c r="I152" s="328">
        <v>1</v>
      </c>
    </row>
    <row r="153" spans="2:9">
      <c r="B153" s="328">
        <v>134</v>
      </c>
      <c r="C153" s="328" t="s">
        <v>304</v>
      </c>
      <c r="D153" s="328">
        <v>1991</v>
      </c>
      <c r="E153" s="329">
        <v>38721.65</v>
      </c>
      <c r="F153" s="328"/>
      <c r="G153" s="328">
        <v>2021</v>
      </c>
      <c r="H153" s="328" t="s">
        <v>837</v>
      </c>
      <c r="I153" s="328">
        <v>1</v>
      </c>
    </row>
    <row r="154" spans="2:9">
      <c r="B154" s="328">
        <v>135</v>
      </c>
      <c r="C154" s="328" t="s">
        <v>304</v>
      </c>
      <c r="D154" s="328">
        <v>1992</v>
      </c>
      <c r="E154" s="329">
        <v>55514.82</v>
      </c>
      <c r="F154" s="328"/>
      <c r="G154" s="328">
        <v>2021</v>
      </c>
      <c r="H154" s="328" t="s">
        <v>837</v>
      </c>
      <c r="I154" s="328">
        <v>1</v>
      </c>
    </row>
    <row r="155" spans="2:9">
      <c r="B155" s="328">
        <v>136</v>
      </c>
      <c r="C155" s="328" t="s">
        <v>304</v>
      </c>
      <c r="D155" s="328">
        <v>1994</v>
      </c>
      <c r="E155" s="329">
        <v>23050.77</v>
      </c>
      <c r="F155" s="328"/>
      <c r="G155" s="328">
        <v>2021</v>
      </c>
      <c r="H155" s="328" t="s">
        <v>837</v>
      </c>
      <c r="I155" s="328">
        <v>1</v>
      </c>
    </row>
    <row r="156" spans="2:9">
      <c r="B156" s="328">
        <v>137</v>
      </c>
      <c r="C156" s="328" t="s">
        <v>304</v>
      </c>
      <c r="D156" s="328">
        <v>1997</v>
      </c>
      <c r="E156" s="329">
        <v>27362.14</v>
      </c>
      <c r="F156" s="328"/>
      <c r="G156" s="328">
        <v>2021</v>
      </c>
      <c r="H156" s="328" t="s">
        <v>837</v>
      </c>
      <c r="I156" s="328">
        <v>1</v>
      </c>
    </row>
    <row r="157" spans="2:9">
      <c r="B157" s="328">
        <v>138</v>
      </c>
      <c r="C157" s="328" t="s">
        <v>304</v>
      </c>
      <c r="D157" s="328">
        <v>2004</v>
      </c>
      <c r="E157" s="329">
        <v>151657.73000000001</v>
      </c>
      <c r="F157" s="328"/>
      <c r="G157" s="328">
        <v>2021</v>
      </c>
      <c r="H157" s="328" t="s">
        <v>837</v>
      </c>
      <c r="I157" s="328">
        <v>1</v>
      </c>
    </row>
    <row r="158" spans="2:9">
      <c r="B158" s="328">
        <v>139</v>
      </c>
      <c r="C158" s="328" t="s">
        <v>304</v>
      </c>
      <c r="D158" s="328">
        <v>2007</v>
      </c>
      <c r="E158" s="329">
        <v>2827.55</v>
      </c>
      <c r="F158" s="328"/>
      <c r="G158" s="328">
        <v>2021</v>
      </c>
      <c r="H158" s="328" t="s">
        <v>837</v>
      </c>
      <c r="I158" s="328">
        <v>1</v>
      </c>
    </row>
    <row r="159" spans="2:9">
      <c r="B159" s="328">
        <v>140</v>
      </c>
      <c r="C159" s="328" t="s">
        <v>304</v>
      </c>
      <c r="D159" s="328">
        <v>2009</v>
      </c>
      <c r="E159" s="329">
        <v>124313.99</v>
      </c>
      <c r="F159" s="328"/>
      <c r="G159" s="328">
        <v>2021</v>
      </c>
      <c r="H159" s="328" t="s">
        <v>837</v>
      </c>
      <c r="I159" s="328">
        <v>1</v>
      </c>
    </row>
    <row r="160" spans="2:9">
      <c r="B160" s="328">
        <v>141</v>
      </c>
      <c r="C160" s="328" t="s">
        <v>304</v>
      </c>
      <c r="D160" s="328">
        <v>2010</v>
      </c>
      <c r="E160" s="329">
        <v>268395.78855748021</v>
      </c>
      <c r="F160" s="328"/>
      <c r="G160" s="328">
        <v>2021</v>
      </c>
      <c r="H160" s="328" t="s">
        <v>837</v>
      </c>
      <c r="I160" s="328">
        <v>1</v>
      </c>
    </row>
    <row r="161" spans="2:9">
      <c r="B161" s="328">
        <v>142</v>
      </c>
      <c r="C161" s="328" t="s">
        <v>304</v>
      </c>
      <c r="D161" s="328">
        <v>2011</v>
      </c>
      <c r="E161" s="329">
        <v>64375.815051532467</v>
      </c>
      <c r="F161" s="328"/>
      <c r="G161" s="328">
        <v>2021</v>
      </c>
      <c r="H161" s="328" t="s">
        <v>837</v>
      </c>
      <c r="I161" s="328">
        <v>1</v>
      </c>
    </row>
    <row r="162" spans="2:9">
      <c r="B162" s="328">
        <v>143</v>
      </c>
      <c r="C162" s="328" t="s">
        <v>304</v>
      </c>
      <c r="D162" s="328">
        <v>2013</v>
      </c>
      <c r="E162" s="329">
        <v>398931.4021603408</v>
      </c>
      <c r="F162" s="328"/>
      <c r="G162" s="328">
        <v>2021</v>
      </c>
      <c r="H162" s="328" t="s">
        <v>837</v>
      </c>
      <c r="I162" s="328">
        <v>1</v>
      </c>
    </row>
    <row r="163" spans="2:9">
      <c r="B163" s="328">
        <v>144</v>
      </c>
      <c r="C163" s="328" t="s">
        <v>304</v>
      </c>
      <c r="D163" s="328">
        <v>2014</v>
      </c>
      <c r="E163" s="329">
        <v>536.92166709422554</v>
      </c>
      <c r="F163" s="328"/>
      <c r="G163" s="328">
        <v>2021</v>
      </c>
      <c r="H163" s="328" t="s">
        <v>837</v>
      </c>
      <c r="I163" s="328">
        <v>1</v>
      </c>
    </row>
    <row r="164" spans="2:9">
      <c r="B164" s="328">
        <v>145</v>
      </c>
      <c r="C164" s="328" t="s">
        <v>304</v>
      </c>
      <c r="D164" s="328">
        <v>2018</v>
      </c>
      <c r="E164" s="329">
        <v>1020326.7510328252</v>
      </c>
      <c r="F164" s="328"/>
      <c r="G164" s="328">
        <v>2021</v>
      </c>
      <c r="H164" s="328" t="s">
        <v>837</v>
      </c>
      <c r="I164" s="328">
        <v>1</v>
      </c>
    </row>
    <row r="165" spans="2:9">
      <c r="B165" s="328">
        <v>146</v>
      </c>
      <c r="C165" s="328" t="s">
        <v>304</v>
      </c>
      <c r="D165" s="328">
        <v>2019</v>
      </c>
      <c r="E165" s="329">
        <v>11951.372469743606</v>
      </c>
      <c r="F165" s="328"/>
      <c r="G165" s="328">
        <v>2021</v>
      </c>
      <c r="H165" s="328" t="s">
        <v>837</v>
      </c>
      <c r="I165" s="328">
        <v>1</v>
      </c>
    </row>
    <row r="166" spans="2:9">
      <c r="B166" s="328">
        <v>147</v>
      </c>
      <c r="C166" s="328" t="s">
        <v>308</v>
      </c>
      <c r="D166" s="328">
        <v>1965</v>
      </c>
      <c r="E166" s="329">
        <v>37085.920000000006</v>
      </c>
      <c r="F166" s="328"/>
      <c r="G166" s="328">
        <v>2021</v>
      </c>
      <c r="H166" s="328" t="s">
        <v>837</v>
      </c>
      <c r="I166" s="328">
        <v>1</v>
      </c>
    </row>
    <row r="167" spans="2:9">
      <c r="B167" s="328">
        <v>148</v>
      </c>
      <c r="C167" s="328" t="s">
        <v>308</v>
      </c>
      <c r="D167" s="328">
        <v>1966</v>
      </c>
      <c r="E167" s="329">
        <v>191229.55</v>
      </c>
      <c r="F167" s="328"/>
      <c r="G167" s="328">
        <v>2021</v>
      </c>
      <c r="H167" s="328" t="s">
        <v>837</v>
      </c>
      <c r="I167" s="328">
        <v>1</v>
      </c>
    </row>
    <row r="168" spans="2:9">
      <c r="B168" s="328">
        <v>149</v>
      </c>
      <c r="C168" s="328" t="s">
        <v>308</v>
      </c>
      <c r="D168" s="328">
        <v>1967</v>
      </c>
      <c r="E168" s="329">
        <v>221505.32</v>
      </c>
      <c r="F168" s="328"/>
      <c r="G168" s="328">
        <v>2021</v>
      </c>
      <c r="H168" s="328" t="s">
        <v>837</v>
      </c>
      <c r="I168" s="328">
        <v>1</v>
      </c>
    </row>
    <row r="169" spans="2:9">
      <c r="B169" s="328">
        <v>150</v>
      </c>
      <c r="C169" s="328" t="s">
        <v>308</v>
      </c>
      <c r="D169" s="328">
        <v>1968</v>
      </c>
      <c r="E169" s="329">
        <v>138671.18999999997</v>
      </c>
      <c r="F169" s="328"/>
      <c r="G169" s="328">
        <v>2021</v>
      </c>
      <c r="H169" s="328" t="s">
        <v>837</v>
      </c>
      <c r="I169" s="328">
        <v>1</v>
      </c>
    </row>
    <row r="170" spans="2:9">
      <c r="B170" s="328">
        <v>151</v>
      </c>
      <c r="C170" s="328" t="s">
        <v>308</v>
      </c>
      <c r="D170" s="328">
        <v>1969</v>
      </c>
      <c r="E170" s="329">
        <v>252663.02</v>
      </c>
      <c r="F170" s="328"/>
      <c r="G170" s="328">
        <v>2021</v>
      </c>
      <c r="H170" s="328" t="s">
        <v>837</v>
      </c>
      <c r="I170" s="328">
        <v>1</v>
      </c>
    </row>
    <row r="171" spans="2:9">
      <c r="B171" s="328">
        <v>152</v>
      </c>
      <c r="C171" s="328" t="s">
        <v>308</v>
      </c>
      <c r="D171" s="328">
        <v>1970</v>
      </c>
      <c r="E171" s="329">
        <v>111949.98</v>
      </c>
      <c r="F171" s="328"/>
      <c r="G171" s="328">
        <v>2021</v>
      </c>
      <c r="H171" s="328" t="s">
        <v>837</v>
      </c>
      <c r="I171" s="328">
        <v>1</v>
      </c>
    </row>
    <row r="172" spans="2:9">
      <c r="B172" s="328">
        <v>153</v>
      </c>
      <c r="C172" s="328" t="s">
        <v>308</v>
      </c>
      <c r="D172" s="328">
        <v>1971</v>
      </c>
      <c r="E172" s="329">
        <v>158788.27000000002</v>
      </c>
      <c r="F172" s="328"/>
      <c r="G172" s="328">
        <v>2021</v>
      </c>
      <c r="H172" s="328" t="s">
        <v>837</v>
      </c>
      <c r="I172" s="328">
        <v>1</v>
      </c>
    </row>
    <row r="173" spans="2:9">
      <c r="B173" s="328">
        <v>154</v>
      </c>
      <c r="C173" s="328" t="s">
        <v>308</v>
      </c>
      <c r="D173" s="328">
        <v>1972</v>
      </c>
      <c r="E173" s="329">
        <v>241793.13</v>
      </c>
      <c r="F173" s="328"/>
      <c r="G173" s="328">
        <v>2021</v>
      </c>
      <c r="H173" s="328" t="s">
        <v>837</v>
      </c>
      <c r="I173" s="328">
        <v>1</v>
      </c>
    </row>
    <row r="174" spans="2:9">
      <c r="B174" s="328">
        <v>155</v>
      </c>
      <c r="C174" s="328" t="s">
        <v>308</v>
      </c>
      <c r="D174" s="328">
        <v>1973</v>
      </c>
      <c r="E174" s="329">
        <v>16917.16</v>
      </c>
      <c r="F174" s="328"/>
      <c r="G174" s="328">
        <v>2021</v>
      </c>
      <c r="H174" s="328" t="s">
        <v>837</v>
      </c>
      <c r="I174" s="328">
        <v>1</v>
      </c>
    </row>
    <row r="175" spans="2:9">
      <c r="B175" s="328">
        <v>156</v>
      </c>
      <c r="C175" s="328" t="s">
        <v>308</v>
      </c>
      <c r="D175" s="328">
        <v>1974</v>
      </c>
      <c r="E175" s="329">
        <v>19498.32</v>
      </c>
      <c r="F175" s="328"/>
      <c r="G175" s="328">
        <v>2021</v>
      </c>
      <c r="H175" s="328" t="s">
        <v>837</v>
      </c>
      <c r="I175" s="328">
        <v>1</v>
      </c>
    </row>
    <row r="176" spans="2:9">
      <c r="B176" s="328">
        <v>157</v>
      </c>
      <c r="C176" s="328" t="s">
        <v>308</v>
      </c>
      <c r="D176" s="328">
        <v>1975</v>
      </c>
      <c r="E176" s="329">
        <v>136362.09</v>
      </c>
      <c r="F176" s="328"/>
      <c r="G176" s="328">
        <v>2021</v>
      </c>
      <c r="H176" s="328" t="s">
        <v>837</v>
      </c>
      <c r="I176" s="328">
        <v>1</v>
      </c>
    </row>
    <row r="177" spans="2:9">
      <c r="B177" s="328">
        <v>158</v>
      </c>
      <c r="C177" s="328" t="s">
        <v>308</v>
      </c>
      <c r="D177" s="328">
        <v>1976</v>
      </c>
      <c r="E177" s="329">
        <v>95438.5</v>
      </c>
      <c r="F177" s="328"/>
      <c r="G177" s="328">
        <v>2021</v>
      </c>
      <c r="H177" s="328" t="s">
        <v>837</v>
      </c>
      <c r="I177" s="328">
        <v>1</v>
      </c>
    </row>
    <row r="178" spans="2:9">
      <c r="B178" s="328">
        <v>159</v>
      </c>
      <c r="C178" s="328" t="s">
        <v>308</v>
      </c>
      <c r="D178" s="328">
        <v>1977</v>
      </c>
      <c r="E178" s="329">
        <v>60014.03</v>
      </c>
      <c r="F178" s="328"/>
      <c r="G178" s="328">
        <v>2021</v>
      </c>
      <c r="H178" s="328" t="s">
        <v>837</v>
      </c>
      <c r="I178" s="328">
        <v>1</v>
      </c>
    </row>
    <row r="179" spans="2:9">
      <c r="B179" s="328">
        <v>160</v>
      </c>
      <c r="C179" s="328" t="s">
        <v>308</v>
      </c>
      <c r="D179" s="328">
        <v>1978</v>
      </c>
      <c r="E179" s="329">
        <v>16510.61</v>
      </c>
      <c r="F179" s="328"/>
      <c r="G179" s="328">
        <v>2021</v>
      </c>
      <c r="H179" s="328" t="s">
        <v>837</v>
      </c>
      <c r="I179" s="328">
        <v>1</v>
      </c>
    </row>
    <row r="180" spans="2:9">
      <c r="B180" s="328">
        <v>161</v>
      </c>
      <c r="C180" s="328" t="s">
        <v>308</v>
      </c>
      <c r="D180" s="328">
        <v>1979</v>
      </c>
      <c r="E180" s="329">
        <v>38157.51</v>
      </c>
      <c r="F180" s="328"/>
      <c r="G180" s="328">
        <v>2021</v>
      </c>
      <c r="H180" s="328" t="s">
        <v>837</v>
      </c>
      <c r="I180" s="328">
        <v>1</v>
      </c>
    </row>
    <row r="181" spans="2:9">
      <c r="B181" s="328">
        <v>162</v>
      </c>
      <c r="C181" s="328" t="s">
        <v>308</v>
      </c>
      <c r="D181" s="328">
        <v>1986</v>
      </c>
      <c r="E181" s="329">
        <v>109742.65</v>
      </c>
      <c r="F181" s="328"/>
      <c r="G181" s="328">
        <v>2021</v>
      </c>
      <c r="H181" s="328" t="s">
        <v>837</v>
      </c>
      <c r="I181" s="328">
        <v>1</v>
      </c>
    </row>
    <row r="182" spans="2:9">
      <c r="B182" s="328">
        <v>163</v>
      </c>
      <c r="C182" s="328" t="s">
        <v>308</v>
      </c>
      <c r="D182" s="328">
        <v>1989</v>
      </c>
      <c r="E182" s="329">
        <v>13251.86</v>
      </c>
      <c r="F182" s="328"/>
      <c r="G182" s="328">
        <v>2021</v>
      </c>
      <c r="H182" s="328" t="s">
        <v>837</v>
      </c>
      <c r="I182" s="328">
        <v>1</v>
      </c>
    </row>
    <row r="183" spans="2:9">
      <c r="B183" s="328">
        <v>164</v>
      </c>
      <c r="C183" s="328" t="s">
        <v>308</v>
      </c>
      <c r="D183" s="328">
        <v>1991</v>
      </c>
      <c r="E183" s="329">
        <v>8107.24</v>
      </c>
      <c r="F183" s="328"/>
      <c r="G183" s="328">
        <v>2021</v>
      </c>
      <c r="H183" s="328" t="s">
        <v>837</v>
      </c>
      <c r="I183" s="328">
        <v>1</v>
      </c>
    </row>
    <row r="184" spans="2:9">
      <c r="B184" s="328">
        <v>165</v>
      </c>
      <c r="C184" s="328" t="s">
        <v>308</v>
      </c>
      <c r="D184" s="328">
        <v>1992</v>
      </c>
      <c r="E184" s="329">
        <v>876626.98</v>
      </c>
      <c r="F184" s="328"/>
      <c r="G184" s="328">
        <v>2021</v>
      </c>
      <c r="H184" s="328" t="s">
        <v>837</v>
      </c>
      <c r="I184" s="328">
        <v>1</v>
      </c>
    </row>
    <row r="185" spans="2:9">
      <c r="B185" s="328">
        <v>166</v>
      </c>
      <c r="C185" s="328" t="s">
        <v>308</v>
      </c>
      <c r="D185" s="328">
        <v>1993</v>
      </c>
      <c r="E185" s="329">
        <v>6193.19</v>
      </c>
      <c r="F185" s="328"/>
      <c r="G185" s="328">
        <v>2021</v>
      </c>
      <c r="H185" s="328" t="s">
        <v>837</v>
      </c>
      <c r="I185" s="328">
        <v>1</v>
      </c>
    </row>
    <row r="186" spans="2:9">
      <c r="B186" s="328">
        <v>167</v>
      </c>
      <c r="C186" s="328" t="s">
        <v>308</v>
      </c>
      <c r="D186" s="328">
        <v>1995</v>
      </c>
      <c r="E186" s="329">
        <v>8440.31</v>
      </c>
      <c r="F186" s="328"/>
      <c r="G186" s="328">
        <v>2021</v>
      </c>
      <c r="H186" s="328" t="s">
        <v>837</v>
      </c>
      <c r="I186" s="328">
        <v>1</v>
      </c>
    </row>
    <row r="187" spans="2:9">
      <c r="B187" s="328">
        <v>168</v>
      </c>
      <c r="C187" s="328" t="s">
        <v>308</v>
      </c>
      <c r="D187" s="328">
        <v>1996</v>
      </c>
      <c r="E187" s="329">
        <v>6633.93</v>
      </c>
      <c r="F187" s="328"/>
      <c r="G187" s="328">
        <v>2021</v>
      </c>
      <c r="H187" s="328" t="s">
        <v>837</v>
      </c>
      <c r="I187" s="328">
        <v>1</v>
      </c>
    </row>
    <row r="188" spans="2:9">
      <c r="B188" s="328">
        <v>169</v>
      </c>
      <c r="C188" s="328" t="s">
        <v>308</v>
      </c>
      <c r="D188" s="328">
        <v>1998</v>
      </c>
      <c r="E188" s="329">
        <v>10371.369999999999</v>
      </c>
      <c r="F188" s="328"/>
      <c r="G188" s="328">
        <v>2021</v>
      </c>
      <c r="H188" s="328" t="s">
        <v>837</v>
      </c>
      <c r="I188" s="328">
        <v>1</v>
      </c>
    </row>
    <row r="189" spans="2:9">
      <c r="B189" s="328">
        <v>170</v>
      </c>
      <c r="C189" s="328" t="s">
        <v>308</v>
      </c>
      <c r="D189" s="328">
        <v>1999</v>
      </c>
      <c r="E189" s="329">
        <v>4737.3</v>
      </c>
      <c r="F189" s="328"/>
      <c r="G189" s="328">
        <v>2021</v>
      </c>
      <c r="H189" s="328" t="s">
        <v>837</v>
      </c>
      <c r="I189" s="328">
        <v>1</v>
      </c>
    </row>
    <row r="190" spans="2:9">
      <c r="B190" s="328">
        <v>171</v>
      </c>
      <c r="C190" s="328" t="s">
        <v>308</v>
      </c>
      <c r="D190" s="328">
        <v>2002</v>
      </c>
      <c r="E190" s="329">
        <v>49679.41</v>
      </c>
      <c r="F190" s="328"/>
      <c r="G190" s="328">
        <v>2021</v>
      </c>
      <c r="H190" s="328" t="s">
        <v>837</v>
      </c>
      <c r="I190" s="328">
        <v>1</v>
      </c>
    </row>
    <row r="191" spans="2:9">
      <c r="B191" s="328">
        <v>172</v>
      </c>
      <c r="C191" s="328" t="s">
        <v>308</v>
      </c>
      <c r="D191" s="328">
        <v>2003</v>
      </c>
      <c r="E191" s="329">
        <v>42948.94</v>
      </c>
      <c r="F191" s="328"/>
      <c r="G191" s="328">
        <v>2021</v>
      </c>
      <c r="H191" s="328" t="s">
        <v>837</v>
      </c>
      <c r="I191" s="328">
        <v>1</v>
      </c>
    </row>
    <row r="192" spans="2:9">
      <c r="B192" s="328">
        <v>173</v>
      </c>
      <c r="C192" s="328" t="s">
        <v>308</v>
      </c>
      <c r="D192" s="328">
        <v>2005</v>
      </c>
      <c r="E192" s="329">
        <v>108188.81</v>
      </c>
      <c r="F192" s="328"/>
      <c r="G192" s="328">
        <v>2021</v>
      </c>
      <c r="H192" s="328" t="s">
        <v>837</v>
      </c>
      <c r="I192" s="328">
        <v>1</v>
      </c>
    </row>
    <row r="193" spans="2:9">
      <c r="B193" s="328">
        <v>174</v>
      </c>
      <c r="C193" s="328" t="s">
        <v>308</v>
      </c>
      <c r="D193" s="328">
        <v>2007</v>
      </c>
      <c r="E193" s="329">
        <v>209399.48</v>
      </c>
      <c r="F193" s="328"/>
      <c r="G193" s="328">
        <v>2021</v>
      </c>
      <c r="H193" s="328" t="s">
        <v>837</v>
      </c>
      <c r="I193" s="328">
        <v>1</v>
      </c>
    </row>
    <row r="194" spans="2:9">
      <c r="B194" s="328">
        <v>175</v>
      </c>
      <c r="C194" s="328" t="s">
        <v>308</v>
      </c>
      <c r="D194" s="328">
        <v>2011</v>
      </c>
      <c r="E194" s="329">
        <v>326231.77348609408</v>
      </c>
      <c r="F194" s="328"/>
      <c r="G194" s="328">
        <v>2021</v>
      </c>
      <c r="H194" s="328" t="s">
        <v>837</v>
      </c>
      <c r="I194" s="328">
        <v>1</v>
      </c>
    </row>
    <row r="195" spans="2:9">
      <c r="B195" s="328">
        <v>176</v>
      </c>
      <c r="C195" s="328" t="s">
        <v>308</v>
      </c>
      <c r="D195" s="328">
        <v>2012</v>
      </c>
      <c r="E195" s="329">
        <v>304764.16110630898</v>
      </c>
      <c r="F195" s="328"/>
      <c r="G195" s="328">
        <v>2021</v>
      </c>
      <c r="H195" s="328" t="s">
        <v>837</v>
      </c>
      <c r="I195" s="328">
        <v>1</v>
      </c>
    </row>
    <row r="196" spans="2:9">
      <c r="B196" s="328">
        <v>177</v>
      </c>
      <c r="C196" s="328" t="s">
        <v>308</v>
      </c>
      <c r="D196" s="328">
        <v>2013</v>
      </c>
      <c r="E196" s="329">
        <v>38943.678871327982</v>
      </c>
      <c r="F196" s="328"/>
      <c r="G196" s="328">
        <v>2021</v>
      </c>
      <c r="H196" s="328" t="s">
        <v>837</v>
      </c>
      <c r="I196" s="328">
        <v>1</v>
      </c>
    </row>
    <row r="197" spans="2:9">
      <c r="B197" s="328">
        <v>178</v>
      </c>
      <c r="C197" s="328" t="s">
        <v>308</v>
      </c>
      <c r="D197" s="328">
        <v>2018</v>
      </c>
      <c r="E197" s="329">
        <v>24781.746230975445</v>
      </c>
      <c r="F197" s="328"/>
      <c r="G197" s="328">
        <v>2021</v>
      </c>
      <c r="H197" s="328" t="s">
        <v>837</v>
      </c>
      <c r="I197" s="328">
        <v>1</v>
      </c>
    </row>
    <row r="198" spans="2:9">
      <c r="B198" s="328">
        <v>179</v>
      </c>
      <c r="C198" s="328" t="s">
        <v>311</v>
      </c>
      <c r="D198" s="328">
        <v>1956</v>
      </c>
      <c r="E198" s="329">
        <v>10811.2</v>
      </c>
      <c r="F198" s="328">
        <v>3432.605970336283</v>
      </c>
      <c r="G198" s="328">
        <v>2021</v>
      </c>
      <c r="H198" s="328" t="s">
        <v>837</v>
      </c>
      <c r="I198" s="328">
        <v>1</v>
      </c>
    </row>
    <row r="199" spans="2:9">
      <c r="B199" s="328">
        <v>180</v>
      </c>
      <c r="C199" s="328" t="s">
        <v>311</v>
      </c>
      <c r="D199" s="328">
        <v>1968</v>
      </c>
      <c r="E199" s="329">
        <v>73172.06</v>
      </c>
      <c r="F199" s="328">
        <v>23232.46725782565</v>
      </c>
      <c r="G199" s="328">
        <v>2021</v>
      </c>
      <c r="H199" s="328" t="s">
        <v>837</v>
      </c>
      <c r="I199" s="328">
        <v>1</v>
      </c>
    </row>
    <row r="200" spans="2:9">
      <c r="B200" s="328">
        <v>181</v>
      </c>
      <c r="C200" s="328" t="s">
        <v>311</v>
      </c>
      <c r="D200" s="328">
        <v>1979</v>
      </c>
      <c r="E200" s="329">
        <v>1664.95</v>
      </c>
      <c r="F200" s="328"/>
      <c r="G200" s="328">
        <v>2021</v>
      </c>
      <c r="H200" s="328" t="s">
        <v>837</v>
      </c>
      <c r="I200" s="328">
        <v>1</v>
      </c>
    </row>
    <row r="201" spans="2:9">
      <c r="B201" s="328">
        <v>182</v>
      </c>
      <c r="C201" s="328" t="s">
        <v>311</v>
      </c>
      <c r="D201" s="328">
        <v>1986</v>
      </c>
      <c r="E201" s="329">
        <v>216560.83000000002</v>
      </c>
      <c r="F201" s="328">
        <v>560508.72</v>
      </c>
      <c r="G201" s="328">
        <v>2021</v>
      </c>
      <c r="H201" s="328" t="s">
        <v>837</v>
      </c>
      <c r="I201" s="328">
        <v>1</v>
      </c>
    </row>
    <row r="202" spans="2:9">
      <c r="B202" s="328">
        <v>183</v>
      </c>
      <c r="C202" s="328" t="s">
        <v>311</v>
      </c>
      <c r="D202" s="328">
        <v>2012</v>
      </c>
      <c r="E202" s="329">
        <v>492468.36169150769</v>
      </c>
      <c r="F202" s="328">
        <v>649090.35856984626</v>
      </c>
      <c r="G202" s="328">
        <v>2021</v>
      </c>
      <c r="H202" s="328" t="s">
        <v>837</v>
      </c>
      <c r="I202" s="328">
        <v>1</v>
      </c>
    </row>
    <row r="203" spans="2:9">
      <c r="B203" s="328">
        <v>184</v>
      </c>
      <c r="C203" s="328" t="s">
        <v>313</v>
      </c>
      <c r="D203" s="328">
        <v>1998</v>
      </c>
      <c r="E203" s="329">
        <v>95295.21</v>
      </c>
      <c r="F203" s="328"/>
      <c r="G203" s="328">
        <v>2021</v>
      </c>
      <c r="H203" s="328" t="s">
        <v>837</v>
      </c>
      <c r="I203" s="328">
        <v>1</v>
      </c>
    </row>
    <row r="204" spans="2:9">
      <c r="B204" s="328">
        <v>185</v>
      </c>
      <c r="C204" s="328" t="s">
        <v>313</v>
      </c>
      <c r="D204" s="328">
        <v>2007</v>
      </c>
      <c r="E204" s="329">
        <v>13693.71</v>
      </c>
      <c r="F204" s="328"/>
      <c r="G204" s="328">
        <v>2021</v>
      </c>
      <c r="H204" s="328" t="s">
        <v>837</v>
      </c>
      <c r="I204" s="328">
        <v>1</v>
      </c>
    </row>
    <row r="205" spans="2:9">
      <c r="B205" s="328">
        <v>186</v>
      </c>
      <c r="C205" s="328" t="s">
        <v>313</v>
      </c>
      <c r="D205" s="328">
        <v>2016</v>
      </c>
      <c r="E205" s="329">
        <v>32624.757655515543</v>
      </c>
      <c r="F205" s="328"/>
      <c r="G205" s="328">
        <v>2021</v>
      </c>
      <c r="H205" s="328" t="s">
        <v>837</v>
      </c>
      <c r="I205" s="328">
        <v>1</v>
      </c>
    </row>
    <row r="206" spans="2:9">
      <c r="B206" s="328">
        <v>187</v>
      </c>
      <c r="C206" s="328" t="s">
        <v>313</v>
      </c>
      <c r="D206" s="328">
        <v>2018</v>
      </c>
      <c r="E206" s="329">
        <v>538732.54828671971</v>
      </c>
      <c r="F206" s="328">
        <v>167251.98597930631</v>
      </c>
      <c r="G206" s="328">
        <v>2021</v>
      </c>
      <c r="H206" s="328" t="s">
        <v>837</v>
      </c>
      <c r="I206" s="328">
        <v>1</v>
      </c>
    </row>
    <row r="207" spans="2:9">
      <c r="B207" s="328">
        <v>188</v>
      </c>
      <c r="C207" s="328" t="s">
        <v>317</v>
      </c>
      <c r="D207" s="328">
        <v>1980</v>
      </c>
      <c r="E207" s="329">
        <v>15535.76</v>
      </c>
      <c r="F207" s="328"/>
      <c r="G207" s="328">
        <v>2021</v>
      </c>
      <c r="H207" s="328" t="s">
        <v>837</v>
      </c>
      <c r="I207" s="328">
        <v>1</v>
      </c>
    </row>
    <row r="208" spans="2:9">
      <c r="B208" s="328">
        <v>189</v>
      </c>
      <c r="C208" s="328" t="s">
        <v>317</v>
      </c>
      <c r="D208" s="328">
        <v>2005</v>
      </c>
      <c r="E208" s="329">
        <v>95475</v>
      </c>
      <c r="F208" s="328"/>
      <c r="G208" s="328">
        <v>2021</v>
      </c>
      <c r="H208" s="328" t="s">
        <v>837</v>
      </c>
      <c r="I208" s="328">
        <v>1</v>
      </c>
    </row>
    <row r="209" spans="2:9">
      <c r="B209" s="328">
        <v>190</v>
      </c>
      <c r="C209" s="328" t="s">
        <v>317</v>
      </c>
      <c r="D209" s="328">
        <v>2006</v>
      </c>
      <c r="E209" s="329">
        <v>43750.75</v>
      </c>
      <c r="F209" s="328"/>
      <c r="G209" s="328">
        <v>2021</v>
      </c>
      <c r="H209" s="328" t="s">
        <v>837</v>
      </c>
      <c r="I209" s="328">
        <v>1</v>
      </c>
    </row>
    <row r="210" spans="2:9">
      <c r="B210" s="328">
        <v>191</v>
      </c>
      <c r="C210" s="328" t="s">
        <v>317</v>
      </c>
      <c r="D210" s="328">
        <v>2010</v>
      </c>
      <c r="E210" s="329">
        <v>8444.43</v>
      </c>
      <c r="F210" s="328"/>
      <c r="G210" s="328">
        <v>2021</v>
      </c>
      <c r="H210" s="328" t="s">
        <v>837</v>
      </c>
      <c r="I210" s="328">
        <v>1</v>
      </c>
    </row>
    <row r="211" spans="2:9">
      <c r="B211" s="328">
        <v>192</v>
      </c>
      <c r="C211" s="328" t="s">
        <v>319</v>
      </c>
      <c r="D211" s="328">
        <v>2006</v>
      </c>
      <c r="E211" s="329">
        <v>213008.69</v>
      </c>
      <c r="F211" s="328"/>
      <c r="G211" s="328">
        <v>2021</v>
      </c>
      <c r="H211" s="328" t="s">
        <v>837</v>
      </c>
      <c r="I211" s="328">
        <v>1</v>
      </c>
    </row>
    <row r="212" spans="2:9">
      <c r="B212" s="328">
        <v>193</v>
      </c>
      <c r="C212" s="328" t="s">
        <v>321</v>
      </c>
      <c r="D212" s="328">
        <v>1995</v>
      </c>
      <c r="E212" s="329">
        <v>21404.81</v>
      </c>
      <c r="F212" s="328">
        <v>6796.1261099520652</v>
      </c>
      <c r="G212" s="328">
        <v>2021</v>
      </c>
      <c r="H212" s="328" t="s">
        <v>837</v>
      </c>
      <c r="I212" s="328">
        <v>1</v>
      </c>
    </row>
    <row r="213" spans="2:9">
      <c r="B213" s="328">
        <v>194</v>
      </c>
      <c r="C213" s="328" t="s">
        <v>321</v>
      </c>
      <c r="D213" s="328">
        <v>1999</v>
      </c>
      <c r="E213" s="329">
        <v>41263.57</v>
      </c>
      <c r="F213" s="328"/>
      <c r="G213" s="328">
        <v>2021</v>
      </c>
      <c r="H213" s="328" t="s">
        <v>837</v>
      </c>
      <c r="I213" s="328">
        <v>1</v>
      </c>
    </row>
    <row r="214" spans="2:9">
      <c r="B214" s="328">
        <v>195</v>
      </c>
      <c r="C214" s="328" t="s">
        <v>321</v>
      </c>
      <c r="D214" s="328">
        <v>2004</v>
      </c>
      <c r="E214" s="329">
        <v>25586.77</v>
      </c>
      <c r="F214" s="328"/>
      <c r="G214" s="328">
        <v>2021</v>
      </c>
      <c r="H214" s="328" t="s">
        <v>837</v>
      </c>
      <c r="I214" s="328">
        <v>1</v>
      </c>
    </row>
    <row r="215" spans="2:9">
      <c r="B215" s="328">
        <v>196</v>
      </c>
      <c r="C215" s="328" t="s">
        <v>321</v>
      </c>
      <c r="D215" s="328">
        <v>2007</v>
      </c>
      <c r="E215" s="329">
        <v>72524.09</v>
      </c>
      <c r="F215" s="328"/>
      <c r="G215" s="328">
        <v>2021</v>
      </c>
      <c r="H215" s="328" t="s">
        <v>837</v>
      </c>
      <c r="I215" s="328">
        <v>1</v>
      </c>
    </row>
    <row r="216" spans="2:9">
      <c r="B216" s="328">
        <v>197</v>
      </c>
      <c r="C216" s="328" t="s">
        <v>321</v>
      </c>
      <c r="D216" s="328">
        <v>2009</v>
      </c>
      <c r="E216" s="329">
        <v>43757.98</v>
      </c>
      <c r="F216" s="328"/>
      <c r="G216" s="328">
        <v>2021</v>
      </c>
      <c r="H216" s="328" t="s">
        <v>837</v>
      </c>
      <c r="I216" s="328">
        <v>1</v>
      </c>
    </row>
    <row r="217" spans="2:9">
      <c r="B217" s="328">
        <v>198</v>
      </c>
      <c r="C217" s="328" t="s">
        <v>321</v>
      </c>
      <c r="D217" s="328">
        <v>2018</v>
      </c>
      <c r="E217" s="329">
        <v>92063.762018898677</v>
      </c>
      <c r="F217" s="328">
        <v>28518.401683085332</v>
      </c>
      <c r="G217" s="328">
        <v>2021</v>
      </c>
      <c r="H217" s="328" t="s">
        <v>837</v>
      </c>
      <c r="I217" s="328">
        <v>1</v>
      </c>
    </row>
    <row r="218" spans="2:9">
      <c r="B218" s="328">
        <v>199</v>
      </c>
      <c r="C218" s="328" t="s">
        <v>322</v>
      </c>
      <c r="D218" s="328">
        <v>1999</v>
      </c>
      <c r="E218" s="329">
        <v>23628.5</v>
      </c>
      <c r="F218" s="328"/>
      <c r="G218" s="328">
        <v>2021</v>
      </c>
      <c r="H218" s="328" t="s">
        <v>837</v>
      </c>
      <c r="I218" s="328">
        <v>1</v>
      </c>
    </row>
    <row r="219" spans="2:9">
      <c r="B219" s="328">
        <v>200</v>
      </c>
      <c r="C219" s="328" t="s">
        <v>322</v>
      </c>
      <c r="D219" s="328">
        <v>2003</v>
      </c>
      <c r="E219" s="329">
        <v>5549.99</v>
      </c>
      <c r="F219" s="328">
        <v>1762.1474775516747</v>
      </c>
      <c r="G219" s="328">
        <v>2021</v>
      </c>
      <c r="H219" s="328" t="s">
        <v>837</v>
      </c>
      <c r="I219" s="328">
        <v>1</v>
      </c>
    </row>
    <row r="220" spans="2:9">
      <c r="B220" s="328">
        <v>201</v>
      </c>
      <c r="C220" s="328" t="s">
        <v>322</v>
      </c>
      <c r="D220" s="328">
        <v>2004</v>
      </c>
      <c r="E220" s="329">
        <v>7075.25</v>
      </c>
      <c r="F220" s="328">
        <v>2246.424577440227</v>
      </c>
      <c r="G220" s="328">
        <v>2021</v>
      </c>
      <c r="H220" s="328" t="s">
        <v>837</v>
      </c>
      <c r="I220" s="328">
        <v>1</v>
      </c>
    </row>
    <row r="221" spans="2:9">
      <c r="B221" s="328">
        <v>202</v>
      </c>
      <c r="C221" s="328" t="s">
        <v>322</v>
      </c>
      <c r="D221" s="328">
        <v>2011</v>
      </c>
      <c r="E221" s="329">
        <v>32592.1</v>
      </c>
      <c r="F221" s="328">
        <v>2890.2096493742083</v>
      </c>
      <c r="G221" s="328">
        <v>2021</v>
      </c>
      <c r="H221" s="328" t="s">
        <v>837</v>
      </c>
      <c r="I221" s="328">
        <v>1</v>
      </c>
    </row>
    <row r="222" spans="2:9">
      <c r="B222" s="328">
        <v>203</v>
      </c>
      <c r="C222" s="328" t="s">
        <v>322</v>
      </c>
      <c r="D222" s="328">
        <v>2012</v>
      </c>
      <c r="E222" s="329">
        <v>47594.894530059231</v>
      </c>
      <c r="F222" s="328">
        <v>14768.206788922676</v>
      </c>
      <c r="G222" s="328">
        <v>2021</v>
      </c>
      <c r="H222" s="328" t="s">
        <v>837</v>
      </c>
      <c r="I222" s="328">
        <v>1</v>
      </c>
    </row>
    <row r="223" spans="2:9">
      <c r="B223" s="328">
        <v>204</v>
      </c>
      <c r="C223" s="328" t="s">
        <v>322</v>
      </c>
      <c r="D223" s="328">
        <v>2017</v>
      </c>
      <c r="E223" s="329">
        <v>30787.351220734221</v>
      </c>
      <c r="F223" s="328">
        <v>9644.7204285089756</v>
      </c>
      <c r="G223" s="328">
        <v>2021</v>
      </c>
      <c r="H223" s="328" t="s">
        <v>837</v>
      </c>
      <c r="I223" s="328">
        <v>1</v>
      </c>
    </row>
    <row r="224" spans="2:9">
      <c r="B224" s="328">
        <v>205</v>
      </c>
      <c r="C224" s="328" t="s">
        <v>322</v>
      </c>
      <c r="D224" s="328">
        <v>2018</v>
      </c>
      <c r="E224" s="329">
        <v>15158.814286337998</v>
      </c>
      <c r="F224" s="328">
        <v>4645.9117830974619</v>
      </c>
      <c r="G224" s="328">
        <v>2021</v>
      </c>
      <c r="H224" s="328" t="s">
        <v>837</v>
      </c>
      <c r="I224" s="328">
        <v>1</v>
      </c>
    </row>
    <row r="225" spans="2:9">
      <c r="B225" s="328">
        <v>206</v>
      </c>
      <c r="C225" s="328" t="s">
        <v>323</v>
      </c>
      <c r="D225" s="328">
        <v>2011</v>
      </c>
      <c r="E225" s="329">
        <v>327059.9632444483</v>
      </c>
      <c r="F225" s="328"/>
      <c r="G225" s="328">
        <v>2021</v>
      </c>
      <c r="H225" s="328" t="s">
        <v>837</v>
      </c>
      <c r="I225" s="328">
        <v>1</v>
      </c>
    </row>
    <row r="226" spans="2:9">
      <c r="B226" s="328">
        <v>207</v>
      </c>
      <c r="C226" s="328" t="s">
        <v>323</v>
      </c>
      <c r="D226" s="328">
        <v>2011</v>
      </c>
      <c r="E226" s="329">
        <v>204205.26050762061</v>
      </c>
      <c r="F226" s="328"/>
      <c r="G226" s="328">
        <v>2021</v>
      </c>
      <c r="H226" s="328" t="s">
        <v>837</v>
      </c>
      <c r="I226" s="328">
        <v>1</v>
      </c>
    </row>
    <row r="227" spans="2:9">
      <c r="B227" s="328">
        <v>208</v>
      </c>
      <c r="C227" s="328" t="s">
        <v>337</v>
      </c>
      <c r="D227" s="328">
        <v>1970</v>
      </c>
      <c r="E227" s="329">
        <v>200671.11000000002</v>
      </c>
      <c r="F227" s="328"/>
      <c r="G227" s="328">
        <v>2021</v>
      </c>
      <c r="H227" s="328" t="s">
        <v>837</v>
      </c>
      <c r="I227" s="328">
        <v>1</v>
      </c>
    </row>
    <row r="228" spans="2:9">
      <c r="B228" s="328">
        <v>209</v>
      </c>
      <c r="C228" s="328" t="s">
        <v>337</v>
      </c>
      <c r="D228" s="328">
        <v>1971</v>
      </c>
      <c r="E228" s="329">
        <v>31459.45</v>
      </c>
      <c r="F228" s="328"/>
      <c r="G228" s="328">
        <v>2021</v>
      </c>
      <c r="H228" s="328" t="s">
        <v>837</v>
      </c>
      <c r="I228" s="328">
        <v>1</v>
      </c>
    </row>
    <row r="229" spans="2:9">
      <c r="B229" s="328">
        <v>210</v>
      </c>
      <c r="C229" s="328" t="s">
        <v>337</v>
      </c>
      <c r="D229" s="328">
        <v>1974</v>
      </c>
      <c r="E229" s="329">
        <v>37307.01</v>
      </c>
      <c r="F229" s="328"/>
      <c r="G229" s="328">
        <v>2021</v>
      </c>
      <c r="H229" s="328" t="s">
        <v>837</v>
      </c>
      <c r="I229" s="328">
        <v>1</v>
      </c>
    </row>
    <row r="230" spans="2:9">
      <c r="B230" s="328">
        <v>211</v>
      </c>
      <c r="C230" s="328" t="s">
        <v>337</v>
      </c>
      <c r="D230" s="328">
        <v>1977</v>
      </c>
      <c r="E230" s="329">
        <v>56993.78</v>
      </c>
      <c r="F230" s="328"/>
      <c r="G230" s="328">
        <v>2021</v>
      </c>
      <c r="H230" s="328" t="s">
        <v>837</v>
      </c>
      <c r="I230" s="328">
        <v>1</v>
      </c>
    </row>
    <row r="231" spans="2:9">
      <c r="B231" s="328">
        <v>212</v>
      </c>
      <c r="C231" s="328" t="s">
        <v>337</v>
      </c>
      <c r="D231" s="328">
        <v>1987</v>
      </c>
      <c r="E231" s="329">
        <v>30140.38</v>
      </c>
      <c r="F231" s="328"/>
      <c r="G231" s="328">
        <v>2021</v>
      </c>
      <c r="H231" s="328" t="s">
        <v>837</v>
      </c>
      <c r="I231" s="328">
        <v>1</v>
      </c>
    </row>
    <row r="232" spans="2:9">
      <c r="B232" s="328">
        <v>213</v>
      </c>
      <c r="C232" s="328" t="s">
        <v>337</v>
      </c>
      <c r="D232" s="328">
        <v>2006</v>
      </c>
      <c r="E232" s="329">
        <v>220824.52000000002</v>
      </c>
      <c r="F232" s="328"/>
      <c r="G232" s="328">
        <v>2021</v>
      </c>
      <c r="H232" s="328" t="s">
        <v>837</v>
      </c>
      <c r="I232" s="328">
        <v>1</v>
      </c>
    </row>
    <row r="233" spans="2:9">
      <c r="B233" s="328">
        <v>214</v>
      </c>
      <c r="C233" s="328" t="s">
        <v>337</v>
      </c>
      <c r="D233" s="328">
        <v>2007</v>
      </c>
      <c r="E233" s="329">
        <v>118615.11181912628</v>
      </c>
      <c r="F233" s="328"/>
      <c r="G233" s="328">
        <v>2021</v>
      </c>
      <c r="H233" s="328" t="s">
        <v>837</v>
      </c>
      <c r="I233" s="328">
        <v>1</v>
      </c>
    </row>
    <row r="234" spans="2:9">
      <c r="B234" s="328">
        <v>215</v>
      </c>
      <c r="C234" s="328" t="s">
        <v>337</v>
      </c>
      <c r="D234" s="328">
        <v>2009</v>
      </c>
      <c r="E234" s="329">
        <v>36749.480000000003</v>
      </c>
      <c r="F234" s="328"/>
      <c r="G234" s="328">
        <v>2021</v>
      </c>
      <c r="H234" s="328" t="s">
        <v>837</v>
      </c>
      <c r="I234" s="328">
        <v>1</v>
      </c>
    </row>
    <row r="235" spans="2:9">
      <c r="B235" s="328">
        <v>216</v>
      </c>
      <c r="C235" s="328" t="s">
        <v>337</v>
      </c>
      <c r="D235" s="328">
        <v>2010</v>
      </c>
      <c r="E235" s="329">
        <v>16852.444769673708</v>
      </c>
      <c r="F235" s="328"/>
      <c r="G235" s="328">
        <v>2021</v>
      </c>
      <c r="H235" s="328" t="s">
        <v>837</v>
      </c>
      <c r="I235" s="328">
        <v>1</v>
      </c>
    </row>
    <row r="236" spans="2:9">
      <c r="B236" s="328">
        <v>217</v>
      </c>
      <c r="C236" s="328" t="s">
        <v>337</v>
      </c>
      <c r="D236" s="328">
        <v>2011</v>
      </c>
      <c r="E236" s="329">
        <v>161240.22989045532</v>
      </c>
      <c r="F236" s="328"/>
      <c r="G236" s="328">
        <v>2021</v>
      </c>
      <c r="H236" s="328" t="s">
        <v>837</v>
      </c>
      <c r="I236" s="328">
        <v>1</v>
      </c>
    </row>
    <row r="237" spans="2:9">
      <c r="B237" s="328">
        <v>218</v>
      </c>
      <c r="C237" s="328" t="s">
        <v>340</v>
      </c>
      <c r="D237" s="328">
        <v>1977</v>
      </c>
      <c r="E237" s="329">
        <v>35828970.149999999</v>
      </c>
      <c r="F237" s="328"/>
      <c r="G237" s="328">
        <v>2021</v>
      </c>
      <c r="H237" s="328" t="s">
        <v>837</v>
      </c>
      <c r="I237" s="328">
        <v>1</v>
      </c>
    </row>
    <row r="238" spans="2:9">
      <c r="B238" s="328">
        <v>219</v>
      </c>
      <c r="C238" s="328" t="s">
        <v>340</v>
      </c>
      <c r="D238" s="328">
        <v>1998</v>
      </c>
      <c r="E238" s="329">
        <v>75833.259999999995</v>
      </c>
      <c r="F238" s="328"/>
      <c r="G238" s="328">
        <v>2021</v>
      </c>
      <c r="H238" s="328" t="s">
        <v>837</v>
      </c>
      <c r="I238" s="328">
        <v>1</v>
      </c>
    </row>
    <row r="239" spans="2:9">
      <c r="B239" s="328">
        <v>220</v>
      </c>
      <c r="C239" s="328" t="s">
        <v>340</v>
      </c>
      <c r="D239" s="328">
        <v>2004</v>
      </c>
      <c r="E239" s="329">
        <v>698617.72</v>
      </c>
      <c r="F239" s="328"/>
      <c r="G239" s="328">
        <v>2021</v>
      </c>
      <c r="H239" s="328" t="s">
        <v>837</v>
      </c>
      <c r="I239" s="328">
        <v>1</v>
      </c>
    </row>
    <row r="240" spans="2:9">
      <c r="B240" s="328">
        <v>221</v>
      </c>
      <c r="C240" s="328" t="s">
        <v>340</v>
      </c>
      <c r="D240" s="328">
        <v>2006</v>
      </c>
      <c r="E240" s="329">
        <v>134414.63</v>
      </c>
      <c r="F240" s="328"/>
      <c r="G240" s="328">
        <v>2021</v>
      </c>
      <c r="H240" s="328" t="s">
        <v>837</v>
      </c>
      <c r="I240" s="328">
        <v>1</v>
      </c>
    </row>
    <row r="241" spans="2:9">
      <c r="B241" s="328">
        <v>222</v>
      </c>
      <c r="C241" s="328" t="s">
        <v>340</v>
      </c>
      <c r="D241" s="328">
        <v>2007</v>
      </c>
      <c r="E241" s="329">
        <v>295840.56</v>
      </c>
      <c r="F241" s="328"/>
      <c r="G241" s="328">
        <v>2021</v>
      </c>
      <c r="H241" s="328" t="s">
        <v>837</v>
      </c>
      <c r="I241" s="328">
        <v>1</v>
      </c>
    </row>
    <row r="242" spans="2:9">
      <c r="B242" s="328">
        <v>223</v>
      </c>
      <c r="C242" s="328" t="s">
        <v>340</v>
      </c>
      <c r="D242" s="328">
        <v>2008</v>
      </c>
      <c r="E242" s="329">
        <v>422693.60000000003</v>
      </c>
      <c r="F242" s="328"/>
      <c r="G242" s="328">
        <v>2021</v>
      </c>
      <c r="H242" s="328" t="s">
        <v>837</v>
      </c>
      <c r="I242" s="328">
        <v>1</v>
      </c>
    </row>
    <row r="243" spans="2:9">
      <c r="B243" s="328">
        <v>224</v>
      </c>
      <c r="C243" s="328" t="s">
        <v>340</v>
      </c>
      <c r="D243" s="328">
        <v>2009</v>
      </c>
      <c r="E243" s="329">
        <v>7501964.5199999996</v>
      </c>
      <c r="F243" s="328"/>
      <c r="G243" s="328">
        <v>2021</v>
      </c>
      <c r="H243" s="328" t="s">
        <v>837</v>
      </c>
      <c r="I243" s="328">
        <v>1</v>
      </c>
    </row>
    <row r="244" spans="2:9">
      <c r="B244" s="328">
        <v>225</v>
      </c>
      <c r="C244" s="328" t="s">
        <v>340</v>
      </c>
      <c r="D244" s="328">
        <v>2010</v>
      </c>
      <c r="E244" s="329">
        <v>1044433.3749015761</v>
      </c>
      <c r="F244" s="328"/>
      <c r="G244" s="328">
        <v>2021</v>
      </c>
      <c r="H244" s="328" t="s">
        <v>837</v>
      </c>
      <c r="I244" s="328">
        <v>1</v>
      </c>
    </row>
    <row r="245" spans="2:9">
      <c r="B245" s="328">
        <v>226</v>
      </c>
      <c r="C245" s="328" t="s">
        <v>340</v>
      </c>
      <c r="D245" s="328">
        <v>2011</v>
      </c>
      <c r="E245" s="329">
        <v>55479.276483167145</v>
      </c>
      <c r="F245" s="328"/>
      <c r="G245" s="328">
        <v>2021</v>
      </c>
      <c r="H245" s="328" t="s">
        <v>837</v>
      </c>
      <c r="I245" s="328">
        <v>1</v>
      </c>
    </row>
    <row r="246" spans="2:9">
      <c r="B246" s="328">
        <v>227</v>
      </c>
      <c r="C246" s="328" t="s">
        <v>340</v>
      </c>
      <c r="D246" s="328">
        <v>2012</v>
      </c>
      <c r="E246" s="329">
        <v>3622072.4393920866</v>
      </c>
      <c r="F246" s="328"/>
      <c r="G246" s="328">
        <v>2021</v>
      </c>
      <c r="H246" s="328" t="s">
        <v>837</v>
      </c>
      <c r="I246" s="328">
        <v>1</v>
      </c>
    </row>
    <row r="247" spans="2:9">
      <c r="B247" s="328">
        <v>228</v>
      </c>
      <c r="C247" s="328" t="s">
        <v>340</v>
      </c>
      <c r="D247" s="328">
        <v>2013</v>
      </c>
      <c r="E247" s="329">
        <v>3696661.0956130447</v>
      </c>
      <c r="F247" s="328"/>
      <c r="G247" s="328">
        <v>2021</v>
      </c>
      <c r="H247" s="328" t="s">
        <v>837</v>
      </c>
      <c r="I247" s="328">
        <v>1</v>
      </c>
    </row>
    <row r="248" spans="2:9">
      <c r="B248" s="328">
        <v>229</v>
      </c>
      <c r="C248" s="328" t="s">
        <v>340</v>
      </c>
      <c r="D248" s="328">
        <v>2014</v>
      </c>
      <c r="E248" s="329">
        <v>-211261.47377242689</v>
      </c>
      <c r="F248" s="328"/>
      <c r="G248" s="328">
        <v>2021</v>
      </c>
      <c r="H248" s="328" t="s">
        <v>837</v>
      </c>
      <c r="I248" s="328">
        <v>1</v>
      </c>
    </row>
    <row r="249" spans="2:9">
      <c r="B249" s="328">
        <v>230</v>
      </c>
      <c r="C249" s="328" t="s">
        <v>340</v>
      </c>
      <c r="D249" s="328">
        <v>2015</v>
      </c>
      <c r="E249" s="329">
        <v>1410348.6255901323</v>
      </c>
      <c r="F249" s="328"/>
      <c r="G249" s="328">
        <v>2021</v>
      </c>
      <c r="H249" s="328" t="s">
        <v>837</v>
      </c>
      <c r="I249" s="328">
        <v>1</v>
      </c>
    </row>
    <row r="250" spans="2:9">
      <c r="B250" s="328">
        <v>231</v>
      </c>
      <c r="C250" s="328" t="s">
        <v>340</v>
      </c>
      <c r="D250" s="328">
        <v>2016</v>
      </c>
      <c r="E250" s="329">
        <v>1210083.3299999998</v>
      </c>
      <c r="F250" s="328"/>
      <c r="G250" s="328">
        <v>2021</v>
      </c>
      <c r="H250" s="328" t="s">
        <v>837</v>
      </c>
      <c r="I250" s="328">
        <v>1</v>
      </c>
    </row>
    <row r="251" spans="2:9">
      <c r="B251" s="328">
        <v>232</v>
      </c>
      <c r="C251" s="328" t="s">
        <v>340</v>
      </c>
      <c r="D251" s="328">
        <v>2016</v>
      </c>
      <c r="E251" s="329">
        <v>4463010.1800000006</v>
      </c>
      <c r="F251" s="328"/>
      <c r="G251" s="328">
        <v>2021</v>
      </c>
      <c r="H251" s="328" t="s">
        <v>837</v>
      </c>
      <c r="I251" s="328">
        <v>1</v>
      </c>
    </row>
    <row r="252" spans="2:9">
      <c r="B252" s="328">
        <v>233</v>
      </c>
      <c r="C252" s="328" t="s">
        <v>341</v>
      </c>
      <c r="D252" s="328">
        <v>1993</v>
      </c>
      <c r="E252" s="329">
        <v>7214.43</v>
      </c>
      <c r="F252" s="328"/>
      <c r="G252" s="328">
        <v>2021</v>
      </c>
      <c r="H252" s="328" t="s">
        <v>837</v>
      </c>
      <c r="I252" s="328">
        <v>1</v>
      </c>
    </row>
    <row r="253" spans="2:9">
      <c r="B253" s="328">
        <v>234</v>
      </c>
      <c r="C253" s="328" t="s">
        <v>341</v>
      </c>
      <c r="D253" s="328">
        <v>2006</v>
      </c>
      <c r="E253" s="329">
        <v>90670.522605892213</v>
      </c>
      <c r="F253" s="328"/>
      <c r="G253" s="328">
        <v>2021</v>
      </c>
      <c r="H253" s="328" t="s">
        <v>837</v>
      </c>
      <c r="I253" s="328">
        <v>1</v>
      </c>
    </row>
    <row r="254" spans="2:9">
      <c r="B254" s="328">
        <v>235</v>
      </c>
      <c r="C254" s="328" t="s">
        <v>341</v>
      </c>
      <c r="D254" s="328">
        <v>2007</v>
      </c>
      <c r="E254" s="329">
        <v>15457.31</v>
      </c>
      <c r="F254" s="328"/>
      <c r="G254" s="328">
        <v>2021</v>
      </c>
      <c r="H254" s="328" t="s">
        <v>837</v>
      </c>
      <c r="I254" s="328">
        <v>1</v>
      </c>
    </row>
    <row r="255" spans="2:9">
      <c r="B255" s="328">
        <v>236</v>
      </c>
      <c r="C255" s="328" t="s">
        <v>341</v>
      </c>
      <c r="D255" s="328">
        <v>2011</v>
      </c>
      <c r="E255" s="329">
        <v>17709.499967104181</v>
      </c>
      <c r="F255" s="328"/>
      <c r="G255" s="328">
        <v>2021</v>
      </c>
      <c r="H255" s="328" t="s">
        <v>837</v>
      </c>
      <c r="I255" s="328">
        <v>1</v>
      </c>
    </row>
    <row r="256" spans="2:9">
      <c r="B256" s="328">
        <v>237</v>
      </c>
      <c r="C256" s="328" t="s">
        <v>344</v>
      </c>
      <c r="D256" s="328">
        <v>1998</v>
      </c>
      <c r="E256" s="329">
        <v>1145228.3699999999</v>
      </c>
      <c r="F256" s="328">
        <v>83006.322393766895</v>
      </c>
      <c r="G256" s="328">
        <v>2021</v>
      </c>
      <c r="H256" s="328" t="s">
        <v>837</v>
      </c>
      <c r="I256" s="328">
        <v>1</v>
      </c>
    </row>
    <row r="257" spans="2:9">
      <c r="B257" s="328">
        <v>238</v>
      </c>
      <c r="C257" s="328" t="s">
        <v>344</v>
      </c>
      <c r="D257" s="328">
        <v>2002</v>
      </c>
      <c r="E257" s="329">
        <v>207275.81</v>
      </c>
      <c r="F257" s="328">
        <v>65811.027722388724</v>
      </c>
      <c r="G257" s="328">
        <v>2021</v>
      </c>
      <c r="H257" s="328" t="s">
        <v>837</v>
      </c>
      <c r="I257" s="328">
        <v>1</v>
      </c>
    </row>
    <row r="258" spans="2:9">
      <c r="B258" s="328">
        <v>239</v>
      </c>
      <c r="C258" s="328" t="s">
        <v>344</v>
      </c>
      <c r="D258" s="328">
        <v>2004</v>
      </c>
      <c r="E258" s="329">
        <v>114452.9</v>
      </c>
      <c r="F258" s="328">
        <v>36339.324761571472</v>
      </c>
      <c r="G258" s="328">
        <v>2021</v>
      </c>
      <c r="H258" s="328" t="s">
        <v>837</v>
      </c>
      <c r="I258" s="328">
        <v>1</v>
      </c>
    </row>
    <row r="259" spans="2:9">
      <c r="B259" s="328">
        <v>240</v>
      </c>
      <c r="C259" s="328" t="s">
        <v>344</v>
      </c>
      <c r="D259" s="328">
        <v>2005</v>
      </c>
      <c r="E259" s="329">
        <v>188996.13</v>
      </c>
      <c r="F259" s="328">
        <v>60007.144832067876</v>
      </c>
      <c r="G259" s="328">
        <v>2021</v>
      </c>
      <c r="H259" s="328" t="s">
        <v>837</v>
      </c>
      <c r="I259" s="328">
        <v>1</v>
      </c>
    </row>
    <row r="260" spans="2:9">
      <c r="B260" s="328">
        <v>241</v>
      </c>
      <c r="C260" s="328" t="s">
        <v>344</v>
      </c>
      <c r="D260" s="328">
        <v>2008</v>
      </c>
      <c r="E260" s="329">
        <v>84567.28</v>
      </c>
      <c r="F260" s="328">
        <v>9973.4837644979889</v>
      </c>
      <c r="G260" s="328">
        <v>2021</v>
      </c>
      <c r="H260" s="328" t="s">
        <v>837</v>
      </c>
      <c r="I260" s="328">
        <v>1</v>
      </c>
    </row>
    <row r="261" spans="2:9">
      <c r="B261" s="328">
        <v>242</v>
      </c>
      <c r="C261" s="328" t="s">
        <v>344</v>
      </c>
      <c r="D261" s="328">
        <v>2009</v>
      </c>
      <c r="E261" s="329">
        <v>163009.45000000001</v>
      </c>
      <c r="F261" s="328">
        <v>39430.787890703461</v>
      </c>
      <c r="G261" s="328">
        <v>2021</v>
      </c>
      <c r="H261" s="328" t="s">
        <v>837</v>
      </c>
      <c r="I261" s="328">
        <v>1</v>
      </c>
    </row>
    <row r="262" spans="2:9">
      <c r="B262" s="328">
        <v>243</v>
      </c>
      <c r="C262" s="328" t="s">
        <v>344</v>
      </c>
      <c r="D262" s="328">
        <v>2010</v>
      </c>
      <c r="E262" s="329">
        <v>137160.34344793225</v>
      </c>
      <c r="F262" s="328"/>
      <c r="G262" s="328">
        <v>2021</v>
      </c>
      <c r="H262" s="328" t="s">
        <v>837</v>
      </c>
      <c r="I262" s="328">
        <v>1</v>
      </c>
    </row>
    <row r="263" spans="2:9">
      <c r="B263" s="328">
        <v>244</v>
      </c>
      <c r="C263" s="328" t="s">
        <v>344</v>
      </c>
      <c r="D263" s="328">
        <v>2011</v>
      </c>
      <c r="E263" s="329">
        <v>28002.195226489926</v>
      </c>
      <c r="F263" s="328">
        <v>957.54631452925457</v>
      </c>
      <c r="G263" s="328">
        <v>2021</v>
      </c>
      <c r="H263" s="328" t="s">
        <v>837</v>
      </c>
      <c r="I263" s="328">
        <v>1</v>
      </c>
    </row>
    <row r="264" spans="2:9">
      <c r="B264" s="328">
        <v>245</v>
      </c>
      <c r="C264" s="328" t="s">
        <v>344</v>
      </c>
      <c r="D264" s="328">
        <v>2012</v>
      </c>
      <c r="E264" s="329">
        <v>418308.90169201128</v>
      </c>
      <c r="F264" s="328">
        <v>85794.147042817931</v>
      </c>
      <c r="G264" s="328">
        <v>2021</v>
      </c>
      <c r="H264" s="328" t="s">
        <v>837</v>
      </c>
      <c r="I264" s="328">
        <v>1</v>
      </c>
    </row>
    <row r="265" spans="2:9">
      <c r="B265" s="328">
        <v>246</v>
      </c>
      <c r="C265" s="328" t="s">
        <v>344</v>
      </c>
      <c r="D265" s="328">
        <v>2012</v>
      </c>
      <c r="E265" s="329">
        <v>34493.89</v>
      </c>
      <c r="F265" s="328"/>
      <c r="G265" s="328">
        <v>2021</v>
      </c>
      <c r="H265" s="328" t="s">
        <v>837</v>
      </c>
      <c r="I265" s="328">
        <v>1</v>
      </c>
    </row>
    <row r="266" spans="2:9">
      <c r="B266" s="328">
        <v>247</v>
      </c>
      <c r="C266" s="328" t="s">
        <v>344</v>
      </c>
      <c r="D266" s="328">
        <v>2014</v>
      </c>
      <c r="E266" s="329">
        <v>119209.70383364368</v>
      </c>
      <c r="F266" s="328">
        <v>36450.838734941819</v>
      </c>
      <c r="G266" s="328">
        <v>2021</v>
      </c>
      <c r="H266" s="328" t="s">
        <v>837</v>
      </c>
      <c r="I266" s="328">
        <v>1</v>
      </c>
    </row>
    <row r="267" spans="2:9">
      <c r="B267" s="328">
        <v>248</v>
      </c>
      <c r="C267" s="328" t="s">
        <v>344</v>
      </c>
      <c r="D267" s="328">
        <v>2015</v>
      </c>
      <c r="E267" s="329">
        <v>86744.489646918475</v>
      </c>
      <c r="F267" s="328">
        <v>26901.214115794937</v>
      </c>
      <c r="G267" s="328">
        <v>2021</v>
      </c>
      <c r="H267" s="328" t="s">
        <v>837</v>
      </c>
      <c r="I267" s="328">
        <v>1</v>
      </c>
    </row>
    <row r="268" spans="2:9">
      <c r="B268" s="328">
        <v>249</v>
      </c>
      <c r="C268" s="328" t="s">
        <v>344</v>
      </c>
      <c r="D268" s="328">
        <v>2016</v>
      </c>
      <c r="E268" s="329">
        <v>872938.23153047287</v>
      </c>
      <c r="F268" s="328">
        <v>100866.50984435556</v>
      </c>
      <c r="G268" s="328">
        <v>2021</v>
      </c>
      <c r="H268" s="328" t="s">
        <v>837</v>
      </c>
      <c r="I268" s="328">
        <v>1</v>
      </c>
    </row>
    <row r="269" spans="2:9">
      <c r="B269" s="328">
        <v>250</v>
      </c>
      <c r="C269" s="328" t="s">
        <v>344</v>
      </c>
      <c r="D269" s="328">
        <v>2018</v>
      </c>
      <c r="E269" s="329">
        <v>318444.09968867822</v>
      </c>
      <c r="F269" s="328">
        <v>83174.482366764263</v>
      </c>
      <c r="G269" s="328">
        <v>2021</v>
      </c>
      <c r="H269" s="328" t="s">
        <v>837</v>
      </c>
      <c r="I269" s="328">
        <v>1</v>
      </c>
    </row>
    <row r="270" spans="2:9">
      <c r="B270" s="328">
        <v>251</v>
      </c>
      <c r="C270" s="328" t="s">
        <v>344</v>
      </c>
      <c r="D270" s="328">
        <v>2019</v>
      </c>
      <c r="E270" s="329">
        <v>470203.71904289688</v>
      </c>
      <c r="F270" s="328">
        <v>152911.40394055273</v>
      </c>
      <c r="G270" s="328">
        <v>2021</v>
      </c>
      <c r="H270" s="328" t="s">
        <v>837</v>
      </c>
      <c r="I270" s="328">
        <v>1</v>
      </c>
    </row>
    <row r="271" spans="2:9">
      <c r="B271" s="328">
        <v>252</v>
      </c>
      <c r="C271" s="328" t="s">
        <v>345</v>
      </c>
      <c r="D271" s="328">
        <v>1964</v>
      </c>
      <c r="E271" s="329">
        <v>1904</v>
      </c>
      <c r="F271" s="328"/>
      <c r="G271" s="328">
        <v>2021</v>
      </c>
      <c r="H271" s="328" t="s">
        <v>837</v>
      </c>
      <c r="I271" s="328">
        <v>1</v>
      </c>
    </row>
    <row r="272" spans="2:9">
      <c r="B272" s="328">
        <v>253</v>
      </c>
      <c r="C272" s="328" t="s">
        <v>345</v>
      </c>
      <c r="D272" s="328">
        <v>1966</v>
      </c>
      <c r="E272" s="329">
        <v>360</v>
      </c>
      <c r="F272" s="328"/>
      <c r="G272" s="328">
        <v>2021</v>
      </c>
      <c r="H272" s="328" t="s">
        <v>837</v>
      </c>
      <c r="I272" s="328">
        <v>1</v>
      </c>
    </row>
    <row r="273" spans="2:9">
      <c r="B273" s="328">
        <v>254</v>
      </c>
      <c r="C273" s="328" t="s">
        <v>345</v>
      </c>
      <c r="D273" s="328">
        <v>1967</v>
      </c>
      <c r="E273" s="329">
        <v>168</v>
      </c>
      <c r="F273" s="328"/>
      <c r="G273" s="328">
        <v>2021</v>
      </c>
      <c r="H273" s="328" t="s">
        <v>837</v>
      </c>
      <c r="I273" s="328">
        <v>1</v>
      </c>
    </row>
    <row r="274" spans="2:9">
      <c r="B274" s="328">
        <v>255</v>
      </c>
      <c r="C274" s="328" t="s">
        <v>345</v>
      </c>
      <c r="D274" s="328">
        <v>1968</v>
      </c>
      <c r="E274" s="329">
        <v>10784</v>
      </c>
      <c r="F274" s="328"/>
      <c r="G274" s="328">
        <v>2021</v>
      </c>
      <c r="H274" s="328" t="s">
        <v>837</v>
      </c>
      <c r="I274" s="328">
        <v>1</v>
      </c>
    </row>
    <row r="275" spans="2:9">
      <c r="B275" s="328">
        <v>256</v>
      </c>
      <c r="C275" s="328" t="s">
        <v>345</v>
      </c>
      <c r="D275" s="328">
        <v>1969</v>
      </c>
      <c r="E275" s="329">
        <v>528</v>
      </c>
      <c r="F275" s="328"/>
      <c r="G275" s="328">
        <v>2021</v>
      </c>
      <c r="H275" s="328" t="s">
        <v>837</v>
      </c>
      <c r="I275" s="328">
        <v>1</v>
      </c>
    </row>
    <row r="276" spans="2:9">
      <c r="B276" s="328">
        <v>257</v>
      </c>
      <c r="C276" s="328" t="s">
        <v>345</v>
      </c>
      <c r="D276" s="328">
        <v>1970</v>
      </c>
      <c r="E276" s="329">
        <v>126766.11</v>
      </c>
      <c r="F276" s="328"/>
      <c r="G276" s="328">
        <v>2021</v>
      </c>
      <c r="H276" s="328" t="s">
        <v>837</v>
      </c>
      <c r="I276" s="328">
        <v>1</v>
      </c>
    </row>
    <row r="277" spans="2:9">
      <c r="B277" s="328">
        <v>258</v>
      </c>
      <c r="C277" s="328" t="s">
        <v>345</v>
      </c>
      <c r="D277" s="328">
        <v>1971</v>
      </c>
      <c r="E277" s="329">
        <v>13448</v>
      </c>
      <c r="F277" s="328"/>
      <c r="G277" s="328">
        <v>2021</v>
      </c>
      <c r="H277" s="328" t="s">
        <v>837</v>
      </c>
      <c r="I277" s="328">
        <v>1</v>
      </c>
    </row>
    <row r="278" spans="2:9">
      <c r="B278" s="328">
        <v>259</v>
      </c>
      <c r="C278" s="328" t="s">
        <v>345</v>
      </c>
      <c r="D278" s="328">
        <v>1972</v>
      </c>
      <c r="E278" s="329">
        <v>3048</v>
      </c>
      <c r="F278" s="328"/>
      <c r="G278" s="328">
        <v>2021</v>
      </c>
      <c r="H278" s="328" t="s">
        <v>837</v>
      </c>
      <c r="I278" s="328">
        <v>1</v>
      </c>
    </row>
    <row r="279" spans="2:9">
      <c r="B279" s="328">
        <v>260</v>
      </c>
      <c r="C279" s="328" t="s">
        <v>345</v>
      </c>
      <c r="D279" s="328">
        <v>1973</v>
      </c>
      <c r="E279" s="329">
        <v>216</v>
      </c>
      <c r="F279" s="328"/>
      <c r="G279" s="328">
        <v>2021</v>
      </c>
      <c r="H279" s="328" t="s">
        <v>837</v>
      </c>
      <c r="I279" s="328">
        <v>1</v>
      </c>
    </row>
    <row r="280" spans="2:9">
      <c r="B280" s="328">
        <v>261</v>
      </c>
      <c r="C280" s="328" t="s">
        <v>345</v>
      </c>
      <c r="D280" s="328">
        <v>1974</v>
      </c>
      <c r="E280" s="329">
        <v>3688</v>
      </c>
      <c r="F280" s="328"/>
      <c r="G280" s="328">
        <v>2021</v>
      </c>
      <c r="H280" s="328" t="s">
        <v>837</v>
      </c>
      <c r="I280" s="328">
        <v>1</v>
      </c>
    </row>
    <row r="281" spans="2:9">
      <c r="B281" s="328">
        <v>262</v>
      </c>
      <c r="C281" s="328" t="s">
        <v>345</v>
      </c>
      <c r="D281" s="328">
        <v>1975</v>
      </c>
      <c r="E281" s="329">
        <v>4480.3200000000006</v>
      </c>
      <c r="F281" s="328"/>
      <c r="G281" s="328">
        <v>2021</v>
      </c>
      <c r="H281" s="328" t="s">
        <v>837</v>
      </c>
      <c r="I281" s="328">
        <v>1</v>
      </c>
    </row>
    <row r="282" spans="2:9">
      <c r="B282" s="328">
        <v>263</v>
      </c>
      <c r="C282" s="328" t="s">
        <v>345</v>
      </c>
      <c r="D282" s="328">
        <v>1977</v>
      </c>
      <c r="E282" s="329">
        <v>745.37</v>
      </c>
      <c r="F282" s="328"/>
      <c r="G282" s="328">
        <v>2021</v>
      </c>
      <c r="H282" s="328" t="s">
        <v>837</v>
      </c>
      <c r="I282" s="328">
        <v>1</v>
      </c>
    </row>
    <row r="283" spans="2:9">
      <c r="B283" s="328">
        <v>264</v>
      </c>
      <c r="C283" s="328" t="s">
        <v>345</v>
      </c>
      <c r="D283" s="328">
        <v>1978</v>
      </c>
      <c r="E283" s="329">
        <v>25825.9</v>
      </c>
      <c r="F283" s="328"/>
      <c r="G283" s="328">
        <v>2021</v>
      </c>
      <c r="H283" s="328" t="s">
        <v>837</v>
      </c>
      <c r="I283" s="328">
        <v>1</v>
      </c>
    </row>
    <row r="284" spans="2:9">
      <c r="B284" s="328">
        <v>265</v>
      </c>
      <c r="C284" s="328" t="s">
        <v>345</v>
      </c>
      <c r="D284" s="328">
        <v>1980</v>
      </c>
      <c r="E284" s="329">
        <v>1675.53</v>
      </c>
      <c r="F284" s="328"/>
      <c r="G284" s="328">
        <v>2021</v>
      </c>
      <c r="H284" s="328" t="s">
        <v>837</v>
      </c>
      <c r="I284" s="328">
        <v>1</v>
      </c>
    </row>
    <row r="285" spans="2:9">
      <c r="B285" s="328">
        <v>266</v>
      </c>
      <c r="C285" s="328" t="s">
        <v>345</v>
      </c>
      <c r="D285" s="328">
        <v>1981</v>
      </c>
      <c r="E285" s="329">
        <v>2145.67</v>
      </c>
      <c r="F285" s="328"/>
      <c r="G285" s="328">
        <v>2021</v>
      </c>
      <c r="H285" s="328" t="s">
        <v>837</v>
      </c>
      <c r="I285" s="328">
        <v>1</v>
      </c>
    </row>
    <row r="286" spans="2:9">
      <c r="B286" s="328">
        <v>267</v>
      </c>
      <c r="C286" s="328" t="s">
        <v>345</v>
      </c>
      <c r="D286" s="328">
        <v>1983</v>
      </c>
      <c r="E286" s="329">
        <v>47940.21</v>
      </c>
      <c r="F286" s="328">
        <v>45847.293506604889</v>
      </c>
      <c r="G286" s="328">
        <v>2021</v>
      </c>
      <c r="H286" s="328" t="s">
        <v>837</v>
      </c>
      <c r="I286" s="328">
        <v>1</v>
      </c>
    </row>
    <row r="287" spans="2:9">
      <c r="B287" s="328">
        <v>268</v>
      </c>
      <c r="C287" s="328" t="s">
        <v>345</v>
      </c>
      <c r="D287" s="328">
        <v>1984</v>
      </c>
      <c r="E287" s="329">
        <v>3028.66</v>
      </c>
      <c r="F287" s="328"/>
      <c r="G287" s="328">
        <v>2021</v>
      </c>
      <c r="H287" s="328" t="s">
        <v>837</v>
      </c>
      <c r="I287" s="328">
        <v>1</v>
      </c>
    </row>
    <row r="288" spans="2:9">
      <c r="B288" s="328">
        <v>269</v>
      </c>
      <c r="C288" s="328" t="s">
        <v>345</v>
      </c>
      <c r="D288" s="328">
        <v>1985</v>
      </c>
      <c r="E288" s="329">
        <v>5162.49</v>
      </c>
      <c r="F288" s="328"/>
      <c r="G288" s="328">
        <v>2021</v>
      </c>
      <c r="H288" s="328" t="s">
        <v>837</v>
      </c>
      <c r="I288" s="328">
        <v>1</v>
      </c>
    </row>
    <row r="289" spans="2:9">
      <c r="B289" s="328">
        <v>270</v>
      </c>
      <c r="C289" s="328" t="s">
        <v>345</v>
      </c>
      <c r="D289" s="328">
        <v>1986</v>
      </c>
      <c r="E289" s="329">
        <v>6123683.1800000006</v>
      </c>
      <c r="F289" s="328">
        <v>5843585.9202481788</v>
      </c>
      <c r="G289" s="328">
        <v>2021</v>
      </c>
      <c r="H289" s="328" t="s">
        <v>837</v>
      </c>
      <c r="I289" s="328">
        <v>1</v>
      </c>
    </row>
    <row r="290" spans="2:9">
      <c r="B290" s="328">
        <v>271</v>
      </c>
      <c r="C290" s="328" t="s">
        <v>345</v>
      </c>
      <c r="D290" s="328">
        <v>1987</v>
      </c>
      <c r="E290" s="329">
        <v>5769.73</v>
      </c>
      <c r="F290" s="328"/>
      <c r="G290" s="328">
        <v>2021</v>
      </c>
      <c r="H290" s="328" t="s">
        <v>837</v>
      </c>
      <c r="I290" s="328">
        <v>1</v>
      </c>
    </row>
    <row r="291" spans="2:9">
      <c r="B291" s="328">
        <v>272</v>
      </c>
      <c r="C291" s="328" t="s">
        <v>345</v>
      </c>
      <c r="D291" s="328">
        <v>1988</v>
      </c>
      <c r="E291" s="329">
        <v>2251.5500000000002</v>
      </c>
      <c r="F291" s="328"/>
      <c r="G291" s="328">
        <v>2021</v>
      </c>
      <c r="H291" s="328" t="s">
        <v>837</v>
      </c>
      <c r="I291" s="328">
        <v>1</v>
      </c>
    </row>
    <row r="292" spans="2:9">
      <c r="B292" s="328">
        <v>273</v>
      </c>
      <c r="C292" s="328" t="s">
        <v>345</v>
      </c>
      <c r="D292" s="328">
        <v>1990</v>
      </c>
      <c r="E292" s="329">
        <v>2264.98</v>
      </c>
      <c r="F292" s="328"/>
      <c r="G292" s="328">
        <v>2021</v>
      </c>
      <c r="H292" s="328" t="s">
        <v>837</v>
      </c>
      <c r="I292" s="328">
        <v>1</v>
      </c>
    </row>
    <row r="293" spans="2:9">
      <c r="B293" s="328">
        <v>274</v>
      </c>
      <c r="C293" s="328" t="s">
        <v>345</v>
      </c>
      <c r="D293" s="328">
        <v>1991</v>
      </c>
      <c r="E293" s="329">
        <v>212044.27000000002</v>
      </c>
      <c r="F293" s="328"/>
      <c r="G293" s="328">
        <v>2021</v>
      </c>
      <c r="H293" s="328" t="s">
        <v>837</v>
      </c>
      <c r="I293" s="328">
        <v>1</v>
      </c>
    </row>
    <row r="294" spans="2:9">
      <c r="B294" s="328">
        <v>275</v>
      </c>
      <c r="C294" s="328" t="s">
        <v>345</v>
      </c>
      <c r="D294" s="328">
        <v>1992</v>
      </c>
      <c r="E294" s="329">
        <v>17214.810000000001</v>
      </c>
      <c r="F294" s="328"/>
      <c r="G294" s="328">
        <v>2021</v>
      </c>
      <c r="H294" s="328" t="s">
        <v>837</v>
      </c>
      <c r="I294" s="328">
        <v>1</v>
      </c>
    </row>
    <row r="295" spans="2:9">
      <c r="B295" s="328">
        <v>276</v>
      </c>
      <c r="C295" s="328" t="s">
        <v>345</v>
      </c>
      <c r="D295" s="328">
        <v>1993</v>
      </c>
      <c r="E295" s="329">
        <v>955.02</v>
      </c>
      <c r="F295" s="328"/>
      <c r="G295" s="328">
        <v>2021</v>
      </c>
      <c r="H295" s="328" t="s">
        <v>837</v>
      </c>
      <c r="I295" s="328">
        <v>1</v>
      </c>
    </row>
    <row r="296" spans="2:9">
      <c r="B296" s="328">
        <v>277</v>
      </c>
      <c r="C296" s="328" t="s">
        <v>345</v>
      </c>
      <c r="D296" s="328">
        <v>1994</v>
      </c>
      <c r="E296" s="329">
        <v>2215.4899999999998</v>
      </c>
      <c r="F296" s="328"/>
      <c r="G296" s="328">
        <v>2021</v>
      </c>
      <c r="H296" s="328" t="s">
        <v>837</v>
      </c>
      <c r="I296" s="328">
        <v>1</v>
      </c>
    </row>
    <row r="297" spans="2:9">
      <c r="B297" s="328">
        <v>278</v>
      </c>
      <c r="C297" s="328" t="s">
        <v>345</v>
      </c>
      <c r="D297" s="328">
        <v>1995</v>
      </c>
      <c r="E297" s="329">
        <v>2202.9899999999998</v>
      </c>
      <c r="F297" s="328"/>
      <c r="G297" s="328">
        <v>2021</v>
      </c>
      <c r="H297" s="328" t="s">
        <v>837</v>
      </c>
      <c r="I297" s="328">
        <v>1</v>
      </c>
    </row>
    <row r="298" spans="2:9">
      <c r="B298" s="328">
        <v>279</v>
      </c>
      <c r="C298" s="328" t="s">
        <v>345</v>
      </c>
      <c r="D298" s="328">
        <v>1996</v>
      </c>
      <c r="E298" s="329">
        <v>25933.81</v>
      </c>
      <c r="F298" s="328"/>
      <c r="G298" s="328">
        <v>2021</v>
      </c>
      <c r="H298" s="328" t="s">
        <v>837</v>
      </c>
      <c r="I298" s="328">
        <v>1</v>
      </c>
    </row>
    <row r="299" spans="2:9">
      <c r="B299" s="328">
        <v>280</v>
      </c>
      <c r="C299" s="328" t="s">
        <v>345</v>
      </c>
      <c r="D299" s="328">
        <v>1998</v>
      </c>
      <c r="E299" s="329">
        <v>218.17</v>
      </c>
      <c r="F299" s="328"/>
      <c r="G299" s="328">
        <v>2021</v>
      </c>
      <c r="H299" s="328" t="s">
        <v>837</v>
      </c>
      <c r="I299" s="328">
        <v>1</v>
      </c>
    </row>
    <row r="300" spans="2:9">
      <c r="B300" s="328">
        <v>281</v>
      </c>
      <c r="C300" s="328" t="s">
        <v>345</v>
      </c>
      <c r="D300" s="328">
        <v>2000</v>
      </c>
      <c r="E300" s="329">
        <v>3336.46</v>
      </c>
      <c r="F300" s="328"/>
      <c r="G300" s="328">
        <v>2021</v>
      </c>
      <c r="H300" s="328" t="s">
        <v>837</v>
      </c>
      <c r="I300" s="328">
        <v>1</v>
      </c>
    </row>
    <row r="301" spans="2:9">
      <c r="B301" s="328">
        <v>282</v>
      </c>
      <c r="C301" s="328" t="s">
        <v>345</v>
      </c>
      <c r="D301" s="328">
        <v>2001</v>
      </c>
      <c r="E301" s="329">
        <v>7332.67</v>
      </c>
      <c r="F301" s="328"/>
      <c r="G301" s="328">
        <v>2021</v>
      </c>
      <c r="H301" s="328" t="s">
        <v>837</v>
      </c>
      <c r="I301" s="328">
        <v>1</v>
      </c>
    </row>
    <row r="302" spans="2:9">
      <c r="B302" s="328">
        <v>283</v>
      </c>
      <c r="C302" s="328" t="s">
        <v>345</v>
      </c>
      <c r="D302" s="328">
        <v>2004</v>
      </c>
      <c r="E302" s="329">
        <v>32470.219999999998</v>
      </c>
      <c r="F302" s="328"/>
      <c r="G302" s="328">
        <v>2021</v>
      </c>
      <c r="H302" s="328" t="s">
        <v>837</v>
      </c>
      <c r="I302" s="328">
        <v>1</v>
      </c>
    </row>
    <row r="303" spans="2:9">
      <c r="B303" s="328">
        <v>284</v>
      </c>
      <c r="C303" s="328" t="s">
        <v>345</v>
      </c>
      <c r="D303" s="328">
        <v>2007</v>
      </c>
      <c r="E303" s="329">
        <v>36698.050000000003</v>
      </c>
      <c r="F303" s="328"/>
      <c r="G303" s="328">
        <v>2021</v>
      </c>
      <c r="H303" s="328" t="s">
        <v>837</v>
      </c>
      <c r="I303" s="328">
        <v>1</v>
      </c>
    </row>
    <row r="304" spans="2:9">
      <c r="B304" s="328">
        <v>285</v>
      </c>
      <c r="C304" s="328" t="s">
        <v>345</v>
      </c>
      <c r="D304" s="328">
        <v>2007</v>
      </c>
      <c r="E304" s="329">
        <v>814.86374062264201</v>
      </c>
      <c r="F304" s="328"/>
      <c r="G304" s="328">
        <v>2021</v>
      </c>
      <c r="H304" s="328" t="s">
        <v>837</v>
      </c>
      <c r="I304" s="328">
        <v>1</v>
      </c>
    </row>
    <row r="305" spans="2:9">
      <c r="B305" s="328">
        <v>286</v>
      </c>
      <c r="C305" s="328" t="s">
        <v>345</v>
      </c>
      <c r="D305" s="328">
        <v>2008</v>
      </c>
      <c r="E305" s="329">
        <v>1697.82</v>
      </c>
      <c r="F305" s="328"/>
      <c r="G305" s="328">
        <v>2021</v>
      </c>
      <c r="H305" s="328" t="s">
        <v>837</v>
      </c>
      <c r="I305" s="328">
        <v>1</v>
      </c>
    </row>
    <row r="306" spans="2:9">
      <c r="B306" s="328">
        <v>287</v>
      </c>
      <c r="C306" s="328" t="s">
        <v>345</v>
      </c>
      <c r="D306" s="328">
        <v>2009</v>
      </c>
      <c r="E306" s="329">
        <v>306.17</v>
      </c>
      <c r="F306" s="328"/>
      <c r="G306" s="328">
        <v>2021</v>
      </c>
      <c r="H306" s="328" t="s">
        <v>837</v>
      </c>
      <c r="I306" s="328">
        <v>1</v>
      </c>
    </row>
    <row r="307" spans="2:9">
      <c r="B307" s="328">
        <v>288</v>
      </c>
      <c r="C307" s="328" t="s">
        <v>345</v>
      </c>
      <c r="D307" s="328">
        <v>2013</v>
      </c>
      <c r="E307" s="329">
        <v>111081.36098285067</v>
      </c>
      <c r="F307" s="328">
        <v>100715.06465923195</v>
      </c>
      <c r="G307" s="328">
        <v>2021</v>
      </c>
      <c r="H307" s="328" t="s">
        <v>837</v>
      </c>
      <c r="I307" s="328">
        <v>1</v>
      </c>
    </row>
    <row r="308" spans="2:9">
      <c r="B308" s="328">
        <v>289</v>
      </c>
      <c r="C308" s="328" t="s">
        <v>345</v>
      </c>
      <c r="D308" s="328">
        <v>2015</v>
      </c>
      <c r="E308" s="329">
        <v>10546.74451914087</v>
      </c>
      <c r="F308" s="328">
        <v>9851.7215859841872</v>
      </c>
      <c r="G308" s="328">
        <v>2021</v>
      </c>
      <c r="H308" s="328" t="s">
        <v>837</v>
      </c>
      <c r="I308" s="328">
        <v>1</v>
      </c>
    </row>
    <row r="309" spans="2:9">
      <c r="B309" s="328">
        <v>290</v>
      </c>
      <c r="C309" s="328" t="s">
        <v>345</v>
      </c>
      <c r="D309" s="328">
        <v>2016</v>
      </c>
      <c r="E309" s="329">
        <v>23513.843749704858</v>
      </c>
      <c r="F309" s="328"/>
      <c r="G309" s="328">
        <v>2021</v>
      </c>
      <c r="H309" s="328" t="s">
        <v>837</v>
      </c>
      <c r="I309" s="328">
        <v>1</v>
      </c>
    </row>
    <row r="310" spans="2:9">
      <c r="B310" s="328">
        <v>291</v>
      </c>
      <c r="C310" s="328" t="s">
        <v>350</v>
      </c>
      <c r="D310" s="328">
        <v>1980</v>
      </c>
      <c r="E310" s="329">
        <v>634.20000000000005</v>
      </c>
      <c r="F310" s="328"/>
      <c r="G310" s="328">
        <v>2021</v>
      </c>
      <c r="H310" s="328" t="s">
        <v>837</v>
      </c>
      <c r="I310" s="328">
        <v>1</v>
      </c>
    </row>
    <row r="311" spans="2:9">
      <c r="B311" s="328">
        <v>292</v>
      </c>
      <c r="C311" s="328" t="s">
        <v>350</v>
      </c>
      <c r="D311" s="328">
        <v>1995</v>
      </c>
      <c r="E311" s="329">
        <v>3276.15</v>
      </c>
      <c r="F311" s="328"/>
      <c r="G311" s="328">
        <v>2021</v>
      </c>
      <c r="H311" s="328" t="s">
        <v>837</v>
      </c>
      <c r="I311" s="328">
        <v>1</v>
      </c>
    </row>
    <row r="312" spans="2:9">
      <c r="B312" s="328">
        <v>293</v>
      </c>
      <c r="C312" s="328" t="s">
        <v>351</v>
      </c>
      <c r="D312" s="328">
        <v>1964</v>
      </c>
      <c r="E312" s="329">
        <v>6186.9699999999993</v>
      </c>
      <c r="F312" s="328"/>
      <c r="G312" s="328">
        <v>2021</v>
      </c>
      <c r="H312" s="328" t="s">
        <v>837</v>
      </c>
      <c r="I312" s="328">
        <v>1</v>
      </c>
    </row>
    <row r="313" spans="2:9">
      <c r="B313" s="328">
        <v>294</v>
      </c>
      <c r="C313" s="328" t="s">
        <v>351</v>
      </c>
      <c r="D313" s="328">
        <v>1966</v>
      </c>
      <c r="E313" s="329">
        <v>944.59</v>
      </c>
      <c r="F313" s="328"/>
      <c r="G313" s="328">
        <v>2021</v>
      </c>
      <c r="H313" s="328" t="s">
        <v>837</v>
      </c>
      <c r="I313" s="328">
        <v>1</v>
      </c>
    </row>
    <row r="314" spans="2:9">
      <c r="B314" s="328">
        <v>295</v>
      </c>
      <c r="C314" s="328" t="s">
        <v>351</v>
      </c>
      <c r="D314" s="328">
        <v>1967</v>
      </c>
      <c r="E314" s="329">
        <v>5645.93</v>
      </c>
      <c r="F314" s="328"/>
      <c r="G314" s="328">
        <v>2021</v>
      </c>
      <c r="H314" s="328" t="s">
        <v>837</v>
      </c>
      <c r="I314" s="328">
        <v>1</v>
      </c>
    </row>
    <row r="315" spans="2:9">
      <c r="B315" s="328">
        <v>296</v>
      </c>
      <c r="C315" s="328" t="s">
        <v>351</v>
      </c>
      <c r="D315" s="328">
        <v>1972</v>
      </c>
      <c r="E315" s="329">
        <v>33239.620000000003</v>
      </c>
      <c r="F315" s="328"/>
      <c r="G315" s="328">
        <v>2021</v>
      </c>
      <c r="H315" s="328" t="s">
        <v>837</v>
      </c>
      <c r="I315" s="328">
        <v>1</v>
      </c>
    </row>
    <row r="316" spans="2:9">
      <c r="B316" s="328">
        <v>297</v>
      </c>
      <c r="C316" s="328" t="s">
        <v>351</v>
      </c>
      <c r="D316" s="328">
        <v>1973</v>
      </c>
      <c r="E316" s="329">
        <v>126124.84</v>
      </c>
      <c r="F316" s="328"/>
      <c r="G316" s="328">
        <v>2021</v>
      </c>
      <c r="H316" s="328" t="s">
        <v>837</v>
      </c>
      <c r="I316" s="328">
        <v>1</v>
      </c>
    </row>
    <row r="317" spans="2:9">
      <c r="B317" s="328">
        <v>298</v>
      </c>
      <c r="C317" s="328" t="s">
        <v>351</v>
      </c>
      <c r="D317" s="328">
        <v>1974</v>
      </c>
      <c r="E317" s="329">
        <v>12379.830000000002</v>
      </c>
      <c r="F317" s="328"/>
      <c r="G317" s="328">
        <v>2021</v>
      </c>
      <c r="H317" s="328" t="s">
        <v>837</v>
      </c>
      <c r="I317" s="328">
        <v>1</v>
      </c>
    </row>
    <row r="318" spans="2:9">
      <c r="B318" s="328">
        <v>299</v>
      </c>
      <c r="C318" s="328" t="s">
        <v>351</v>
      </c>
      <c r="D318" s="328">
        <v>1996</v>
      </c>
      <c r="E318" s="329">
        <v>4334.99</v>
      </c>
      <c r="F318" s="328"/>
      <c r="G318" s="328">
        <v>2021</v>
      </c>
      <c r="H318" s="328" t="s">
        <v>837</v>
      </c>
      <c r="I318" s="328">
        <v>1</v>
      </c>
    </row>
    <row r="319" spans="2:9">
      <c r="B319" s="328">
        <v>300</v>
      </c>
      <c r="C319" s="328" t="s">
        <v>351</v>
      </c>
      <c r="D319" s="328">
        <v>2004</v>
      </c>
      <c r="E319" s="329">
        <v>3261.03</v>
      </c>
      <c r="F319" s="328"/>
      <c r="G319" s="328">
        <v>2021</v>
      </c>
      <c r="H319" s="328" t="s">
        <v>837</v>
      </c>
      <c r="I319" s="328">
        <v>1</v>
      </c>
    </row>
    <row r="320" spans="2:9">
      <c r="B320" s="328">
        <v>301</v>
      </c>
      <c r="C320" s="328" t="s">
        <v>351</v>
      </c>
      <c r="D320" s="328">
        <v>2005</v>
      </c>
      <c r="E320" s="329">
        <v>6498.35</v>
      </c>
      <c r="F320" s="328"/>
      <c r="G320" s="328">
        <v>2021</v>
      </c>
      <c r="H320" s="328" t="s">
        <v>837</v>
      </c>
      <c r="I320" s="328">
        <v>1</v>
      </c>
    </row>
    <row r="321" spans="2:9">
      <c r="B321" s="328">
        <v>302</v>
      </c>
      <c r="C321" s="328" t="s">
        <v>354</v>
      </c>
      <c r="D321" s="328">
        <v>1966</v>
      </c>
      <c r="E321" s="329">
        <v>9693.7099999999991</v>
      </c>
      <c r="F321" s="328"/>
      <c r="G321" s="328">
        <v>2021</v>
      </c>
      <c r="H321" s="328" t="s">
        <v>837</v>
      </c>
      <c r="I321" s="328">
        <v>1</v>
      </c>
    </row>
    <row r="322" spans="2:9">
      <c r="B322" s="328">
        <v>303</v>
      </c>
      <c r="C322" s="328" t="s">
        <v>354</v>
      </c>
      <c r="D322" s="328">
        <v>1975</v>
      </c>
      <c r="E322" s="329">
        <v>41515.949999999997</v>
      </c>
      <c r="F322" s="328"/>
      <c r="G322" s="328">
        <v>2021</v>
      </c>
      <c r="H322" s="328" t="s">
        <v>837</v>
      </c>
      <c r="I322" s="328">
        <v>1</v>
      </c>
    </row>
    <row r="323" spans="2:9">
      <c r="B323" s="328">
        <v>304</v>
      </c>
      <c r="C323" s="328" t="s">
        <v>354</v>
      </c>
      <c r="D323" s="328">
        <v>1998</v>
      </c>
      <c r="E323" s="329">
        <v>15977.01</v>
      </c>
      <c r="F323" s="328"/>
      <c r="G323" s="328">
        <v>2021</v>
      </c>
      <c r="H323" s="328" t="s">
        <v>837</v>
      </c>
      <c r="I323" s="328">
        <v>1</v>
      </c>
    </row>
    <row r="324" spans="2:9">
      <c r="B324" s="328">
        <v>305</v>
      </c>
      <c r="C324" s="328" t="s">
        <v>354</v>
      </c>
      <c r="D324" s="328">
        <v>2006</v>
      </c>
      <c r="E324" s="329">
        <v>102233.51999999999</v>
      </c>
      <c r="F324" s="328"/>
      <c r="G324" s="328">
        <v>2021</v>
      </c>
      <c r="H324" s="328" t="s">
        <v>837</v>
      </c>
      <c r="I324" s="328">
        <v>1</v>
      </c>
    </row>
    <row r="325" spans="2:9">
      <c r="B325" s="328">
        <v>306</v>
      </c>
      <c r="C325" s="328" t="s">
        <v>356</v>
      </c>
      <c r="D325" s="328">
        <v>1986</v>
      </c>
      <c r="E325" s="329">
        <v>11474.46</v>
      </c>
      <c r="F325" s="328"/>
      <c r="G325" s="328">
        <v>2021</v>
      </c>
      <c r="H325" s="328" t="s">
        <v>837</v>
      </c>
      <c r="I325" s="328">
        <v>1</v>
      </c>
    </row>
    <row r="326" spans="2:9">
      <c r="B326" s="328">
        <v>307</v>
      </c>
      <c r="C326" s="328" t="s">
        <v>356</v>
      </c>
      <c r="D326" s="328">
        <v>1996</v>
      </c>
      <c r="E326" s="329">
        <v>3094.13</v>
      </c>
      <c r="F326" s="328"/>
      <c r="G326" s="328">
        <v>2021</v>
      </c>
      <c r="H326" s="328" t="s">
        <v>837</v>
      </c>
      <c r="I326" s="328">
        <v>1</v>
      </c>
    </row>
    <row r="327" spans="2:9">
      <c r="B327" s="328">
        <v>308</v>
      </c>
      <c r="C327" s="328" t="s">
        <v>356</v>
      </c>
      <c r="D327" s="328">
        <v>1997</v>
      </c>
      <c r="E327" s="329">
        <v>31484.79</v>
      </c>
      <c r="F327" s="328"/>
      <c r="G327" s="328">
        <v>2021</v>
      </c>
      <c r="H327" s="328" t="s">
        <v>837</v>
      </c>
      <c r="I327" s="328">
        <v>1</v>
      </c>
    </row>
    <row r="328" spans="2:9">
      <c r="B328" s="328">
        <v>309</v>
      </c>
      <c r="C328" s="328" t="s">
        <v>356</v>
      </c>
      <c r="D328" s="328">
        <v>1998</v>
      </c>
      <c r="E328" s="329">
        <v>1479.93</v>
      </c>
      <c r="F328" s="328"/>
      <c r="G328" s="328">
        <v>2021</v>
      </c>
      <c r="H328" s="328" t="s">
        <v>837</v>
      </c>
      <c r="I328" s="328">
        <v>1</v>
      </c>
    </row>
    <row r="329" spans="2:9">
      <c r="B329" s="328">
        <v>310</v>
      </c>
      <c r="C329" s="328" t="s">
        <v>361</v>
      </c>
      <c r="D329" s="328">
        <v>2014</v>
      </c>
      <c r="E329" s="329">
        <v>389821.72686058586</v>
      </c>
      <c r="F329" s="328"/>
      <c r="G329" s="328">
        <v>2021</v>
      </c>
      <c r="H329" s="328" t="s">
        <v>837</v>
      </c>
      <c r="I329" s="328">
        <v>1</v>
      </c>
    </row>
    <row r="330" spans="2:9">
      <c r="B330" s="328">
        <v>311</v>
      </c>
      <c r="C330" s="328" t="s">
        <v>361</v>
      </c>
      <c r="D330" s="328">
        <v>2016</v>
      </c>
      <c r="E330" s="329">
        <v>6703956.690605375</v>
      </c>
      <c r="F330" s="328"/>
      <c r="G330" s="328">
        <v>2021</v>
      </c>
      <c r="H330" s="328" t="s">
        <v>837</v>
      </c>
      <c r="I330" s="328">
        <v>1</v>
      </c>
    </row>
    <row r="331" spans="2:9">
      <c r="B331" s="328">
        <v>312</v>
      </c>
      <c r="C331" s="328" t="s">
        <v>361</v>
      </c>
      <c r="D331" s="328">
        <v>2017</v>
      </c>
      <c r="E331" s="329">
        <v>684727.21448209102</v>
      </c>
      <c r="F331" s="328"/>
      <c r="G331" s="328">
        <v>2021</v>
      </c>
      <c r="H331" s="328" t="s">
        <v>837</v>
      </c>
      <c r="I331" s="328">
        <v>1</v>
      </c>
    </row>
    <row r="332" spans="2:9">
      <c r="B332" s="328">
        <v>313</v>
      </c>
      <c r="C332" s="328" t="s">
        <v>361</v>
      </c>
      <c r="D332" s="328">
        <v>2018</v>
      </c>
      <c r="E332" s="329">
        <v>493959.41966385196</v>
      </c>
      <c r="F332" s="328"/>
      <c r="G332" s="328">
        <v>2021</v>
      </c>
      <c r="H332" s="328" t="s">
        <v>837</v>
      </c>
      <c r="I332" s="328">
        <v>1</v>
      </c>
    </row>
    <row r="333" spans="2:9">
      <c r="B333" s="328">
        <v>314</v>
      </c>
      <c r="C333" s="328" t="s">
        <v>361</v>
      </c>
      <c r="D333" s="328">
        <v>2019</v>
      </c>
      <c r="E333" s="329">
        <v>890860.60513630731</v>
      </c>
      <c r="F333" s="328"/>
      <c r="G333" s="328">
        <v>2021</v>
      </c>
      <c r="H333" s="328" t="s">
        <v>837</v>
      </c>
      <c r="I333" s="328">
        <v>1</v>
      </c>
    </row>
    <row r="334" spans="2:9">
      <c r="B334" s="328">
        <v>315</v>
      </c>
      <c r="C334" s="328" t="s">
        <v>366</v>
      </c>
      <c r="D334" s="328">
        <v>2019</v>
      </c>
      <c r="E334" s="329">
        <v>211448.77498552162</v>
      </c>
      <c r="F334" s="328"/>
      <c r="G334" s="328">
        <v>2021</v>
      </c>
      <c r="H334" s="328" t="s">
        <v>837</v>
      </c>
      <c r="I334" s="328">
        <v>1</v>
      </c>
    </row>
    <row r="335" spans="2:9">
      <c r="B335" s="328">
        <v>316</v>
      </c>
      <c r="C335" s="328" t="s">
        <v>304</v>
      </c>
      <c r="D335" s="328">
        <v>1949</v>
      </c>
      <c r="E335" s="329">
        <v>160877.82</v>
      </c>
      <c r="F335" s="328"/>
      <c r="G335" s="328">
        <v>2022</v>
      </c>
      <c r="H335" s="328" t="s">
        <v>831</v>
      </c>
      <c r="I335" s="328">
        <v>2</v>
      </c>
    </row>
    <row r="336" spans="2:9">
      <c r="B336" s="328">
        <v>317</v>
      </c>
      <c r="C336" s="328" t="s">
        <v>304</v>
      </c>
      <c r="D336" s="328">
        <v>1951</v>
      </c>
      <c r="E336" s="329">
        <v>84605.79</v>
      </c>
      <c r="F336" s="328"/>
      <c r="G336" s="328">
        <v>2022</v>
      </c>
      <c r="H336" s="328" t="s">
        <v>831</v>
      </c>
      <c r="I336" s="328">
        <v>2</v>
      </c>
    </row>
    <row r="337" spans="2:9">
      <c r="B337" s="328">
        <v>318</v>
      </c>
      <c r="C337" s="328" t="s">
        <v>304</v>
      </c>
      <c r="D337" s="328">
        <v>1955</v>
      </c>
      <c r="E337" s="329">
        <v>144.74</v>
      </c>
      <c r="F337" s="328"/>
      <c r="G337" s="328">
        <v>2022</v>
      </c>
      <c r="H337" s="328" t="s">
        <v>831</v>
      </c>
      <c r="I337" s="328">
        <v>2</v>
      </c>
    </row>
    <row r="338" spans="2:9">
      <c r="B338" s="328">
        <v>319</v>
      </c>
      <c r="C338" s="328" t="s">
        <v>304</v>
      </c>
      <c r="D338" s="328">
        <v>1960</v>
      </c>
      <c r="E338" s="329">
        <v>0.01</v>
      </c>
      <c r="F338" s="328"/>
      <c r="G338" s="328">
        <v>2022</v>
      </c>
      <c r="H338" s="328" t="s">
        <v>831</v>
      </c>
      <c r="I338" s="328">
        <v>2</v>
      </c>
    </row>
    <row r="339" spans="2:9">
      <c r="B339" s="328">
        <v>320</v>
      </c>
      <c r="C339" s="328" t="s">
        <v>304</v>
      </c>
      <c r="D339" s="328">
        <v>1964</v>
      </c>
      <c r="E339" s="329">
        <v>30000</v>
      </c>
      <c r="F339" s="328"/>
      <c r="G339" s="328">
        <v>2022</v>
      </c>
      <c r="H339" s="328" t="s">
        <v>831</v>
      </c>
      <c r="I339" s="328">
        <v>2</v>
      </c>
    </row>
    <row r="340" spans="2:9">
      <c r="B340" s="328">
        <v>321</v>
      </c>
      <c r="C340" s="328" t="s">
        <v>304</v>
      </c>
      <c r="D340" s="328">
        <v>1965</v>
      </c>
      <c r="E340" s="329">
        <v>138426.70000000001</v>
      </c>
      <c r="F340" s="328"/>
      <c r="G340" s="328">
        <v>2022</v>
      </c>
      <c r="H340" s="328" t="s">
        <v>831</v>
      </c>
      <c r="I340" s="328">
        <v>2</v>
      </c>
    </row>
    <row r="341" spans="2:9">
      <c r="B341" s="328">
        <v>322</v>
      </c>
      <c r="C341" s="328" t="s">
        <v>304</v>
      </c>
      <c r="D341" s="328">
        <v>1966</v>
      </c>
      <c r="E341" s="329">
        <v>234290.08</v>
      </c>
      <c r="F341" s="328"/>
      <c r="G341" s="328">
        <v>2022</v>
      </c>
      <c r="H341" s="328" t="s">
        <v>831</v>
      </c>
      <c r="I341" s="328">
        <v>2</v>
      </c>
    </row>
    <row r="342" spans="2:9">
      <c r="B342" s="328">
        <v>323</v>
      </c>
      <c r="C342" s="328" t="s">
        <v>304</v>
      </c>
      <c r="D342" s="328">
        <v>1967</v>
      </c>
      <c r="E342" s="329">
        <v>91461.86</v>
      </c>
      <c r="F342" s="328"/>
      <c r="G342" s="328">
        <v>2022</v>
      </c>
      <c r="H342" s="328" t="s">
        <v>831</v>
      </c>
      <c r="I342" s="328">
        <v>2</v>
      </c>
    </row>
    <row r="343" spans="2:9">
      <c r="B343" s="328">
        <v>324</v>
      </c>
      <c r="C343" s="328" t="s">
        <v>304</v>
      </c>
      <c r="D343" s="328">
        <v>1968</v>
      </c>
      <c r="E343" s="329">
        <v>48585.87</v>
      </c>
      <c r="F343" s="328"/>
      <c r="G343" s="328">
        <v>2022</v>
      </c>
      <c r="H343" s="328" t="s">
        <v>831</v>
      </c>
      <c r="I343" s="328">
        <v>2</v>
      </c>
    </row>
    <row r="344" spans="2:9">
      <c r="B344" s="328">
        <v>325</v>
      </c>
      <c r="C344" s="328" t="s">
        <v>304</v>
      </c>
      <c r="D344" s="328">
        <v>1969</v>
      </c>
      <c r="E344" s="329">
        <v>78148.28</v>
      </c>
      <c r="F344" s="328"/>
      <c r="G344" s="328">
        <v>2022</v>
      </c>
      <c r="H344" s="328" t="s">
        <v>831</v>
      </c>
      <c r="I344" s="328">
        <v>2</v>
      </c>
    </row>
    <row r="345" spans="2:9">
      <c r="B345" s="328">
        <v>326</v>
      </c>
      <c r="C345" s="328" t="s">
        <v>304</v>
      </c>
      <c r="D345" s="328">
        <v>1970</v>
      </c>
      <c r="E345" s="329">
        <v>107313.68999999999</v>
      </c>
      <c r="F345" s="328"/>
      <c r="G345" s="328">
        <v>2022</v>
      </c>
      <c r="H345" s="328" t="s">
        <v>831</v>
      </c>
      <c r="I345" s="328">
        <v>2</v>
      </c>
    </row>
    <row r="346" spans="2:9">
      <c r="B346" s="328">
        <v>327</v>
      </c>
      <c r="C346" s="328" t="s">
        <v>304</v>
      </c>
      <c r="D346" s="328">
        <v>1971</v>
      </c>
      <c r="E346" s="329">
        <v>63212.38</v>
      </c>
      <c r="F346" s="328"/>
      <c r="G346" s="328">
        <v>2022</v>
      </c>
      <c r="H346" s="328" t="s">
        <v>831</v>
      </c>
      <c r="I346" s="328">
        <v>2</v>
      </c>
    </row>
    <row r="347" spans="2:9">
      <c r="B347" s="328">
        <v>328</v>
      </c>
      <c r="C347" s="328" t="s">
        <v>304</v>
      </c>
      <c r="D347" s="328">
        <v>1972</v>
      </c>
      <c r="E347" s="329">
        <v>191127.04000000001</v>
      </c>
      <c r="F347" s="328"/>
      <c r="G347" s="328">
        <v>2022</v>
      </c>
      <c r="H347" s="328" t="s">
        <v>831</v>
      </c>
      <c r="I347" s="328">
        <v>2</v>
      </c>
    </row>
    <row r="348" spans="2:9">
      <c r="B348" s="328">
        <v>329</v>
      </c>
      <c r="C348" s="328" t="s">
        <v>304</v>
      </c>
      <c r="D348" s="328">
        <v>1973</v>
      </c>
      <c r="E348" s="329">
        <v>149822.34</v>
      </c>
      <c r="F348" s="328"/>
      <c r="G348" s="328">
        <v>2022</v>
      </c>
      <c r="H348" s="328" t="s">
        <v>831</v>
      </c>
      <c r="I348" s="328">
        <v>2</v>
      </c>
    </row>
    <row r="349" spans="2:9">
      <c r="B349" s="328">
        <v>330</v>
      </c>
      <c r="C349" s="328" t="s">
        <v>304</v>
      </c>
      <c r="D349" s="328">
        <v>1974</v>
      </c>
      <c r="E349" s="329">
        <v>54981.1</v>
      </c>
      <c r="F349" s="328"/>
      <c r="G349" s="328">
        <v>2022</v>
      </c>
      <c r="H349" s="328" t="s">
        <v>831</v>
      </c>
      <c r="I349" s="328">
        <v>2</v>
      </c>
    </row>
    <row r="350" spans="2:9">
      <c r="B350" s="328">
        <v>331</v>
      </c>
      <c r="C350" s="328" t="s">
        <v>304</v>
      </c>
      <c r="D350" s="328">
        <v>1975</v>
      </c>
      <c r="E350" s="329">
        <v>42603.9</v>
      </c>
      <c r="F350" s="328"/>
      <c r="G350" s="328">
        <v>2022</v>
      </c>
      <c r="H350" s="328" t="s">
        <v>831</v>
      </c>
      <c r="I350" s="328">
        <v>2</v>
      </c>
    </row>
    <row r="351" spans="2:9">
      <c r="B351" s="328">
        <v>332</v>
      </c>
      <c r="C351" s="328" t="s">
        <v>304</v>
      </c>
      <c r="D351" s="328">
        <v>1976</v>
      </c>
      <c r="E351" s="329">
        <v>96350.659999999989</v>
      </c>
      <c r="F351" s="328"/>
      <c r="G351" s="328">
        <v>2022</v>
      </c>
      <c r="H351" s="328" t="s">
        <v>831</v>
      </c>
      <c r="I351" s="328">
        <v>2</v>
      </c>
    </row>
    <row r="352" spans="2:9">
      <c r="B352" s="328">
        <v>333</v>
      </c>
      <c r="C352" s="328" t="s">
        <v>304</v>
      </c>
      <c r="D352" s="328">
        <v>1977</v>
      </c>
      <c r="E352" s="329">
        <v>40000</v>
      </c>
      <c r="F352" s="328"/>
      <c r="G352" s="328">
        <v>2022</v>
      </c>
      <c r="H352" s="328" t="s">
        <v>831</v>
      </c>
      <c r="I352" s="328">
        <v>2</v>
      </c>
    </row>
    <row r="353" spans="2:9">
      <c r="B353" s="328">
        <v>334</v>
      </c>
      <c r="C353" s="328" t="s">
        <v>304</v>
      </c>
      <c r="D353" s="328">
        <v>1980</v>
      </c>
      <c r="E353" s="329">
        <v>120440.92</v>
      </c>
      <c r="F353" s="328"/>
      <c r="G353" s="328">
        <v>2022</v>
      </c>
      <c r="H353" s="328" t="s">
        <v>831</v>
      </c>
      <c r="I353" s="328">
        <v>2</v>
      </c>
    </row>
    <row r="354" spans="2:9">
      <c r="B354" s="328">
        <v>335</v>
      </c>
      <c r="C354" s="328" t="s">
        <v>304</v>
      </c>
      <c r="D354" s="328">
        <v>1986</v>
      </c>
      <c r="E354" s="329">
        <v>522.41999999999996</v>
      </c>
      <c r="F354" s="328"/>
      <c r="G354" s="328">
        <v>2022</v>
      </c>
      <c r="H354" s="328" t="s">
        <v>831</v>
      </c>
      <c r="I354" s="328">
        <v>2</v>
      </c>
    </row>
    <row r="355" spans="2:9">
      <c r="B355" s="328">
        <v>336</v>
      </c>
      <c r="C355" s="328" t="s">
        <v>304</v>
      </c>
      <c r="D355" s="328">
        <v>1987</v>
      </c>
      <c r="E355" s="329">
        <v>53825.87</v>
      </c>
      <c r="F355" s="328"/>
      <c r="G355" s="328">
        <v>2022</v>
      </c>
      <c r="H355" s="328" t="s">
        <v>831</v>
      </c>
      <c r="I355" s="328">
        <v>2</v>
      </c>
    </row>
    <row r="356" spans="2:9">
      <c r="B356" s="328">
        <v>337</v>
      </c>
      <c r="C356" s="328" t="s">
        <v>304</v>
      </c>
      <c r="D356" s="328">
        <v>1991</v>
      </c>
      <c r="E356" s="329">
        <v>27309.98</v>
      </c>
      <c r="F356" s="328"/>
      <c r="G356" s="328">
        <v>2022</v>
      </c>
      <c r="H356" s="328" t="s">
        <v>831</v>
      </c>
      <c r="I356" s="328">
        <v>2</v>
      </c>
    </row>
    <row r="357" spans="2:9">
      <c r="B357" s="328">
        <v>338</v>
      </c>
      <c r="C357" s="328" t="s">
        <v>304</v>
      </c>
      <c r="D357" s="328">
        <v>1994</v>
      </c>
      <c r="E357" s="329">
        <v>108598.45</v>
      </c>
      <c r="F357" s="328"/>
      <c r="G357" s="328">
        <v>2022</v>
      </c>
      <c r="H357" s="328" t="s">
        <v>831</v>
      </c>
      <c r="I357" s="328">
        <v>2</v>
      </c>
    </row>
    <row r="358" spans="2:9">
      <c r="B358" s="328">
        <v>339</v>
      </c>
      <c r="C358" s="328" t="s">
        <v>304</v>
      </c>
      <c r="D358" s="328">
        <v>1995</v>
      </c>
      <c r="E358" s="329">
        <v>22977.040000000001</v>
      </c>
      <c r="F358" s="328"/>
      <c r="G358" s="328">
        <v>2022</v>
      </c>
      <c r="H358" s="328" t="s">
        <v>831</v>
      </c>
      <c r="I358" s="328">
        <v>2</v>
      </c>
    </row>
    <row r="359" spans="2:9">
      <c r="B359" s="328">
        <v>340</v>
      </c>
      <c r="C359" s="328" t="s">
        <v>304</v>
      </c>
      <c r="D359" s="328">
        <v>1997</v>
      </c>
      <c r="E359" s="329">
        <v>4863.96</v>
      </c>
      <c r="F359" s="328"/>
      <c r="G359" s="328">
        <v>2022</v>
      </c>
      <c r="H359" s="328" t="s">
        <v>831</v>
      </c>
      <c r="I359" s="328">
        <v>2</v>
      </c>
    </row>
    <row r="360" spans="2:9">
      <c r="B360" s="328">
        <v>341</v>
      </c>
      <c r="C360" s="328" t="s">
        <v>304</v>
      </c>
      <c r="D360" s="328">
        <v>2001</v>
      </c>
      <c r="E360" s="329">
        <v>6708.79</v>
      </c>
      <c r="F360" s="328"/>
      <c r="G360" s="328">
        <v>2022</v>
      </c>
      <c r="H360" s="328" t="s">
        <v>831</v>
      </c>
      <c r="I360" s="328">
        <v>2</v>
      </c>
    </row>
    <row r="361" spans="2:9">
      <c r="B361" s="328">
        <v>342</v>
      </c>
      <c r="C361" s="328" t="s">
        <v>304</v>
      </c>
      <c r="D361" s="328">
        <v>2002</v>
      </c>
      <c r="E361" s="329">
        <v>4460.3999999999996</v>
      </c>
      <c r="F361" s="328"/>
      <c r="G361" s="328">
        <v>2022</v>
      </c>
      <c r="H361" s="328" t="s">
        <v>831</v>
      </c>
      <c r="I361" s="328">
        <v>2</v>
      </c>
    </row>
    <row r="362" spans="2:9">
      <c r="B362" s="328">
        <v>343</v>
      </c>
      <c r="C362" s="328" t="s">
        <v>304</v>
      </c>
      <c r="D362" s="328">
        <v>2004</v>
      </c>
      <c r="E362" s="329">
        <v>111686.38999999998</v>
      </c>
      <c r="F362" s="328"/>
      <c r="G362" s="328">
        <v>2022</v>
      </c>
      <c r="H362" s="328" t="s">
        <v>831</v>
      </c>
      <c r="I362" s="328">
        <v>2</v>
      </c>
    </row>
    <row r="363" spans="2:9">
      <c r="B363" s="328">
        <v>344</v>
      </c>
      <c r="C363" s="328" t="s">
        <v>304</v>
      </c>
      <c r="D363" s="328">
        <v>2005</v>
      </c>
      <c r="E363" s="329">
        <v>24040.95</v>
      </c>
      <c r="F363" s="328"/>
      <c r="G363" s="328">
        <v>2022</v>
      </c>
      <c r="H363" s="328" t="s">
        <v>831</v>
      </c>
      <c r="I363" s="328">
        <v>2</v>
      </c>
    </row>
    <row r="364" spans="2:9">
      <c r="B364" s="328">
        <v>345</v>
      </c>
      <c r="C364" s="328" t="s">
        <v>304</v>
      </c>
      <c r="D364" s="328">
        <v>2009</v>
      </c>
      <c r="E364" s="329">
        <v>382357.44</v>
      </c>
      <c r="F364" s="328"/>
      <c r="G364" s="328">
        <v>2022</v>
      </c>
      <c r="H364" s="328" t="s">
        <v>831</v>
      </c>
      <c r="I364" s="328">
        <v>2</v>
      </c>
    </row>
    <row r="365" spans="2:9">
      <c r="B365" s="328">
        <v>346</v>
      </c>
      <c r="C365" s="328" t="s">
        <v>304</v>
      </c>
      <c r="D365" s="328">
        <v>2010</v>
      </c>
      <c r="E365" s="329">
        <v>161319.04441174126</v>
      </c>
      <c r="F365" s="328"/>
      <c r="G365" s="328">
        <v>2022</v>
      </c>
      <c r="H365" s="328" t="s">
        <v>831</v>
      </c>
      <c r="I365" s="328">
        <v>2</v>
      </c>
    </row>
    <row r="366" spans="2:9">
      <c r="B366" s="328">
        <v>347</v>
      </c>
      <c r="C366" s="328" t="s">
        <v>304</v>
      </c>
      <c r="D366" s="328">
        <v>2011</v>
      </c>
      <c r="E366" s="329">
        <v>58878.280274353092</v>
      </c>
      <c r="F366" s="328"/>
      <c r="G366" s="328">
        <v>2022</v>
      </c>
      <c r="H366" s="328" t="s">
        <v>831</v>
      </c>
      <c r="I366" s="328">
        <v>2</v>
      </c>
    </row>
    <row r="367" spans="2:9">
      <c r="B367" s="328">
        <v>348</v>
      </c>
      <c r="C367" s="328" t="s">
        <v>304</v>
      </c>
      <c r="D367" s="328">
        <v>2012</v>
      </c>
      <c r="E367" s="329">
        <v>93953.985920705352</v>
      </c>
      <c r="F367" s="328"/>
      <c r="G367" s="328">
        <v>2022</v>
      </c>
      <c r="H367" s="328" t="s">
        <v>831</v>
      </c>
      <c r="I367" s="328">
        <v>2</v>
      </c>
    </row>
    <row r="368" spans="2:9">
      <c r="B368" s="328">
        <v>349</v>
      </c>
      <c r="C368" s="328" t="s">
        <v>304</v>
      </c>
      <c r="D368" s="328">
        <v>2013</v>
      </c>
      <c r="E368" s="329">
        <v>168956.89717004116</v>
      </c>
      <c r="F368" s="328"/>
      <c r="G368" s="328">
        <v>2022</v>
      </c>
      <c r="H368" s="328" t="s">
        <v>831</v>
      </c>
      <c r="I368" s="328">
        <v>2</v>
      </c>
    </row>
    <row r="369" spans="2:9">
      <c r="B369" s="328">
        <v>350</v>
      </c>
      <c r="C369" s="328" t="s">
        <v>308</v>
      </c>
      <c r="D369" s="328">
        <v>1965</v>
      </c>
      <c r="E369" s="329">
        <v>59962.48</v>
      </c>
      <c r="F369" s="328"/>
      <c r="G369" s="328">
        <v>2022</v>
      </c>
      <c r="H369" s="328" t="s">
        <v>831</v>
      </c>
      <c r="I369" s="328">
        <v>2</v>
      </c>
    </row>
    <row r="370" spans="2:9">
      <c r="B370" s="328">
        <v>351</v>
      </c>
      <c r="C370" s="328" t="s">
        <v>308</v>
      </c>
      <c r="D370" s="328">
        <v>1966</v>
      </c>
      <c r="E370" s="329">
        <v>318047.64</v>
      </c>
      <c r="F370" s="328"/>
      <c r="G370" s="328">
        <v>2022</v>
      </c>
      <c r="H370" s="328" t="s">
        <v>831</v>
      </c>
      <c r="I370" s="328">
        <v>2</v>
      </c>
    </row>
    <row r="371" spans="2:9">
      <c r="B371" s="328">
        <v>352</v>
      </c>
      <c r="C371" s="328" t="s">
        <v>308</v>
      </c>
      <c r="D371" s="328">
        <v>1967</v>
      </c>
      <c r="E371" s="329">
        <v>109472.13</v>
      </c>
      <c r="F371" s="328"/>
      <c r="G371" s="328">
        <v>2022</v>
      </c>
      <c r="H371" s="328" t="s">
        <v>831</v>
      </c>
      <c r="I371" s="328">
        <v>2</v>
      </c>
    </row>
    <row r="372" spans="2:9">
      <c r="B372" s="328">
        <v>353</v>
      </c>
      <c r="C372" s="328" t="s">
        <v>308</v>
      </c>
      <c r="D372" s="328">
        <v>1968</v>
      </c>
      <c r="E372" s="329">
        <v>205157.75</v>
      </c>
      <c r="F372" s="328"/>
      <c r="G372" s="328">
        <v>2022</v>
      </c>
      <c r="H372" s="328" t="s">
        <v>831</v>
      </c>
      <c r="I372" s="328">
        <v>2</v>
      </c>
    </row>
    <row r="373" spans="2:9">
      <c r="B373" s="328">
        <v>354</v>
      </c>
      <c r="C373" s="328" t="s">
        <v>308</v>
      </c>
      <c r="D373" s="328">
        <v>1969</v>
      </c>
      <c r="E373" s="329">
        <v>384223.42</v>
      </c>
      <c r="F373" s="328"/>
      <c r="G373" s="328">
        <v>2022</v>
      </c>
      <c r="H373" s="328" t="s">
        <v>831</v>
      </c>
      <c r="I373" s="328">
        <v>2</v>
      </c>
    </row>
    <row r="374" spans="2:9">
      <c r="B374" s="328">
        <v>355</v>
      </c>
      <c r="C374" s="328" t="s">
        <v>308</v>
      </c>
      <c r="D374" s="328">
        <v>1970</v>
      </c>
      <c r="E374" s="329">
        <v>158864.33000000002</v>
      </c>
      <c r="F374" s="328"/>
      <c r="G374" s="328">
        <v>2022</v>
      </c>
      <c r="H374" s="328" t="s">
        <v>831</v>
      </c>
      <c r="I374" s="328">
        <v>2</v>
      </c>
    </row>
    <row r="375" spans="2:9">
      <c r="B375" s="328">
        <v>356</v>
      </c>
      <c r="C375" s="328" t="s">
        <v>308</v>
      </c>
      <c r="D375" s="328">
        <v>1971</v>
      </c>
      <c r="E375" s="329">
        <v>262805.23</v>
      </c>
      <c r="F375" s="328"/>
      <c r="G375" s="328">
        <v>2022</v>
      </c>
      <c r="H375" s="328" t="s">
        <v>831</v>
      </c>
      <c r="I375" s="328">
        <v>2</v>
      </c>
    </row>
    <row r="376" spans="2:9">
      <c r="B376" s="328">
        <v>357</v>
      </c>
      <c r="C376" s="328" t="s">
        <v>308</v>
      </c>
      <c r="D376" s="328">
        <v>1972</v>
      </c>
      <c r="E376" s="329">
        <v>114985.86000000002</v>
      </c>
      <c r="F376" s="328"/>
      <c r="G376" s="328">
        <v>2022</v>
      </c>
      <c r="H376" s="328" t="s">
        <v>831</v>
      </c>
      <c r="I376" s="328">
        <v>2</v>
      </c>
    </row>
    <row r="377" spans="2:9">
      <c r="B377" s="328">
        <v>358</v>
      </c>
      <c r="C377" s="328" t="s">
        <v>308</v>
      </c>
      <c r="D377" s="328">
        <v>1973</v>
      </c>
      <c r="E377" s="329">
        <v>120091.87999999999</v>
      </c>
      <c r="F377" s="328"/>
      <c r="G377" s="328">
        <v>2022</v>
      </c>
      <c r="H377" s="328" t="s">
        <v>831</v>
      </c>
      <c r="I377" s="328">
        <v>2</v>
      </c>
    </row>
    <row r="378" spans="2:9">
      <c r="B378" s="328">
        <v>359</v>
      </c>
      <c r="C378" s="328" t="s">
        <v>308</v>
      </c>
      <c r="D378" s="328">
        <v>1974</v>
      </c>
      <c r="E378" s="329">
        <v>93174.06</v>
      </c>
      <c r="F378" s="328"/>
      <c r="G378" s="328">
        <v>2022</v>
      </c>
      <c r="H378" s="328" t="s">
        <v>831</v>
      </c>
      <c r="I378" s="328">
        <v>2</v>
      </c>
    </row>
    <row r="379" spans="2:9">
      <c r="B379" s="328">
        <v>360</v>
      </c>
      <c r="C379" s="328" t="s">
        <v>308</v>
      </c>
      <c r="D379" s="328">
        <v>1975</v>
      </c>
      <c r="E379" s="329">
        <v>4893.67</v>
      </c>
      <c r="F379" s="328"/>
      <c r="G379" s="328">
        <v>2022</v>
      </c>
      <c r="H379" s="328" t="s">
        <v>831</v>
      </c>
      <c r="I379" s="328">
        <v>2</v>
      </c>
    </row>
    <row r="380" spans="2:9">
      <c r="B380" s="328">
        <v>361</v>
      </c>
      <c r="C380" s="328" t="s">
        <v>308</v>
      </c>
      <c r="D380" s="328">
        <v>1976</v>
      </c>
      <c r="E380" s="329">
        <v>22029.58</v>
      </c>
      <c r="F380" s="328"/>
      <c r="G380" s="328">
        <v>2022</v>
      </c>
      <c r="H380" s="328" t="s">
        <v>831</v>
      </c>
      <c r="I380" s="328">
        <v>2</v>
      </c>
    </row>
    <row r="381" spans="2:9">
      <c r="B381" s="328">
        <v>362</v>
      </c>
      <c r="C381" s="328" t="s">
        <v>308</v>
      </c>
      <c r="D381" s="328">
        <v>1977</v>
      </c>
      <c r="E381" s="329">
        <v>46858.65</v>
      </c>
      <c r="F381" s="328"/>
      <c r="G381" s="328">
        <v>2022</v>
      </c>
      <c r="H381" s="328" t="s">
        <v>831</v>
      </c>
      <c r="I381" s="328">
        <v>2</v>
      </c>
    </row>
    <row r="382" spans="2:9">
      <c r="B382" s="328">
        <v>363</v>
      </c>
      <c r="C382" s="328" t="s">
        <v>308</v>
      </c>
      <c r="D382" s="328">
        <v>1979</v>
      </c>
      <c r="E382" s="329">
        <v>5905.65</v>
      </c>
      <c r="F382" s="328"/>
      <c r="G382" s="328">
        <v>2022</v>
      </c>
      <c r="H382" s="328" t="s">
        <v>831</v>
      </c>
      <c r="I382" s="328">
        <v>2</v>
      </c>
    </row>
    <row r="383" spans="2:9">
      <c r="B383" s="328">
        <v>364</v>
      </c>
      <c r="C383" s="328" t="s">
        <v>308</v>
      </c>
      <c r="D383" s="328">
        <v>1980</v>
      </c>
      <c r="E383" s="329">
        <v>150815.79</v>
      </c>
      <c r="F383" s="328"/>
      <c r="G383" s="328">
        <v>2022</v>
      </c>
      <c r="H383" s="328" t="s">
        <v>831</v>
      </c>
      <c r="I383" s="328">
        <v>2</v>
      </c>
    </row>
    <row r="384" spans="2:9">
      <c r="B384" s="328">
        <v>365</v>
      </c>
      <c r="C384" s="328" t="s">
        <v>308</v>
      </c>
      <c r="D384" s="328">
        <v>1981</v>
      </c>
      <c r="E384" s="329">
        <v>32315.9</v>
      </c>
      <c r="F384" s="328"/>
      <c r="G384" s="328">
        <v>2022</v>
      </c>
      <c r="H384" s="328" t="s">
        <v>831</v>
      </c>
      <c r="I384" s="328">
        <v>2</v>
      </c>
    </row>
    <row r="385" spans="2:9">
      <c r="B385" s="328">
        <v>366</v>
      </c>
      <c r="C385" s="328" t="s">
        <v>308</v>
      </c>
      <c r="D385" s="328">
        <v>1982</v>
      </c>
      <c r="E385" s="329">
        <v>8847.35</v>
      </c>
      <c r="F385" s="328"/>
      <c r="G385" s="328">
        <v>2022</v>
      </c>
      <c r="H385" s="328" t="s">
        <v>831</v>
      </c>
      <c r="I385" s="328">
        <v>2</v>
      </c>
    </row>
    <row r="386" spans="2:9">
      <c r="B386" s="328">
        <v>367</v>
      </c>
      <c r="C386" s="328" t="s">
        <v>308</v>
      </c>
      <c r="D386" s="328">
        <v>1984</v>
      </c>
      <c r="E386" s="329">
        <v>4950.9399999999996</v>
      </c>
      <c r="F386" s="328"/>
      <c r="G386" s="328">
        <v>2022</v>
      </c>
      <c r="H386" s="328" t="s">
        <v>831</v>
      </c>
      <c r="I386" s="328">
        <v>2</v>
      </c>
    </row>
    <row r="387" spans="2:9">
      <c r="B387" s="328">
        <v>368</v>
      </c>
      <c r="C387" s="328" t="s">
        <v>308</v>
      </c>
      <c r="D387" s="328">
        <v>1989</v>
      </c>
      <c r="E387" s="329">
        <v>51009.69</v>
      </c>
      <c r="F387" s="328"/>
      <c r="G387" s="328">
        <v>2022</v>
      </c>
      <c r="H387" s="328" t="s">
        <v>831</v>
      </c>
      <c r="I387" s="328">
        <v>2</v>
      </c>
    </row>
    <row r="388" spans="2:9">
      <c r="B388" s="328">
        <v>369</v>
      </c>
      <c r="C388" s="328" t="s">
        <v>308</v>
      </c>
      <c r="D388" s="328">
        <v>1990</v>
      </c>
      <c r="E388" s="329">
        <v>160044.32</v>
      </c>
      <c r="F388" s="328"/>
      <c r="G388" s="328">
        <v>2022</v>
      </c>
      <c r="H388" s="328" t="s">
        <v>831</v>
      </c>
      <c r="I388" s="328">
        <v>2</v>
      </c>
    </row>
    <row r="389" spans="2:9">
      <c r="B389" s="328">
        <v>370</v>
      </c>
      <c r="C389" s="328" t="s">
        <v>308</v>
      </c>
      <c r="D389" s="328">
        <v>1991</v>
      </c>
      <c r="E389" s="329">
        <v>8034.15</v>
      </c>
      <c r="F389" s="328"/>
      <c r="G389" s="328">
        <v>2022</v>
      </c>
      <c r="H389" s="328" t="s">
        <v>831</v>
      </c>
      <c r="I389" s="328">
        <v>2</v>
      </c>
    </row>
    <row r="390" spans="2:9">
      <c r="B390" s="328">
        <v>371</v>
      </c>
      <c r="C390" s="328" t="s">
        <v>308</v>
      </c>
      <c r="D390" s="328">
        <v>1992</v>
      </c>
      <c r="E390" s="329">
        <v>21906.92</v>
      </c>
      <c r="F390" s="328"/>
      <c r="G390" s="328">
        <v>2022</v>
      </c>
      <c r="H390" s="328" t="s">
        <v>831</v>
      </c>
      <c r="I390" s="328">
        <v>2</v>
      </c>
    </row>
    <row r="391" spans="2:9">
      <c r="B391" s="328">
        <v>372</v>
      </c>
      <c r="C391" s="328" t="s">
        <v>308</v>
      </c>
      <c r="D391" s="328">
        <v>1993</v>
      </c>
      <c r="E391" s="329">
        <v>15863.25</v>
      </c>
      <c r="F391" s="328"/>
      <c r="G391" s="328">
        <v>2022</v>
      </c>
      <c r="H391" s="328" t="s">
        <v>831</v>
      </c>
      <c r="I391" s="328">
        <v>2</v>
      </c>
    </row>
    <row r="392" spans="2:9">
      <c r="B392" s="328">
        <v>373</v>
      </c>
      <c r="C392" s="328" t="s">
        <v>308</v>
      </c>
      <c r="D392" s="328">
        <v>1994</v>
      </c>
      <c r="E392" s="329">
        <v>51450.05</v>
      </c>
      <c r="F392" s="328"/>
      <c r="G392" s="328">
        <v>2022</v>
      </c>
      <c r="H392" s="328" t="s">
        <v>831</v>
      </c>
      <c r="I392" s="328">
        <v>2</v>
      </c>
    </row>
    <row r="393" spans="2:9">
      <c r="B393" s="328">
        <v>374</v>
      </c>
      <c r="C393" s="328" t="s">
        <v>308</v>
      </c>
      <c r="D393" s="328">
        <v>1995</v>
      </c>
      <c r="E393" s="329">
        <v>62522.97</v>
      </c>
      <c r="F393" s="328"/>
      <c r="G393" s="328">
        <v>2022</v>
      </c>
      <c r="H393" s="328" t="s">
        <v>831</v>
      </c>
      <c r="I393" s="328">
        <v>2</v>
      </c>
    </row>
    <row r="394" spans="2:9">
      <c r="B394" s="328">
        <v>375</v>
      </c>
      <c r="C394" s="328" t="s">
        <v>308</v>
      </c>
      <c r="D394" s="328">
        <v>1996</v>
      </c>
      <c r="E394" s="329">
        <v>16582.84</v>
      </c>
      <c r="F394" s="328"/>
      <c r="G394" s="328">
        <v>2022</v>
      </c>
      <c r="H394" s="328" t="s">
        <v>831</v>
      </c>
      <c r="I394" s="328">
        <v>2</v>
      </c>
    </row>
    <row r="395" spans="2:9">
      <c r="B395" s="328">
        <v>376</v>
      </c>
      <c r="C395" s="328" t="s">
        <v>308</v>
      </c>
      <c r="D395" s="328">
        <v>1997</v>
      </c>
      <c r="E395" s="329">
        <v>16150.88</v>
      </c>
      <c r="F395" s="328"/>
      <c r="G395" s="328">
        <v>2022</v>
      </c>
      <c r="H395" s="328" t="s">
        <v>831</v>
      </c>
      <c r="I395" s="328">
        <v>2</v>
      </c>
    </row>
    <row r="396" spans="2:9">
      <c r="B396" s="328">
        <v>377</v>
      </c>
      <c r="C396" s="328" t="s">
        <v>308</v>
      </c>
      <c r="D396" s="328">
        <v>2000</v>
      </c>
      <c r="E396" s="329">
        <v>11054.31</v>
      </c>
      <c r="F396" s="328"/>
      <c r="G396" s="328">
        <v>2022</v>
      </c>
      <c r="H396" s="328" t="s">
        <v>831</v>
      </c>
      <c r="I396" s="328">
        <v>2</v>
      </c>
    </row>
    <row r="397" spans="2:9">
      <c r="B397" s="328">
        <v>378</v>
      </c>
      <c r="C397" s="328" t="s">
        <v>308</v>
      </c>
      <c r="D397" s="328">
        <v>2002</v>
      </c>
      <c r="E397" s="329">
        <v>9572.0400000000009</v>
      </c>
      <c r="F397" s="328"/>
      <c r="G397" s="328">
        <v>2022</v>
      </c>
      <c r="H397" s="328" t="s">
        <v>831</v>
      </c>
      <c r="I397" s="328">
        <v>2</v>
      </c>
    </row>
    <row r="398" spans="2:9">
      <c r="B398" s="328">
        <v>379</v>
      </c>
      <c r="C398" s="328" t="s">
        <v>308</v>
      </c>
      <c r="D398" s="328">
        <v>2003</v>
      </c>
      <c r="E398" s="329">
        <v>37361.589999999997</v>
      </c>
      <c r="F398" s="328"/>
      <c r="G398" s="328">
        <v>2022</v>
      </c>
      <c r="H398" s="328" t="s">
        <v>831</v>
      </c>
      <c r="I398" s="328">
        <v>2</v>
      </c>
    </row>
    <row r="399" spans="2:9">
      <c r="B399" s="328">
        <v>380</v>
      </c>
      <c r="C399" s="328" t="s">
        <v>308</v>
      </c>
      <c r="D399" s="328">
        <v>2005</v>
      </c>
      <c r="E399" s="329">
        <v>13619.77</v>
      </c>
      <c r="F399" s="328"/>
      <c r="G399" s="328">
        <v>2022</v>
      </c>
      <c r="H399" s="328" t="s">
        <v>831</v>
      </c>
      <c r="I399" s="328">
        <v>2</v>
      </c>
    </row>
    <row r="400" spans="2:9">
      <c r="B400" s="328">
        <v>381</v>
      </c>
      <c r="C400" s="328" t="s">
        <v>308</v>
      </c>
      <c r="D400" s="328">
        <v>2007</v>
      </c>
      <c r="E400" s="329">
        <v>316887.66000000003</v>
      </c>
      <c r="F400" s="328"/>
      <c r="G400" s="328">
        <v>2022</v>
      </c>
      <c r="H400" s="328" t="s">
        <v>831</v>
      </c>
      <c r="I400" s="328">
        <v>2</v>
      </c>
    </row>
    <row r="401" spans="2:9">
      <c r="B401" s="328">
        <v>382</v>
      </c>
      <c r="C401" s="328" t="s">
        <v>308</v>
      </c>
      <c r="D401" s="328">
        <v>2010</v>
      </c>
      <c r="E401" s="329">
        <v>154710.54390000002</v>
      </c>
      <c r="F401" s="328"/>
      <c r="G401" s="328">
        <v>2022</v>
      </c>
      <c r="H401" s="328" t="s">
        <v>831</v>
      </c>
      <c r="I401" s="328">
        <v>2</v>
      </c>
    </row>
    <row r="402" spans="2:9">
      <c r="B402" s="328">
        <v>383</v>
      </c>
      <c r="C402" s="328" t="s">
        <v>308</v>
      </c>
      <c r="D402" s="328">
        <v>2012</v>
      </c>
      <c r="E402" s="329">
        <v>41792.986548232657</v>
      </c>
      <c r="F402" s="328"/>
      <c r="G402" s="328">
        <v>2022</v>
      </c>
      <c r="H402" s="328" t="s">
        <v>831</v>
      </c>
      <c r="I402" s="328">
        <v>2</v>
      </c>
    </row>
    <row r="403" spans="2:9">
      <c r="B403" s="328">
        <v>384</v>
      </c>
      <c r="C403" s="328" t="s">
        <v>317</v>
      </c>
      <c r="D403" s="328">
        <v>1980</v>
      </c>
      <c r="E403" s="329">
        <v>47081.56</v>
      </c>
      <c r="F403" s="328"/>
      <c r="G403" s="328">
        <v>2022</v>
      </c>
      <c r="H403" s="328" t="s">
        <v>831</v>
      </c>
      <c r="I403" s="328">
        <v>2</v>
      </c>
    </row>
    <row r="404" spans="2:9">
      <c r="B404" s="328">
        <v>385</v>
      </c>
      <c r="C404" s="328" t="s">
        <v>337</v>
      </c>
      <c r="D404" s="328">
        <v>1970</v>
      </c>
      <c r="E404" s="329">
        <v>81298.009999999995</v>
      </c>
      <c r="F404" s="328"/>
      <c r="G404" s="328">
        <v>2022</v>
      </c>
      <c r="H404" s="328" t="s">
        <v>831</v>
      </c>
      <c r="I404" s="328">
        <v>2</v>
      </c>
    </row>
    <row r="405" spans="2:9">
      <c r="B405" s="328">
        <v>386</v>
      </c>
      <c r="C405" s="328" t="s">
        <v>337</v>
      </c>
      <c r="D405" s="328">
        <v>1971</v>
      </c>
      <c r="E405" s="329">
        <v>86713.88</v>
      </c>
      <c r="F405" s="328"/>
      <c r="G405" s="328">
        <v>2022</v>
      </c>
      <c r="H405" s="328" t="s">
        <v>831</v>
      </c>
      <c r="I405" s="328">
        <v>2</v>
      </c>
    </row>
    <row r="406" spans="2:9">
      <c r="B406" s="328">
        <v>387</v>
      </c>
      <c r="C406" s="328" t="s">
        <v>337</v>
      </c>
      <c r="D406" s="328">
        <v>1974</v>
      </c>
      <c r="E406" s="329">
        <v>177923.75</v>
      </c>
      <c r="F406" s="328"/>
      <c r="G406" s="328">
        <v>2022</v>
      </c>
      <c r="H406" s="328" t="s">
        <v>831</v>
      </c>
      <c r="I406" s="328">
        <v>2</v>
      </c>
    </row>
    <row r="407" spans="2:9">
      <c r="B407" s="328">
        <v>388</v>
      </c>
      <c r="C407" s="328" t="s">
        <v>337</v>
      </c>
      <c r="D407" s="328">
        <v>1997</v>
      </c>
      <c r="E407" s="329">
        <v>15658.35</v>
      </c>
      <c r="F407" s="328"/>
      <c r="G407" s="328">
        <v>2022</v>
      </c>
      <c r="H407" s="328" t="s">
        <v>831</v>
      </c>
      <c r="I407" s="328">
        <v>2</v>
      </c>
    </row>
    <row r="408" spans="2:9">
      <c r="B408" s="328">
        <v>389</v>
      </c>
      <c r="C408" s="328" t="s">
        <v>337</v>
      </c>
      <c r="D408" s="328">
        <v>2011</v>
      </c>
      <c r="E408" s="329">
        <v>117399.27471035083</v>
      </c>
      <c r="F408" s="328"/>
      <c r="G408" s="328">
        <v>2022</v>
      </c>
      <c r="H408" s="328" t="s">
        <v>831</v>
      </c>
      <c r="I408" s="328">
        <v>2</v>
      </c>
    </row>
    <row r="409" spans="2:9">
      <c r="B409" s="328">
        <v>390</v>
      </c>
      <c r="C409" s="328" t="s">
        <v>340</v>
      </c>
      <c r="D409" s="328">
        <v>1977</v>
      </c>
      <c r="E409" s="329">
        <v>1111944.56</v>
      </c>
      <c r="F409" s="328"/>
      <c r="G409" s="328">
        <v>2022</v>
      </c>
      <c r="H409" s="328" t="s">
        <v>831</v>
      </c>
      <c r="I409" s="328">
        <v>2</v>
      </c>
    </row>
    <row r="410" spans="2:9">
      <c r="B410" s="328">
        <v>391</v>
      </c>
      <c r="C410" s="328" t="s">
        <v>340</v>
      </c>
      <c r="D410" s="328">
        <v>1998</v>
      </c>
      <c r="E410" s="329">
        <v>1841303.44</v>
      </c>
      <c r="F410" s="328"/>
      <c r="G410" s="328">
        <v>2022</v>
      </c>
      <c r="H410" s="328" t="s">
        <v>831</v>
      </c>
      <c r="I410" s="328">
        <v>2</v>
      </c>
    </row>
    <row r="411" spans="2:9">
      <c r="B411" s="328">
        <v>392</v>
      </c>
      <c r="C411" s="328" t="s">
        <v>341</v>
      </c>
      <c r="D411" s="328">
        <v>2019</v>
      </c>
      <c r="E411" s="329">
        <v>64295.18960042399</v>
      </c>
      <c r="F411" s="328"/>
      <c r="G411" s="328">
        <v>2022</v>
      </c>
      <c r="H411" s="328" t="s">
        <v>831</v>
      </c>
      <c r="I411" s="328">
        <v>2</v>
      </c>
    </row>
    <row r="412" spans="2:9">
      <c r="B412" s="328">
        <v>393</v>
      </c>
      <c r="C412" s="328" t="s">
        <v>345</v>
      </c>
      <c r="D412" s="328">
        <v>1964</v>
      </c>
      <c r="E412" s="329">
        <v>1445.34</v>
      </c>
      <c r="F412" s="328"/>
      <c r="G412" s="328">
        <v>2022</v>
      </c>
      <c r="H412" s="328" t="s">
        <v>831</v>
      </c>
      <c r="I412" s="328">
        <v>2</v>
      </c>
    </row>
    <row r="413" spans="2:9">
      <c r="B413" s="328">
        <v>394</v>
      </c>
      <c r="C413" s="328" t="s">
        <v>345</v>
      </c>
      <c r="D413" s="328">
        <v>1977</v>
      </c>
      <c r="E413" s="329">
        <v>50000</v>
      </c>
      <c r="F413" s="328"/>
      <c r="G413" s="328">
        <v>2022</v>
      </c>
      <c r="H413" s="328" t="s">
        <v>831</v>
      </c>
      <c r="I413" s="328">
        <v>2</v>
      </c>
    </row>
    <row r="414" spans="2:9">
      <c r="B414" s="328">
        <v>395</v>
      </c>
      <c r="C414" s="328" t="s">
        <v>345</v>
      </c>
      <c r="D414" s="328">
        <v>1978</v>
      </c>
      <c r="E414" s="329">
        <v>16458.09</v>
      </c>
      <c r="F414" s="328"/>
      <c r="G414" s="328">
        <v>2022</v>
      </c>
      <c r="H414" s="328" t="s">
        <v>831</v>
      </c>
      <c r="I414" s="328">
        <v>2</v>
      </c>
    </row>
    <row r="415" spans="2:9">
      <c r="B415" s="328">
        <v>396</v>
      </c>
      <c r="C415" s="328" t="s">
        <v>345</v>
      </c>
      <c r="D415" s="328">
        <v>1983</v>
      </c>
      <c r="E415" s="329">
        <v>44290.400000000001</v>
      </c>
      <c r="F415" s="328"/>
      <c r="G415" s="328">
        <v>2022</v>
      </c>
      <c r="H415" s="328" t="s">
        <v>831</v>
      </c>
      <c r="I415" s="328">
        <v>2</v>
      </c>
    </row>
    <row r="416" spans="2:9">
      <c r="B416" s="328">
        <v>397</v>
      </c>
      <c r="C416" s="328" t="s">
        <v>345</v>
      </c>
      <c r="D416" s="328">
        <v>1987</v>
      </c>
      <c r="E416" s="329">
        <v>90000</v>
      </c>
      <c r="F416" s="328"/>
      <c r="G416" s="328">
        <v>2022</v>
      </c>
      <c r="H416" s="328" t="s">
        <v>831</v>
      </c>
      <c r="I416" s="328">
        <v>2</v>
      </c>
    </row>
    <row r="417" spans="2:9">
      <c r="B417" s="328">
        <v>398</v>
      </c>
      <c r="C417" s="328" t="s">
        <v>351</v>
      </c>
      <c r="D417" s="328">
        <v>1964</v>
      </c>
      <c r="E417" s="329">
        <v>184143.09</v>
      </c>
      <c r="F417" s="328"/>
      <c r="G417" s="328">
        <v>2022</v>
      </c>
      <c r="H417" s="328" t="s">
        <v>831</v>
      </c>
      <c r="I417" s="328">
        <v>2</v>
      </c>
    </row>
    <row r="418" spans="2:9">
      <c r="B418" s="328">
        <v>399</v>
      </c>
      <c r="C418" s="328" t="s">
        <v>351</v>
      </c>
      <c r="D418" s="328">
        <v>1967</v>
      </c>
      <c r="E418" s="329">
        <v>477869.69</v>
      </c>
      <c r="F418" s="328"/>
      <c r="G418" s="328">
        <v>2022</v>
      </c>
      <c r="H418" s="328" t="s">
        <v>831</v>
      </c>
      <c r="I418" s="328">
        <v>2</v>
      </c>
    </row>
    <row r="419" spans="2:9">
      <c r="B419" s="328">
        <v>400</v>
      </c>
      <c r="C419" s="328" t="s">
        <v>351</v>
      </c>
      <c r="D419" s="328">
        <v>1968</v>
      </c>
      <c r="E419" s="329">
        <v>7990.16</v>
      </c>
      <c r="F419" s="328"/>
      <c r="G419" s="328">
        <v>2022</v>
      </c>
      <c r="H419" s="328" t="s">
        <v>831</v>
      </c>
      <c r="I419" s="328">
        <v>2</v>
      </c>
    </row>
    <row r="420" spans="2:9">
      <c r="B420" s="328">
        <v>401</v>
      </c>
      <c r="C420" s="328" t="s">
        <v>351</v>
      </c>
      <c r="D420" s="328">
        <v>1969</v>
      </c>
      <c r="E420" s="329">
        <v>64322.44</v>
      </c>
      <c r="F420" s="328"/>
      <c r="G420" s="328">
        <v>2022</v>
      </c>
      <c r="H420" s="328" t="s">
        <v>831</v>
      </c>
      <c r="I420" s="328">
        <v>2</v>
      </c>
    </row>
    <row r="421" spans="2:9">
      <c r="B421" s="328">
        <v>402</v>
      </c>
      <c r="C421" s="328" t="s">
        <v>351</v>
      </c>
      <c r="D421" s="328">
        <v>1972</v>
      </c>
      <c r="E421" s="329">
        <v>58241.78</v>
      </c>
      <c r="F421" s="328"/>
      <c r="G421" s="328">
        <v>2022</v>
      </c>
      <c r="H421" s="328" t="s">
        <v>831</v>
      </c>
      <c r="I421" s="328">
        <v>2</v>
      </c>
    </row>
    <row r="422" spans="2:9">
      <c r="B422" s="328">
        <v>403</v>
      </c>
      <c r="C422" s="328" t="s">
        <v>351</v>
      </c>
      <c r="D422" s="328">
        <v>1974</v>
      </c>
      <c r="E422" s="329">
        <v>117946.1</v>
      </c>
      <c r="F422" s="328"/>
      <c r="G422" s="328">
        <v>2022</v>
      </c>
      <c r="H422" s="328" t="s">
        <v>831</v>
      </c>
      <c r="I422" s="328">
        <v>2</v>
      </c>
    </row>
    <row r="423" spans="2:9">
      <c r="B423" s="328">
        <v>404</v>
      </c>
      <c r="C423" s="328" t="s">
        <v>351</v>
      </c>
      <c r="D423" s="328">
        <v>1978</v>
      </c>
      <c r="E423" s="329">
        <v>1289616.6000000001</v>
      </c>
      <c r="F423" s="328"/>
      <c r="G423" s="328">
        <v>2022</v>
      </c>
      <c r="H423" s="328" t="s">
        <v>831</v>
      </c>
      <c r="I423" s="328">
        <v>2</v>
      </c>
    </row>
    <row r="424" spans="2:9">
      <c r="B424" s="328">
        <v>405</v>
      </c>
      <c r="C424" s="328" t="s">
        <v>351</v>
      </c>
      <c r="D424" s="328">
        <v>1995</v>
      </c>
      <c r="E424" s="329">
        <v>15754.34</v>
      </c>
      <c r="F424" s="328"/>
      <c r="G424" s="328">
        <v>2022</v>
      </c>
      <c r="H424" s="328" t="s">
        <v>831</v>
      </c>
      <c r="I424" s="328">
        <v>2</v>
      </c>
    </row>
    <row r="425" spans="2:9">
      <c r="B425" s="328">
        <v>406</v>
      </c>
      <c r="C425" s="328" t="s">
        <v>351</v>
      </c>
      <c r="D425" s="328">
        <v>2012</v>
      </c>
      <c r="E425" s="329">
        <v>386956.48760918935</v>
      </c>
      <c r="F425" s="328"/>
      <c r="G425" s="328">
        <v>2022</v>
      </c>
      <c r="H425" s="328" t="s">
        <v>831</v>
      </c>
      <c r="I425" s="328">
        <v>2</v>
      </c>
    </row>
    <row r="426" spans="2:9">
      <c r="B426" s="328">
        <v>407</v>
      </c>
      <c r="C426" s="328" t="s">
        <v>356</v>
      </c>
      <c r="D426" s="328">
        <v>1986</v>
      </c>
      <c r="E426" s="329">
        <v>29497.66</v>
      </c>
      <c r="F426" s="328"/>
      <c r="G426" s="328">
        <v>2022</v>
      </c>
      <c r="H426" s="328" t="s">
        <v>831</v>
      </c>
      <c r="I426" s="328">
        <v>2</v>
      </c>
    </row>
    <row r="427" spans="2:9">
      <c r="B427" s="328">
        <v>408</v>
      </c>
      <c r="C427" s="328" t="s">
        <v>304</v>
      </c>
      <c r="D427" s="328">
        <v>1954</v>
      </c>
      <c r="E427" s="329">
        <v>30000</v>
      </c>
      <c r="F427" s="328"/>
      <c r="G427" s="328">
        <v>2023</v>
      </c>
      <c r="H427" s="328" t="s">
        <v>844</v>
      </c>
      <c r="I427" s="328">
        <v>2</v>
      </c>
    </row>
    <row r="428" spans="2:9">
      <c r="B428" s="328">
        <v>409</v>
      </c>
      <c r="C428" s="328" t="s">
        <v>304</v>
      </c>
      <c r="D428" s="328">
        <v>1955</v>
      </c>
      <c r="E428" s="329">
        <v>26680</v>
      </c>
      <c r="F428" s="328"/>
      <c r="G428" s="328">
        <v>2023</v>
      </c>
      <c r="H428" s="328" t="s">
        <v>844</v>
      </c>
      <c r="I428" s="328">
        <v>2</v>
      </c>
    </row>
    <row r="429" spans="2:9">
      <c r="B429" s="328">
        <v>410</v>
      </c>
      <c r="C429" s="328" t="s">
        <v>304</v>
      </c>
      <c r="D429" s="328">
        <v>1958</v>
      </c>
      <c r="E429" s="329">
        <v>41066</v>
      </c>
      <c r="F429" s="328"/>
      <c r="G429" s="328">
        <v>2023</v>
      </c>
      <c r="H429" s="328" t="s">
        <v>844</v>
      </c>
      <c r="I429" s="328">
        <v>2</v>
      </c>
    </row>
    <row r="430" spans="2:9">
      <c r="B430" s="328">
        <v>411</v>
      </c>
      <c r="C430" s="328" t="s">
        <v>304</v>
      </c>
      <c r="D430" s="328">
        <v>1959</v>
      </c>
      <c r="E430" s="329">
        <v>38260</v>
      </c>
      <c r="F430" s="328"/>
      <c r="G430" s="328">
        <v>2023</v>
      </c>
      <c r="H430" s="328" t="s">
        <v>844</v>
      </c>
      <c r="I430" s="328">
        <v>2</v>
      </c>
    </row>
    <row r="431" spans="2:9">
      <c r="B431" s="328">
        <v>412</v>
      </c>
      <c r="C431" s="328" t="s">
        <v>304</v>
      </c>
      <c r="D431" s="328">
        <v>1965</v>
      </c>
      <c r="E431" s="329">
        <v>125091</v>
      </c>
      <c r="F431" s="328"/>
      <c r="G431" s="328">
        <v>2023</v>
      </c>
      <c r="H431" s="328" t="s">
        <v>844</v>
      </c>
      <c r="I431" s="328">
        <v>2</v>
      </c>
    </row>
    <row r="432" spans="2:9">
      <c r="B432" s="328">
        <v>413</v>
      </c>
      <c r="C432" s="328" t="s">
        <v>304</v>
      </c>
      <c r="D432" s="328">
        <v>1966</v>
      </c>
      <c r="E432" s="329">
        <v>71100</v>
      </c>
      <c r="F432" s="328"/>
      <c r="G432" s="328">
        <v>2023</v>
      </c>
      <c r="H432" s="328" t="s">
        <v>844</v>
      </c>
      <c r="I432" s="328">
        <v>2</v>
      </c>
    </row>
    <row r="433" spans="2:9">
      <c r="B433" s="328">
        <v>414</v>
      </c>
      <c r="C433" s="328" t="s">
        <v>304</v>
      </c>
      <c r="D433" s="328">
        <v>1967</v>
      </c>
      <c r="E433" s="329">
        <v>77488</v>
      </c>
      <c r="F433" s="328"/>
      <c r="G433" s="328">
        <v>2023</v>
      </c>
      <c r="H433" s="328" t="s">
        <v>844</v>
      </c>
      <c r="I433" s="328">
        <v>2</v>
      </c>
    </row>
    <row r="434" spans="2:9">
      <c r="B434" s="328">
        <v>415</v>
      </c>
      <c r="C434" s="328" t="s">
        <v>304</v>
      </c>
      <c r="D434" s="328">
        <v>1968</v>
      </c>
      <c r="E434" s="329">
        <v>477209</v>
      </c>
      <c r="F434" s="328"/>
      <c r="G434" s="328">
        <v>2023</v>
      </c>
      <c r="H434" s="328" t="s">
        <v>844</v>
      </c>
      <c r="I434" s="328">
        <v>2</v>
      </c>
    </row>
    <row r="435" spans="2:9">
      <c r="B435" s="328">
        <v>416</v>
      </c>
      <c r="C435" s="328" t="s">
        <v>304</v>
      </c>
      <c r="D435" s="328">
        <v>1969</v>
      </c>
      <c r="E435" s="329">
        <v>160414</v>
      </c>
      <c r="F435" s="328"/>
      <c r="G435" s="328">
        <v>2023</v>
      </c>
      <c r="H435" s="328" t="s">
        <v>844</v>
      </c>
      <c r="I435" s="328">
        <v>2</v>
      </c>
    </row>
    <row r="436" spans="2:9">
      <c r="B436" s="328">
        <v>417</v>
      </c>
      <c r="C436" s="328" t="s">
        <v>304</v>
      </c>
      <c r="D436" s="328">
        <v>1970</v>
      </c>
      <c r="E436" s="329">
        <v>218021</v>
      </c>
      <c r="F436" s="328"/>
      <c r="G436" s="328">
        <v>2023</v>
      </c>
      <c r="H436" s="328" t="s">
        <v>844</v>
      </c>
      <c r="I436" s="328">
        <v>2</v>
      </c>
    </row>
    <row r="437" spans="2:9">
      <c r="B437" s="328">
        <v>418</v>
      </c>
      <c r="C437" s="328" t="s">
        <v>304</v>
      </c>
      <c r="D437" s="328">
        <v>1971</v>
      </c>
      <c r="E437" s="329">
        <v>98792</v>
      </c>
      <c r="F437" s="328"/>
      <c r="G437" s="328">
        <v>2023</v>
      </c>
      <c r="H437" s="328" t="s">
        <v>844</v>
      </c>
      <c r="I437" s="328">
        <v>2</v>
      </c>
    </row>
    <row r="438" spans="2:9">
      <c r="B438" s="328">
        <v>419</v>
      </c>
      <c r="C438" s="328" t="s">
        <v>304</v>
      </c>
      <c r="D438" s="328">
        <v>1972</v>
      </c>
      <c r="E438" s="329">
        <v>49371</v>
      </c>
      <c r="F438" s="328"/>
      <c r="G438" s="328">
        <v>2023</v>
      </c>
      <c r="H438" s="328" t="s">
        <v>844</v>
      </c>
      <c r="I438" s="328">
        <v>2</v>
      </c>
    </row>
    <row r="439" spans="2:9">
      <c r="B439" s="328">
        <v>420</v>
      </c>
      <c r="C439" s="328" t="s">
        <v>304</v>
      </c>
      <c r="D439" s="328">
        <v>1973</v>
      </c>
      <c r="E439" s="329">
        <v>35155</v>
      </c>
      <c r="F439" s="328"/>
      <c r="G439" s="328">
        <v>2023</v>
      </c>
      <c r="H439" s="328" t="s">
        <v>844</v>
      </c>
      <c r="I439" s="328">
        <v>2</v>
      </c>
    </row>
    <row r="440" spans="2:9">
      <c r="B440" s="328">
        <v>421</v>
      </c>
      <c r="C440" s="328" t="s">
        <v>304</v>
      </c>
      <c r="D440" s="328">
        <v>1985</v>
      </c>
      <c r="E440" s="329">
        <v>4444</v>
      </c>
      <c r="F440" s="328"/>
      <c r="G440" s="328">
        <v>2023</v>
      </c>
      <c r="H440" s="328" t="s">
        <v>844</v>
      </c>
      <c r="I440" s="328">
        <v>2</v>
      </c>
    </row>
    <row r="441" spans="2:9">
      <c r="B441" s="328">
        <v>422</v>
      </c>
      <c r="C441" s="328" t="s">
        <v>304</v>
      </c>
      <c r="D441" s="328">
        <v>1988</v>
      </c>
      <c r="E441" s="329">
        <v>1378</v>
      </c>
      <c r="F441" s="328"/>
      <c r="G441" s="328">
        <v>2023</v>
      </c>
      <c r="H441" s="328" t="s">
        <v>844</v>
      </c>
      <c r="I441" s="328">
        <v>2</v>
      </c>
    </row>
    <row r="442" spans="2:9">
      <c r="B442" s="328">
        <v>423</v>
      </c>
      <c r="C442" s="328" t="s">
        <v>304</v>
      </c>
      <c r="D442" s="328">
        <v>1989</v>
      </c>
      <c r="E442" s="329">
        <v>2017</v>
      </c>
      <c r="F442" s="328"/>
      <c r="G442" s="328">
        <v>2023</v>
      </c>
      <c r="H442" s="328" t="s">
        <v>844</v>
      </c>
      <c r="I442" s="328">
        <v>2</v>
      </c>
    </row>
    <row r="443" spans="2:9">
      <c r="B443" s="328">
        <v>424</v>
      </c>
      <c r="C443" s="328" t="s">
        <v>304</v>
      </c>
      <c r="D443" s="328">
        <v>1992</v>
      </c>
      <c r="E443" s="329">
        <v>8976</v>
      </c>
      <c r="F443" s="328"/>
      <c r="G443" s="328">
        <v>2023</v>
      </c>
      <c r="H443" s="328" t="s">
        <v>844</v>
      </c>
      <c r="I443" s="328">
        <v>2</v>
      </c>
    </row>
    <row r="444" spans="2:9">
      <c r="B444" s="328">
        <v>425</v>
      </c>
      <c r="C444" s="328" t="s">
        <v>304</v>
      </c>
      <c r="D444" s="328">
        <v>1993</v>
      </c>
      <c r="E444" s="329">
        <v>168038</v>
      </c>
      <c r="F444" s="328"/>
      <c r="G444" s="328">
        <v>2023</v>
      </c>
      <c r="H444" s="328" t="s">
        <v>844</v>
      </c>
      <c r="I444" s="328">
        <v>2</v>
      </c>
    </row>
    <row r="445" spans="2:9">
      <c r="B445" s="328">
        <v>426</v>
      </c>
      <c r="C445" s="328" t="s">
        <v>304</v>
      </c>
      <c r="D445" s="328">
        <v>1998</v>
      </c>
      <c r="E445" s="329">
        <v>0</v>
      </c>
      <c r="F445" s="328"/>
      <c r="G445" s="328">
        <v>2023</v>
      </c>
      <c r="H445" s="328" t="s">
        <v>844</v>
      </c>
      <c r="I445" s="328">
        <v>2</v>
      </c>
    </row>
    <row r="446" spans="2:9">
      <c r="B446" s="328">
        <v>427</v>
      </c>
      <c r="C446" s="328" t="s">
        <v>304</v>
      </c>
      <c r="D446" s="328">
        <v>1999</v>
      </c>
      <c r="E446" s="329">
        <v>34291</v>
      </c>
      <c r="F446" s="328"/>
      <c r="G446" s="328">
        <v>2023</v>
      </c>
      <c r="H446" s="328" t="s">
        <v>844</v>
      </c>
      <c r="I446" s="328">
        <v>2</v>
      </c>
    </row>
    <row r="447" spans="2:9">
      <c r="B447" s="328">
        <v>428</v>
      </c>
      <c r="C447" s="328" t="s">
        <v>304</v>
      </c>
      <c r="D447" s="328">
        <v>2002</v>
      </c>
      <c r="E447" s="329">
        <v>15500</v>
      </c>
      <c r="F447" s="328"/>
      <c r="G447" s="328">
        <v>2023</v>
      </c>
      <c r="H447" s="328" t="s">
        <v>844</v>
      </c>
      <c r="I447" s="328">
        <v>2</v>
      </c>
    </row>
    <row r="448" spans="2:9">
      <c r="B448" s="328">
        <v>429</v>
      </c>
      <c r="C448" s="328" t="s">
        <v>304</v>
      </c>
      <c r="D448" s="328">
        <v>2004</v>
      </c>
      <c r="E448" s="329">
        <v>43774</v>
      </c>
      <c r="F448" s="328"/>
      <c r="G448" s="328">
        <v>2023</v>
      </c>
      <c r="H448" s="328" t="s">
        <v>844</v>
      </c>
      <c r="I448" s="328">
        <v>2</v>
      </c>
    </row>
    <row r="449" spans="2:9">
      <c r="B449" s="328">
        <v>430</v>
      </c>
      <c r="C449" s="328" t="s">
        <v>304</v>
      </c>
      <c r="D449" s="328">
        <v>2005</v>
      </c>
      <c r="E449" s="329">
        <v>54999</v>
      </c>
      <c r="F449" s="328"/>
      <c r="G449" s="328">
        <v>2023</v>
      </c>
      <c r="H449" s="328" t="s">
        <v>844</v>
      </c>
      <c r="I449" s="328">
        <v>2</v>
      </c>
    </row>
    <row r="450" spans="2:9">
      <c r="B450" s="328">
        <v>431</v>
      </c>
      <c r="C450" s="328" t="s">
        <v>304</v>
      </c>
      <c r="D450" s="328">
        <v>2006</v>
      </c>
      <c r="E450" s="329">
        <v>10076</v>
      </c>
      <c r="F450" s="328"/>
      <c r="G450" s="328">
        <v>2023</v>
      </c>
      <c r="H450" s="328" t="s">
        <v>844</v>
      </c>
      <c r="I450" s="328">
        <v>2</v>
      </c>
    </row>
    <row r="451" spans="2:9">
      <c r="B451" s="328">
        <v>432</v>
      </c>
      <c r="C451" s="328" t="s">
        <v>304</v>
      </c>
      <c r="D451" s="328">
        <v>2009</v>
      </c>
      <c r="E451" s="329">
        <v>378063</v>
      </c>
      <c r="F451" s="328"/>
      <c r="G451" s="328">
        <v>2023</v>
      </c>
      <c r="H451" s="328" t="s">
        <v>844</v>
      </c>
      <c r="I451" s="328">
        <v>2</v>
      </c>
    </row>
    <row r="452" spans="2:9">
      <c r="B452" s="328">
        <v>433</v>
      </c>
      <c r="C452" s="328" t="s">
        <v>304</v>
      </c>
      <c r="D452" s="328">
        <v>2011</v>
      </c>
      <c r="E452" s="329">
        <v>17627</v>
      </c>
      <c r="F452" s="328"/>
      <c r="G452" s="328">
        <v>2023</v>
      </c>
      <c r="H452" s="328" t="s">
        <v>844</v>
      </c>
      <c r="I452" s="328">
        <v>2</v>
      </c>
    </row>
    <row r="453" spans="2:9">
      <c r="B453" s="328">
        <v>434</v>
      </c>
      <c r="C453" s="328" t="s">
        <v>304</v>
      </c>
      <c r="D453" s="328">
        <v>2012</v>
      </c>
      <c r="E453" s="329">
        <v>388523</v>
      </c>
      <c r="F453" s="328"/>
      <c r="G453" s="328">
        <v>2023</v>
      </c>
      <c r="H453" s="328" t="s">
        <v>844</v>
      </c>
      <c r="I453" s="328">
        <v>2</v>
      </c>
    </row>
    <row r="454" spans="2:9">
      <c r="B454" s="328">
        <v>435</v>
      </c>
      <c r="C454" s="328" t="s">
        <v>308</v>
      </c>
      <c r="D454" s="328">
        <v>1965</v>
      </c>
      <c r="E454" s="329">
        <v>15848</v>
      </c>
      <c r="F454" s="328"/>
      <c r="G454" s="328">
        <v>2023</v>
      </c>
      <c r="H454" s="328" t="s">
        <v>844</v>
      </c>
      <c r="I454" s="328">
        <v>2</v>
      </c>
    </row>
    <row r="455" spans="2:9">
      <c r="B455" s="328">
        <v>436</v>
      </c>
      <c r="C455" s="328" t="s">
        <v>308</v>
      </c>
      <c r="D455" s="328">
        <v>1966</v>
      </c>
      <c r="E455" s="329">
        <v>120953</v>
      </c>
      <c r="F455" s="328"/>
      <c r="G455" s="328">
        <v>2023</v>
      </c>
      <c r="H455" s="328" t="s">
        <v>844</v>
      </c>
      <c r="I455" s="328">
        <v>2</v>
      </c>
    </row>
    <row r="456" spans="2:9">
      <c r="B456" s="328">
        <v>437</v>
      </c>
      <c r="C456" s="328" t="s">
        <v>308</v>
      </c>
      <c r="D456" s="328">
        <v>1967</v>
      </c>
      <c r="E456" s="329">
        <v>165153</v>
      </c>
      <c r="F456" s="328"/>
      <c r="G456" s="328">
        <v>2023</v>
      </c>
      <c r="H456" s="328" t="s">
        <v>844</v>
      </c>
      <c r="I456" s="328">
        <v>2</v>
      </c>
    </row>
    <row r="457" spans="2:9">
      <c r="B457" s="328">
        <v>438</v>
      </c>
      <c r="C457" s="328" t="s">
        <v>308</v>
      </c>
      <c r="D457" s="328">
        <v>1968</v>
      </c>
      <c r="E457" s="329">
        <v>28853</v>
      </c>
      <c r="F457" s="328"/>
      <c r="G457" s="328">
        <v>2023</v>
      </c>
      <c r="H457" s="328" t="s">
        <v>844</v>
      </c>
      <c r="I457" s="328">
        <v>2</v>
      </c>
    </row>
    <row r="458" spans="2:9">
      <c r="B458" s="328">
        <v>439</v>
      </c>
      <c r="C458" s="328" t="s">
        <v>308</v>
      </c>
      <c r="D458" s="328">
        <v>1969</v>
      </c>
      <c r="E458" s="329">
        <v>89836</v>
      </c>
      <c r="F458" s="328"/>
      <c r="G458" s="328">
        <v>2023</v>
      </c>
      <c r="H458" s="328" t="s">
        <v>844</v>
      </c>
      <c r="I458" s="328">
        <v>2</v>
      </c>
    </row>
    <row r="459" spans="2:9">
      <c r="B459" s="328">
        <v>440</v>
      </c>
      <c r="C459" s="328" t="s">
        <v>308</v>
      </c>
      <c r="D459" s="328">
        <v>1970</v>
      </c>
      <c r="E459" s="329">
        <v>72338</v>
      </c>
      <c r="F459" s="328"/>
      <c r="G459" s="328">
        <v>2023</v>
      </c>
      <c r="H459" s="328" t="s">
        <v>844</v>
      </c>
      <c r="I459" s="328">
        <v>2</v>
      </c>
    </row>
    <row r="460" spans="2:9">
      <c r="B460" s="328">
        <v>441</v>
      </c>
      <c r="C460" s="328" t="s">
        <v>308</v>
      </c>
      <c r="D460" s="328">
        <v>1971</v>
      </c>
      <c r="E460" s="329">
        <v>139522</v>
      </c>
      <c r="F460" s="328"/>
      <c r="G460" s="328">
        <v>2023</v>
      </c>
      <c r="H460" s="328" t="s">
        <v>844</v>
      </c>
      <c r="I460" s="328">
        <v>2</v>
      </c>
    </row>
    <row r="461" spans="2:9">
      <c r="B461" s="328">
        <v>442</v>
      </c>
      <c r="C461" s="328" t="s">
        <v>308</v>
      </c>
      <c r="D461" s="328">
        <v>1972</v>
      </c>
      <c r="E461" s="329">
        <v>67745</v>
      </c>
      <c r="F461" s="328"/>
      <c r="G461" s="328">
        <v>2023</v>
      </c>
      <c r="H461" s="328" t="s">
        <v>844</v>
      </c>
      <c r="I461" s="328">
        <v>2</v>
      </c>
    </row>
    <row r="462" spans="2:9">
      <c r="B462" s="328">
        <v>443</v>
      </c>
      <c r="C462" s="328" t="s">
        <v>308</v>
      </c>
      <c r="D462" s="328">
        <v>1973</v>
      </c>
      <c r="E462" s="329">
        <v>44525</v>
      </c>
      <c r="F462" s="328"/>
      <c r="G462" s="328">
        <v>2023</v>
      </c>
      <c r="H462" s="328" t="s">
        <v>844</v>
      </c>
      <c r="I462" s="328">
        <v>2</v>
      </c>
    </row>
    <row r="463" spans="2:9">
      <c r="B463" s="328">
        <v>444</v>
      </c>
      <c r="C463" s="328" t="s">
        <v>308</v>
      </c>
      <c r="D463" s="328">
        <v>1974</v>
      </c>
      <c r="E463" s="329">
        <v>39757</v>
      </c>
      <c r="F463" s="328"/>
      <c r="G463" s="328">
        <v>2023</v>
      </c>
      <c r="H463" s="328" t="s">
        <v>844</v>
      </c>
      <c r="I463" s="328">
        <v>2</v>
      </c>
    </row>
    <row r="464" spans="2:9">
      <c r="B464" s="328">
        <v>445</v>
      </c>
      <c r="C464" s="328" t="s">
        <v>308</v>
      </c>
      <c r="D464" s="328">
        <v>1976</v>
      </c>
      <c r="E464" s="329">
        <v>3452</v>
      </c>
      <c r="F464" s="328"/>
      <c r="G464" s="328">
        <v>2023</v>
      </c>
      <c r="H464" s="328" t="s">
        <v>844</v>
      </c>
      <c r="I464" s="328">
        <v>2</v>
      </c>
    </row>
    <row r="465" spans="2:9">
      <c r="B465" s="328">
        <v>446</v>
      </c>
      <c r="C465" s="328" t="s">
        <v>308</v>
      </c>
      <c r="D465" s="328">
        <v>1979</v>
      </c>
      <c r="E465" s="329">
        <v>44473</v>
      </c>
      <c r="F465" s="328"/>
      <c r="G465" s="328">
        <v>2023</v>
      </c>
      <c r="H465" s="328" t="s">
        <v>844</v>
      </c>
      <c r="I465" s="328">
        <v>2</v>
      </c>
    </row>
    <row r="466" spans="2:9">
      <c r="B466" s="328">
        <v>447</v>
      </c>
      <c r="C466" s="328" t="s">
        <v>308</v>
      </c>
      <c r="D466" s="328">
        <v>1980</v>
      </c>
      <c r="E466" s="329">
        <v>55424</v>
      </c>
      <c r="F466" s="328"/>
      <c r="G466" s="328">
        <v>2023</v>
      </c>
      <c r="H466" s="328" t="s">
        <v>844</v>
      </c>
      <c r="I466" s="328">
        <v>2</v>
      </c>
    </row>
    <row r="467" spans="2:9">
      <c r="B467" s="328">
        <v>448</v>
      </c>
      <c r="C467" s="328" t="s">
        <v>308</v>
      </c>
      <c r="D467" s="328">
        <v>1983</v>
      </c>
      <c r="E467" s="329">
        <v>83092</v>
      </c>
      <c r="F467" s="328"/>
      <c r="G467" s="328">
        <v>2023</v>
      </c>
      <c r="H467" s="328" t="s">
        <v>844</v>
      </c>
      <c r="I467" s="328">
        <v>2</v>
      </c>
    </row>
    <row r="468" spans="2:9">
      <c r="B468" s="328">
        <v>449</v>
      </c>
      <c r="C468" s="328" t="s">
        <v>308</v>
      </c>
      <c r="D468" s="328">
        <v>1986</v>
      </c>
      <c r="E468" s="329">
        <v>7736</v>
      </c>
      <c r="F468" s="328"/>
      <c r="G468" s="328">
        <v>2023</v>
      </c>
      <c r="H468" s="328" t="s">
        <v>844</v>
      </c>
      <c r="I468" s="328">
        <v>2</v>
      </c>
    </row>
    <row r="469" spans="2:9">
      <c r="B469" s="328">
        <v>450</v>
      </c>
      <c r="C469" s="328" t="s">
        <v>308</v>
      </c>
      <c r="D469" s="328">
        <v>1990</v>
      </c>
      <c r="E469" s="329">
        <v>2988</v>
      </c>
      <c r="F469" s="328"/>
      <c r="G469" s="328">
        <v>2023</v>
      </c>
      <c r="H469" s="328" t="s">
        <v>844</v>
      </c>
      <c r="I469" s="328">
        <v>2</v>
      </c>
    </row>
    <row r="470" spans="2:9">
      <c r="B470" s="328">
        <v>451</v>
      </c>
      <c r="C470" s="328" t="s">
        <v>308</v>
      </c>
      <c r="D470" s="328">
        <v>1992</v>
      </c>
      <c r="E470" s="329">
        <v>6529</v>
      </c>
      <c r="F470" s="328"/>
      <c r="G470" s="328">
        <v>2023</v>
      </c>
      <c r="H470" s="328" t="s">
        <v>844</v>
      </c>
      <c r="I470" s="328">
        <v>2</v>
      </c>
    </row>
    <row r="471" spans="2:9">
      <c r="B471" s="328">
        <v>452</v>
      </c>
      <c r="C471" s="328" t="s">
        <v>308</v>
      </c>
      <c r="D471" s="328">
        <v>1993</v>
      </c>
      <c r="E471" s="329">
        <v>204300</v>
      </c>
      <c r="F471" s="328"/>
      <c r="G471" s="328">
        <v>2023</v>
      </c>
      <c r="H471" s="328" t="s">
        <v>844</v>
      </c>
      <c r="I471" s="328">
        <v>2</v>
      </c>
    </row>
    <row r="472" spans="2:9">
      <c r="B472" s="328">
        <v>453</v>
      </c>
      <c r="C472" s="328" t="s">
        <v>308</v>
      </c>
      <c r="D472" s="328">
        <v>1995</v>
      </c>
      <c r="E472" s="329">
        <v>9078</v>
      </c>
      <c r="F472" s="328"/>
      <c r="G472" s="328">
        <v>2023</v>
      </c>
      <c r="H472" s="328" t="s">
        <v>844</v>
      </c>
      <c r="I472" s="328">
        <v>2</v>
      </c>
    </row>
    <row r="473" spans="2:9">
      <c r="B473" s="328">
        <v>454</v>
      </c>
      <c r="C473" s="328" t="s">
        <v>308</v>
      </c>
      <c r="D473" s="328">
        <v>1997</v>
      </c>
      <c r="E473" s="329">
        <v>9837</v>
      </c>
      <c r="F473" s="328"/>
      <c r="G473" s="328">
        <v>2023</v>
      </c>
      <c r="H473" s="328" t="s">
        <v>844</v>
      </c>
      <c r="I473" s="328">
        <v>2</v>
      </c>
    </row>
    <row r="474" spans="2:9">
      <c r="B474" s="328">
        <v>455</v>
      </c>
      <c r="C474" s="328" t="s">
        <v>308</v>
      </c>
      <c r="D474" s="328">
        <v>2003</v>
      </c>
      <c r="E474" s="329">
        <v>18238</v>
      </c>
      <c r="F474" s="328"/>
      <c r="G474" s="328">
        <v>2023</v>
      </c>
      <c r="H474" s="328" t="s">
        <v>844</v>
      </c>
      <c r="I474" s="328">
        <v>2</v>
      </c>
    </row>
    <row r="475" spans="2:9">
      <c r="B475" s="328">
        <v>456</v>
      </c>
      <c r="C475" s="328" t="s">
        <v>308</v>
      </c>
      <c r="D475" s="328">
        <v>2005</v>
      </c>
      <c r="E475" s="329">
        <v>24460</v>
      </c>
      <c r="F475" s="328"/>
      <c r="G475" s="328">
        <v>2023</v>
      </c>
      <c r="H475" s="328" t="s">
        <v>844</v>
      </c>
      <c r="I475" s="328">
        <v>2</v>
      </c>
    </row>
    <row r="476" spans="2:9">
      <c r="B476" s="328">
        <v>457</v>
      </c>
      <c r="C476" s="328" t="s">
        <v>308</v>
      </c>
      <c r="D476" s="328">
        <v>2007</v>
      </c>
      <c r="E476" s="329">
        <v>58086</v>
      </c>
      <c r="F476" s="328"/>
      <c r="G476" s="328">
        <v>2023</v>
      </c>
      <c r="H476" s="328" t="s">
        <v>844</v>
      </c>
      <c r="I476" s="328">
        <v>2</v>
      </c>
    </row>
    <row r="477" spans="2:9">
      <c r="B477" s="328">
        <v>458</v>
      </c>
      <c r="C477" s="328" t="s">
        <v>308</v>
      </c>
      <c r="D477" s="328">
        <v>2009</v>
      </c>
      <c r="E477" s="329">
        <v>26309</v>
      </c>
      <c r="F477" s="328"/>
      <c r="G477" s="328">
        <v>2023</v>
      </c>
      <c r="H477" s="328" t="s">
        <v>844</v>
      </c>
      <c r="I477" s="328">
        <v>2</v>
      </c>
    </row>
    <row r="478" spans="2:9">
      <c r="B478" s="328">
        <v>459</v>
      </c>
      <c r="C478" s="328" t="s">
        <v>317</v>
      </c>
      <c r="D478" s="328">
        <v>2007</v>
      </c>
      <c r="E478" s="329">
        <v>70174</v>
      </c>
      <c r="F478" s="328"/>
      <c r="G478" s="328">
        <v>2023</v>
      </c>
      <c r="H478" s="328" t="s">
        <v>844</v>
      </c>
      <c r="I478" s="328">
        <v>2</v>
      </c>
    </row>
    <row r="479" spans="2:9">
      <c r="B479" s="328">
        <v>460</v>
      </c>
      <c r="C479" s="328" t="s">
        <v>322</v>
      </c>
      <c r="D479" s="328">
        <v>2003</v>
      </c>
      <c r="E479" s="329">
        <v>5550</v>
      </c>
      <c r="F479" s="328"/>
      <c r="G479" s="328">
        <v>2023</v>
      </c>
      <c r="H479" s="328" t="s">
        <v>844</v>
      </c>
      <c r="I479" s="328">
        <v>2</v>
      </c>
    </row>
    <row r="480" spans="2:9">
      <c r="B480" s="328">
        <v>461</v>
      </c>
      <c r="C480" s="328" t="s">
        <v>339</v>
      </c>
      <c r="D480" s="328">
        <v>1970</v>
      </c>
      <c r="E480" s="329">
        <v>37182</v>
      </c>
      <c r="F480" s="328"/>
      <c r="G480" s="328">
        <v>2023</v>
      </c>
      <c r="H480" s="328" t="s">
        <v>844</v>
      </c>
      <c r="I480" s="328">
        <v>2</v>
      </c>
    </row>
    <row r="481" spans="2:9">
      <c r="B481" s="328">
        <v>462</v>
      </c>
      <c r="C481" s="328" t="s">
        <v>339</v>
      </c>
      <c r="D481" s="328">
        <v>1971</v>
      </c>
      <c r="E481" s="329">
        <v>5302</v>
      </c>
      <c r="F481" s="328"/>
      <c r="G481" s="328">
        <v>2023</v>
      </c>
      <c r="H481" s="328" t="s">
        <v>844</v>
      </c>
      <c r="I481" s="328">
        <v>2</v>
      </c>
    </row>
    <row r="482" spans="2:9">
      <c r="B482" s="328">
        <v>463</v>
      </c>
      <c r="C482" s="328" t="s">
        <v>337</v>
      </c>
      <c r="D482" s="328">
        <v>1970</v>
      </c>
      <c r="E482" s="329">
        <v>386046</v>
      </c>
      <c r="F482" s="328"/>
      <c r="G482" s="328">
        <v>2023</v>
      </c>
      <c r="H482" s="328" t="s">
        <v>844</v>
      </c>
      <c r="I482" s="328">
        <v>2</v>
      </c>
    </row>
    <row r="483" spans="2:9">
      <c r="B483" s="328">
        <v>464</v>
      </c>
      <c r="C483" s="328" t="s">
        <v>337</v>
      </c>
      <c r="D483" s="328">
        <v>1971</v>
      </c>
      <c r="E483" s="329">
        <v>17164</v>
      </c>
      <c r="F483" s="328"/>
      <c r="G483" s="328">
        <v>2023</v>
      </c>
      <c r="H483" s="328" t="s">
        <v>844</v>
      </c>
      <c r="I483" s="328">
        <v>2</v>
      </c>
    </row>
    <row r="484" spans="2:9">
      <c r="B484" s="328">
        <v>465</v>
      </c>
      <c r="C484" s="328" t="s">
        <v>337</v>
      </c>
      <c r="D484" s="328">
        <v>1973</v>
      </c>
      <c r="E484" s="329">
        <v>15941</v>
      </c>
      <c r="F484" s="328"/>
      <c r="G484" s="328">
        <v>2023</v>
      </c>
      <c r="H484" s="328" t="s">
        <v>844</v>
      </c>
      <c r="I484" s="328">
        <v>2</v>
      </c>
    </row>
    <row r="485" spans="2:9">
      <c r="B485" s="328">
        <v>466</v>
      </c>
      <c r="C485" s="328" t="s">
        <v>337</v>
      </c>
      <c r="D485" s="328">
        <v>1974</v>
      </c>
      <c r="E485" s="329">
        <v>14358</v>
      </c>
      <c r="F485" s="328"/>
      <c r="G485" s="328">
        <v>2023</v>
      </c>
      <c r="H485" s="328" t="s">
        <v>844</v>
      </c>
      <c r="I485" s="328">
        <v>2</v>
      </c>
    </row>
    <row r="486" spans="2:9">
      <c r="B486" s="328">
        <v>467</v>
      </c>
      <c r="C486" s="328" t="s">
        <v>337</v>
      </c>
      <c r="D486" s="328">
        <v>1977</v>
      </c>
      <c r="E486" s="329">
        <v>5493996</v>
      </c>
      <c r="F486" s="328"/>
      <c r="G486" s="328">
        <v>2023</v>
      </c>
      <c r="H486" s="328" t="s">
        <v>844</v>
      </c>
      <c r="I486" s="328">
        <v>2</v>
      </c>
    </row>
    <row r="487" spans="2:9">
      <c r="B487" s="328">
        <v>468</v>
      </c>
      <c r="C487" s="328" t="s">
        <v>337</v>
      </c>
      <c r="D487" s="328">
        <v>1978</v>
      </c>
      <c r="E487" s="329">
        <v>488039</v>
      </c>
      <c r="F487" s="328"/>
      <c r="G487" s="328">
        <v>2023</v>
      </c>
      <c r="H487" s="328" t="s">
        <v>844</v>
      </c>
      <c r="I487" s="328">
        <v>2</v>
      </c>
    </row>
    <row r="488" spans="2:9">
      <c r="B488" s="328">
        <v>469</v>
      </c>
      <c r="C488" s="328" t="s">
        <v>337</v>
      </c>
      <c r="D488" s="328">
        <v>1980</v>
      </c>
      <c r="E488" s="329">
        <v>1219567</v>
      </c>
      <c r="F488" s="328"/>
      <c r="G488" s="328">
        <v>2023</v>
      </c>
      <c r="H488" s="328" t="s">
        <v>844</v>
      </c>
      <c r="I488" s="328">
        <v>2</v>
      </c>
    </row>
    <row r="489" spans="2:9">
      <c r="B489" s="328">
        <v>470</v>
      </c>
      <c r="C489" s="328" t="s">
        <v>337</v>
      </c>
      <c r="D489" s="328">
        <v>1989</v>
      </c>
      <c r="E489" s="329">
        <v>920373</v>
      </c>
      <c r="F489" s="328"/>
      <c r="G489" s="328">
        <v>2023</v>
      </c>
      <c r="H489" s="328" t="s">
        <v>844</v>
      </c>
      <c r="I489" s="328">
        <v>2</v>
      </c>
    </row>
    <row r="490" spans="2:9">
      <c r="B490" s="328">
        <v>471</v>
      </c>
      <c r="C490" s="328" t="s">
        <v>337</v>
      </c>
      <c r="D490" s="328">
        <v>1990</v>
      </c>
      <c r="E490" s="329">
        <v>17770</v>
      </c>
      <c r="F490" s="328"/>
      <c r="G490" s="328">
        <v>2023</v>
      </c>
      <c r="H490" s="328" t="s">
        <v>844</v>
      </c>
      <c r="I490" s="328">
        <v>2</v>
      </c>
    </row>
    <row r="491" spans="2:9">
      <c r="B491" s="328">
        <v>472</v>
      </c>
      <c r="C491" s="328" t="s">
        <v>337</v>
      </c>
      <c r="D491" s="328">
        <v>1992</v>
      </c>
      <c r="E491" s="329">
        <v>697451</v>
      </c>
      <c r="F491" s="328"/>
      <c r="G491" s="328">
        <v>2023</v>
      </c>
      <c r="H491" s="328" t="s">
        <v>844</v>
      </c>
      <c r="I491" s="328">
        <v>2</v>
      </c>
    </row>
    <row r="492" spans="2:9">
      <c r="B492" s="328">
        <v>473</v>
      </c>
      <c r="C492" s="328" t="s">
        <v>337</v>
      </c>
      <c r="D492" s="328">
        <v>1998</v>
      </c>
      <c r="E492" s="329">
        <v>18065</v>
      </c>
      <c r="F492" s="328"/>
      <c r="G492" s="328">
        <v>2023</v>
      </c>
      <c r="H492" s="328" t="s">
        <v>844</v>
      </c>
      <c r="I492" s="328">
        <v>2</v>
      </c>
    </row>
    <row r="493" spans="2:9">
      <c r="B493" s="328">
        <v>474</v>
      </c>
      <c r="C493" s="328" t="s">
        <v>337</v>
      </c>
      <c r="D493" s="328">
        <v>2002</v>
      </c>
      <c r="E493" s="329">
        <v>237214</v>
      </c>
      <c r="F493" s="328"/>
      <c r="G493" s="328">
        <v>2023</v>
      </c>
      <c r="H493" s="328" t="s">
        <v>844</v>
      </c>
      <c r="I493" s="328">
        <v>2</v>
      </c>
    </row>
    <row r="494" spans="2:9">
      <c r="B494" s="328">
        <v>475</v>
      </c>
      <c r="C494" s="328" t="s">
        <v>337</v>
      </c>
      <c r="D494" s="328">
        <v>2004</v>
      </c>
      <c r="E494" s="329">
        <v>1858941</v>
      </c>
      <c r="F494" s="328"/>
      <c r="G494" s="328">
        <v>2023</v>
      </c>
      <c r="H494" s="328" t="s">
        <v>844</v>
      </c>
      <c r="I494" s="328">
        <v>2</v>
      </c>
    </row>
    <row r="495" spans="2:9">
      <c r="B495" s="328">
        <v>476</v>
      </c>
      <c r="C495" s="328" t="s">
        <v>337</v>
      </c>
      <c r="D495" s="328">
        <v>2005</v>
      </c>
      <c r="E495" s="329">
        <v>189548</v>
      </c>
      <c r="F495" s="328"/>
      <c r="G495" s="328">
        <v>2023</v>
      </c>
      <c r="H495" s="328" t="s">
        <v>844</v>
      </c>
      <c r="I495" s="328">
        <v>2</v>
      </c>
    </row>
    <row r="496" spans="2:9">
      <c r="B496" s="328">
        <v>477</v>
      </c>
      <c r="C496" s="328" t="s">
        <v>337</v>
      </c>
      <c r="D496" s="328">
        <v>2006</v>
      </c>
      <c r="E496" s="329">
        <v>43450</v>
      </c>
      <c r="F496" s="328"/>
      <c r="G496" s="328">
        <v>2023</v>
      </c>
      <c r="H496" s="328" t="s">
        <v>844</v>
      </c>
      <c r="I496" s="328">
        <v>2</v>
      </c>
    </row>
    <row r="497" spans="2:9">
      <c r="B497" s="328">
        <v>478</v>
      </c>
      <c r="C497" s="328" t="s">
        <v>337</v>
      </c>
      <c r="D497" s="328">
        <v>2008</v>
      </c>
      <c r="E497" s="329">
        <v>2149449</v>
      </c>
      <c r="F497" s="328"/>
      <c r="G497" s="328">
        <v>2023</v>
      </c>
      <c r="H497" s="328" t="s">
        <v>844</v>
      </c>
      <c r="I497" s="328">
        <v>2</v>
      </c>
    </row>
    <row r="498" spans="2:9">
      <c r="B498" s="328">
        <v>479</v>
      </c>
      <c r="C498" s="328" t="s">
        <v>337</v>
      </c>
      <c r="D498" s="328">
        <v>2009</v>
      </c>
      <c r="E498" s="329">
        <v>38325</v>
      </c>
      <c r="F498" s="328"/>
      <c r="G498" s="328">
        <v>2023</v>
      </c>
      <c r="H498" s="328" t="s">
        <v>844</v>
      </c>
      <c r="I498" s="328">
        <v>2</v>
      </c>
    </row>
    <row r="499" spans="2:9">
      <c r="B499" s="328">
        <v>480</v>
      </c>
      <c r="C499" s="328" t="s">
        <v>337</v>
      </c>
      <c r="D499" s="328">
        <v>2010</v>
      </c>
      <c r="E499" s="329">
        <v>194639</v>
      </c>
      <c r="F499" s="328"/>
      <c r="G499" s="328">
        <v>2023</v>
      </c>
      <c r="H499" s="328" t="s">
        <v>844</v>
      </c>
      <c r="I499" s="328">
        <v>2</v>
      </c>
    </row>
    <row r="500" spans="2:9">
      <c r="B500" s="328">
        <v>481</v>
      </c>
      <c r="C500" s="328" t="s">
        <v>337</v>
      </c>
      <c r="D500" s="328">
        <v>2011</v>
      </c>
      <c r="E500" s="329">
        <v>49243</v>
      </c>
      <c r="F500" s="328"/>
      <c r="G500" s="328">
        <v>2023</v>
      </c>
      <c r="H500" s="328" t="s">
        <v>844</v>
      </c>
      <c r="I500" s="328">
        <v>2</v>
      </c>
    </row>
    <row r="501" spans="2:9">
      <c r="B501" s="328">
        <v>482</v>
      </c>
      <c r="C501" s="328" t="s">
        <v>337</v>
      </c>
      <c r="D501" s="328">
        <v>2012</v>
      </c>
      <c r="E501" s="329">
        <v>7253368</v>
      </c>
      <c r="F501" s="328"/>
      <c r="G501" s="328">
        <v>2023</v>
      </c>
      <c r="H501" s="328" t="s">
        <v>844</v>
      </c>
      <c r="I501" s="328">
        <v>2</v>
      </c>
    </row>
    <row r="502" spans="2:9">
      <c r="B502" s="328">
        <v>483</v>
      </c>
      <c r="C502" s="328" t="s">
        <v>337</v>
      </c>
      <c r="D502" s="328">
        <v>2014</v>
      </c>
      <c r="E502" s="329">
        <v>746917</v>
      </c>
      <c r="F502" s="328"/>
      <c r="G502" s="328">
        <v>2023</v>
      </c>
      <c r="H502" s="328" t="s">
        <v>844</v>
      </c>
      <c r="I502" s="328">
        <v>2</v>
      </c>
    </row>
    <row r="503" spans="2:9">
      <c r="B503" s="328">
        <v>484</v>
      </c>
      <c r="C503" s="328" t="s">
        <v>337</v>
      </c>
      <c r="D503" s="328">
        <v>2015</v>
      </c>
      <c r="E503" s="329">
        <v>411557</v>
      </c>
      <c r="F503" s="328"/>
      <c r="G503" s="328">
        <v>2023</v>
      </c>
      <c r="H503" s="328" t="s">
        <v>844</v>
      </c>
      <c r="I503" s="328">
        <v>2</v>
      </c>
    </row>
    <row r="504" spans="2:9">
      <c r="B504" s="328">
        <v>485</v>
      </c>
      <c r="C504" s="328" t="s">
        <v>337</v>
      </c>
      <c r="D504" s="328">
        <v>2016</v>
      </c>
      <c r="E504" s="329">
        <v>136755</v>
      </c>
      <c r="F504" s="328"/>
      <c r="G504" s="328">
        <v>2023</v>
      </c>
      <c r="H504" s="328" t="s">
        <v>844</v>
      </c>
      <c r="I504" s="328">
        <v>2</v>
      </c>
    </row>
    <row r="505" spans="2:9">
      <c r="B505" s="328">
        <v>486</v>
      </c>
      <c r="C505" s="328" t="s">
        <v>340</v>
      </c>
      <c r="D505" s="328">
        <v>1977</v>
      </c>
      <c r="E505" s="329">
        <v>804746</v>
      </c>
      <c r="F505" s="328"/>
      <c r="G505" s="328">
        <v>2023</v>
      </c>
      <c r="H505" s="328" t="s">
        <v>844</v>
      </c>
      <c r="I505" s="328">
        <v>2</v>
      </c>
    </row>
    <row r="506" spans="2:9">
      <c r="B506" s="328">
        <v>487</v>
      </c>
      <c r="C506" s="328" t="s">
        <v>341</v>
      </c>
      <c r="D506" s="328">
        <v>1985</v>
      </c>
      <c r="E506" s="329">
        <v>7919770</v>
      </c>
      <c r="F506" s="328"/>
      <c r="G506" s="328">
        <v>2023</v>
      </c>
      <c r="H506" s="328" t="s">
        <v>844</v>
      </c>
      <c r="I506" s="328">
        <v>2</v>
      </c>
    </row>
    <row r="507" spans="2:9">
      <c r="B507" s="328">
        <v>488</v>
      </c>
      <c r="C507" s="328" t="s">
        <v>341</v>
      </c>
      <c r="D507" s="328">
        <v>1988</v>
      </c>
      <c r="E507" s="329">
        <v>378309</v>
      </c>
      <c r="F507" s="328"/>
      <c r="G507" s="328">
        <v>2023</v>
      </c>
      <c r="H507" s="328" t="s">
        <v>844</v>
      </c>
      <c r="I507" s="328">
        <v>2</v>
      </c>
    </row>
    <row r="508" spans="2:9">
      <c r="B508" s="328">
        <v>489</v>
      </c>
      <c r="C508" s="328" t="s">
        <v>341</v>
      </c>
      <c r="D508" s="328">
        <v>1990</v>
      </c>
      <c r="E508" s="329">
        <v>29867</v>
      </c>
      <c r="F508" s="328"/>
      <c r="G508" s="328">
        <v>2023</v>
      </c>
      <c r="H508" s="328" t="s">
        <v>844</v>
      </c>
      <c r="I508" s="328">
        <v>2</v>
      </c>
    </row>
    <row r="509" spans="2:9">
      <c r="B509" s="328">
        <v>490</v>
      </c>
      <c r="C509" s="328" t="s">
        <v>341</v>
      </c>
      <c r="D509" s="328">
        <v>1992</v>
      </c>
      <c r="E509" s="329">
        <v>5605988</v>
      </c>
      <c r="F509" s="328"/>
      <c r="G509" s="328">
        <v>2023</v>
      </c>
      <c r="H509" s="328" t="s">
        <v>844</v>
      </c>
      <c r="I509" s="328">
        <v>2</v>
      </c>
    </row>
    <row r="510" spans="2:9">
      <c r="B510" s="328">
        <v>491</v>
      </c>
      <c r="C510" s="328" t="s">
        <v>341</v>
      </c>
      <c r="D510" s="328">
        <v>1995</v>
      </c>
      <c r="E510" s="329">
        <v>2552054</v>
      </c>
      <c r="F510" s="328"/>
      <c r="G510" s="328">
        <v>2023</v>
      </c>
      <c r="H510" s="328" t="s">
        <v>844</v>
      </c>
      <c r="I510" s="328">
        <v>2</v>
      </c>
    </row>
    <row r="511" spans="2:9">
      <c r="B511" s="328">
        <v>492</v>
      </c>
      <c r="C511" s="328" t="s">
        <v>341</v>
      </c>
      <c r="D511" s="328">
        <v>1996</v>
      </c>
      <c r="E511" s="329">
        <v>11549</v>
      </c>
      <c r="F511" s="328"/>
      <c r="G511" s="328">
        <v>2023</v>
      </c>
      <c r="H511" s="328" t="s">
        <v>844</v>
      </c>
      <c r="I511" s="328">
        <v>2</v>
      </c>
    </row>
    <row r="512" spans="2:9">
      <c r="B512" s="328">
        <v>493</v>
      </c>
      <c r="C512" s="328" t="s">
        <v>341</v>
      </c>
      <c r="D512" s="328">
        <v>1998</v>
      </c>
      <c r="E512" s="329">
        <v>28291</v>
      </c>
      <c r="F512" s="328"/>
      <c r="G512" s="328">
        <v>2023</v>
      </c>
      <c r="H512" s="328" t="s">
        <v>844</v>
      </c>
      <c r="I512" s="328">
        <v>2</v>
      </c>
    </row>
    <row r="513" spans="2:9">
      <c r="B513" s="328">
        <v>494</v>
      </c>
      <c r="C513" s="328" t="s">
        <v>341</v>
      </c>
      <c r="D513" s="328">
        <v>2001</v>
      </c>
      <c r="E513" s="329">
        <v>273838</v>
      </c>
      <c r="F513" s="328"/>
      <c r="G513" s="328">
        <v>2023</v>
      </c>
      <c r="H513" s="328" t="s">
        <v>844</v>
      </c>
      <c r="I513" s="328">
        <v>2</v>
      </c>
    </row>
    <row r="514" spans="2:9">
      <c r="B514" s="328">
        <v>495</v>
      </c>
      <c r="C514" s="328" t="s">
        <v>341</v>
      </c>
      <c r="D514" s="328">
        <v>2003</v>
      </c>
      <c r="E514" s="329">
        <v>35370</v>
      </c>
      <c r="F514" s="328"/>
      <c r="G514" s="328">
        <v>2023</v>
      </c>
      <c r="H514" s="328" t="s">
        <v>844</v>
      </c>
      <c r="I514" s="328">
        <v>2</v>
      </c>
    </row>
    <row r="515" spans="2:9">
      <c r="B515" s="328">
        <v>496</v>
      </c>
      <c r="C515" s="328" t="s">
        <v>341</v>
      </c>
      <c r="D515" s="328">
        <v>2004</v>
      </c>
      <c r="E515" s="329">
        <v>45503</v>
      </c>
      <c r="F515" s="328"/>
      <c r="G515" s="328">
        <v>2023</v>
      </c>
      <c r="H515" s="328" t="s">
        <v>844</v>
      </c>
      <c r="I515" s="328">
        <v>2</v>
      </c>
    </row>
    <row r="516" spans="2:9">
      <c r="B516" s="328">
        <v>497</v>
      </c>
      <c r="C516" s="328" t="s">
        <v>341</v>
      </c>
      <c r="D516" s="328">
        <v>2005</v>
      </c>
      <c r="E516" s="329">
        <v>165266</v>
      </c>
      <c r="F516" s="328"/>
      <c r="G516" s="328">
        <v>2023</v>
      </c>
      <c r="H516" s="328" t="s">
        <v>844</v>
      </c>
      <c r="I516" s="328">
        <v>2</v>
      </c>
    </row>
    <row r="517" spans="2:9">
      <c r="B517" s="328">
        <v>498</v>
      </c>
      <c r="C517" s="328" t="s">
        <v>341</v>
      </c>
      <c r="D517" s="328">
        <v>2006</v>
      </c>
      <c r="E517" s="329">
        <v>419198</v>
      </c>
      <c r="F517" s="328"/>
      <c r="G517" s="328">
        <v>2023</v>
      </c>
      <c r="H517" s="328" t="s">
        <v>844</v>
      </c>
      <c r="I517" s="328">
        <v>2</v>
      </c>
    </row>
    <row r="518" spans="2:9">
      <c r="B518" s="328">
        <v>499</v>
      </c>
      <c r="C518" s="328" t="s">
        <v>341</v>
      </c>
      <c r="D518" s="328">
        <v>2007</v>
      </c>
      <c r="E518" s="329">
        <v>1086511</v>
      </c>
      <c r="F518" s="328"/>
      <c r="G518" s="328">
        <v>2023</v>
      </c>
      <c r="H518" s="328" t="s">
        <v>844</v>
      </c>
      <c r="I518" s="328">
        <v>2</v>
      </c>
    </row>
    <row r="519" spans="2:9">
      <c r="B519" s="328">
        <v>500</v>
      </c>
      <c r="C519" s="328" t="s">
        <v>341</v>
      </c>
      <c r="D519" s="328">
        <v>2008</v>
      </c>
      <c r="E519" s="329">
        <v>1532964</v>
      </c>
      <c r="F519" s="328"/>
      <c r="G519" s="328">
        <v>2023</v>
      </c>
      <c r="H519" s="328" t="s">
        <v>844</v>
      </c>
      <c r="I519" s="328">
        <v>2</v>
      </c>
    </row>
    <row r="520" spans="2:9">
      <c r="B520" s="328">
        <v>501</v>
      </c>
      <c r="C520" s="328" t="s">
        <v>341</v>
      </c>
      <c r="D520" s="328">
        <v>2009</v>
      </c>
      <c r="E520" s="329">
        <v>100227</v>
      </c>
      <c r="F520" s="328"/>
      <c r="G520" s="328">
        <v>2023</v>
      </c>
      <c r="H520" s="328" t="s">
        <v>844</v>
      </c>
      <c r="I520" s="328">
        <v>2</v>
      </c>
    </row>
    <row r="521" spans="2:9">
      <c r="B521" s="328">
        <v>502</v>
      </c>
      <c r="C521" s="328" t="s">
        <v>341</v>
      </c>
      <c r="D521" s="328">
        <v>2010</v>
      </c>
      <c r="E521" s="329">
        <v>956327</v>
      </c>
      <c r="F521" s="328"/>
      <c r="G521" s="328">
        <v>2023</v>
      </c>
      <c r="H521" s="328" t="s">
        <v>844</v>
      </c>
      <c r="I521" s="328">
        <v>2</v>
      </c>
    </row>
    <row r="522" spans="2:9">
      <c r="B522" s="328">
        <v>503</v>
      </c>
      <c r="C522" s="328" t="s">
        <v>341</v>
      </c>
      <c r="D522" s="328">
        <v>2011</v>
      </c>
      <c r="E522" s="329">
        <v>1338329</v>
      </c>
      <c r="F522" s="328"/>
      <c r="G522" s="328">
        <v>2023</v>
      </c>
      <c r="H522" s="328" t="s">
        <v>844</v>
      </c>
      <c r="I522" s="328">
        <v>2</v>
      </c>
    </row>
    <row r="523" spans="2:9">
      <c r="B523" s="328">
        <v>504</v>
      </c>
      <c r="C523" s="328" t="s">
        <v>341</v>
      </c>
      <c r="D523" s="328">
        <v>2012</v>
      </c>
      <c r="E523" s="329">
        <v>479994</v>
      </c>
      <c r="F523" s="328"/>
      <c r="G523" s="328">
        <v>2023</v>
      </c>
      <c r="H523" s="328" t="s">
        <v>844</v>
      </c>
      <c r="I523" s="328">
        <v>2</v>
      </c>
    </row>
    <row r="524" spans="2:9">
      <c r="B524" s="328">
        <v>505</v>
      </c>
      <c r="C524" s="328" t="s">
        <v>341</v>
      </c>
      <c r="D524" s="328">
        <v>2013</v>
      </c>
      <c r="E524" s="329">
        <v>640497</v>
      </c>
      <c r="F524" s="328"/>
      <c r="G524" s="328">
        <v>2023</v>
      </c>
      <c r="H524" s="328" t="s">
        <v>844</v>
      </c>
      <c r="I524" s="328">
        <v>2</v>
      </c>
    </row>
    <row r="525" spans="2:9">
      <c r="B525" s="328">
        <v>506</v>
      </c>
      <c r="C525" s="328" t="s">
        <v>341</v>
      </c>
      <c r="D525" s="328">
        <v>2014</v>
      </c>
      <c r="E525" s="329">
        <v>1591</v>
      </c>
      <c r="F525" s="328"/>
      <c r="G525" s="328">
        <v>2023</v>
      </c>
      <c r="H525" s="328" t="s">
        <v>844</v>
      </c>
      <c r="I525" s="328">
        <v>2</v>
      </c>
    </row>
    <row r="526" spans="2:9">
      <c r="B526" s="328">
        <v>507</v>
      </c>
      <c r="C526" s="328" t="s">
        <v>341</v>
      </c>
      <c r="D526" s="328">
        <v>2016</v>
      </c>
      <c r="E526" s="329">
        <v>36980</v>
      </c>
      <c r="F526" s="328"/>
      <c r="G526" s="328">
        <v>2023</v>
      </c>
      <c r="H526" s="328" t="s">
        <v>844</v>
      </c>
      <c r="I526" s="328">
        <v>2</v>
      </c>
    </row>
    <row r="527" spans="2:9">
      <c r="B527" s="328">
        <v>508</v>
      </c>
      <c r="C527" s="328" t="s">
        <v>345</v>
      </c>
      <c r="D527" s="328">
        <v>1964</v>
      </c>
      <c r="E527" s="329">
        <v>3025</v>
      </c>
      <c r="F527" s="328"/>
      <c r="G527" s="328">
        <v>2023</v>
      </c>
      <c r="H527" s="328" t="s">
        <v>844</v>
      </c>
      <c r="I527" s="328">
        <v>2</v>
      </c>
    </row>
    <row r="528" spans="2:9">
      <c r="B528" s="328">
        <v>509</v>
      </c>
      <c r="C528" s="328" t="s">
        <v>345</v>
      </c>
      <c r="D528" s="328">
        <v>1966</v>
      </c>
      <c r="E528" s="329">
        <v>70000</v>
      </c>
      <c r="F528" s="328"/>
      <c r="G528" s="328">
        <v>2023</v>
      </c>
      <c r="H528" s="328" t="s">
        <v>844</v>
      </c>
      <c r="I528" s="328">
        <v>2</v>
      </c>
    </row>
    <row r="529" spans="2:9">
      <c r="B529" s="328">
        <v>510</v>
      </c>
      <c r="C529" s="328" t="s">
        <v>345</v>
      </c>
      <c r="D529" s="328">
        <v>1967</v>
      </c>
      <c r="E529" s="329">
        <v>7455</v>
      </c>
      <c r="F529" s="328"/>
      <c r="G529" s="328">
        <v>2023</v>
      </c>
      <c r="H529" s="328" t="s">
        <v>844</v>
      </c>
      <c r="I529" s="328">
        <v>2</v>
      </c>
    </row>
    <row r="530" spans="2:9">
      <c r="B530" s="328">
        <v>511</v>
      </c>
      <c r="C530" s="328" t="s">
        <v>345</v>
      </c>
      <c r="D530" s="328">
        <v>1970</v>
      </c>
      <c r="E530" s="329">
        <v>18136</v>
      </c>
      <c r="F530" s="328"/>
      <c r="G530" s="328">
        <v>2023</v>
      </c>
      <c r="H530" s="328" t="s">
        <v>844</v>
      </c>
      <c r="I530" s="328">
        <v>2</v>
      </c>
    </row>
    <row r="531" spans="2:9">
      <c r="B531" s="328">
        <v>512</v>
      </c>
      <c r="C531" s="328" t="s">
        <v>345</v>
      </c>
      <c r="D531" s="328">
        <v>1971</v>
      </c>
      <c r="E531" s="329">
        <v>9848</v>
      </c>
      <c r="F531" s="328"/>
      <c r="G531" s="328">
        <v>2023</v>
      </c>
      <c r="H531" s="328" t="s">
        <v>844</v>
      </c>
      <c r="I531" s="328">
        <v>2</v>
      </c>
    </row>
    <row r="532" spans="2:9">
      <c r="B532" s="328">
        <v>513</v>
      </c>
      <c r="C532" s="328" t="s">
        <v>345</v>
      </c>
      <c r="D532" s="328">
        <v>1975</v>
      </c>
      <c r="E532" s="329">
        <v>126847</v>
      </c>
      <c r="F532" s="328"/>
      <c r="G532" s="328">
        <v>2023</v>
      </c>
      <c r="H532" s="328" t="s">
        <v>844</v>
      </c>
      <c r="I532" s="328">
        <v>2</v>
      </c>
    </row>
    <row r="533" spans="2:9">
      <c r="B533" s="328">
        <v>514</v>
      </c>
      <c r="C533" s="328" t="s">
        <v>345</v>
      </c>
      <c r="D533" s="328">
        <v>1976</v>
      </c>
      <c r="E533" s="329">
        <v>34143</v>
      </c>
      <c r="F533" s="328"/>
      <c r="G533" s="328">
        <v>2023</v>
      </c>
      <c r="H533" s="328" t="s">
        <v>844</v>
      </c>
      <c r="I533" s="328">
        <v>2</v>
      </c>
    </row>
    <row r="534" spans="2:9">
      <c r="B534" s="328">
        <v>515</v>
      </c>
      <c r="C534" s="328" t="s">
        <v>345</v>
      </c>
      <c r="D534" s="328">
        <v>1978</v>
      </c>
      <c r="E534" s="329">
        <v>16987</v>
      </c>
      <c r="F534" s="328"/>
      <c r="G534" s="328">
        <v>2023</v>
      </c>
      <c r="H534" s="328" t="s">
        <v>844</v>
      </c>
      <c r="I534" s="328">
        <v>2</v>
      </c>
    </row>
    <row r="535" spans="2:9">
      <c r="B535" s="328">
        <v>516</v>
      </c>
      <c r="C535" s="328" t="s">
        <v>345</v>
      </c>
      <c r="D535" s="328">
        <v>1980</v>
      </c>
      <c r="E535" s="329">
        <v>18508</v>
      </c>
      <c r="F535" s="328"/>
      <c r="G535" s="328">
        <v>2023</v>
      </c>
      <c r="H535" s="328" t="s">
        <v>844</v>
      </c>
      <c r="I535" s="328">
        <v>2</v>
      </c>
    </row>
    <row r="536" spans="2:9">
      <c r="B536" s="328">
        <v>517</v>
      </c>
      <c r="C536" s="328" t="s">
        <v>345</v>
      </c>
      <c r="D536" s="328">
        <v>1982</v>
      </c>
      <c r="E536" s="329">
        <v>28372</v>
      </c>
      <c r="F536" s="328"/>
      <c r="G536" s="328">
        <v>2023</v>
      </c>
      <c r="H536" s="328" t="s">
        <v>844</v>
      </c>
      <c r="I536" s="328">
        <v>2</v>
      </c>
    </row>
    <row r="537" spans="2:9">
      <c r="B537" s="328">
        <v>518</v>
      </c>
      <c r="C537" s="328" t="s">
        <v>345</v>
      </c>
      <c r="D537" s="328">
        <v>1986</v>
      </c>
      <c r="E537" s="329">
        <v>22360</v>
      </c>
      <c r="F537" s="328"/>
      <c r="G537" s="328">
        <v>2023</v>
      </c>
      <c r="H537" s="328" t="s">
        <v>844</v>
      </c>
      <c r="I537" s="328">
        <v>2</v>
      </c>
    </row>
    <row r="538" spans="2:9">
      <c r="B538" s="328">
        <v>519</v>
      </c>
      <c r="C538" s="328" t="s">
        <v>345</v>
      </c>
      <c r="D538" s="328">
        <v>1987</v>
      </c>
      <c r="E538" s="329">
        <v>22132</v>
      </c>
      <c r="F538" s="328"/>
      <c r="G538" s="328">
        <v>2023</v>
      </c>
      <c r="H538" s="328" t="s">
        <v>844</v>
      </c>
      <c r="I538" s="328">
        <v>2</v>
      </c>
    </row>
    <row r="539" spans="2:9">
      <c r="B539" s="328">
        <v>520</v>
      </c>
      <c r="C539" s="328" t="s">
        <v>345</v>
      </c>
      <c r="D539" s="328">
        <v>1993</v>
      </c>
      <c r="E539" s="329">
        <v>24502</v>
      </c>
      <c r="F539" s="328"/>
      <c r="G539" s="328">
        <v>2023</v>
      </c>
      <c r="H539" s="328" t="s">
        <v>844</v>
      </c>
      <c r="I539" s="328">
        <v>2</v>
      </c>
    </row>
    <row r="540" spans="2:9">
      <c r="B540" s="328">
        <v>521</v>
      </c>
      <c r="C540" s="328" t="s">
        <v>345</v>
      </c>
      <c r="D540" s="328">
        <v>1996</v>
      </c>
      <c r="E540" s="329">
        <v>67710</v>
      </c>
      <c r="F540" s="328"/>
      <c r="G540" s="328">
        <v>2023</v>
      </c>
      <c r="H540" s="328" t="s">
        <v>844</v>
      </c>
      <c r="I540" s="328">
        <v>2</v>
      </c>
    </row>
    <row r="541" spans="2:9">
      <c r="B541" s="328">
        <v>522</v>
      </c>
      <c r="C541" s="328" t="s">
        <v>345</v>
      </c>
      <c r="D541" s="328">
        <v>2002</v>
      </c>
      <c r="E541" s="329">
        <v>278598</v>
      </c>
      <c r="F541" s="328"/>
      <c r="G541" s="328">
        <v>2023</v>
      </c>
      <c r="H541" s="328" t="s">
        <v>844</v>
      </c>
      <c r="I541" s="328">
        <v>2</v>
      </c>
    </row>
    <row r="542" spans="2:9">
      <c r="B542" s="328">
        <v>523</v>
      </c>
      <c r="C542" s="328" t="s">
        <v>345</v>
      </c>
      <c r="D542" s="328">
        <v>2008</v>
      </c>
      <c r="E542" s="329">
        <v>34070</v>
      </c>
      <c r="F542" s="328"/>
      <c r="G542" s="328">
        <v>2023</v>
      </c>
      <c r="H542" s="328" t="s">
        <v>844</v>
      </c>
      <c r="I542" s="328">
        <v>2</v>
      </c>
    </row>
    <row r="543" spans="2:9">
      <c r="B543" s="328">
        <v>524</v>
      </c>
      <c r="C543" s="328" t="s">
        <v>351</v>
      </c>
      <c r="D543" s="328">
        <v>1974</v>
      </c>
      <c r="E543" s="329">
        <v>91446</v>
      </c>
      <c r="F543" s="328"/>
      <c r="G543" s="328">
        <v>2023</v>
      </c>
      <c r="H543" s="328" t="s">
        <v>844</v>
      </c>
      <c r="I543" s="328">
        <v>2</v>
      </c>
    </row>
    <row r="544" spans="2:9">
      <c r="B544" s="328">
        <v>525</v>
      </c>
      <c r="C544" s="328" t="s">
        <v>354</v>
      </c>
      <c r="D544" s="328">
        <v>1966</v>
      </c>
      <c r="E544" s="329">
        <v>5667</v>
      </c>
      <c r="F544" s="328"/>
      <c r="G544" s="328">
        <v>2023</v>
      </c>
      <c r="H544" s="328" t="s">
        <v>844</v>
      </c>
      <c r="I544" s="328">
        <v>2</v>
      </c>
    </row>
    <row r="545" spans="2:9">
      <c r="B545" s="328">
        <v>526</v>
      </c>
      <c r="C545" s="328" t="s">
        <v>354</v>
      </c>
      <c r="D545" s="328">
        <v>1967</v>
      </c>
      <c r="E545" s="329">
        <v>13495</v>
      </c>
      <c r="F545" s="328"/>
      <c r="G545" s="328">
        <v>2023</v>
      </c>
      <c r="H545" s="328" t="s">
        <v>844</v>
      </c>
      <c r="I545" s="328">
        <v>2</v>
      </c>
    </row>
    <row r="546" spans="2:9">
      <c r="B546" s="328">
        <v>527</v>
      </c>
      <c r="C546" s="328" t="s">
        <v>354</v>
      </c>
      <c r="D546" s="328">
        <v>1972</v>
      </c>
      <c r="E546" s="329">
        <v>7627</v>
      </c>
      <c r="F546" s="328"/>
      <c r="G546" s="328">
        <v>2023</v>
      </c>
      <c r="H546" s="328" t="s">
        <v>844</v>
      </c>
      <c r="I546" s="328">
        <v>2</v>
      </c>
    </row>
    <row r="547" spans="2:9">
      <c r="B547" s="328">
        <v>528</v>
      </c>
      <c r="C547" s="328" t="s">
        <v>354</v>
      </c>
      <c r="D547" s="328">
        <v>1974</v>
      </c>
      <c r="E547" s="329">
        <v>12366</v>
      </c>
      <c r="F547" s="328"/>
      <c r="G547" s="328">
        <v>2023</v>
      </c>
      <c r="H547" s="328" t="s">
        <v>844</v>
      </c>
      <c r="I547" s="328">
        <v>2</v>
      </c>
    </row>
    <row r="548" spans="2:9">
      <c r="B548" s="328">
        <v>529</v>
      </c>
      <c r="C548" s="328" t="s">
        <v>354</v>
      </c>
      <c r="D548" s="328">
        <v>1975</v>
      </c>
      <c r="E548" s="329">
        <v>28804</v>
      </c>
      <c r="F548" s="328"/>
      <c r="G548" s="328">
        <v>2023</v>
      </c>
      <c r="H548" s="328" t="s">
        <v>844</v>
      </c>
      <c r="I548" s="328">
        <v>2</v>
      </c>
    </row>
    <row r="549" spans="2:9">
      <c r="B549" s="328">
        <v>530</v>
      </c>
      <c r="C549" s="328" t="s">
        <v>356</v>
      </c>
      <c r="D549" s="328">
        <v>1979</v>
      </c>
      <c r="E549" s="329">
        <v>1824</v>
      </c>
      <c r="F549" s="328"/>
      <c r="G549" s="328">
        <v>2023</v>
      </c>
      <c r="H549" s="328" t="s">
        <v>844</v>
      </c>
      <c r="I549" s="328">
        <v>2</v>
      </c>
    </row>
    <row r="550" spans="2:9">
      <c r="B550" s="328">
        <v>531</v>
      </c>
      <c r="C550" s="328" t="s">
        <v>360</v>
      </c>
      <c r="D550" s="328">
        <v>2007</v>
      </c>
      <c r="E550" s="329">
        <v>4508703</v>
      </c>
      <c r="F550" s="328"/>
      <c r="G550" s="328">
        <v>2023</v>
      </c>
      <c r="H550" s="328" t="s">
        <v>844</v>
      </c>
      <c r="I550" s="328">
        <v>2</v>
      </c>
    </row>
    <row r="551" spans="2:9">
      <c r="B551" s="336">
        <v>532</v>
      </c>
      <c r="C551" s="336" t="s">
        <v>304</v>
      </c>
      <c r="D551" s="336">
        <v>1946</v>
      </c>
      <c r="E551" s="338">
        <v>881</v>
      </c>
      <c r="F551" s="336"/>
      <c r="G551" s="336">
        <v>2024</v>
      </c>
      <c r="H551" s="336"/>
      <c r="I551" s="336"/>
    </row>
    <row r="552" spans="2:9">
      <c r="B552" s="336">
        <v>533</v>
      </c>
      <c r="C552" s="336" t="s">
        <v>304</v>
      </c>
      <c r="D552" s="336">
        <v>1949</v>
      </c>
      <c r="E552" s="338">
        <v>4199</v>
      </c>
      <c r="F552" s="336"/>
      <c r="G552" s="336">
        <v>2024</v>
      </c>
      <c r="H552" s="336"/>
      <c r="I552" s="336"/>
    </row>
    <row r="553" spans="2:9">
      <c r="B553" s="336">
        <v>534</v>
      </c>
      <c r="C553" s="336" t="s">
        <v>304</v>
      </c>
      <c r="D553" s="336">
        <v>1958</v>
      </c>
      <c r="E553" s="338">
        <v>75794</v>
      </c>
      <c r="F553" s="336"/>
      <c r="G553" s="336">
        <v>2024</v>
      </c>
      <c r="H553" s="336"/>
      <c r="I553" s="336"/>
    </row>
    <row r="554" spans="2:9">
      <c r="B554" s="336">
        <v>535</v>
      </c>
      <c r="C554" s="336" t="s">
        <v>304</v>
      </c>
      <c r="D554" s="336">
        <v>1961</v>
      </c>
      <c r="E554" s="338">
        <v>43899</v>
      </c>
      <c r="F554" s="336"/>
      <c r="G554" s="336">
        <v>2024</v>
      </c>
      <c r="H554" s="336"/>
      <c r="I554" s="336"/>
    </row>
    <row r="555" spans="2:9">
      <c r="B555" s="336">
        <v>536</v>
      </c>
      <c r="C555" s="336" t="s">
        <v>304</v>
      </c>
      <c r="D555" s="336">
        <v>1965</v>
      </c>
      <c r="E555" s="338">
        <v>65000</v>
      </c>
      <c r="F555" s="336"/>
      <c r="G555" s="336">
        <v>2024</v>
      </c>
      <c r="H555" s="336"/>
      <c r="I555" s="336"/>
    </row>
    <row r="556" spans="2:9">
      <c r="B556" s="336">
        <v>537</v>
      </c>
      <c r="C556" s="336" t="s">
        <v>304</v>
      </c>
      <c r="D556" s="336">
        <v>1966</v>
      </c>
      <c r="E556" s="338">
        <v>84988</v>
      </c>
      <c r="F556" s="336"/>
      <c r="G556" s="336">
        <v>2024</v>
      </c>
      <c r="H556" s="336"/>
      <c r="I556" s="336"/>
    </row>
    <row r="557" spans="2:9">
      <c r="B557" s="336">
        <v>538</v>
      </c>
      <c r="C557" s="336" t="s">
        <v>304</v>
      </c>
      <c r="D557" s="336">
        <v>1967</v>
      </c>
      <c r="E557" s="338">
        <v>30000</v>
      </c>
      <c r="F557" s="336"/>
      <c r="G557" s="336">
        <v>2024</v>
      </c>
      <c r="H557" s="336"/>
      <c r="I557" s="336"/>
    </row>
    <row r="558" spans="2:9">
      <c r="B558" s="336">
        <v>539</v>
      </c>
      <c r="C558" s="336" t="s">
        <v>304</v>
      </c>
      <c r="D558" s="336">
        <v>1968</v>
      </c>
      <c r="E558" s="338">
        <v>135146</v>
      </c>
      <c r="F558" s="336"/>
      <c r="G558" s="336">
        <v>2024</v>
      </c>
      <c r="H558" s="336"/>
      <c r="I558" s="336"/>
    </row>
    <row r="559" spans="2:9">
      <c r="B559" s="336">
        <v>540</v>
      </c>
      <c r="C559" s="336" t="s">
        <v>304</v>
      </c>
      <c r="D559" s="336">
        <v>1969</v>
      </c>
      <c r="E559" s="338">
        <v>103785</v>
      </c>
      <c r="F559" s="336"/>
      <c r="G559" s="336">
        <v>2024</v>
      </c>
      <c r="H559" s="336"/>
      <c r="I559" s="336"/>
    </row>
    <row r="560" spans="2:9">
      <c r="B560" s="336">
        <v>541</v>
      </c>
      <c r="C560" s="336" t="s">
        <v>304</v>
      </c>
      <c r="D560" s="336">
        <v>1970</v>
      </c>
      <c r="E560" s="338">
        <v>60959</v>
      </c>
      <c r="F560" s="336"/>
      <c r="G560" s="336">
        <v>2024</v>
      </c>
      <c r="H560" s="336"/>
      <c r="I560" s="336"/>
    </row>
    <row r="561" spans="2:9">
      <c r="B561" s="336">
        <v>542</v>
      </c>
      <c r="C561" s="336" t="s">
        <v>304</v>
      </c>
      <c r="D561" s="336">
        <v>1971</v>
      </c>
      <c r="E561" s="338">
        <v>286240</v>
      </c>
      <c r="F561" s="336"/>
      <c r="G561" s="336">
        <v>2024</v>
      </c>
      <c r="H561" s="336"/>
      <c r="I561" s="336"/>
    </row>
    <row r="562" spans="2:9">
      <c r="B562" s="336">
        <v>543</v>
      </c>
      <c r="C562" s="336" t="s">
        <v>304</v>
      </c>
      <c r="D562" s="336">
        <v>1972</v>
      </c>
      <c r="E562" s="338">
        <v>71451</v>
      </c>
      <c r="F562" s="336"/>
      <c r="G562" s="336">
        <v>2024</v>
      </c>
      <c r="H562" s="336"/>
      <c r="I562" s="336"/>
    </row>
    <row r="563" spans="2:9">
      <c r="B563" s="336">
        <v>544</v>
      </c>
      <c r="C563" s="336" t="s">
        <v>304</v>
      </c>
      <c r="D563" s="336">
        <v>1973</v>
      </c>
      <c r="E563" s="338">
        <v>102767</v>
      </c>
      <c r="F563" s="336"/>
      <c r="G563" s="336">
        <v>2024</v>
      </c>
      <c r="H563" s="336"/>
      <c r="I563" s="336"/>
    </row>
    <row r="564" spans="2:9">
      <c r="B564" s="336">
        <v>545</v>
      </c>
      <c r="C564" s="336" t="s">
        <v>304</v>
      </c>
      <c r="D564" s="336">
        <v>1974</v>
      </c>
      <c r="E564" s="338">
        <v>39996</v>
      </c>
      <c r="F564" s="336"/>
      <c r="G564" s="336">
        <v>2024</v>
      </c>
      <c r="H564" s="336"/>
      <c r="I564" s="336"/>
    </row>
    <row r="565" spans="2:9">
      <c r="B565" s="336">
        <v>546</v>
      </c>
      <c r="C565" s="336" t="s">
        <v>304</v>
      </c>
      <c r="D565" s="336">
        <v>1975</v>
      </c>
      <c r="E565" s="338">
        <v>39996</v>
      </c>
      <c r="F565" s="336"/>
      <c r="G565" s="336">
        <v>2024</v>
      </c>
      <c r="H565" s="336"/>
      <c r="I565" s="336"/>
    </row>
    <row r="566" spans="2:9">
      <c r="B566" s="336">
        <v>547</v>
      </c>
      <c r="C566" s="336" t="s">
        <v>304</v>
      </c>
      <c r="D566" s="336">
        <v>1976</v>
      </c>
      <c r="E566" s="338">
        <v>230753</v>
      </c>
      <c r="F566" s="336"/>
      <c r="G566" s="336">
        <v>2024</v>
      </c>
      <c r="H566" s="336"/>
      <c r="I566" s="336"/>
    </row>
    <row r="567" spans="2:9">
      <c r="B567" s="336">
        <v>548</v>
      </c>
      <c r="C567" s="336" t="s">
        <v>304</v>
      </c>
      <c r="D567" s="336">
        <v>1977</v>
      </c>
      <c r="E567" s="338">
        <v>19732</v>
      </c>
      <c r="F567" s="336"/>
      <c r="G567" s="336">
        <v>2024</v>
      </c>
      <c r="H567" s="336"/>
      <c r="I567" s="336"/>
    </row>
    <row r="568" spans="2:9">
      <c r="B568" s="336">
        <v>549</v>
      </c>
      <c r="C568" s="336" t="s">
        <v>304</v>
      </c>
      <c r="D568" s="336">
        <v>1979</v>
      </c>
      <c r="E568" s="338">
        <v>1056</v>
      </c>
      <c r="F568" s="336"/>
      <c r="G568" s="336">
        <v>2024</v>
      </c>
      <c r="H568" s="336"/>
      <c r="I568" s="336"/>
    </row>
    <row r="569" spans="2:9">
      <c r="B569" s="336">
        <v>550</v>
      </c>
      <c r="C569" s="336" t="s">
        <v>304</v>
      </c>
      <c r="D569" s="336">
        <v>1985</v>
      </c>
      <c r="E569" s="338">
        <v>2726</v>
      </c>
      <c r="F569" s="336"/>
      <c r="G569" s="336">
        <v>2024</v>
      </c>
      <c r="H569" s="336"/>
      <c r="I569" s="336"/>
    </row>
    <row r="570" spans="2:9">
      <c r="B570" s="336">
        <v>551</v>
      </c>
      <c r="C570" s="336" t="s">
        <v>304</v>
      </c>
      <c r="D570" s="336">
        <v>1988</v>
      </c>
      <c r="E570" s="338">
        <v>14341</v>
      </c>
      <c r="F570" s="336"/>
      <c r="G570" s="336">
        <v>2024</v>
      </c>
      <c r="H570" s="336"/>
      <c r="I570" s="336"/>
    </row>
    <row r="571" spans="2:9">
      <c r="B571" s="336">
        <v>552</v>
      </c>
      <c r="C571" s="336" t="s">
        <v>304</v>
      </c>
      <c r="D571" s="336">
        <v>1990</v>
      </c>
      <c r="E571" s="338">
        <v>10387</v>
      </c>
      <c r="F571" s="336"/>
      <c r="G571" s="336">
        <v>2024</v>
      </c>
      <c r="H571" s="336"/>
      <c r="I571" s="336"/>
    </row>
    <row r="572" spans="2:9">
      <c r="B572" s="336">
        <v>553</v>
      </c>
      <c r="C572" s="336" t="s">
        <v>304</v>
      </c>
      <c r="D572" s="336">
        <v>1992</v>
      </c>
      <c r="E572" s="338">
        <v>127354</v>
      </c>
      <c r="F572" s="336"/>
      <c r="G572" s="336">
        <v>2024</v>
      </c>
      <c r="H572" s="336"/>
      <c r="I572" s="336"/>
    </row>
    <row r="573" spans="2:9">
      <c r="B573" s="336">
        <v>554</v>
      </c>
      <c r="C573" s="336" t="s">
        <v>304</v>
      </c>
      <c r="D573" s="336">
        <v>1993</v>
      </c>
      <c r="E573" s="338">
        <v>60000</v>
      </c>
      <c r="F573" s="336"/>
      <c r="G573" s="336">
        <v>2024</v>
      </c>
      <c r="H573" s="336"/>
      <c r="I573" s="336"/>
    </row>
    <row r="574" spans="2:9">
      <c r="B574" s="336">
        <v>555</v>
      </c>
      <c r="C574" s="336" t="s">
        <v>304</v>
      </c>
      <c r="D574" s="336">
        <v>1998</v>
      </c>
      <c r="E574" s="338">
        <v>7648</v>
      </c>
      <c r="F574" s="336"/>
      <c r="G574" s="336">
        <v>2024</v>
      </c>
      <c r="H574" s="336"/>
      <c r="I574" s="336"/>
    </row>
    <row r="575" spans="2:9">
      <c r="B575" s="336">
        <v>556</v>
      </c>
      <c r="C575" s="336" t="s">
        <v>304</v>
      </c>
      <c r="D575" s="336">
        <v>2004</v>
      </c>
      <c r="E575" s="338">
        <v>77652</v>
      </c>
      <c r="F575" s="336"/>
      <c r="G575" s="336">
        <v>2024</v>
      </c>
      <c r="H575" s="336"/>
      <c r="I575" s="336"/>
    </row>
    <row r="576" spans="2:9">
      <c r="B576" s="336">
        <v>557</v>
      </c>
      <c r="C576" s="336" t="s">
        <v>304</v>
      </c>
      <c r="D576" s="336">
        <v>2006</v>
      </c>
      <c r="E576" s="338">
        <v>5864</v>
      </c>
      <c r="F576" s="336"/>
      <c r="G576" s="336">
        <v>2024</v>
      </c>
      <c r="H576" s="336"/>
      <c r="I576" s="336"/>
    </row>
    <row r="577" spans="2:9">
      <c r="B577" s="336">
        <v>558</v>
      </c>
      <c r="C577" s="336" t="s">
        <v>304</v>
      </c>
      <c r="D577" s="336">
        <v>2007</v>
      </c>
      <c r="E577" s="338">
        <v>6736</v>
      </c>
      <c r="F577" s="336"/>
      <c r="G577" s="336">
        <v>2024</v>
      </c>
      <c r="H577" s="336"/>
      <c r="I577" s="336"/>
    </row>
    <row r="578" spans="2:9">
      <c r="B578" s="336">
        <v>559</v>
      </c>
      <c r="C578" s="336" t="s">
        <v>304</v>
      </c>
      <c r="D578" s="336">
        <v>2009</v>
      </c>
      <c r="E578" s="338">
        <v>396714</v>
      </c>
      <c r="F578" s="336"/>
      <c r="G578" s="336">
        <v>2024</v>
      </c>
      <c r="H578" s="336"/>
      <c r="I578" s="336"/>
    </row>
    <row r="579" spans="2:9">
      <c r="B579" s="336">
        <v>560</v>
      </c>
      <c r="C579" s="336" t="s">
        <v>304</v>
      </c>
      <c r="D579" s="336">
        <v>2010</v>
      </c>
      <c r="E579" s="338">
        <v>521890</v>
      </c>
      <c r="F579" s="336"/>
      <c r="G579" s="336">
        <v>2024</v>
      </c>
      <c r="H579" s="336"/>
      <c r="I579" s="336"/>
    </row>
    <row r="580" spans="2:9">
      <c r="B580" s="336">
        <v>561</v>
      </c>
      <c r="C580" s="336" t="s">
        <v>304</v>
      </c>
      <c r="D580" s="336">
        <v>2011</v>
      </c>
      <c r="E580" s="338">
        <v>3567</v>
      </c>
      <c r="F580" s="336"/>
      <c r="G580" s="336">
        <v>2024</v>
      </c>
      <c r="H580" s="336"/>
      <c r="I580" s="336"/>
    </row>
    <row r="581" spans="2:9">
      <c r="B581" s="336">
        <v>562</v>
      </c>
      <c r="C581" s="336" t="s">
        <v>304</v>
      </c>
      <c r="D581" s="336">
        <v>2016</v>
      </c>
      <c r="E581" s="338">
        <v>430924</v>
      </c>
      <c r="F581" s="336"/>
      <c r="G581" s="336">
        <v>2024</v>
      </c>
      <c r="H581" s="336"/>
      <c r="I581" s="336"/>
    </row>
    <row r="582" spans="2:9">
      <c r="B582" s="336">
        <v>563</v>
      </c>
      <c r="C582" s="336" t="s">
        <v>308</v>
      </c>
      <c r="D582" s="336">
        <v>1967</v>
      </c>
      <c r="E582" s="338">
        <v>70058</v>
      </c>
      <c r="F582" s="336"/>
      <c r="G582" s="336">
        <v>2024</v>
      </c>
      <c r="H582" s="336"/>
      <c r="I582" s="336"/>
    </row>
    <row r="583" spans="2:9">
      <c r="B583" s="336">
        <v>564</v>
      </c>
      <c r="C583" s="336" t="s">
        <v>308</v>
      </c>
      <c r="D583" s="336">
        <v>1968</v>
      </c>
      <c r="E583" s="338">
        <v>206807</v>
      </c>
      <c r="F583" s="336"/>
      <c r="G583" s="336">
        <v>2024</v>
      </c>
      <c r="H583" s="336"/>
      <c r="I583" s="336"/>
    </row>
    <row r="584" spans="2:9">
      <c r="B584" s="336">
        <v>565</v>
      </c>
      <c r="C584" s="336" t="s">
        <v>308</v>
      </c>
      <c r="D584" s="336">
        <v>1969</v>
      </c>
      <c r="E584" s="338">
        <v>39996</v>
      </c>
      <c r="F584" s="336"/>
      <c r="G584" s="336">
        <v>2024</v>
      </c>
      <c r="H584" s="336"/>
      <c r="I584" s="336"/>
    </row>
    <row r="585" spans="2:9">
      <c r="B585" s="336">
        <v>566</v>
      </c>
      <c r="C585" s="336" t="s">
        <v>308</v>
      </c>
      <c r="D585" s="336">
        <v>1970</v>
      </c>
      <c r="E585" s="338">
        <v>52402</v>
      </c>
      <c r="F585" s="336"/>
      <c r="G585" s="336">
        <v>2024</v>
      </c>
      <c r="H585" s="336"/>
      <c r="I585" s="336"/>
    </row>
    <row r="586" spans="2:9">
      <c r="B586" s="336">
        <v>567</v>
      </c>
      <c r="C586" s="336" t="s">
        <v>308</v>
      </c>
      <c r="D586" s="336">
        <v>1971</v>
      </c>
      <c r="E586" s="338">
        <v>153301</v>
      </c>
      <c r="F586" s="336"/>
      <c r="G586" s="336">
        <v>2024</v>
      </c>
      <c r="H586" s="336"/>
      <c r="I586" s="336"/>
    </row>
    <row r="587" spans="2:9">
      <c r="B587" s="336">
        <v>568</v>
      </c>
      <c r="C587" s="336" t="s">
        <v>308</v>
      </c>
      <c r="D587" s="336">
        <v>1972</v>
      </c>
      <c r="E587" s="338">
        <v>23945</v>
      </c>
      <c r="F587" s="336"/>
      <c r="G587" s="336">
        <v>2024</v>
      </c>
      <c r="H587" s="336"/>
      <c r="I587" s="336"/>
    </row>
    <row r="588" spans="2:9">
      <c r="B588" s="336">
        <v>569</v>
      </c>
      <c r="C588" s="336" t="s">
        <v>308</v>
      </c>
      <c r="D588" s="336">
        <v>1975</v>
      </c>
      <c r="E588" s="338">
        <v>31096</v>
      </c>
      <c r="F588" s="336"/>
      <c r="G588" s="336">
        <v>2024</v>
      </c>
      <c r="H588" s="336"/>
      <c r="I588" s="336"/>
    </row>
    <row r="589" spans="2:9">
      <c r="B589" s="336">
        <v>570</v>
      </c>
      <c r="C589" s="336" t="s">
        <v>308</v>
      </c>
      <c r="D589" s="336">
        <v>1976</v>
      </c>
      <c r="E589" s="338">
        <v>12426</v>
      </c>
      <c r="F589" s="336"/>
      <c r="G589" s="336">
        <v>2024</v>
      </c>
      <c r="H589" s="336"/>
      <c r="I589" s="336"/>
    </row>
    <row r="590" spans="2:9">
      <c r="B590" s="336">
        <v>571</v>
      </c>
      <c r="C590" s="336" t="s">
        <v>308</v>
      </c>
      <c r="D590" s="336">
        <v>1981</v>
      </c>
      <c r="E590" s="338">
        <v>34690</v>
      </c>
      <c r="F590" s="336"/>
      <c r="G590" s="336">
        <v>2024</v>
      </c>
      <c r="H590" s="336"/>
      <c r="I590" s="336"/>
    </row>
    <row r="591" spans="2:9">
      <c r="B591" s="336">
        <v>572</v>
      </c>
      <c r="C591" s="336" t="s">
        <v>308</v>
      </c>
      <c r="D591" s="336">
        <v>1986</v>
      </c>
      <c r="E591" s="338">
        <v>78186</v>
      </c>
      <c r="F591" s="336"/>
      <c r="G591" s="336">
        <v>2024</v>
      </c>
      <c r="H591" s="336"/>
      <c r="I591" s="336"/>
    </row>
    <row r="592" spans="2:9">
      <c r="B592" s="336">
        <v>573</v>
      </c>
      <c r="C592" s="336" t="s">
        <v>308</v>
      </c>
      <c r="D592" s="336">
        <v>1997</v>
      </c>
      <c r="E592" s="338">
        <v>184270</v>
      </c>
      <c r="F592" s="336"/>
      <c r="G592" s="336">
        <v>2024</v>
      </c>
      <c r="H592" s="336"/>
      <c r="I592" s="336"/>
    </row>
    <row r="593" spans="2:9">
      <c r="B593" s="336">
        <v>574</v>
      </c>
      <c r="C593" s="336" t="s">
        <v>308</v>
      </c>
      <c r="D593" s="336">
        <v>1998</v>
      </c>
      <c r="E593" s="338">
        <v>20568</v>
      </c>
      <c r="F593" s="336"/>
      <c r="G593" s="336">
        <v>2024</v>
      </c>
      <c r="H593" s="336"/>
      <c r="I593" s="336"/>
    </row>
    <row r="594" spans="2:9">
      <c r="B594" s="336">
        <v>575</v>
      </c>
      <c r="C594" s="336" t="s">
        <v>308</v>
      </c>
      <c r="D594" s="336">
        <v>2000</v>
      </c>
      <c r="E594" s="338">
        <v>11269</v>
      </c>
      <c r="F594" s="336"/>
      <c r="G594" s="336">
        <v>2024</v>
      </c>
      <c r="H594" s="336"/>
      <c r="I594" s="336"/>
    </row>
    <row r="595" spans="2:9">
      <c r="B595" s="336">
        <v>576</v>
      </c>
      <c r="C595" s="336" t="s">
        <v>308</v>
      </c>
      <c r="D595" s="336">
        <v>2001</v>
      </c>
      <c r="E595" s="338">
        <v>144463</v>
      </c>
      <c r="F595" s="336"/>
      <c r="G595" s="336">
        <v>2024</v>
      </c>
      <c r="H595" s="336"/>
      <c r="I595" s="336"/>
    </row>
    <row r="596" spans="2:9">
      <c r="B596" s="336">
        <v>577</v>
      </c>
      <c r="C596" s="336" t="s">
        <v>308</v>
      </c>
      <c r="D596" s="336">
        <v>2007</v>
      </c>
      <c r="E596" s="338">
        <v>38479</v>
      </c>
      <c r="F596" s="336"/>
      <c r="G596" s="336">
        <v>2024</v>
      </c>
      <c r="H596" s="336"/>
      <c r="I596" s="336"/>
    </row>
    <row r="597" spans="2:9">
      <c r="B597" s="336">
        <v>578</v>
      </c>
      <c r="C597" s="336" t="s">
        <v>308</v>
      </c>
      <c r="D597" s="336">
        <v>2010</v>
      </c>
      <c r="E597" s="338">
        <v>29130</v>
      </c>
      <c r="F597" s="336"/>
      <c r="G597" s="336">
        <v>2024</v>
      </c>
      <c r="H597" s="336"/>
      <c r="I597" s="336"/>
    </row>
    <row r="598" spans="2:9">
      <c r="B598" s="336">
        <v>579</v>
      </c>
      <c r="C598" s="336" t="s">
        <v>308</v>
      </c>
      <c r="D598" s="336">
        <v>2011</v>
      </c>
      <c r="E598" s="338">
        <v>108631</v>
      </c>
      <c r="F598" s="336"/>
      <c r="G598" s="336">
        <v>2024</v>
      </c>
      <c r="H598" s="336"/>
      <c r="I598" s="336"/>
    </row>
    <row r="599" spans="2:9">
      <c r="B599" s="336">
        <v>580</v>
      </c>
      <c r="C599" s="336" t="s">
        <v>308</v>
      </c>
      <c r="D599" s="336">
        <v>2017</v>
      </c>
      <c r="E599" s="338">
        <v>46060</v>
      </c>
      <c r="F599" s="336"/>
      <c r="G599" s="336">
        <v>2024</v>
      </c>
      <c r="H599" s="336"/>
      <c r="I599" s="336"/>
    </row>
    <row r="600" spans="2:9">
      <c r="B600" s="336">
        <v>581</v>
      </c>
      <c r="C600" s="336" t="s">
        <v>308</v>
      </c>
      <c r="D600" s="336">
        <v>2020</v>
      </c>
      <c r="E600" s="338">
        <v>17034</v>
      </c>
      <c r="F600" s="336"/>
      <c r="G600" s="336">
        <v>2024</v>
      </c>
      <c r="H600" s="336"/>
      <c r="I600" s="336"/>
    </row>
    <row r="601" spans="2:9">
      <c r="B601" s="336">
        <v>582</v>
      </c>
      <c r="C601" s="336" t="s">
        <v>310</v>
      </c>
      <c r="D601" s="336">
        <v>1998</v>
      </c>
      <c r="E601" s="338">
        <v>62195</v>
      </c>
      <c r="F601" s="336"/>
      <c r="G601" s="336">
        <v>2024</v>
      </c>
      <c r="H601" s="336"/>
      <c r="I601" s="336"/>
    </row>
    <row r="602" spans="2:9">
      <c r="B602" s="336">
        <v>583</v>
      </c>
      <c r="C602" s="336" t="s">
        <v>317</v>
      </c>
      <c r="D602" s="336">
        <v>1996</v>
      </c>
      <c r="E602" s="338">
        <v>646376</v>
      </c>
      <c r="F602" s="336"/>
      <c r="G602" s="336">
        <v>2024</v>
      </c>
      <c r="H602" s="336"/>
      <c r="I602" s="336"/>
    </row>
    <row r="603" spans="2:9">
      <c r="B603" s="336">
        <v>584</v>
      </c>
      <c r="C603" s="336" t="s">
        <v>317</v>
      </c>
      <c r="D603" s="336">
        <v>1998</v>
      </c>
      <c r="E603" s="338">
        <v>1710727</v>
      </c>
      <c r="F603" s="336"/>
      <c r="G603" s="336">
        <v>2024</v>
      </c>
      <c r="H603" s="336"/>
      <c r="I603" s="336"/>
    </row>
    <row r="604" spans="2:9">
      <c r="B604" s="336">
        <v>585</v>
      </c>
      <c r="C604" s="336" t="s">
        <v>317</v>
      </c>
      <c r="D604" s="336">
        <v>2005</v>
      </c>
      <c r="E604" s="338">
        <v>29127</v>
      </c>
      <c r="F604" s="336"/>
      <c r="G604" s="336">
        <v>2024</v>
      </c>
      <c r="H604" s="336"/>
      <c r="I604" s="336"/>
    </row>
    <row r="605" spans="2:9">
      <c r="B605" s="336">
        <v>586</v>
      </c>
      <c r="C605" s="336" t="s">
        <v>317</v>
      </c>
      <c r="D605" s="336">
        <v>2007</v>
      </c>
      <c r="E605" s="338">
        <v>249780</v>
      </c>
      <c r="F605" s="336"/>
      <c r="G605" s="336">
        <v>2024</v>
      </c>
      <c r="H605" s="336"/>
      <c r="I605" s="336"/>
    </row>
    <row r="606" spans="2:9">
      <c r="B606" s="336">
        <v>587</v>
      </c>
      <c r="C606" s="336" t="s">
        <v>317</v>
      </c>
      <c r="D606" s="336">
        <v>2008</v>
      </c>
      <c r="E606" s="338">
        <v>157410</v>
      </c>
      <c r="F606" s="336"/>
      <c r="G606" s="336">
        <v>2024</v>
      </c>
      <c r="H606" s="336"/>
      <c r="I606" s="336"/>
    </row>
    <row r="607" spans="2:9">
      <c r="B607" s="336">
        <v>588</v>
      </c>
      <c r="C607" s="336" t="s">
        <v>317</v>
      </c>
      <c r="D607" s="336">
        <v>2009</v>
      </c>
      <c r="E607" s="338">
        <v>96928</v>
      </c>
      <c r="F607" s="336"/>
      <c r="G607" s="336">
        <v>2024</v>
      </c>
      <c r="H607" s="336"/>
      <c r="I607" s="336"/>
    </row>
    <row r="608" spans="2:9">
      <c r="B608" s="336">
        <v>589</v>
      </c>
      <c r="C608" s="336" t="s">
        <v>317</v>
      </c>
      <c r="D608" s="336">
        <v>2010</v>
      </c>
      <c r="E608" s="338">
        <v>706017</v>
      </c>
      <c r="F608" s="336"/>
      <c r="G608" s="336">
        <v>2024</v>
      </c>
      <c r="H608" s="336"/>
      <c r="I608" s="336"/>
    </row>
    <row r="609" spans="2:9">
      <c r="B609" s="336">
        <v>590</v>
      </c>
      <c r="C609" s="336" t="s">
        <v>321</v>
      </c>
      <c r="D609" s="336">
        <v>1998</v>
      </c>
      <c r="E609" s="338">
        <v>85531</v>
      </c>
      <c r="F609" s="336"/>
      <c r="G609" s="336">
        <v>2024</v>
      </c>
      <c r="H609" s="336"/>
      <c r="I609" s="336"/>
    </row>
    <row r="610" spans="2:9">
      <c r="B610" s="336">
        <v>591</v>
      </c>
      <c r="C610" s="336" t="s">
        <v>321</v>
      </c>
      <c r="D610" s="336">
        <v>2001</v>
      </c>
      <c r="E610" s="338">
        <v>21994</v>
      </c>
      <c r="F610" s="336"/>
      <c r="G610" s="336">
        <v>2024</v>
      </c>
      <c r="H610" s="336"/>
      <c r="I610" s="336"/>
    </row>
    <row r="611" spans="2:9">
      <c r="B611" s="336">
        <v>592</v>
      </c>
      <c r="C611" s="336" t="s">
        <v>321</v>
      </c>
      <c r="D611" s="336">
        <v>2003</v>
      </c>
      <c r="E611" s="338">
        <v>11100</v>
      </c>
      <c r="F611" s="336"/>
      <c r="G611" s="336">
        <v>2024</v>
      </c>
      <c r="H611" s="336"/>
      <c r="I611" s="336"/>
    </row>
    <row r="612" spans="2:9">
      <c r="B612" s="336">
        <v>593</v>
      </c>
      <c r="C612" s="336" t="s">
        <v>337</v>
      </c>
      <c r="D612" s="336">
        <v>1970</v>
      </c>
      <c r="E612" s="338">
        <v>902449</v>
      </c>
      <c r="F612" s="336"/>
      <c r="G612" s="336">
        <v>2024</v>
      </c>
      <c r="H612" s="336"/>
      <c r="I612" s="336"/>
    </row>
    <row r="613" spans="2:9">
      <c r="B613" s="336">
        <v>594</v>
      </c>
      <c r="C613" s="336" t="s">
        <v>337</v>
      </c>
      <c r="D613" s="336">
        <v>1971</v>
      </c>
      <c r="E613" s="338">
        <v>11276235</v>
      </c>
      <c r="F613" s="336"/>
      <c r="G613" s="336">
        <v>2024</v>
      </c>
      <c r="H613" s="336"/>
      <c r="I613" s="336"/>
    </row>
    <row r="614" spans="2:9">
      <c r="B614" s="336">
        <v>595</v>
      </c>
      <c r="C614" s="336" t="s">
        <v>337</v>
      </c>
      <c r="D614" s="336">
        <v>1972</v>
      </c>
      <c r="E614" s="338">
        <v>3312496</v>
      </c>
      <c r="F614" s="336"/>
      <c r="G614" s="336">
        <v>2024</v>
      </c>
      <c r="H614" s="336"/>
      <c r="I614" s="336"/>
    </row>
    <row r="615" spans="2:9">
      <c r="B615" s="336">
        <v>596</v>
      </c>
      <c r="C615" s="336" t="s">
        <v>337</v>
      </c>
      <c r="D615" s="336">
        <v>1973</v>
      </c>
      <c r="E615" s="338">
        <v>43935</v>
      </c>
      <c r="F615" s="336"/>
      <c r="G615" s="336">
        <v>2024</v>
      </c>
      <c r="H615" s="336"/>
      <c r="I615" s="336"/>
    </row>
    <row r="616" spans="2:9">
      <c r="B616" s="336">
        <v>597</v>
      </c>
      <c r="C616" s="336" t="s">
        <v>337</v>
      </c>
      <c r="D616" s="336">
        <v>1977</v>
      </c>
      <c r="E616" s="338">
        <v>42959</v>
      </c>
      <c r="F616" s="336"/>
      <c r="G616" s="336">
        <v>2024</v>
      </c>
      <c r="H616" s="336"/>
      <c r="I616" s="336"/>
    </row>
    <row r="617" spans="2:9">
      <c r="B617" s="336">
        <v>598</v>
      </c>
      <c r="C617" s="336" t="s">
        <v>337</v>
      </c>
      <c r="D617" s="336">
        <v>1978</v>
      </c>
      <c r="E617" s="338">
        <v>4451317</v>
      </c>
      <c r="F617" s="336"/>
      <c r="G617" s="336">
        <v>2024</v>
      </c>
      <c r="H617" s="336"/>
      <c r="I617" s="336"/>
    </row>
    <row r="618" spans="2:9">
      <c r="B618" s="336">
        <v>599</v>
      </c>
      <c r="C618" s="336" t="s">
        <v>337</v>
      </c>
      <c r="D618" s="336">
        <v>1980</v>
      </c>
      <c r="E618" s="338">
        <v>140317</v>
      </c>
      <c r="F618" s="336"/>
      <c r="G618" s="336">
        <v>2024</v>
      </c>
      <c r="H618" s="336"/>
      <c r="I618" s="336"/>
    </row>
    <row r="619" spans="2:9">
      <c r="B619" s="336">
        <v>600</v>
      </c>
      <c r="C619" s="336" t="s">
        <v>337</v>
      </c>
      <c r="D619" s="336">
        <v>1982</v>
      </c>
      <c r="E619" s="338">
        <v>42588</v>
      </c>
      <c r="F619" s="336"/>
      <c r="G619" s="336">
        <v>2024</v>
      </c>
      <c r="H619" s="336"/>
      <c r="I619" s="336"/>
    </row>
    <row r="620" spans="2:9">
      <c r="B620" s="336">
        <v>601</v>
      </c>
      <c r="C620" s="336" t="s">
        <v>337</v>
      </c>
      <c r="D620" s="336">
        <v>1984</v>
      </c>
      <c r="E620" s="338">
        <v>25464</v>
      </c>
      <c r="F620" s="336"/>
      <c r="G620" s="336">
        <v>2024</v>
      </c>
      <c r="H620" s="336"/>
      <c r="I620" s="336"/>
    </row>
    <row r="621" spans="2:9">
      <c r="B621" s="336">
        <v>602</v>
      </c>
      <c r="C621" s="336" t="s">
        <v>337</v>
      </c>
      <c r="D621" s="336">
        <v>1990</v>
      </c>
      <c r="E621" s="338">
        <v>64981</v>
      </c>
      <c r="F621" s="336"/>
      <c r="G621" s="336">
        <v>2024</v>
      </c>
      <c r="H621" s="336"/>
      <c r="I621" s="336"/>
    </row>
    <row r="622" spans="2:9">
      <c r="B622" s="336">
        <v>603</v>
      </c>
      <c r="C622" s="336" t="s">
        <v>337</v>
      </c>
      <c r="D622" s="336">
        <v>1996</v>
      </c>
      <c r="E622" s="338">
        <v>24270</v>
      </c>
      <c r="F622" s="336"/>
      <c r="G622" s="336">
        <v>2024</v>
      </c>
      <c r="H622" s="336"/>
      <c r="I622" s="336"/>
    </row>
    <row r="623" spans="2:9">
      <c r="B623" s="336">
        <v>604</v>
      </c>
      <c r="C623" s="336" t="s">
        <v>337</v>
      </c>
      <c r="D623" s="336">
        <v>1997</v>
      </c>
      <c r="E623" s="338">
        <v>31301050</v>
      </c>
      <c r="F623" s="336"/>
      <c r="G623" s="336">
        <v>2024</v>
      </c>
      <c r="H623" s="336"/>
      <c r="I623" s="336"/>
    </row>
    <row r="624" spans="2:9">
      <c r="B624" s="336">
        <v>605</v>
      </c>
      <c r="C624" s="336" t="s">
        <v>337</v>
      </c>
      <c r="D624" s="336">
        <v>1998</v>
      </c>
      <c r="E624" s="338">
        <v>261490</v>
      </c>
      <c r="F624" s="336"/>
      <c r="G624" s="336">
        <v>2024</v>
      </c>
      <c r="H624" s="336"/>
      <c r="I624" s="336"/>
    </row>
    <row r="625" spans="2:9">
      <c r="B625" s="336">
        <v>606</v>
      </c>
      <c r="C625" s="336" t="s">
        <v>337</v>
      </c>
      <c r="D625" s="336">
        <v>2001</v>
      </c>
      <c r="E625" s="338">
        <v>44919</v>
      </c>
      <c r="F625" s="336"/>
      <c r="G625" s="336">
        <v>2024</v>
      </c>
      <c r="H625" s="336"/>
      <c r="I625" s="336"/>
    </row>
    <row r="626" spans="2:9">
      <c r="B626" s="336">
        <v>607</v>
      </c>
      <c r="C626" s="336" t="s">
        <v>337</v>
      </c>
      <c r="D626" s="336">
        <v>2002</v>
      </c>
      <c r="E626" s="338">
        <v>474428</v>
      </c>
      <c r="F626" s="336"/>
      <c r="G626" s="336">
        <v>2024</v>
      </c>
      <c r="H626" s="336"/>
      <c r="I626" s="336"/>
    </row>
    <row r="627" spans="2:9">
      <c r="B627" s="336">
        <v>608</v>
      </c>
      <c r="C627" s="336" t="s">
        <v>337</v>
      </c>
      <c r="D627" s="336">
        <v>2003</v>
      </c>
      <c r="E627" s="338">
        <v>562107</v>
      </c>
      <c r="F627" s="336"/>
      <c r="G627" s="336">
        <v>2024</v>
      </c>
      <c r="H627" s="336"/>
      <c r="I627" s="336"/>
    </row>
    <row r="628" spans="2:9">
      <c r="B628" s="336">
        <v>609</v>
      </c>
      <c r="C628" s="336" t="s">
        <v>337</v>
      </c>
      <c r="D628" s="336">
        <v>2004</v>
      </c>
      <c r="E628" s="338">
        <v>356008</v>
      </c>
      <c r="F628" s="336"/>
      <c r="G628" s="336">
        <v>2024</v>
      </c>
      <c r="H628" s="336"/>
      <c r="I628" s="336"/>
    </row>
    <row r="629" spans="2:9">
      <c r="B629" s="336">
        <v>610</v>
      </c>
      <c r="C629" s="336" t="s">
        <v>337</v>
      </c>
      <c r="D629" s="336">
        <v>2005</v>
      </c>
      <c r="E629" s="338">
        <v>1378695</v>
      </c>
      <c r="F629" s="336"/>
      <c r="G629" s="336">
        <v>2024</v>
      </c>
      <c r="H629" s="336"/>
      <c r="I629" s="336"/>
    </row>
    <row r="630" spans="2:9">
      <c r="B630" s="336">
        <v>611</v>
      </c>
      <c r="C630" s="336" t="s">
        <v>337</v>
      </c>
      <c r="D630" s="336">
        <v>2006</v>
      </c>
      <c r="E630" s="338">
        <v>1090118</v>
      </c>
      <c r="F630" s="336"/>
      <c r="G630" s="336">
        <v>2024</v>
      </c>
      <c r="H630" s="336"/>
      <c r="I630" s="336"/>
    </row>
    <row r="631" spans="2:9">
      <c r="B631" s="336">
        <v>612</v>
      </c>
      <c r="C631" s="336" t="s">
        <v>337</v>
      </c>
      <c r="D631" s="336">
        <v>2007</v>
      </c>
      <c r="E631" s="338">
        <v>2897967</v>
      </c>
      <c r="F631" s="336"/>
      <c r="G631" s="336">
        <v>2024</v>
      </c>
      <c r="H631" s="336"/>
      <c r="I631" s="336"/>
    </row>
    <row r="632" spans="2:9">
      <c r="B632" s="336">
        <v>613</v>
      </c>
      <c r="C632" s="336" t="s">
        <v>337</v>
      </c>
      <c r="D632" s="336">
        <v>2008</v>
      </c>
      <c r="E632" s="338">
        <v>3056602</v>
      </c>
      <c r="F632" s="336"/>
      <c r="G632" s="336">
        <v>2024</v>
      </c>
      <c r="H632" s="336"/>
      <c r="I632" s="336"/>
    </row>
    <row r="633" spans="2:9">
      <c r="B633" s="336">
        <v>614</v>
      </c>
      <c r="C633" s="336" t="s">
        <v>337</v>
      </c>
      <c r="D633" s="336">
        <v>2008</v>
      </c>
      <c r="E633" s="338">
        <v>303052</v>
      </c>
      <c r="F633" s="336"/>
      <c r="G633" s="336">
        <v>2024</v>
      </c>
      <c r="H633" s="336"/>
      <c r="I633" s="336"/>
    </row>
    <row r="634" spans="2:9">
      <c r="B634" s="336">
        <v>615</v>
      </c>
      <c r="C634" s="336" t="s">
        <v>337</v>
      </c>
      <c r="D634" s="336">
        <v>2009</v>
      </c>
      <c r="E634" s="338">
        <v>238210</v>
      </c>
      <c r="F634" s="336"/>
      <c r="G634" s="336">
        <v>2024</v>
      </c>
      <c r="H634" s="336"/>
      <c r="I634" s="336"/>
    </row>
    <row r="635" spans="2:9">
      <c r="B635" s="336">
        <v>616</v>
      </c>
      <c r="C635" s="336" t="s">
        <v>337</v>
      </c>
      <c r="D635" s="336">
        <v>2010</v>
      </c>
      <c r="E635" s="338">
        <v>1418545</v>
      </c>
      <c r="F635" s="336"/>
      <c r="G635" s="336">
        <v>2024</v>
      </c>
      <c r="H635" s="336"/>
      <c r="I635" s="336"/>
    </row>
    <row r="636" spans="2:9">
      <c r="B636" s="336">
        <v>617</v>
      </c>
      <c r="C636" s="336" t="s">
        <v>337</v>
      </c>
      <c r="D636" s="336">
        <v>2011</v>
      </c>
      <c r="E636" s="338">
        <v>5208178</v>
      </c>
      <c r="F636" s="336"/>
      <c r="G636" s="336">
        <v>2024</v>
      </c>
      <c r="H636" s="336"/>
      <c r="I636" s="336"/>
    </row>
    <row r="637" spans="2:9">
      <c r="B637" s="336">
        <v>618</v>
      </c>
      <c r="C637" s="336" t="s">
        <v>337</v>
      </c>
      <c r="D637" s="336">
        <v>2011</v>
      </c>
      <c r="E637" s="338">
        <v>54286</v>
      </c>
      <c r="F637" s="336"/>
      <c r="G637" s="336">
        <v>2024</v>
      </c>
      <c r="H637" s="336"/>
      <c r="I637" s="336"/>
    </row>
    <row r="638" spans="2:9">
      <c r="B638" s="336">
        <v>619</v>
      </c>
      <c r="C638" s="336" t="s">
        <v>337</v>
      </c>
      <c r="D638" s="336">
        <v>2012</v>
      </c>
      <c r="E638" s="338">
        <v>5403122</v>
      </c>
      <c r="F638" s="336"/>
      <c r="G638" s="336">
        <v>2024</v>
      </c>
      <c r="H638" s="336"/>
      <c r="I638" s="336"/>
    </row>
    <row r="639" spans="2:9">
      <c r="B639" s="336">
        <v>620</v>
      </c>
      <c r="C639" s="336" t="s">
        <v>337</v>
      </c>
      <c r="D639" s="336">
        <v>2013</v>
      </c>
      <c r="E639" s="338">
        <v>1629366</v>
      </c>
      <c r="F639" s="336"/>
      <c r="G639" s="336">
        <v>2024</v>
      </c>
      <c r="H639" s="336"/>
      <c r="I639" s="336"/>
    </row>
    <row r="640" spans="2:9">
      <c r="B640" s="336">
        <v>621</v>
      </c>
      <c r="C640" s="336" t="s">
        <v>337</v>
      </c>
      <c r="D640" s="336">
        <v>2014</v>
      </c>
      <c r="E640" s="338">
        <v>430444</v>
      </c>
      <c r="F640" s="336"/>
      <c r="G640" s="336">
        <v>2024</v>
      </c>
      <c r="H640" s="336"/>
      <c r="I640" s="336"/>
    </row>
    <row r="641" spans="2:9">
      <c r="B641" s="336">
        <v>622</v>
      </c>
      <c r="C641" s="336" t="s">
        <v>337</v>
      </c>
      <c r="D641" s="336">
        <v>2015</v>
      </c>
      <c r="E641" s="338">
        <v>10178980</v>
      </c>
      <c r="F641" s="336"/>
      <c r="G641" s="336">
        <v>2024</v>
      </c>
      <c r="H641" s="336"/>
      <c r="I641" s="336"/>
    </row>
    <row r="642" spans="2:9">
      <c r="B642" s="336">
        <v>623</v>
      </c>
      <c r="C642" s="336" t="s">
        <v>337</v>
      </c>
      <c r="D642" s="336">
        <v>2016</v>
      </c>
      <c r="E642" s="338">
        <v>234402</v>
      </c>
      <c r="F642" s="336"/>
      <c r="G642" s="336">
        <v>2024</v>
      </c>
      <c r="H642" s="336"/>
      <c r="I642" s="336"/>
    </row>
    <row r="643" spans="2:9">
      <c r="B643" s="336">
        <v>624</v>
      </c>
      <c r="C643" s="336" t="s">
        <v>337</v>
      </c>
      <c r="D643" s="336">
        <v>2017</v>
      </c>
      <c r="E643" s="338">
        <v>16812217</v>
      </c>
      <c r="F643" s="336"/>
      <c r="G643" s="336">
        <v>2024</v>
      </c>
      <c r="H643" s="336"/>
      <c r="I643" s="336"/>
    </row>
    <row r="644" spans="2:9">
      <c r="B644" s="336">
        <v>625</v>
      </c>
      <c r="C644" s="336" t="s">
        <v>337</v>
      </c>
      <c r="D644" s="336">
        <v>2020</v>
      </c>
      <c r="E644" s="338">
        <v>137668</v>
      </c>
      <c r="F644" s="336"/>
      <c r="G644" s="336">
        <v>2024</v>
      </c>
      <c r="H644" s="336"/>
      <c r="I644" s="336"/>
    </row>
    <row r="645" spans="2:9">
      <c r="B645" s="336">
        <v>626</v>
      </c>
      <c r="C645" s="336" t="s">
        <v>341</v>
      </c>
      <c r="D645" s="336">
        <v>1972</v>
      </c>
      <c r="E645" s="338">
        <v>21452</v>
      </c>
      <c r="F645" s="336"/>
      <c r="G645" s="336">
        <v>2024</v>
      </c>
      <c r="H645" s="336"/>
      <c r="I645" s="336"/>
    </row>
    <row r="646" spans="2:9">
      <c r="B646" s="336">
        <v>627</v>
      </c>
      <c r="C646" s="336" t="s">
        <v>341</v>
      </c>
      <c r="D646" s="336">
        <v>1979</v>
      </c>
      <c r="E646" s="338">
        <v>68889</v>
      </c>
      <c r="F646" s="336"/>
      <c r="G646" s="336">
        <v>2024</v>
      </c>
      <c r="H646" s="336"/>
      <c r="I646" s="336"/>
    </row>
    <row r="647" spans="2:9">
      <c r="B647" s="336">
        <v>628</v>
      </c>
      <c r="C647" s="336" t="s">
        <v>341</v>
      </c>
      <c r="D647" s="336">
        <v>1993</v>
      </c>
      <c r="E647" s="338">
        <v>15217</v>
      </c>
      <c r="F647" s="336"/>
      <c r="G647" s="336">
        <v>2024</v>
      </c>
      <c r="H647" s="336"/>
      <c r="I647" s="336"/>
    </row>
    <row r="648" spans="2:9">
      <c r="B648" s="336">
        <v>629</v>
      </c>
      <c r="C648" s="336" t="s">
        <v>341</v>
      </c>
      <c r="D648" s="336">
        <v>1994</v>
      </c>
      <c r="E648" s="338">
        <v>36896</v>
      </c>
      <c r="F648" s="336"/>
      <c r="G648" s="336">
        <v>2024</v>
      </c>
      <c r="H648" s="336"/>
      <c r="I648" s="336"/>
    </row>
    <row r="649" spans="2:9">
      <c r="B649" s="336">
        <v>630</v>
      </c>
      <c r="C649" s="336" t="s">
        <v>341</v>
      </c>
      <c r="D649" s="336">
        <v>2001</v>
      </c>
      <c r="E649" s="338">
        <v>136657</v>
      </c>
      <c r="F649" s="336"/>
      <c r="G649" s="336">
        <v>2024</v>
      </c>
      <c r="H649" s="336"/>
      <c r="I649" s="336"/>
    </row>
    <row r="650" spans="2:9">
      <c r="B650" s="336">
        <v>631</v>
      </c>
      <c r="C650" s="336" t="s">
        <v>341</v>
      </c>
      <c r="D650" s="336">
        <v>2005</v>
      </c>
      <c r="E650" s="338">
        <v>53318</v>
      </c>
      <c r="F650" s="336"/>
      <c r="G650" s="336">
        <v>2024</v>
      </c>
      <c r="H650" s="336"/>
      <c r="I650" s="336"/>
    </row>
    <row r="651" spans="2:9">
      <c r="B651" s="336">
        <v>632</v>
      </c>
      <c r="C651" s="336" t="s">
        <v>341</v>
      </c>
      <c r="D651" s="336">
        <v>2006</v>
      </c>
      <c r="E651" s="338">
        <v>109055</v>
      </c>
      <c r="F651" s="336"/>
      <c r="G651" s="336">
        <v>2024</v>
      </c>
      <c r="H651" s="336"/>
      <c r="I651" s="336"/>
    </row>
    <row r="652" spans="2:9">
      <c r="B652" s="336">
        <v>633</v>
      </c>
      <c r="C652" s="336" t="s">
        <v>341</v>
      </c>
      <c r="D652" s="336">
        <v>2014</v>
      </c>
      <c r="E652" s="338">
        <v>114078</v>
      </c>
      <c r="F652" s="336"/>
      <c r="G652" s="336">
        <v>2024</v>
      </c>
      <c r="H652" s="336"/>
      <c r="I652" s="336"/>
    </row>
    <row r="653" spans="2:9">
      <c r="B653" s="336">
        <v>634</v>
      </c>
      <c r="C653" s="336" t="s">
        <v>345</v>
      </c>
      <c r="D653" s="336">
        <v>1964</v>
      </c>
      <c r="E653" s="338">
        <v>31497</v>
      </c>
      <c r="F653" s="336"/>
      <c r="G653" s="336">
        <v>2024</v>
      </c>
      <c r="H653" s="336"/>
      <c r="I653" s="336"/>
    </row>
    <row r="654" spans="2:9">
      <c r="B654" s="336">
        <v>635</v>
      </c>
      <c r="C654" s="336" t="s">
        <v>345</v>
      </c>
      <c r="D654" s="336">
        <v>1966</v>
      </c>
      <c r="E654" s="338">
        <v>6226</v>
      </c>
      <c r="F654" s="336"/>
      <c r="G654" s="336">
        <v>2024</v>
      </c>
      <c r="H654" s="336"/>
      <c r="I654" s="336"/>
    </row>
    <row r="655" spans="2:9">
      <c r="B655" s="336">
        <v>636</v>
      </c>
      <c r="C655" s="336" t="s">
        <v>345</v>
      </c>
      <c r="D655" s="336">
        <v>1968</v>
      </c>
      <c r="E655" s="338">
        <v>20904</v>
      </c>
      <c r="F655" s="336"/>
      <c r="G655" s="336">
        <v>2024</v>
      </c>
      <c r="H655" s="336"/>
      <c r="I655" s="336"/>
    </row>
    <row r="656" spans="2:9">
      <c r="B656" s="336">
        <v>637</v>
      </c>
      <c r="C656" s="336" t="s">
        <v>345</v>
      </c>
      <c r="D656" s="336">
        <v>1970</v>
      </c>
      <c r="E656" s="338">
        <v>27359</v>
      </c>
      <c r="F656" s="336"/>
      <c r="G656" s="336">
        <v>2024</v>
      </c>
      <c r="H656" s="336"/>
      <c r="I656" s="336"/>
    </row>
    <row r="657" spans="2:9">
      <c r="B657" s="336">
        <v>638</v>
      </c>
      <c r="C657" s="336" t="s">
        <v>345</v>
      </c>
      <c r="D657" s="336">
        <v>1971</v>
      </c>
      <c r="E657" s="338">
        <v>8621</v>
      </c>
      <c r="F657" s="336"/>
      <c r="G657" s="336">
        <v>2024</v>
      </c>
      <c r="H657" s="336"/>
      <c r="I657" s="336"/>
    </row>
    <row r="658" spans="2:9">
      <c r="B658" s="336">
        <v>639</v>
      </c>
      <c r="C658" s="336" t="s">
        <v>345</v>
      </c>
      <c r="D658" s="336">
        <v>1992</v>
      </c>
      <c r="E658" s="338">
        <v>125847</v>
      </c>
      <c r="F658" s="336"/>
      <c r="G658" s="336">
        <v>2024</v>
      </c>
      <c r="H658" s="336"/>
      <c r="I658" s="336"/>
    </row>
    <row r="659" spans="2:9">
      <c r="B659" s="336">
        <v>640</v>
      </c>
      <c r="C659" s="336" t="s">
        <v>345</v>
      </c>
      <c r="D659" s="336">
        <v>2008</v>
      </c>
      <c r="E659" s="338">
        <v>49793</v>
      </c>
      <c r="F659" s="336"/>
      <c r="G659" s="336">
        <v>2024</v>
      </c>
      <c r="H659" s="336"/>
      <c r="I659" s="336"/>
    </row>
    <row r="660" spans="2:9">
      <c r="B660" s="336">
        <v>641</v>
      </c>
      <c r="C660" s="336" t="s">
        <v>345</v>
      </c>
      <c r="D660" s="336">
        <v>2010</v>
      </c>
      <c r="E660" s="338">
        <v>17971</v>
      </c>
      <c r="F660" s="336"/>
      <c r="G660" s="336">
        <v>2024</v>
      </c>
      <c r="H660" s="336"/>
      <c r="I660" s="336"/>
    </row>
    <row r="661" spans="2:9">
      <c r="B661" s="336">
        <v>642</v>
      </c>
      <c r="C661" s="336" t="s">
        <v>345</v>
      </c>
      <c r="D661" s="336">
        <v>2020</v>
      </c>
      <c r="E661" s="338">
        <v>26412</v>
      </c>
      <c r="F661" s="336"/>
      <c r="G661" s="336">
        <v>2024</v>
      </c>
      <c r="H661" s="336"/>
      <c r="I661" s="336"/>
    </row>
    <row r="662" spans="2:9">
      <c r="B662" s="336">
        <v>643</v>
      </c>
      <c r="C662" s="336" t="s">
        <v>345</v>
      </c>
      <c r="D662" s="336">
        <v>2022</v>
      </c>
      <c r="E662" s="338">
        <v>87808</v>
      </c>
      <c r="F662" s="338">
        <v>274866</v>
      </c>
      <c r="G662" s="336">
        <v>2024</v>
      </c>
      <c r="H662" s="336"/>
      <c r="I662" s="336"/>
    </row>
    <row r="663" spans="2:9">
      <c r="B663" s="336">
        <v>644</v>
      </c>
      <c r="C663" s="336" t="s">
        <v>351</v>
      </c>
      <c r="D663" s="336">
        <v>1964</v>
      </c>
      <c r="E663" s="338">
        <v>64261</v>
      </c>
      <c r="F663" s="336"/>
      <c r="G663" s="336">
        <v>2024</v>
      </c>
      <c r="H663" s="336"/>
      <c r="I663" s="336"/>
    </row>
    <row r="664" spans="2:9">
      <c r="B664" s="336">
        <v>645</v>
      </c>
      <c r="C664" s="336" t="s">
        <v>356</v>
      </c>
      <c r="D664" s="336">
        <v>1973</v>
      </c>
      <c r="E664" s="338">
        <v>21819</v>
      </c>
      <c r="F664" s="336"/>
      <c r="G664" s="336">
        <v>2024</v>
      </c>
      <c r="H664" s="336"/>
      <c r="I664" s="336"/>
    </row>
    <row r="665" spans="2:9">
      <c r="B665" s="336">
        <v>646</v>
      </c>
      <c r="C665" s="336" t="s">
        <v>356</v>
      </c>
      <c r="D665" s="336">
        <v>1986</v>
      </c>
      <c r="E665" s="338">
        <v>21598</v>
      </c>
      <c r="F665" s="336"/>
      <c r="G665" s="336">
        <v>2024</v>
      </c>
      <c r="H665" s="336"/>
      <c r="I665" s="336"/>
    </row>
    <row r="666" spans="2:9">
      <c r="B666" s="336">
        <v>647</v>
      </c>
      <c r="C666" s="336" t="s">
        <v>356</v>
      </c>
      <c r="D666" s="336">
        <v>2011</v>
      </c>
      <c r="E666" s="338">
        <v>34751</v>
      </c>
      <c r="F666" s="336"/>
      <c r="G666" s="336">
        <v>2024</v>
      </c>
      <c r="H666" s="336"/>
      <c r="I666" s="336"/>
    </row>
    <row r="667" spans="2:9">
      <c r="B667" s="336">
        <v>648</v>
      </c>
      <c r="C667" s="336" t="s">
        <v>359</v>
      </c>
      <c r="D667" s="336">
        <v>1998</v>
      </c>
      <c r="E667" s="338">
        <v>13173</v>
      </c>
      <c r="F667" s="336"/>
      <c r="G667" s="336">
        <v>2024</v>
      </c>
      <c r="H667" s="336"/>
      <c r="I667" s="336"/>
    </row>
  </sheetData>
  <mergeCells count="3">
    <mergeCell ref="B8:M8"/>
    <mergeCell ref="B11:D11"/>
    <mergeCell ref="B14:D14"/>
  </mergeCells>
  <pageMargins left="0.7" right="0.7" top="0.75" bottom="0.75" header="0.3" footer="0.3"/>
  <pageSetup paperSize="9" orientation="portrait" r:id="rId1"/>
  <headerFooter>
    <oddFooter>&amp;C_x000D_&amp;1#&amp;"Calibri"&amp;10&amp;K000000 Vertrouwelijk/Confidential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16BC-3F5C-413F-82D5-45EE704A45D3}">
  <sheetPr>
    <tabColor rgb="FFCCCCFF"/>
  </sheetPr>
  <dimension ref="B1:N24"/>
  <sheetViews>
    <sheetView showGridLines="0" zoomScale="85" zoomScaleNormal="85" workbookViewId="0"/>
  </sheetViews>
  <sheetFormatPr defaultRowHeight="12.75"/>
  <cols>
    <col min="1" max="1" width="2.5703125" customWidth="1"/>
    <col min="2" max="2" width="61.5703125" bestFit="1" customWidth="1"/>
    <col min="3" max="3" width="67.140625" bestFit="1" customWidth="1"/>
    <col min="4" max="4" width="7.5703125" bestFit="1" customWidth="1"/>
    <col min="5" max="5" width="35.5703125" bestFit="1" customWidth="1"/>
    <col min="6" max="6" width="33.42578125" bestFit="1" customWidth="1"/>
    <col min="7" max="7" width="16.140625" bestFit="1" customWidth="1"/>
    <col min="8" max="8" width="32.5703125" bestFit="1" customWidth="1"/>
    <col min="9" max="9" width="76.42578125" bestFit="1" customWidth="1"/>
    <col min="10" max="10" width="9.5703125" bestFit="1" customWidth="1"/>
  </cols>
  <sheetData>
    <row r="1" spans="2:14" s="3" customFormat="1"/>
    <row r="2" spans="2:14" s="12" customFormat="1" ht="18">
      <c r="B2" s="12" t="s">
        <v>845</v>
      </c>
    </row>
    <row r="3" spans="2:14" s="3" customFormat="1"/>
    <row r="4" spans="2:14" s="3" customFormat="1">
      <c r="B4" s="2" t="s">
        <v>197</v>
      </c>
    </row>
    <row r="5" spans="2:14" s="3" customFormat="1" ht="38.25" customHeight="1">
      <c r="B5" s="346" t="s">
        <v>846</v>
      </c>
      <c r="C5" s="346"/>
      <c r="D5" s="346"/>
    </row>
    <row r="6" spans="2:14" s="3" customFormat="1"/>
    <row r="7" spans="2:14" s="3" customFormat="1">
      <c r="B7" s="16" t="s">
        <v>816</v>
      </c>
      <c r="C7" s="183"/>
      <c r="D7" s="2"/>
    </row>
    <row r="8" spans="2:14" s="3" customFormat="1" ht="16.5" customHeight="1">
      <c r="B8" s="349" t="s">
        <v>847</v>
      </c>
      <c r="C8" s="349"/>
      <c r="D8" s="349"/>
      <c r="E8" s="349"/>
      <c r="F8" s="349"/>
      <c r="G8" s="349"/>
      <c r="H8" s="349"/>
      <c r="I8" s="349"/>
      <c r="J8" s="349"/>
      <c r="K8" s="349"/>
      <c r="L8" s="349"/>
      <c r="M8" s="349"/>
    </row>
    <row r="9" spans="2:14" s="3" customFormat="1">
      <c r="B9" s="4"/>
      <c r="C9" s="183"/>
    </row>
    <row r="10" spans="2:14" s="3" customFormat="1">
      <c r="B10" s="178" t="s">
        <v>818</v>
      </c>
      <c r="C10" s="183"/>
    </row>
    <row r="11" spans="2:14" s="3" customFormat="1">
      <c r="B11" s="355">
        <v>45050</v>
      </c>
      <c r="C11" s="355"/>
      <c r="D11" s="355"/>
      <c r="E11" s="120"/>
    </row>
    <row r="13" spans="2:14">
      <c r="B13" s="178" t="s">
        <v>819</v>
      </c>
      <c r="C13" s="3"/>
      <c r="D13" s="3"/>
      <c r="E13" s="3"/>
      <c r="F13" s="3"/>
      <c r="G13" s="3"/>
      <c r="H13" s="3"/>
      <c r="I13" s="3"/>
      <c r="J13" s="3"/>
      <c r="K13" s="3"/>
      <c r="L13" s="3"/>
      <c r="M13" s="3"/>
      <c r="N13" s="3"/>
    </row>
    <row r="14" spans="2:14" ht="25.5" customHeight="1">
      <c r="B14" s="355" t="s">
        <v>848</v>
      </c>
      <c r="C14" s="346"/>
      <c r="D14" s="346"/>
      <c r="E14" s="1"/>
      <c r="F14" s="1"/>
      <c r="G14" s="1"/>
      <c r="H14" s="1"/>
      <c r="I14" s="1"/>
      <c r="J14" s="1"/>
      <c r="K14" s="1"/>
      <c r="L14" s="1"/>
      <c r="M14" s="1"/>
      <c r="N14" s="1"/>
    </row>
    <row r="16" spans="2:14">
      <c r="B16" s="179" t="s">
        <v>821</v>
      </c>
    </row>
    <row r="17" spans="2:10">
      <c r="B17" s="127">
        <f>SUBTOTAL(103,B20:B460)</f>
        <v>5</v>
      </c>
    </row>
    <row r="18" spans="2:10" ht="14.25" customHeight="1"/>
    <row r="19" spans="2:10" s="8" customFormat="1">
      <c r="B19" s="8" t="s">
        <v>849</v>
      </c>
      <c r="C19" s="8" t="s">
        <v>850</v>
      </c>
      <c r="D19" s="8" t="s">
        <v>163</v>
      </c>
      <c r="E19" s="8" t="s">
        <v>851</v>
      </c>
      <c r="F19" s="8" t="s">
        <v>852</v>
      </c>
      <c r="G19" s="8" t="s">
        <v>853</v>
      </c>
      <c r="H19" s="8" t="s">
        <v>854</v>
      </c>
      <c r="I19" s="8" t="s">
        <v>827</v>
      </c>
      <c r="J19" s="8" t="s">
        <v>836</v>
      </c>
    </row>
    <row r="20" spans="2:10">
      <c r="B20" t="s">
        <v>855</v>
      </c>
      <c r="C20" t="s">
        <v>856</v>
      </c>
      <c r="D20">
        <v>2020</v>
      </c>
      <c r="E20" s="180">
        <v>909823616.24000001</v>
      </c>
      <c r="F20" s="180">
        <v>7382022.1000000006</v>
      </c>
      <c r="G20" s="180">
        <v>1408616.89</v>
      </c>
      <c r="H20" s="180">
        <v>-7141324.5900000008</v>
      </c>
      <c r="I20" t="s">
        <v>830</v>
      </c>
      <c r="J20">
        <v>1</v>
      </c>
    </row>
    <row r="21" spans="2:10">
      <c r="B21" t="s">
        <v>855</v>
      </c>
      <c r="C21" t="s">
        <v>856</v>
      </c>
      <c r="D21">
        <v>2021</v>
      </c>
      <c r="E21" s="180">
        <v>922405562.78000021</v>
      </c>
      <c r="F21" s="180">
        <v>13494084.869999999</v>
      </c>
      <c r="G21" s="180">
        <v>1093413.33</v>
      </c>
      <c r="H21" s="180">
        <v>-21856587.380000003</v>
      </c>
      <c r="I21" t="s">
        <v>837</v>
      </c>
      <c r="J21">
        <v>1</v>
      </c>
    </row>
    <row r="22" spans="2:10">
      <c r="B22" t="s">
        <v>855</v>
      </c>
      <c r="C22" t="s">
        <v>856</v>
      </c>
      <c r="D22">
        <v>2022</v>
      </c>
      <c r="E22" s="180">
        <v>1354081798.3900001</v>
      </c>
      <c r="F22" s="180">
        <v>33326739.559999999</v>
      </c>
      <c r="G22" s="180">
        <v>221359938.30000001</v>
      </c>
      <c r="H22" s="180">
        <v>-2234578.129999999</v>
      </c>
      <c r="I22" t="s">
        <v>831</v>
      </c>
      <c r="J22">
        <v>2</v>
      </c>
    </row>
    <row r="23" spans="2:10">
      <c r="B23" s="328" t="s">
        <v>855</v>
      </c>
      <c r="C23" s="328" t="s">
        <v>856</v>
      </c>
      <c r="D23" s="328">
        <v>2023</v>
      </c>
      <c r="E23" s="330">
        <v>1053217263.61</v>
      </c>
      <c r="F23" s="330">
        <v>36546798.390000001</v>
      </c>
      <c r="G23" s="330">
        <v>161390059.07999998</v>
      </c>
      <c r="H23" s="330">
        <v>-76372358.110525161</v>
      </c>
      <c r="I23" s="328" t="s">
        <v>832</v>
      </c>
      <c r="J23" s="328">
        <v>1</v>
      </c>
    </row>
    <row r="24" spans="2:10">
      <c r="B24" s="336" t="s">
        <v>855</v>
      </c>
      <c r="C24" s="336" t="s">
        <v>856</v>
      </c>
      <c r="D24" s="336">
        <v>2024</v>
      </c>
      <c r="E24" s="342">
        <v>790445299.95999992</v>
      </c>
      <c r="F24" s="342">
        <v>17029575.25</v>
      </c>
      <c r="G24" s="342">
        <v>48324856.469999999</v>
      </c>
      <c r="H24" s="342">
        <v>-41469456.140000001</v>
      </c>
      <c r="I24" s="336"/>
      <c r="J24" s="336"/>
    </row>
  </sheetData>
  <mergeCells count="4">
    <mergeCell ref="B5:D5"/>
    <mergeCell ref="B8:M8"/>
    <mergeCell ref="B11:D11"/>
    <mergeCell ref="B14:D14"/>
  </mergeCells>
  <pageMargins left="0.7" right="0.7" top="0.75" bottom="0.75" header="0.3" footer="0.3"/>
  <headerFooter>
    <oddFooter>&amp;C_x000D_&amp;1#&amp;"Calibri"&amp;10&amp;K000000 Vertrouwelijk/Confidential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pageSetUpPr fitToPage="1"/>
  </sheetPr>
  <dimension ref="B2:AB113"/>
  <sheetViews>
    <sheetView showGridLines="0" zoomScale="80" zoomScaleNormal="80" workbookViewId="0">
      <pane ySplit="3" topLeftCell="A49" activePane="bottomLeft" state="frozen"/>
      <selection activeCell="C40" sqref="C40"/>
      <selection pane="bottomLeft" activeCell="B92" sqref="B92"/>
    </sheetView>
  </sheetViews>
  <sheetFormatPr defaultColWidth="9.140625" defaultRowHeight="12.75"/>
  <cols>
    <col min="1" max="1" width="2.5703125" style="3" customWidth="1"/>
    <col min="2" max="2" width="19.140625" style="3" customWidth="1"/>
    <col min="3" max="3" width="2.5703125" style="3" customWidth="1"/>
    <col min="4" max="4" width="35.5703125" style="3" customWidth="1"/>
    <col min="5" max="5" width="2.5703125" style="3" customWidth="1"/>
    <col min="6" max="6" width="10.5703125" style="3" customWidth="1"/>
    <col min="7" max="7" width="2.5703125" style="3" customWidth="1"/>
    <col min="8" max="8" width="37.85546875" style="3" customWidth="1"/>
    <col min="9" max="9" width="2.5703125" style="3" customWidth="1"/>
    <col min="10" max="10" width="10.5703125" style="3" customWidth="1"/>
    <col min="11" max="11" width="2.5703125" style="3" customWidth="1"/>
    <col min="12" max="12" width="25.5703125" style="3" customWidth="1"/>
    <col min="13" max="13" width="2.5703125" style="3" customWidth="1"/>
    <col min="14" max="14" width="10.5703125" style="3" customWidth="1"/>
    <col min="15" max="15" width="2.5703125" style="3" customWidth="1"/>
    <col min="16" max="16" width="25.5703125" style="3" customWidth="1"/>
    <col min="17" max="17" width="2.5703125" style="3" customWidth="1"/>
    <col min="18" max="18" width="10.5703125" style="3" customWidth="1"/>
    <col min="19" max="19" width="2.5703125" style="3" customWidth="1"/>
    <col min="20" max="20" width="25.5703125" style="3" customWidth="1"/>
    <col min="21" max="21" width="2.5703125" style="3" customWidth="1"/>
    <col min="22" max="22" width="10.5703125" style="3" customWidth="1"/>
    <col min="23" max="23" width="2.5703125" style="3" customWidth="1"/>
    <col min="24" max="24" width="25.5703125" style="3" customWidth="1"/>
    <col min="25" max="25" width="2.5703125" style="3" customWidth="1"/>
    <col min="26" max="16384" width="9.140625" style="3"/>
  </cols>
  <sheetData>
    <row r="2" spans="2:26" s="7" customFormat="1" ht="18">
      <c r="B2" s="7" t="s">
        <v>28</v>
      </c>
    </row>
    <row r="4" spans="2:26" s="8" customFormat="1">
      <c r="B4" s="8" t="s">
        <v>29</v>
      </c>
    </row>
    <row r="6" spans="2:26">
      <c r="B6" s="3" t="s">
        <v>30</v>
      </c>
    </row>
    <row r="7" spans="2:26">
      <c r="B7" s="3" t="s">
        <v>31</v>
      </c>
      <c r="H7" s="19"/>
    </row>
    <row r="9" spans="2:26" s="8" customFormat="1">
      <c r="B9" s="8" t="s">
        <v>32</v>
      </c>
    </row>
    <row r="11" spans="2:26" s="58" customFormat="1">
      <c r="B11" s="58" t="s">
        <v>33</v>
      </c>
    </row>
    <row r="12" spans="2:26" s="58" customFormat="1"/>
    <row r="13" spans="2:26" s="58" customFormat="1">
      <c r="B13" s="75"/>
      <c r="C13" s="75"/>
      <c r="D13" s="76" t="s">
        <v>34</v>
      </c>
      <c r="E13" s="75"/>
      <c r="F13" s="75"/>
      <c r="G13" s="75"/>
      <c r="H13" s="76" t="s">
        <v>35</v>
      </c>
      <c r="I13" s="75"/>
      <c r="J13" s="75"/>
      <c r="K13" s="75"/>
      <c r="L13" s="75"/>
      <c r="M13" s="75"/>
      <c r="N13" s="75"/>
      <c r="O13" s="75"/>
      <c r="P13" s="75"/>
      <c r="Q13" s="75"/>
      <c r="R13" s="75"/>
      <c r="S13" s="75"/>
      <c r="T13" s="76"/>
      <c r="U13" s="75"/>
      <c r="V13" s="75"/>
      <c r="W13" s="75"/>
      <c r="X13" s="76" t="s">
        <v>36</v>
      </c>
      <c r="Y13" s="75"/>
      <c r="Z13" s="75"/>
    </row>
    <row r="14" spans="2:26" s="58" customFormat="1" ht="14.25">
      <c r="B14" s="59"/>
      <c r="C14" s="59"/>
      <c r="D14" s="59"/>
      <c r="E14" s="59"/>
      <c r="F14" s="59"/>
      <c r="G14" s="59"/>
      <c r="H14" s="59"/>
      <c r="I14" s="59"/>
      <c r="J14" s="59"/>
      <c r="K14" s="59"/>
      <c r="L14" s="59"/>
      <c r="M14" s="59"/>
      <c r="N14" s="59"/>
      <c r="O14" s="59"/>
      <c r="P14" s="59"/>
      <c r="Q14" s="59"/>
      <c r="R14" s="59"/>
      <c r="S14" s="59"/>
      <c r="T14" s="59"/>
      <c r="V14" s="59"/>
      <c r="W14" s="59"/>
      <c r="X14" s="59"/>
      <c r="Z14" s="59"/>
    </row>
    <row r="15" spans="2:26" s="58" customFormat="1" ht="14.25">
      <c r="B15" s="59"/>
      <c r="C15" s="60"/>
      <c r="D15" s="61"/>
      <c r="E15" s="62"/>
      <c r="F15" s="63"/>
      <c r="G15" s="60"/>
      <c r="H15" s="61"/>
      <c r="I15" s="62"/>
      <c r="J15" s="63"/>
      <c r="K15" s="63"/>
      <c r="M15" s="63"/>
      <c r="N15" s="63"/>
      <c r="O15" s="63"/>
      <c r="Q15" s="63"/>
      <c r="R15" s="63"/>
      <c r="S15" s="59"/>
      <c r="V15" s="63"/>
      <c r="W15" s="59"/>
      <c r="Z15" s="63"/>
    </row>
    <row r="16" spans="2:26" s="58" customFormat="1" ht="14.25">
      <c r="B16" s="59"/>
      <c r="C16" s="64"/>
      <c r="D16" s="65" t="s">
        <v>37</v>
      </c>
      <c r="E16" s="66"/>
      <c r="F16" s="63"/>
      <c r="G16" s="64"/>
      <c r="H16" s="72" t="s">
        <v>38</v>
      </c>
      <c r="I16" s="66"/>
      <c r="J16" s="63"/>
      <c r="S16" s="59"/>
      <c r="W16" s="59"/>
    </row>
    <row r="17" spans="2:28" s="58" customFormat="1" ht="14.25">
      <c r="B17" s="59"/>
      <c r="C17" s="67"/>
      <c r="D17" s="68"/>
      <c r="E17" s="69"/>
      <c r="F17" s="63"/>
      <c r="G17" s="67"/>
      <c r="H17" s="68"/>
      <c r="I17" s="69"/>
      <c r="J17" s="63"/>
      <c r="S17" s="59"/>
      <c r="W17" s="59"/>
      <c r="AB17" s="70"/>
    </row>
    <row r="18" spans="2:28" s="58" customFormat="1" ht="14.25">
      <c r="B18" s="59"/>
      <c r="F18" s="63"/>
      <c r="J18" s="63"/>
      <c r="S18" s="59"/>
      <c r="W18" s="59"/>
    </row>
    <row r="19" spans="2:28" s="58" customFormat="1" ht="14.25">
      <c r="B19" s="59"/>
      <c r="F19" s="63"/>
      <c r="J19" s="63"/>
      <c r="S19" s="59"/>
      <c r="W19" s="59"/>
    </row>
    <row r="20" spans="2:28" s="58" customFormat="1" ht="14.25">
      <c r="B20" s="59"/>
      <c r="C20" s="60"/>
      <c r="D20" s="61"/>
      <c r="E20" s="62"/>
      <c r="F20" s="63"/>
      <c r="J20" s="63"/>
      <c r="S20" s="59"/>
      <c r="W20" s="59"/>
    </row>
    <row r="21" spans="2:28" s="58" customFormat="1" ht="14.25">
      <c r="B21" s="59"/>
      <c r="C21" s="64"/>
      <c r="D21" s="65" t="s">
        <v>39</v>
      </c>
      <c r="E21" s="66"/>
      <c r="F21" s="63"/>
      <c r="J21" s="63"/>
      <c r="S21" s="59"/>
      <c r="W21" s="59"/>
    </row>
    <row r="22" spans="2:28" s="58" customFormat="1" ht="14.25">
      <c r="B22" s="59"/>
      <c r="C22" s="67"/>
      <c r="D22" s="68"/>
      <c r="E22" s="69"/>
      <c r="F22" s="63"/>
      <c r="J22" s="63"/>
      <c r="S22" s="59"/>
      <c r="W22" s="59"/>
    </row>
    <row r="23" spans="2:28" s="58" customFormat="1" ht="14.25">
      <c r="B23" s="59"/>
      <c r="C23" s="63"/>
      <c r="D23" s="63"/>
      <c r="E23" s="63"/>
      <c r="F23" s="63"/>
      <c r="J23" s="63"/>
      <c r="S23" s="59"/>
      <c r="W23" s="59"/>
    </row>
    <row r="24" spans="2:28" s="58" customFormat="1" ht="14.25">
      <c r="B24" s="59"/>
      <c r="C24" s="60"/>
      <c r="D24" s="61"/>
      <c r="E24" s="62"/>
      <c r="F24" s="63"/>
      <c r="G24" s="60"/>
      <c r="H24" s="61"/>
      <c r="I24" s="62"/>
      <c r="J24" s="63"/>
      <c r="S24" s="59"/>
      <c r="W24" s="59"/>
    </row>
    <row r="25" spans="2:28" s="58" customFormat="1" ht="14.25">
      <c r="B25" s="59"/>
      <c r="C25" s="64"/>
      <c r="D25" s="65" t="s">
        <v>40</v>
      </c>
      <c r="E25" s="66"/>
      <c r="F25" s="63"/>
      <c r="G25" s="64"/>
      <c r="H25" s="84" t="s">
        <v>41</v>
      </c>
      <c r="I25" s="66"/>
      <c r="J25" s="63"/>
      <c r="S25" s="59"/>
      <c r="W25" s="59"/>
    </row>
    <row r="26" spans="2:28" s="58" customFormat="1" ht="14.25">
      <c r="B26" s="59"/>
      <c r="C26" s="67"/>
      <c r="D26" s="68"/>
      <c r="E26" s="69"/>
      <c r="F26" s="63"/>
      <c r="G26" s="67"/>
      <c r="H26" s="68"/>
      <c r="I26" s="69"/>
      <c r="J26" s="63"/>
      <c r="S26" s="59"/>
      <c r="W26" s="59"/>
    </row>
    <row r="27" spans="2:28" s="58" customFormat="1" ht="14.25">
      <c r="B27" s="59"/>
      <c r="C27" s="63"/>
      <c r="D27" s="63"/>
      <c r="E27" s="63"/>
      <c r="F27" s="63"/>
      <c r="J27" s="63"/>
      <c r="S27" s="59"/>
      <c r="W27" s="59"/>
    </row>
    <row r="28" spans="2:28" s="58" customFormat="1" ht="14.25">
      <c r="B28" s="59"/>
      <c r="C28" s="60"/>
      <c r="D28" s="61"/>
      <c r="E28" s="62"/>
      <c r="F28" s="63"/>
      <c r="G28" s="60"/>
      <c r="H28" s="61"/>
      <c r="I28" s="62"/>
      <c r="J28" s="63"/>
      <c r="S28" s="59"/>
      <c r="W28" s="59"/>
    </row>
    <row r="29" spans="2:28" s="58" customFormat="1" ht="14.25">
      <c r="B29" s="59"/>
      <c r="C29" s="64"/>
      <c r="D29" s="65" t="s">
        <v>42</v>
      </c>
      <c r="E29" s="66"/>
      <c r="F29" s="63"/>
      <c r="G29" s="64"/>
      <c r="H29" s="84" t="s">
        <v>43</v>
      </c>
      <c r="I29" s="66"/>
      <c r="J29" s="63"/>
      <c r="S29" s="59"/>
      <c r="W29" s="59"/>
    </row>
    <row r="30" spans="2:28" s="58" customFormat="1" ht="14.25">
      <c r="B30" s="59"/>
      <c r="C30" s="67"/>
      <c r="D30" s="68"/>
      <c r="E30" s="69"/>
      <c r="F30" s="63"/>
      <c r="G30" s="67"/>
      <c r="H30" s="68"/>
      <c r="I30" s="69"/>
      <c r="J30" s="63"/>
      <c r="S30" s="59"/>
      <c r="W30" s="59"/>
    </row>
    <row r="31" spans="2:28" s="58" customFormat="1" ht="14.25">
      <c r="B31" s="59"/>
      <c r="C31" s="63"/>
      <c r="D31" s="63"/>
      <c r="E31" s="63"/>
      <c r="F31" s="63"/>
      <c r="G31" s="59"/>
      <c r="H31" s="59"/>
      <c r="J31" s="63"/>
      <c r="S31" s="59"/>
      <c r="W31" s="59"/>
    </row>
    <row r="32" spans="2:28" s="58" customFormat="1" ht="14.25">
      <c r="B32" s="59"/>
      <c r="C32" s="60"/>
      <c r="D32" s="61"/>
      <c r="E32" s="62"/>
      <c r="F32" s="63"/>
      <c r="G32" s="60"/>
      <c r="H32" s="61"/>
      <c r="I32" s="62"/>
      <c r="J32" s="63"/>
      <c r="S32" s="59"/>
      <c r="W32" s="59"/>
    </row>
    <row r="33" spans="2:25" s="58" customFormat="1" ht="14.25">
      <c r="B33" s="59"/>
      <c r="C33" s="64"/>
      <c r="D33" s="65" t="s">
        <v>44</v>
      </c>
      <c r="E33" s="66"/>
      <c r="F33" s="63"/>
      <c r="G33" s="64"/>
      <c r="H33" s="84" t="s">
        <v>45</v>
      </c>
      <c r="I33" s="66"/>
      <c r="J33" s="63"/>
    </row>
    <row r="34" spans="2:25" s="58" customFormat="1" ht="14.25">
      <c r="B34" s="59"/>
      <c r="C34" s="67"/>
      <c r="D34" s="68"/>
      <c r="E34" s="69"/>
      <c r="F34" s="63"/>
      <c r="G34" s="67"/>
      <c r="H34" s="68"/>
      <c r="I34" s="69"/>
      <c r="J34" s="63"/>
      <c r="K34" s="60"/>
      <c r="L34" s="61"/>
      <c r="M34" s="62"/>
      <c r="O34" s="60"/>
      <c r="P34" s="61"/>
      <c r="Q34" s="62"/>
      <c r="S34" s="60"/>
      <c r="T34" s="61"/>
      <c r="U34" s="62"/>
      <c r="W34" s="60"/>
      <c r="X34" s="61"/>
      <c r="Y34" s="62"/>
    </row>
    <row r="35" spans="2:25" s="58" customFormat="1" ht="14.25">
      <c r="B35" s="59"/>
      <c r="F35" s="63"/>
      <c r="J35" s="63"/>
      <c r="K35" s="64"/>
      <c r="L35" s="84" t="s">
        <v>46</v>
      </c>
      <c r="M35" s="66"/>
      <c r="O35" s="64"/>
      <c r="P35" s="84" t="s">
        <v>47</v>
      </c>
      <c r="Q35" s="66"/>
      <c r="S35" s="64"/>
      <c r="T35" s="84" t="s">
        <v>48</v>
      </c>
      <c r="U35" s="66"/>
      <c r="W35" s="64"/>
      <c r="X35" s="71" t="s">
        <v>49</v>
      </c>
      <c r="Y35" s="66"/>
    </row>
    <row r="36" spans="2:25" s="58" customFormat="1" ht="14.25">
      <c r="B36" s="59"/>
      <c r="C36" s="60"/>
      <c r="D36" s="61"/>
      <c r="E36" s="62"/>
      <c r="F36" s="63"/>
      <c r="G36" s="60"/>
      <c r="H36" s="61"/>
      <c r="I36" s="62"/>
      <c r="J36" s="63"/>
      <c r="K36" s="67"/>
      <c r="L36" s="68"/>
      <c r="M36" s="69"/>
      <c r="O36" s="67"/>
      <c r="P36" s="68"/>
      <c r="Q36" s="69"/>
      <c r="S36" s="67"/>
      <c r="T36" s="68"/>
      <c r="U36" s="69"/>
      <c r="W36" s="67"/>
      <c r="X36" s="68"/>
      <c r="Y36" s="69"/>
    </row>
    <row r="37" spans="2:25" s="58" customFormat="1" ht="14.25">
      <c r="B37" s="59"/>
      <c r="C37" s="64"/>
      <c r="D37" s="65" t="s">
        <v>50</v>
      </c>
      <c r="E37" s="66"/>
      <c r="F37" s="63"/>
      <c r="G37" s="64"/>
      <c r="H37" s="84" t="s">
        <v>51</v>
      </c>
      <c r="I37" s="66"/>
      <c r="J37" s="63"/>
      <c r="K37" s="73"/>
      <c r="L37" s="74"/>
      <c r="M37" s="73"/>
      <c r="O37" s="73"/>
      <c r="P37" s="74"/>
      <c r="Q37" s="73"/>
      <c r="S37" s="59"/>
      <c r="W37" s="59"/>
    </row>
    <row r="38" spans="2:25" s="58" customFormat="1" ht="14.25">
      <c r="B38" s="59"/>
      <c r="C38" s="67"/>
      <c r="D38" s="68"/>
      <c r="E38" s="69"/>
      <c r="F38" s="63"/>
      <c r="G38" s="67"/>
      <c r="H38" s="68"/>
      <c r="I38" s="69"/>
      <c r="J38" s="63"/>
      <c r="K38" s="73"/>
      <c r="L38" s="73"/>
      <c r="M38" s="73"/>
      <c r="O38" s="73"/>
      <c r="P38" s="73"/>
      <c r="Q38" s="73"/>
      <c r="S38" s="59"/>
      <c r="W38" s="59"/>
    </row>
    <row r="39" spans="2:25" s="58" customFormat="1" ht="14.25">
      <c r="B39" s="312"/>
      <c r="C39" s="63"/>
      <c r="D39" s="63"/>
      <c r="E39" s="63"/>
      <c r="F39" s="63"/>
      <c r="J39" s="63"/>
      <c r="S39" s="59"/>
      <c r="W39" s="59"/>
    </row>
    <row r="40" spans="2:25" s="58" customFormat="1" ht="14.25">
      <c r="B40" s="59"/>
      <c r="C40" s="60"/>
      <c r="D40" s="61"/>
      <c r="E40" s="62"/>
      <c r="F40" s="63"/>
      <c r="G40" s="60"/>
      <c r="H40" s="61"/>
      <c r="I40" s="62"/>
      <c r="J40" s="63"/>
      <c r="K40" s="73"/>
      <c r="L40" s="73"/>
      <c r="M40" s="73"/>
      <c r="O40" s="73"/>
      <c r="P40" s="73"/>
      <c r="Q40" s="73"/>
    </row>
    <row r="41" spans="2:25" s="58" customFormat="1" ht="14.25">
      <c r="B41" s="59"/>
      <c r="C41" s="64"/>
      <c r="D41" s="65" t="s">
        <v>52</v>
      </c>
      <c r="E41" s="66"/>
      <c r="F41" s="63"/>
      <c r="G41" s="64"/>
      <c r="H41" s="84" t="s">
        <v>53</v>
      </c>
      <c r="I41" s="66"/>
      <c r="J41" s="63"/>
      <c r="K41" s="73"/>
      <c r="L41" s="74"/>
      <c r="M41" s="73"/>
      <c r="O41" s="73"/>
      <c r="P41" s="74"/>
      <c r="Q41" s="73"/>
    </row>
    <row r="42" spans="2:25" s="58" customFormat="1" ht="14.25">
      <c r="B42" s="59"/>
      <c r="C42" s="67"/>
      <c r="D42" s="68"/>
      <c r="E42" s="69"/>
      <c r="F42" s="63"/>
      <c r="G42" s="67"/>
      <c r="H42" s="68"/>
      <c r="I42" s="69"/>
      <c r="J42" s="63"/>
      <c r="K42" s="73"/>
      <c r="L42" s="73"/>
      <c r="M42" s="73"/>
      <c r="O42" s="73"/>
      <c r="P42" s="73"/>
      <c r="Q42" s="73"/>
    </row>
    <row r="43" spans="2:25" s="58" customFormat="1" ht="14.25">
      <c r="B43" s="59"/>
      <c r="C43" s="63"/>
      <c r="D43" s="63"/>
      <c r="E43" s="63"/>
      <c r="F43" s="63"/>
      <c r="G43" s="63"/>
      <c r="H43" s="63"/>
      <c r="I43" s="63"/>
      <c r="J43" s="63"/>
      <c r="K43" s="73"/>
      <c r="L43" s="73"/>
      <c r="M43" s="73"/>
      <c r="O43" s="73"/>
      <c r="P43" s="73"/>
      <c r="Q43" s="73"/>
    </row>
    <row r="44" spans="2:25" s="58" customFormat="1" ht="14.25">
      <c r="B44" s="59"/>
      <c r="C44" s="60"/>
      <c r="D44" s="61"/>
      <c r="E44" s="62"/>
      <c r="F44" s="63"/>
      <c r="G44" s="60"/>
      <c r="H44" s="61"/>
      <c r="I44" s="62"/>
      <c r="J44" s="63"/>
      <c r="K44" s="73"/>
      <c r="L44" s="73"/>
      <c r="M44" s="73"/>
      <c r="O44" s="73"/>
      <c r="P44" s="73"/>
      <c r="Q44" s="73"/>
    </row>
    <row r="45" spans="2:25" s="58" customFormat="1" ht="14.25">
      <c r="B45" s="59"/>
      <c r="C45" s="64"/>
      <c r="D45" s="65" t="s">
        <v>54</v>
      </c>
      <c r="E45" s="66"/>
      <c r="F45" s="63"/>
      <c r="G45" s="64"/>
      <c r="H45" s="84" t="s">
        <v>55</v>
      </c>
      <c r="I45" s="66"/>
      <c r="J45" s="63"/>
      <c r="K45" s="73"/>
      <c r="L45" s="73"/>
      <c r="M45" s="73"/>
      <c r="O45" s="73"/>
      <c r="P45" s="73"/>
      <c r="Q45" s="73"/>
    </row>
    <row r="46" spans="2:25" s="58" customFormat="1" ht="14.25">
      <c r="B46" s="59"/>
      <c r="C46" s="67"/>
      <c r="D46" s="68"/>
      <c r="E46" s="69"/>
      <c r="F46" s="63"/>
      <c r="G46" s="67"/>
      <c r="H46" s="68"/>
      <c r="I46" s="69"/>
      <c r="J46" s="63"/>
      <c r="K46" s="73"/>
      <c r="L46" s="73"/>
      <c r="M46" s="73"/>
      <c r="O46" s="73"/>
      <c r="P46" s="73"/>
      <c r="Q46" s="73"/>
    </row>
    <row r="47" spans="2:25" s="58" customFormat="1" ht="14.25">
      <c r="B47" s="59"/>
      <c r="F47" s="63"/>
      <c r="J47" s="63"/>
      <c r="S47" s="59"/>
      <c r="W47" s="59"/>
    </row>
    <row r="48" spans="2:25" s="58" customFormat="1" ht="14.25">
      <c r="B48" s="59"/>
      <c r="C48" s="60"/>
      <c r="D48" s="61"/>
      <c r="E48" s="62"/>
      <c r="G48" s="60"/>
      <c r="H48" s="61"/>
      <c r="I48" s="62"/>
      <c r="K48" s="73"/>
      <c r="L48" s="73"/>
      <c r="M48" s="73"/>
      <c r="O48" s="73"/>
    </row>
    <row r="49" spans="2:25" s="58" customFormat="1" ht="14.25">
      <c r="B49" s="59"/>
      <c r="C49" s="64"/>
      <c r="D49" s="65" t="s">
        <v>56</v>
      </c>
      <c r="E49" s="66"/>
      <c r="G49" s="64"/>
      <c r="H49" s="84" t="s">
        <v>57</v>
      </c>
      <c r="I49" s="66"/>
      <c r="K49" s="73"/>
      <c r="L49" s="74"/>
      <c r="M49" s="73"/>
      <c r="O49" s="73"/>
    </row>
    <row r="50" spans="2:25" s="58" customFormat="1" ht="14.25">
      <c r="B50" s="59"/>
      <c r="C50" s="67"/>
      <c r="D50" s="68"/>
      <c r="E50" s="69"/>
      <c r="G50" s="67"/>
      <c r="H50" s="68"/>
      <c r="I50" s="69"/>
      <c r="K50" s="73"/>
      <c r="L50" s="73"/>
      <c r="M50" s="73"/>
      <c r="N50" s="73"/>
      <c r="O50" s="73"/>
    </row>
    <row r="51" spans="2:25" s="58" customFormat="1" ht="14.25">
      <c r="C51" s="63"/>
      <c r="D51" s="63"/>
      <c r="E51" s="63"/>
      <c r="F51" s="59"/>
      <c r="J51" s="59"/>
      <c r="N51" s="74"/>
      <c r="O51" s="73"/>
      <c r="Y51" s="73"/>
    </row>
    <row r="52" spans="2:25" s="58" customFormat="1" ht="14.25">
      <c r="B52" s="59"/>
      <c r="C52" s="60"/>
      <c r="D52" s="61"/>
      <c r="E52" s="62"/>
      <c r="G52" s="60"/>
      <c r="H52" s="61"/>
      <c r="I52" s="62"/>
      <c r="N52" s="73"/>
      <c r="O52" s="73"/>
      <c r="Y52" s="73"/>
    </row>
    <row r="53" spans="2:25" s="58" customFormat="1" ht="14.25">
      <c r="B53" s="59"/>
      <c r="C53" s="64"/>
      <c r="D53" s="189" t="s">
        <v>58</v>
      </c>
      <c r="E53" s="66"/>
      <c r="G53" s="64"/>
      <c r="H53" s="84" t="s">
        <v>59</v>
      </c>
      <c r="I53" s="66"/>
      <c r="S53" s="73"/>
      <c r="U53" s="73"/>
      <c r="V53" s="73"/>
      <c r="Y53" s="73"/>
    </row>
    <row r="54" spans="2:25" s="58" customFormat="1" ht="14.25">
      <c r="B54" s="59"/>
      <c r="C54" s="67"/>
      <c r="D54" s="68"/>
      <c r="E54" s="69"/>
      <c r="G54" s="67"/>
      <c r="H54" s="68"/>
      <c r="I54" s="69"/>
      <c r="S54" s="73"/>
      <c r="U54" s="73"/>
      <c r="V54" s="73"/>
      <c r="W54" s="73"/>
      <c r="X54" s="74"/>
      <c r="Y54" s="73"/>
    </row>
    <row r="55" spans="2:25" s="58" customFormat="1" ht="14.25">
      <c r="B55" s="59"/>
      <c r="E55" s="59"/>
      <c r="S55" s="73"/>
      <c r="U55" s="73"/>
      <c r="V55" s="73"/>
      <c r="W55" s="73"/>
      <c r="X55" s="73"/>
      <c r="Y55" s="73"/>
    </row>
    <row r="56" spans="2:25" s="58" customFormat="1" ht="14.25">
      <c r="B56" s="59"/>
      <c r="C56" s="60"/>
      <c r="D56" s="61"/>
      <c r="E56" s="62"/>
      <c r="G56" s="60"/>
      <c r="H56" s="61"/>
      <c r="I56" s="62"/>
      <c r="S56" s="73"/>
      <c r="T56" s="73"/>
      <c r="U56" s="73"/>
      <c r="W56" s="73"/>
      <c r="X56" s="73"/>
      <c r="Y56" s="73"/>
    </row>
    <row r="57" spans="2:25" s="58" customFormat="1" ht="14.25">
      <c r="B57" s="59"/>
      <c r="C57" s="64"/>
      <c r="D57" s="189" t="s">
        <v>60</v>
      </c>
      <c r="E57" s="66"/>
      <c r="G57" s="64"/>
      <c r="H57" s="84" t="s">
        <v>61</v>
      </c>
      <c r="I57" s="66"/>
      <c r="Q57" s="73"/>
      <c r="R57" s="73"/>
      <c r="S57" s="73"/>
      <c r="T57" s="73"/>
      <c r="U57" s="73"/>
      <c r="W57" s="73"/>
      <c r="X57" s="73"/>
      <c r="Y57" s="73"/>
    </row>
    <row r="58" spans="2:25" s="58" customFormat="1" ht="14.25">
      <c r="B58" s="59"/>
      <c r="C58" s="67"/>
      <c r="D58" s="68"/>
      <c r="E58" s="69"/>
      <c r="G58" s="67"/>
      <c r="H58" s="68"/>
      <c r="I58" s="69"/>
      <c r="Q58" s="73"/>
      <c r="R58" s="73"/>
      <c r="S58" s="73"/>
      <c r="T58" s="73"/>
      <c r="U58" s="73"/>
      <c r="W58" s="73"/>
      <c r="X58" s="73"/>
      <c r="Y58" s="73"/>
    </row>
    <row r="59" spans="2:25" s="58" customFormat="1" ht="14.25">
      <c r="B59" s="59"/>
      <c r="H59" s="74"/>
      <c r="S59" s="73"/>
      <c r="T59" s="73"/>
      <c r="U59" s="73"/>
      <c r="W59" s="73"/>
      <c r="X59" s="73"/>
      <c r="Y59" s="73"/>
    </row>
    <row r="60" spans="2:25" s="58" customFormat="1" ht="14.25">
      <c r="B60" s="59"/>
      <c r="C60" s="60"/>
      <c r="D60" s="61"/>
      <c r="E60" s="62"/>
      <c r="S60" s="73"/>
      <c r="T60" s="73"/>
      <c r="U60" s="73"/>
      <c r="W60" s="73"/>
      <c r="X60" s="73"/>
      <c r="Y60" s="73"/>
    </row>
    <row r="61" spans="2:25" s="58" customFormat="1" ht="14.25">
      <c r="B61" s="59"/>
      <c r="C61" s="64"/>
      <c r="D61" s="189" t="s">
        <v>62</v>
      </c>
      <c r="E61" s="66"/>
      <c r="S61" s="73"/>
      <c r="T61" s="73"/>
      <c r="U61" s="73"/>
      <c r="W61" s="73"/>
      <c r="X61" s="73"/>
      <c r="Y61" s="73"/>
    </row>
    <row r="62" spans="2:25" s="58" customFormat="1" ht="14.25">
      <c r="B62" s="59"/>
      <c r="C62" s="67"/>
      <c r="D62" s="68"/>
      <c r="E62" s="69"/>
      <c r="S62" s="73"/>
      <c r="T62" s="73"/>
      <c r="U62" s="73"/>
      <c r="W62" s="73"/>
      <c r="X62" s="73"/>
      <c r="Y62" s="73"/>
    </row>
    <row r="63" spans="2:25" s="58" customFormat="1" ht="14.25">
      <c r="B63" s="59"/>
      <c r="S63" s="73"/>
      <c r="T63" s="73"/>
      <c r="U63" s="73"/>
      <c r="W63" s="73"/>
      <c r="X63" s="73"/>
      <c r="Y63" s="73"/>
    </row>
    <row r="64" spans="2:25" s="58" customFormat="1" ht="14.25">
      <c r="B64" s="59"/>
      <c r="C64" s="60"/>
      <c r="D64" s="61"/>
      <c r="E64" s="62"/>
      <c r="S64" s="73"/>
      <c r="T64" s="73"/>
      <c r="U64" s="73"/>
      <c r="W64" s="73"/>
      <c r="X64" s="73"/>
      <c r="Y64" s="73"/>
    </row>
    <row r="65" spans="2:25" s="58" customFormat="1" ht="14.25">
      <c r="B65" s="59"/>
      <c r="C65" s="64"/>
      <c r="D65" s="189" t="s">
        <v>63</v>
      </c>
      <c r="E65" s="66"/>
      <c r="S65" s="73"/>
      <c r="T65" s="73"/>
      <c r="U65" s="73"/>
      <c r="W65" s="73"/>
      <c r="X65" s="73"/>
      <c r="Y65" s="73"/>
    </row>
    <row r="66" spans="2:25" s="58" customFormat="1" ht="14.25">
      <c r="B66" s="59"/>
      <c r="C66" s="67"/>
      <c r="D66" s="68"/>
      <c r="E66" s="69"/>
      <c r="S66" s="73"/>
      <c r="T66" s="73"/>
      <c r="U66" s="73"/>
      <c r="W66" s="73"/>
      <c r="X66" s="73"/>
      <c r="Y66" s="73"/>
    </row>
    <row r="67" spans="2:25" s="58" customFormat="1" ht="14.25">
      <c r="B67" s="59"/>
      <c r="S67" s="73"/>
      <c r="T67" s="73"/>
      <c r="U67" s="73"/>
      <c r="W67" s="73"/>
      <c r="X67" s="73"/>
      <c r="Y67" s="73"/>
    </row>
    <row r="68" spans="2:25" s="58" customFormat="1" ht="14.25">
      <c r="B68" s="59"/>
      <c r="C68" s="60"/>
      <c r="D68" s="61"/>
      <c r="E68" s="62"/>
      <c r="S68" s="73"/>
      <c r="T68" s="73"/>
      <c r="U68" s="73"/>
      <c r="W68" s="73"/>
      <c r="X68" s="73"/>
      <c r="Y68" s="73"/>
    </row>
    <row r="69" spans="2:25" s="58" customFormat="1" ht="14.25">
      <c r="B69" s="59"/>
      <c r="C69" s="64"/>
      <c r="D69" s="189" t="s">
        <v>64</v>
      </c>
      <c r="E69" s="66"/>
      <c r="S69" s="73"/>
      <c r="T69" s="73"/>
      <c r="U69" s="73"/>
      <c r="W69" s="73"/>
      <c r="X69" s="73"/>
      <c r="Y69" s="73"/>
    </row>
    <row r="70" spans="2:25" s="58" customFormat="1" ht="14.25">
      <c r="B70" s="59"/>
      <c r="C70" s="67"/>
      <c r="D70" s="68"/>
      <c r="E70" s="69"/>
      <c r="S70" s="73"/>
      <c r="T70" s="73"/>
      <c r="U70" s="73"/>
      <c r="W70" s="73"/>
      <c r="X70" s="73"/>
      <c r="Y70" s="73"/>
    </row>
    <row r="71" spans="2:25" s="58" customFormat="1" ht="14.25">
      <c r="B71" s="59"/>
      <c r="C71" s="63"/>
      <c r="D71" s="63"/>
      <c r="E71" s="63"/>
      <c r="S71" s="73"/>
      <c r="T71" s="73"/>
      <c r="U71" s="73"/>
      <c r="W71" s="73"/>
      <c r="X71" s="73"/>
      <c r="Y71" s="73"/>
    </row>
    <row r="72" spans="2:25" s="58" customFormat="1" ht="14.25">
      <c r="B72" s="59"/>
      <c r="C72" s="63"/>
      <c r="D72" s="63"/>
      <c r="E72" s="63"/>
      <c r="S72" s="73"/>
      <c r="T72" s="73"/>
      <c r="U72" s="73"/>
      <c r="W72" s="73"/>
      <c r="X72" s="73"/>
      <c r="Y72" s="73"/>
    </row>
    <row r="73" spans="2:25" s="58" customFormat="1" ht="14.25">
      <c r="B73" s="59"/>
      <c r="C73" s="63"/>
      <c r="D73" s="63"/>
      <c r="E73" s="63"/>
      <c r="S73" s="73"/>
      <c r="T73" s="73"/>
      <c r="U73" s="73"/>
      <c r="W73" s="73"/>
      <c r="X73" s="73"/>
      <c r="Y73" s="73"/>
    </row>
    <row r="74" spans="2:25" s="58" customFormat="1" ht="14.25">
      <c r="B74" s="59"/>
      <c r="C74" s="63"/>
      <c r="D74" s="63"/>
      <c r="E74" s="63"/>
      <c r="S74" s="73"/>
      <c r="T74" s="73"/>
      <c r="U74" s="73"/>
      <c r="W74" s="73"/>
      <c r="X74" s="73"/>
      <c r="Y74" s="73"/>
    </row>
    <row r="75" spans="2:25" s="58" customFormat="1" ht="14.25">
      <c r="B75" s="59"/>
      <c r="C75" s="63"/>
      <c r="D75" s="63"/>
      <c r="E75" s="63"/>
      <c r="S75" s="73"/>
      <c r="T75" s="73"/>
      <c r="U75" s="73"/>
      <c r="W75" s="73"/>
      <c r="X75" s="73"/>
      <c r="Y75" s="73"/>
    </row>
    <row r="76" spans="2:25" s="58" customFormat="1" ht="14.25">
      <c r="B76" s="59"/>
      <c r="C76" s="63"/>
      <c r="D76" s="63"/>
      <c r="E76" s="63"/>
      <c r="S76" s="73"/>
      <c r="T76" s="73"/>
      <c r="U76" s="73"/>
      <c r="W76" s="73"/>
      <c r="X76" s="73"/>
      <c r="Y76" s="73"/>
    </row>
    <row r="77" spans="2:25" s="58" customFormat="1" ht="14.25">
      <c r="B77" s="59"/>
      <c r="C77" s="63"/>
      <c r="D77" s="63"/>
      <c r="E77" s="63"/>
      <c r="S77" s="73"/>
      <c r="T77" s="73"/>
      <c r="U77" s="73"/>
      <c r="W77" s="73"/>
      <c r="X77" s="73"/>
      <c r="Y77" s="73"/>
    </row>
    <row r="78" spans="2:25" s="58" customFormat="1" ht="14.25">
      <c r="B78" s="59"/>
      <c r="C78" s="59"/>
      <c r="D78" s="59"/>
      <c r="E78" s="59"/>
      <c r="F78" s="59"/>
      <c r="G78" s="59"/>
      <c r="S78" s="73"/>
      <c r="T78" s="73"/>
      <c r="U78" s="73"/>
      <c r="W78" s="73"/>
      <c r="X78" s="73"/>
      <c r="Y78" s="73"/>
    </row>
    <row r="79" spans="2:25" s="58" customFormat="1" ht="14.25">
      <c r="B79" s="59"/>
      <c r="S79" s="73"/>
      <c r="T79" s="73"/>
      <c r="U79" s="73"/>
      <c r="W79" s="73"/>
      <c r="X79" s="73"/>
      <c r="Y79" s="73"/>
    </row>
    <row r="80" spans="2:25" s="8" customFormat="1">
      <c r="B80" s="8" t="s">
        <v>65</v>
      </c>
    </row>
    <row r="82" spans="2:10">
      <c r="B82" s="16" t="s">
        <v>66</v>
      </c>
      <c r="D82" s="16" t="s">
        <v>67</v>
      </c>
      <c r="F82" s="5"/>
      <c r="J82" s="5"/>
    </row>
    <row r="83" spans="2:10">
      <c r="F83" s="5"/>
      <c r="J83" s="5"/>
    </row>
    <row r="84" spans="2:10">
      <c r="B84" s="156">
        <v>123</v>
      </c>
      <c r="D84" s="3" t="s">
        <v>68</v>
      </c>
    </row>
    <row r="85" spans="2:10">
      <c r="B85" s="157">
        <f>B84</f>
        <v>123</v>
      </c>
      <c r="D85" s="3" t="s">
        <v>69</v>
      </c>
    </row>
    <row r="86" spans="2:10">
      <c r="B86" s="158">
        <f>B85+B84</f>
        <v>246</v>
      </c>
      <c r="D86" s="3" t="s">
        <v>70</v>
      </c>
    </row>
    <row r="87" spans="2:10">
      <c r="B87" s="18">
        <f>B85+B86</f>
        <v>369</v>
      </c>
      <c r="D87" s="3" t="s">
        <v>71</v>
      </c>
    </row>
    <row r="88" spans="2:10">
      <c r="B88" s="190">
        <v>123</v>
      </c>
      <c r="D88" s="3" t="s">
        <v>72</v>
      </c>
    </row>
    <row r="89" spans="2:10">
      <c r="B89" s="159"/>
      <c r="D89" s="3" t="s">
        <v>73</v>
      </c>
      <c r="E89" s="5"/>
      <c r="F89" s="5"/>
      <c r="J89" s="5"/>
    </row>
    <row r="90" spans="2:10">
      <c r="E90" s="5"/>
    </row>
    <row r="91" spans="2:10">
      <c r="B91" s="17" t="s">
        <v>74</v>
      </c>
      <c r="E91" s="5"/>
    </row>
    <row r="92" spans="2:10">
      <c r="B92" s="20">
        <f>B87+16</f>
        <v>385</v>
      </c>
      <c r="D92" s="3" t="s">
        <v>75</v>
      </c>
    </row>
    <row r="93" spans="2:10">
      <c r="B93" s="233">
        <v>385</v>
      </c>
      <c r="D93" t="s">
        <v>76</v>
      </c>
    </row>
    <row r="94" spans="2:10">
      <c r="B94" s="160"/>
      <c r="C94" s="160"/>
    </row>
    <row r="95" spans="2:10">
      <c r="B95" s="17" t="s">
        <v>77</v>
      </c>
      <c r="C95" s="161"/>
    </row>
    <row r="96" spans="2:10">
      <c r="B96" s="162">
        <v>123</v>
      </c>
      <c r="C96" s="161"/>
      <c r="D96" s="3" t="s">
        <v>78</v>
      </c>
    </row>
    <row r="97" spans="2:7">
      <c r="B97" s="21">
        <v>124</v>
      </c>
      <c r="C97" s="161"/>
      <c r="D97" s="3" t="s">
        <v>79</v>
      </c>
    </row>
    <row r="98" spans="2:7">
      <c r="B98" s="22">
        <f>B96-B97</f>
        <v>-1</v>
      </c>
      <c r="C98" s="163"/>
      <c r="D98" s="3" t="s">
        <v>80</v>
      </c>
      <c r="G98" s="5"/>
    </row>
    <row r="101" spans="2:7">
      <c r="B101" s="16" t="s">
        <v>81</v>
      </c>
    </row>
    <row r="102" spans="2:7">
      <c r="B102" s="2"/>
    </row>
    <row r="103" spans="2:7">
      <c r="B103" s="17" t="s">
        <v>82</v>
      </c>
    </row>
    <row r="104" spans="2:7">
      <c r="B104" s="18" t="s">
        <v>83</v>
      </c>
      <c r="D104" s="3" t="s">
        <v>84</v>
      </c>
    </row>
    <row r="105" spans="2:7">
      <c r="B105" s="156" t="s">
        <v>85</v>
      </c>
      <c r="D105" s="3" t="s">
        <v>86</v>
      </c>
    </row>
    <row r="106" spans="2:7">
      <c r="B106" s="191" t="s">
        <v>87</v>
      </c>
      <c r="D106" s="3" t="s">
        <v>88</v>
      </c>
    </row>
    <row r="107" spans="2:7">
      <c r="B107" s="158" t="s">
        <v>89</v>
      </c>
      <c r="D107" s="3" t="s">
        <v>90</v>
      </c>
    </row>
    <row r="109" spans="2:7">
      <c r="B109" s="17" t="s">
        <v>91</v>
      </c>
    </row>
    <row r="110" spans="2:7">
      <c r="B110" s="14" t="s">
        <v>92</v>
      </c>
      <c r="D110" s="3" t="s">
        <v>93</v>
      </c>
    </row>
    <row r="111" spans="2:7">
      <c r="B111" s="79" t="s">
        <v>94</v>
      </c>
      <c r="D111" s="3" t="s">
        <v>95</v>
      </c>
    </row>
    <row r="113" spans="2:2">
      <c r="B113" s="164"/>
    </row>
  </sheetData>
  <pageMargins left="0.75" right="0.75" top="1" bottom="1" header="0.5" footer="0.5"/>
  <pageSetup paperSize="9" scale="29" orientation="portrait" r:id="rId1"/>
  <headerFooter alignWithMargins="0">
    <oddFooter>&amp;C_x000D_&amp;1#&amp;"Calibri"&amp;10&amp;K000000 Vertrouwelijk/Confidential</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26E5-7712-4F84-9367-743E2AD4D825}">
  <sheetPr>
    <tabColor rgb="FFCCCCFF"/>
  </sheetPr>
  <dimension ref="B1:S28"/>
  <sheetViews>
    <sheetView showGridLines="0" zoomScale="85" zoomScaleNormal="85" workbookViewId="0"/>
  </sheetViews>
  <sheetFormatPr defaultRowHeight="12.75"/>
  <cols>
    <col min="1" max="1" width="2.5703125" customWidth="1"/>
    <col min="2" max="2" width="76.85546875" bestFit="1" customWidth="1"/>
    <col min="3" max="3" width="37" bestFit="1" customWidth="1"/>
    <col min="4" max="4" width="7.5703125" bestFit="1" customWidth="1"/>
    <col min="5" max="6" width="13" bestFit="1" customWidth="1"/>
    <col min="7" max="7" width="72.42578125" bestFit="1" customWidth="1"/>
    <col min="8" max="8" width="9.5703125" bestFit="1" customWidth="1"/>
    <col min="9" max="9" width="10.85546875" bestFit="1" customWidth="1"/>
    <col min="10" max="10" width="19.5703125" bestFit="1" customWidth="1"/>
    <col min="11" max="11" width="31" bestFit="1" customWidth="1"/>
    <col min="12" max="12" width="8.5703125" bestFit="1" customWidth="1"/>
    <col min="13" max="13" width="39" bestFit="1" customWidth="1"/>
    <col min="14" max="14" width="42.140625" bestFit="1" customWidth="1"/>
    <col min="15" max="15" width="28.42578125" bestFit="1" customWidth="1"/>
    <col min="16" max="16" width="80.5703125" bestFit="1" customWidth="1"/>
    <col min="17" max="17" width="66.5703125" bestFit="1" customWidth="1"/>
    <col min="18" max="18" width="37.85546875" bestFit="1" customWidth="1"/>
    <col min="19" max="19" width="8.42578125" bestFit="1" customWidth="1"/>
    <col min="20" max="20" width="13.42578125" bestFit="1" customWidth="1"/>
  </cols>
  <sheetData>
    <row r="1" spans="2:19" s="3" customFormat="1"/>
    <row r="2" spans="2:19" s="12" customFormat="1" ht="18">
      <c r="B2" s="12" t="s">
        <v>857</v>
      </c>
    </row>
    <row r="3" spans="2:19" s="3" customFormat="1"/>
    <row r="4" spans="2:19" s="3" customFormat="1">
      <c r="B4" s="2" t="s">
        <v>197</v>
      </c>
    </row>
    <row r="5" spans="2:19" s="3" customFormat="1">
      <c r="B5" s="3" t="s">
        <v>858</v>
      </c>
    </row>
    <row r="6" spans="2:19" s="3" customFormat="1"/>
    <row r="7" spans="2:19" s="3" customFormat="1">
      <c r="B7" s="16" t="s">
        <v>816</v>
      </c>
      <c r="C7" s="183"/>
      <c r="D7" s="2"/>
    </row>
    <row r="8" spans="2:19" s="3" customFormat="1" ht="16.5" customHeight="1">
      <c r="B8" s="349" t="s">
        <v>859</v>
      </c>
      <c r="C8" s="349"/>
      <c r="D8" s="349"/>
      <c r="E8" s="349"/>
      <c r="F8" s="349"/>
      <c r="G8" s="349"/>
      <c r="H8" s="349"/>
      <c r="I8" s="349"/>
      <c r="J8" s="349"/>
      <c r="K8" s="349"/>
      <c r="L8" s="349"/>
      <c r="M8" s="349"/>
    </row>
    <row r="9" spans="2:19" s="3" customFormat="1">
      <c r="B9" s="4"/>
      <c r="C9" s="183"/>
    </row>
    <row r="10" spans="2:19" s="3" customFormat="1">
      <c r="B10" s="178" t="s">
        <v>818</v>
      </c>
      <c r="C10" s="183"/>
    </row>
    <row r="11" spans="2:19" s="3" customFormat="1">
      <c r="B11" s="355">
        <v>45050</v>
      </c>
      <c r="C11" s="355"/>
      <c r="D11" s="355"/>
      <c r="E11" s="120"/>
    </row>
    <row r="13" spans="2:19">
      <c r="B13" s="178" t="s">
        <v>819</v>
      </c>
      <c r="C13" s="3"/>
      <c r="D13" s="3"/>
      <c r="E13" s="3"/>
      <c r="F13" s="3"/>
      <c r="G13" s="3"/>
      <c r="H13" s="3"/>
      <c r="I13" s="3"/>
      <c r="J13" s="3"/>
      <c r="K13" s="3"/>
      <c r="L13" s="3"/>
      <c r="M13" s="3"/>
      <c r="N13" s="3"/>
      <c r="O13" s="3"/>
      <c r="P13" s="3"/>
      <c r="Q13" s="3"/>
      <c r="R13" s="3"/>
      <c r="S13" s="3"/>
    </row>
    <row r="14" spans="2:19" ht="12.75" customHeight="1">
      <c r="B14" s="355" t="s">
        <v>860</v>
      </c>
      <c r="C14" s="355"/>
      <c r="D14" s="355"/>
      <c r="E14" s="355"/>
      <c r="F14" s="355"/>
      <c r="G14" s="1"/>
      <c r="H14" s="1"/>
      <c r="I14" s="1"/>
      <c r="J14" s="1"/>
      <c r="K14" s="1"/>
      <c r="L14" s="1"/>
      <c r="M14" s="1"/>
      <c r="N14" s="1"/>
      <c r="O14" s="1"/>
      <c r="P14" s="1"/>
      <c r="Q14" s="1"/>
      <c r="R14" s="1"/>
      <c r="S14" s="1"/>
    </row>
    <row r="16" spans="2:19">
      <c r="B16" s="179" t="s">
        <v>821</v>
      </c>
    </row>
    <row r="17" spans="2:8">
      <c r="B17" s="127">
        <f>SUBTOTAL(103,B20:B460)</f>
        <v>9</v>
      </c>
    </row>
    <row r="18" spans="2:8" ht="14.25" customHeight="1"/>
    <row r="19" spans="2:8" s="8" customFormat="1">
      <c r="B19" s="8" t="s">
        <v>849</v>
      </c>
      <c r="C19" s="8" t="s">
        <v>850</v>
      </c>
      <c r="D19" s="8" t="s">
        <v>163</v>
      </c>
      <c r="E19" s="8" t="s">
        <v>861</v>
      </c>
      <c r="F19" s="8" t="s">
        <v>862</v>
      </c>
      <c r="G19" s="8" t="s">
        <v>827</v>
      </c>
      <c r="H19" s="8" t="s">
        <v>836</v>
      </c>
    </row>
    <row r="20" spans="2:8">
      <c r="B20" t="s">
        <v>529</v>
      </c>
      <c r="C20" t="s">
        <v>863</v>
      </c>
      <c r="D20">
        <v>2022</v>
      </c>
      <c r="E20" s="180">
        <v>117613906.59917724</v>
      </c>
      <c r="F20" s="180">
        <v>255375350.92082277</v>
      </c>
      <c r="G20" t="s">
        <v>831</v>
      </c>
      <c r="H20">
        <v>2</v>
      </c>
    </row>
    <row r="21" spans="2:8">
      <c r="B21" t="s">
        <v>529</v>
      </c>
      <c r="C21" t="s">
        <v>864</v>
      </c>
      <c r="D21">
        <v>2022</v>
      </c>
      <c r="E21" s="180"/>
      <c r="F21" s="180">
        <v>4045629</v>
      </c>
      <c r="G21" t="s">
        <v>831</v>
      </c>
      <c r="H21">
        <v>2</v>
      </c>
    </row>
    <row r="22" spans="2:8">
      <c r="B22" t="s">
        <v>865</v>
      </c>
      <c r="C22" t="s">
        <v>866</v>
      </c>
      <c r="D22">
        <v>2022</v>
      </c>
      <c r="E22" s="180">
        <v>15909724.839999994</v>
      </c>
      <c r="F22" s="180">
        <v>194686.33000000002</v>
      </c>
      <c r="G22" t="s">
        <v>831</v>
      </c>
      <c r="H22">
        <v>2</v>
      </c>
    </row>
    <row r="23" spans="2:8">
      <c r="B23" s="328" t="s">
        <v>529</v>
      </c>
      <c r="C23" s="328" t="s">
        <v>863</v>
      </c>
      <c r="D23" s="328">
        <v>2023</v>
      </c>
      <c r="E23" s="331">
        <v>85777606.813960448</v>
      </c>
      <c r="F23" s="331">
        <v>235931593.58603954</v>
      </c>
      <c r="G23" s="328" t="s">
        <v>832</v>
      </c>
      <c r="H23" s="328">
        <v>1</v>
      </c>
    </row>
    <row r="24" spans="2:8">
      <c r="B24" s="328" t="s">
        <v>529</v>
      </c>
      <c r="C24" s="328" t="s">
        <v>864</v>
      </c>
      <c r="D24" s="328">
        <v>2023</v>
      </c>
      <c r="E24" s="330"/>
      <c r="F24" s="330">
        <v>4280846.4400000004</v>
      </c>
      <c r="G24" s="328" t="s">
        <v>832</v>
      </c>
      <c r="H24" s="328">
        <v>1</v>
      </c>
    </row>
    <row r="25" spans="2:8">
      <c r="B25" s="328" t="s">
        <v>865</v>
      </c>
      <c r="C25" s="328" t="s">
        <v>866</v>
      </c>
      <c r="D25" s="328">
        <v>2023</v>
      </c>
      <c r="E25" s="330">
        <v>17090064.669999968</v>
      </c>
      <c r="F25" s="330">
        <v>363492.70999999996</v>
      </c>
      <c r="G25" s="328" t="s">
        <v>832</v>
      </c>
      <c r="H25" s="328">
        <v>1</v>
      </c>
    </row>
    <row r="26" spans="2:8">
      <c r="B26" s="336" t="s">
        <v>529</v>
      </c>
      <c r="C26" s="336" t="s">
        <v>863</v>
      </c>
      <c r="D26" s="336">
        <v>2024</v>
      </c>
      <c r="E26" s="337">
        <v>57272557.30969505</v>
      </c>
      <c r="F26" s="337">
        <v>151724179.39030492</v>
      </c>
      <c r="G26" s="336"/>
      <c r="H26" s="336"/>
    </row>
    <row r="27" spans="2:8">
      <c r="B27" s="336" t="s">
        <v>529</v>
      </c>
      <c r="C27" s="336" t="s">
        <v>864</v>
      </c>
      <c r="D27" s="336">
        <v>2024</v>
      </c>
      <c r="E27" s="337"/>
      <c r="F27" s="337">
        <v>2788340.2199999997</v>
      </c>
      <c r="G27" s="336"/>
      <c r="H27" s="336"/>
    </row>
    <row r="28" spans="2:8">
      <c r="B28" s="336" t="s">
        <v>865</v>
      </c>
      <c r="C28" s="336" t="s">
        <v>866</v>
      </c>
      <c r="D28" s="336">
        <v>2024</v>
      </c>
      <c r="E28" s="337">
        <v>19166694.399999991</v>
      </c>
      <c r="F28" s="337">
        <v>88813.959999999992</v>
      </c>
      <c r="G28" s="336"/>
      <c r="H28" s="336"/>
    </row>
  </sheetData>
  <mergeCells count="3">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A2:BZ98"/>
  <sheetViews>
    <sheetView showGridLines="0" zoomScale="85" zoomScaleNormal="85" workbookViewId="0">
      <pane xSplit="2" topLeftCell="C1" activePane="topRight" state="frozen"/>
      <selection activeCell="A46" sqref="A46"/>
      <selection pane="topRight"/>
    </sheetView>
  </sheetViews>
  <sheetFormatPr defaultColWidth="13.5703125" defaultRowHeight="12.75"/>
  <cols>
    <col min="1" max="1" width="2.5703125" style="3" customWidth="1"/>
    <col min="2" max="2" width="63.42578125" style="3" customWidth="1"/>
    <col min="3" max="3" width="2.5703125" style="3" customWidth="1"/>
    <col min="4" max="4" width="54.5703125" style="3" customWidth="1"/>
    <col min="5" max="5" width="2.5703125" style="3" customWidth="1"/>
    <col min="6" max="6" width="15.5703125" style="3" customWidth="1"/>
    <col min="7" max="7" width="2.5703125" style="3" customWidth="1"/>
    <col min="8" max="8" width="15.5703125" style="3" customWidth="1"/>
    <col min="9" max="9" width="22" style="3" bestFit="1" customWidth="1"/>
    <col min="10" max="10" width="25.42578125" style="3" customWidth="1"/>
    <col min="11" max="11" width="27.42578125" style="3" bestFit="1" customWidth="1"/>
    <col min="12" max="12" width="24.85546875" style="3" customWidth="1"/>
    <col min="13" max="18" width="15.5703125" style="3" customWidth="1"/>
    <col min="19" max="19" width="18" style="3" bestFit="1" customWidth="1"/>
    <col min="20" max="20" width="13.5703125" style="3" customWidth="1"/>
    <col min="21" max="21" width="30.42578125" style="3" customWidth="1"/>
    <col min="22" max="22" width="40.140625" style="3" bestFit="1" customWidth="1"/>
    <col min="23" max="23" width="2.5703125" style="3" customWidth="1"/>
    <col min="24" max="24" width="25" style="3" bestFit="1" customWidth="1"/>
    <col min="25" max="28" width="15.5703125" style="3" customWidth="1"/>
    <col min="29" max="29" width="2.5703125" style="3" customWidth="1"/>
    <col min="30" max="30" width="25" style="3" bestFit="1" customWidth="1"/>
    <col min="31" max="34" width="15.5703125" style="3" customWidth="1"/>
    <col min="35" max="35" width="2.5703125" style="3" customWidth="1"/>
    <col min="36" max="36" width="25" style="3" bestFit="1" customWidth="1"/>
    <col min="37" max="40" width="15.5703125" style="3" customWidth="1"/>
    <col min="41" max="41" width="2.5703125" style="3" customWidth="1"/>
    <col min="42" max="42" width="22.42578125" style="3" bestFit="1" customWidth="1"/>
    <col min="43" max="46" width="15.5703125" style="3" customWidth="1"/>
    <col min="47" max="47" width="15.85546875" style="3" customWidth="1"/>
    <col min="48" max="48" width="15" style="3" bestFit="1" customWidth="1"/>
    <col min="49" max="54" width="13.5703125" style="3" customWidth="1"/>
    <col min="55" max="55" width="2.5703125" style="3" customWidth="1"/>
    <col min="56" max="56" width="15.85546875" style="3" customWidth="1"/>
    <col min="57" max="62" width="13.5703125" style="3" customWidth="1"/>
    <col min="63" max="63" width="2.5703125" style="3" customWidth="1"/>
    <col min="64" max="64" width="14.140625" style="3" bestFit="1" customWidth="1"/>
    <col min="65" max="68" width="13.5703125" style="3" customWidth="1"/>
    <col min="69" max="70" width="13.5703125" style="3"/>
    <col min="71" max="71" width="2.5703125" style="3" customWidth="1"/>
    <col min="72" max="72" width="12.42578125" style="3" bestFit="1" customWidth="1"/>
    <col min="73" max="79" width="13.5703125" style="3"/>
    <col min="80" max="80" width="15.5703125" style="3" customWidth="1"/>
    <col min="81" max="16384" width="13.5703125" style="3"/>
  </cols>
  <sheetData>
    <row r="2" spans="1:37" s="12" customFormat="1" ht="18">
      <c r="B2" s="12" t="s">
        <v>867</v>
      </c>
    </row>
    <row r="4" spans="1:37">
      <c r="B4" s="16" t="s">
        <v>868</v>
      </c>
    </row>
    <row r="5" spans="1:37" ht="27.75" customHeight="1">
      <c r="B5" s="346" t="s">
        <v>869</v>
      </c>
      <c r="C5" s="346"/>
      <c r="D5" s="346"/>
      <c r="F5" s="13"/>
    </row>
    <row r="6" spans="1:37">
      <c r="B6" s="1"/>
      <c r="C6" s="1"/>
      <c r="D6" s="1"/>
      <c r="F6" s="13"/>
    </row>
    <row r="7" spans="1:37">
      <c r="B7" s="354" t="s">
        <v>870</v>
      </c>
      <c r="C7" s="356"/>
      <c r="D7" s="356"/>
      <c r="F7" s="13"/>
    </row>
    <row r="8" spans="1:37" ht="27.75" customHeight="1">
      <c r="B8" s="346" t="s">
        <v>871</v>
      </c>
      <c r="C8" s="346"/>
      <c r="D8" s="346"/>
      <c r="F8" s="13"/>
    </row>
    <row r="10" spans="1:37" s="8" customFormat="1">
      <c r="B10" s="8" t="s">
        <v>157</v>
      </c>
      <c r="H10" s="53"/>
      <c r="I10" s="46"/>
      <c r="J10" s="53"/>
      <c r="K10" s="46"/>
      <c r="L10" s="53"/>
      <c r="M10" s="46"/>
      <c r="N10" s="46"/>
      <c r="O10" s="46"/>
      <c r="P10" s="46"/>
      <c r="Q10" s="46"/>
      <c r="R10" s="46"/>
      <c r="S10" s="46"/>
      <c r="T10" s="46"/>
    </row>
    <row r="12" spans="1:37" s="33" customFormat="1">
      <c r="A12" s="98"/>
      <c r="B12" s="33" t="s">
        <v>872</v>
      </c>
    </row>
    <row r="13" spans="1:37" s="34" customFormat="1">
      <c r="A13" s="99"/>
      <c r="B13" s="34" t="s">
        <v>157</v>
      </c>
      <c r="D13" s="34" t="s">
        <v>199</v>
      </c>
      <c r="F13" s="34" t="s">
        <v>200</v>
      </c>
      <c r="H13" s="100">
        <v>2020</v>
      </c>
      <c r="I13" s="101">
        <v>2021</v>
      </c>
      <c r="J13" s="101">
        <v>2022</v>
      </c>
      <c r="K13" s="101">
        <v>2023</v>
      </c>
      <c r="L13" s="101">
        <v>2024</v>
      </c>
      <c r="M13" s="101">
        <v>2025</v>
      </c>
      <c r="N13" s="101">
        <v>2026</v>
      </c>
    </row>
    <row r="14" spans="1:37" s="102" customFormat="1">
      <c r="H14" s="103"/>
      <c r="I14" s="104"/>
      <c r="J14" s="103"/>
      <c r="K14" s="104"/>
      <c r="L14" s="103"/>
      <c r="M14" s="104"/>
      <c r="N14" s="104"/>
      <c r="S14" s="104"/>
      <c r="T14" s="104"/>
      <c r="U14" s="104"/>
      <c r="V14" s="104"/>
      <c r="W14" s="104"/>
      <c r="X14" s="104"/>
      <c r="Y14" s="104"/>
      <c r="AC14" s="104"/>
      <c r="AD14" s="104"/>
      <c r="AE14" s="104"/>
      <c r="AI14" s="104"/>
      <c r="AJ14" s="104"/>
      <c r="AK14" s="104"/>
    </row>
    <row r="15" spans="1:37">
      <c r="B15" s="16" t="s">
        <v>211</v>
      </c>
    </row>
    <row r="16" spans="1:37">
      <c r="B16" s="148" t="s">
        <v>213</v>
      </c>
      <c r="D16" s="3" t="s">
        <v>204</v>
      </c>
      <c r="H16" s="140">
        <f>'2. Parameters'!K22</f>
        <v>3.3000000000000002E-2</v>
      </c>
      <c r="I16" s="140">
        <f>'2. Parameters'!L22</f>
        <v>0.03</v>
      </c>
      <c r="J16" s="10"/>
      <c r="K16" s="10"/>
      <c r="L16" s="10"/>
      <c r="M16" s="10"/>
      <c r="N16" s="10"/>
    </row>
    <row r="17" spans="1:14">
      <c r="B17" s="148" t="s">
        <v>873</v>
      </c>
      <c r="D17" s="3" t="s">
        <v>204</v>
      </c>
      <c r="H17" s="10"/>
      <c r="I17" s="10"/>
      <c r="J17" s="140">
        <f>'2. Parameters'!M24</f>
        <v>3.4000000000000002E-2</v>
      </c>
      <c r="K17" s="140">
        <f>'2. Parameters'!N24</f>
        <v>3.3000000000000002E-2</v>
      </c>
      <c r="L17" s="140">
        <f>'2. Parameters'!O24</f>
        <v>3.7999999999999999E-2</v>
      </c>
      <c r="M17" s="140">
        <f>'2. Parameters'!P24</f>
        <v>3.7999999999999999E-2</v>
      </c>
      <c r="N17" s="140">
        <f>'2. Parameters'!Q24</f>
        <v>3.7999999999999999E-2</v>
      </c>
    </row>
    <row r="19" spans="1:14">
      <c r="B19" s="16" t="s">
        <v>222</v>
      </c>
    </row>
    <row r="20" spans="1:14">
      <c r="B20" s="3" t="s">
        <v>222</v>
      </c>
      <c r="D20" s="3" t="s">
        <v>204</v>
      </c>
      <c r="F20" s="77">
        <f>'2. Parameters'!F32</f>
        <v>0.01</v>
      </c>
    </row>
    <row r="21" spans="1:14" s="90" customFormat="1">
      <c r="A21" s="3"/>
      <c r="F21" s="106"/>
    </row>
    <row r="22" spans="1:14" s="90" customFormat="1">
      <c r="A22" s="3"/>
      <c r="B22" s="107" t="s">
        <v>248</v>
      </c>
      <c r="F22" s="106"/>
    </row>
    <row r="23" spans="1:14">
      <c r="B23" s="3" t="s">
        <v>248</v>
      </c>
      <c r="F23" s="108">
        <f>'2. Parameters'!F88</f>
        <v>1.3</v>
      </c>
    </row>
    <row r="25" spans="1:14">
      <c r="B25" s="2" t="s">
        <v>249</v>
      </c>
    </row>
    <row r="26" spans="1:14">
      <c r="B26" s="3" t="s">
        <v>249</v>
      </c>
      <c r="D26" s="3" t="s">
        <v>204</v>
      </c>
      <c r="F26" s="78">
        <f>'2. Parameters'!F92</f>
        <v>0.1</v>
      </c>
    </row>
    <row r="28" spans="1:14">
      <c r="B28" s="16" t="s">
        <v>242</v>
      </c>
    </row>
    <row r="29" spans="1:14">
      <c r="B29" s="28" t="s">
        <v>230</v>
      </c>
      <c r="D29" s="3" t="s">
        <v>874</v>
      </c>
      <c r="H29" s="32">
        <f>'2. Parameters'!K74</f>
        <v>1</v>
      </c>
      <c r="I29" s="32">
        <f>'2. Parameters'!L74</f>
        <v>1.02</v>
      </c>
      <c r="J29" s="32">
        <f>'2. Parameters'!M74</f>
        <v>1.0404</v>
      </c>
      <c r="K29" s="32">
        <f>'2. Parameters'!N74</f>
        <v>1.0612079999999999</v>
      </c>
      <c r="L29" s="32">
        <f>'2. Parameters'!O74</f>
        <v>1.10365632</v>
      </c>
      <c r="M29" s="32">
        <f>'2. Parameters'!P74</f>
        <v>1.1809122624000001</v>
      </c>
      <c r="N29" s="32">
        <f>'2. Parameters'!Q74</f>
        <v>1.2399578755200003</v>
      </c>
    </row>
    <row r="30" spans="1:14">
      <c r="B30" s="28" t="s">
        <v>231</v>
      </c>
      <c r="D30" s="3" t="s">
        <v>874</v>
      </c>
      <c r="H30" s="10"/>
      <c r="I30" s="32">
        <f>'2. Parameters'!L75</f>
        <v>1</v>
      </c>
      <c r="J30" s="32">
        <f>'2. Parameters'!M75</f>
        <v>1.02</v>
      </c>
      <c r="K30" s="32">
        <f>'2. Parameters'!N75</f>
        <v>1.0404</v>
      </c>
      <c r="L30" s="32">
        <f>'2. Parameters'!O75</f>
        <v>1.0820160000000001</v>
      </c>
      <c r="M30" s="32">
        <f>'2. Parameters'!P75</f>
        <v>1.1577571200000001</v>
      </c>
      <c r="N30" s="32">
        <f>'2. Parameters'!Q75</f>
        <v>1.2156449760000001</v>
      </c>
    </row>
    <row r="31" spans="1:14">
      <c r="B31" s="28" t="s">
        <v>232</v>
      </c>
      <c r="D31" s="3" t="s">
        <v>874</v>
      </c>
      <c r="H31" s="10"/>
      <c r="I31" s="10"/>
      <c r="J31" s="32">
        <f>'2. Parameters'!M76</f>
        <v>1</v>
      </c>
      <c r="K31" s="32">
        <f>'2. Parameters'!N76</f>
        <v>1.02</v>
      </c>
      <c r="L31" s="32">
        <f>'2. Parameters'!O76</f>
        <v>1.0608</v>
      </c>
      <c r="M31" s="32">
        <f>'2. Parameters'!P76</f>
        <v>1.1350560000000001</v>
      </c>
      <c r="N31" s="32">
        <f>'2. Parameters'!Q76</f>
        <v>1.1918088000000002</v>
      </c>
    </row>
    <row r="32" spans="1:14">
      <c r="B32" s="28" t="s">
        <v>233</v>
      </c>
      <c r="D32" s="3" t="s">
        <v>874</v>
      </c>
      <c r="H32" s="10"/>
      <c r="I32" s="10"/>
      <c r="J32" s="10"/>
      <c r="K32" s="32">
        <f>'2. Parameters'!N77</f>
        <v>1</v>
      </c>
      <c r="L32" s="32">
        <f>'2. Parameters'!O77</f>
        <v>1.04</v>
      </c>
      <c r="M32" s="32">
        <f>'2. Parameters'!P77</f>
        <v>1.1128</v>
      </c>
      <c r="N32" s="32">
        <f>'2. Parameters'!Q77</f>
        <v>1.1684400000000001</v>
      </c>
    </row>
    <row r="33" spans="2:14">
      <c r="B33" s="28" t="s">
        <v>234</v>
      </c>
      <c r="D33" s="3" t="s">
        <v>874</v>
      </c>
      <c r="H33" s="10"/>
      <c r="I33" s="10"/>
      <c r="J33" s="10"/>
      <c r="K33" s="10"/>
      <c r="L33" s="32">
        <f>'2. Parameters'!O78</f>
        <v>1</v>
      </c>
      <c r="M33" s="32">
        <f>'2. Parameters'!P78</f>
        <v>1.07</v>
      </c>
      <c r="N33" s="32">
        <f>'2. Parameters'!Q78</f>
        <v>1.1235000000000002</v>
      </c>
    </row>
    <row r="34" spans="2:14">
      <c r="B34" s="28" t="s">
        <v>235</v>
      </c>
      <c r="D34" s="3" t="s">
        <v>874</v>
      </c>
      <c r="H34" s="10"/>
      <c r="I34" s="10"/>
      <c r="J34" s="10"/>
      <c r="K34" s="10"/>
      <c r="L34" s="10"/>
      <c r="M34" s="32">
        <f>'2. Parameters'!P79</f>
        <v>1</v>
      </c>
      <c r="N34" s="32">
        <f>'2. Parameters'!Q79</f>
        <v>1.05</v>
      </c>
    </row>
    <row r="35" spans="2:14">
      <c r="B35" s="28" t="s">
        <v>236</v>
      </c>
      <c r="D35" s="3" t="s">
        <v>874</v>
      </c>
      <c r="H35" s="10"/>
      <c r="I35" s="10"/>
      <c r="J35" s="10"/>
      <c r="K35" s="10"/>
      <c r="L35" s="10"/>
      <c r="M35" s="10"/>
      <c r="N35" s="32">
        <f>'2. Parameters'!Q80</f>
        <v>1</v>
      </c>
    </row>
    <row r="37" spans="2:14">
      <c r="B37" s="2" t="s">
        <v>223</v>
      </c>
    </row>
    <row r="38" spans="2:14">
      <c r="B38" s="3" t="s">
        <v>875</v>
      </c>
      <c r="D38" s="3" t="s">
        <v>227</v>
      </c>
      <c r="H38" s="32">
        <f>'2. Parameters'!K43</f>
        <v>1</v>
      </c>
      <c r="I38" s="32">
        <f>'2. Parameters'!L43</f>
        <v>1.016</v>
      </c>
      <c r="J38" s="32">
        <f>'2. Parameters'!M43</f>
        <v>1.0342880000000001</v>
      </c>
      <c r="K38" s="32">
        <f>'2. Parameters'!N43</f>
        <v>1.0984138560000001</v>
      </c>
      <c r="L38" s="32">
        <f>'2. Parameters'!O43</f>
        <v>1.1862869644800003</v>
      </c>
      <c r="M38" s="32">
        <f>'2. Parameters'!P43</f>
        <v>1.2195029994854403</v>
      </c>
      <c r="N38" s="32">
        <f>'2. Parameters'!Q43</f>
        <v>1.2402345504766927</v>
      </c>
    </row>
    <row r="39" spans="2:14">
      <c r="B39" s="3" t="s">
        <v>876</v>
      </c>
      <c r="D39" s="3" t="s">
        <v>227</v>
      </c>
      <c r="H39" s="10"/>
      <c r="I39" s="32">
        <f>'2. Parameters'!L44</f>
        <v>1</v>
      </c>
      <c r="J39" s="32">
        <f>'2. Parameters'!M44</f>
        <v>1.018</v>
      </c>
      <c r="K39" s="32">
        <f>'2. Parameters'!N44</f>
        <v>1.081116</v>
      </c>
      <c r="L39" s="32">
        <f>'2. Parameters'!O44</f>
        <v>1.1676052800000001</v>
      </c>
      <c r="M39" s="32">
        <f>'2. Parameters'!P44</f>
        <v>1.2002982278400001</v>
      </c>
      <c r="N39" s="32">
        <f>'2. Parameters'!Q44</f>
        <v>1.2207032977132799</v>
      </c>
    </row>
    <row r="40" spans="2:14">
      <c r="B40" s="3" t="s">
        <v>877</v>
      </c>
      <c r="D40" s="3" t="s">
        <v>227</v>
      </c>
      <c r="H40" s="10"/>
      <c r="I40" s="10"/>
      <c r="J40" s="32">
        <f>'2. Parameters'!M45</f>
        <v>1</v>
      </c>
      <c r="K40" s="32">
        <f>'2. Parameters'!N45</f>
        <v>1.0620000000000001</v>
      </c>
      <c r="L40" s="32">
        <f>'2. Parameters'!O45</f>
        <v>1.1469600000000002</v>
      </c>
      <c r="M40" s="32">
        <f>'2. Parameters'!P45</f>
        <v>1.1790748800000002</v>
      </c>
      <c r="N40" s="32">
        <f>'2. Parameters'!Q45</f>
        <v>1.19911915296</v>
      </c>
    </row>
    <row r="41" spans="2:14">
      <c r="B41" s="3" t="s">
        <v>878</v>
      </c>
      <c r="D41" s="3" t="s">
        <v>227</v>
      </c>
      <c r="H41" s="10"/>
      <c r="I41" s="10"/>
      <c r="J41" s="10"/>
      <c r="K41" s="32">
        <f>'2. Parameters'!N46</f>
        <v>1</v>
      </c>
      <c r="L41" s="32">
        <f>'2. Parameters'!O46</f>
        <v>1.08</v>
      </c>
      <c r="M41" s="32">
        <f>'2. Parameters'!P46</f>
        <v>1.1102400000000001</v>
      </c>
      <c r="N41" s="32">
        <f>'2. Parameters'!Q46</f>
        <v>1.1291140799999999</v>
      </c>
    </row>
    <row r="42" spans="2:14">
      <c r="B42" s="3" t="s">
        <v>879</v>
      </c>
      <c r="D42" s="3" t="s">
        <v>227</v>
      </c>
      <c r="H42" s="10"/>
      <c r="I42" s="10"/>
      <c r="J42" s="10"/>
      <c r="K42" s="10"/>
      <c r="L42" s="32">
        <f>'2. Parameters'!O47</f>
        <v>1</v>
      </c>
      <c r="M42" s="32">
        <f>'2. Parameters'!P47</f>
        <v>1.028</v>
      </c>
      <c r="N42" s="32">
        <f>'2. Parameters'!Q47</f>
        <v>1.0454759999999998</v>
      </c>
    </row>
    <row r="43" spans="2:14">
      <c r="B43" s="3" t="s">
        <v>880</v>
      </c>
      <c r="D43" s="3" t="s">
        <v>227</v>
      </c>
      <c r="H43" s="10"/>
      <c r="I43" s="10"/>
      <c r="J43" s="10"/>
      <c r="K43" s="10"/>
      <c r="L43" s="10"/>
      <c r="M43" s="32">
        <f>'2. Parameters'!P48</f>
        <v>1</v>
      </c>
      <c r="N43" s="32">
        <f>'2. Parameters'!Q48</f>
        <v>1.0169999999999999</v>
      </c>
    </row>
    <row r="44" spans="2:14">
      <c r="B44" s="3" t="s">
        <v>881</v>
      </c>
      <c r="D44" s="3" t="s">
        <v>227</v>
      </c>
      <c r="H44" s="10"/>
      <c r="I44" s="10"/>
      <c r="J44" s="10"/>
      <c r="K44" s="10"/>
      <c r="L44" s="10"/>
      <c r="M44" s="10"/>
      <c r="N44" s="32">
        <f>'2. Parameters'!Q49</f>
        <v>1</v>
      </c>
    </row>
    <row r="46" spans="2:14">
      <c r="B46" s="2" t="s">
        <v>237</v>
      </c>
    </row>
    <row r="47" spans="2:14">
      <c r="B47" s="28" t="s">
        <v>230</v>
      </c>
      <c r="D47" s="3" t="s">
        <v>241</v>
      </c>
      <c r="H47" s="32">
        <f>'2. Parameters'!K60</f>
        <v>1</v>
      </c>
      <c r="I47" s="32">
        <f>'2. Parameters'!L60</f>
        <v>0.999</v>
      </c>
      <c r="J47" s="32">
        <f>'2. Parameters'!M60</f>
        <v>0.995004</v>
      </c>
      <c r="K47" s="32">
        <f>'2. Parameters'!N60</f>
        <v>0.99102398400000002</v>
      </c>
      <c r="L47" s="32">
        <f>'2. Parameters'!O60</f>
        <v>0.98705988806400002</v>
      </c>
      <c r="M47" s="32">
        <f>'2. Parameters'!P60</f>
        <v>0.98311164851174404</v>
      </c>
      <c r="N47" s="32">
        <f>'2. Parameters'!Q60</f>
        <v>0.97917920191769703</v>
      </c>
    </row>
    <row r="48" spans="2:14">
      <c r="B48" s="28" t="s">
        <v>231</v>
      </c>
      <c r="D48" s="3" t="s">
        <v>241</v>
      </c>
      <c r="H48" s="10"/>
      <c r="I48" s="32">
        <f>'2. Parameters'!L61</f>
        <v>1</v>
      </c>
      <c r="J48" s="32">
        <f>'2. Parameters'!M61</f>
        <v>0.996</v>
      </c>
      <c r="K48" s="32">
        <f>'2. Parameters'!N61</f>
        <v>0.99201600000000001</v>
      </c>
      <c r="L48" s="32">
        <f>'2. Parameters'!O61</f>
        <v>0.98804793599999996</v>
      </c>
      <c r="M48" s="32">
        <f>'2. Parameters'!P61</f>
        <v>0.98409574425599999</v>
      </c>
      <c r="N48" s="32">
        <f>'2. Parameters'!Q61</f>
        <v>0.98015936127897596</v>
      </c>
    </row>
    <row r="49" spans="1:78">
      <c r="B49" s="28" t="s">
        <v>232</v>
      </c>
      <c r="D49" s="3" t="s">
        <v>241</v>
      </c>
      <c r="H49" s="10"/>
      <c r="I49" s="10"/>
      <c r="J49" s="32">
        <f>'2. Parameters'!M62</f>
        <v>1</v>
      </c>
      <c r="K49" s="32">
        <f>'2. Parameters'!N62</f>
        <v>0.996</v>
      </c>
      <c r="L49" s="32">
        <f>'2. Parameters'!O62</f>
        <v>0.99201600000000001</v>
      </c>
      <c r="M49" s="32">
        <f>'2. Parameters'!P62</f>
        <v>0.98804793599999996</v>
      </c>
      <c r="N49" s="32">
        <f>'2. Parameters'!Q62</f>
        <v>0.98409574425599999</v>
      </c>
    </row>
    <row r="50" spans="1:78">
      <c r="B50" s="28" t="s">
        <v>233</v>
      </c>
      <c r="D50" s="3" t="s">
        <v>241</v>
      </c>
      <c r="H50" s="10"/>
      <c r="I50" s="10"/>
      <c r="J50" s="10"/>
      <c r="K50" s="32">
        <f>'2. Parameters'!N63</f>
        <v>1</v>
      </c>
      <c r="L50" s="32">
        <f>'2. Parameters'!O63</f>
        <v>0.996</v>
      </c>
      <c r="M50" s="32">
        <f>'2. Parameters'!P63</f>
        <v>0.99201600000000001</v>
      </c>
      <c r="N50" s="32">
        <f>'2. Parameters'!Q63</f>
        <v>0.98804793599999996</v>
      </c>
    </row>
    <row r="51" spans="1:78">
      <c r="B51" s="28" t="s">
        <v>234</v>
      </c>
      <c r="D51" s="3" t="s">
        <v>241</v>
      </c>
      <c r="H51" s="10"/>
      <c r="I51" s="10"/>
      <c r="J51" s="10"/>
      <c r="K51" s="10"/>
      <c r="L51" s="32">
        <f>'2. Parameters'!O64</f>
        <v>1</v>
      </c>
      <c r="M51" s="32">
        <f>'2. Parameters'!P64</f>
        <v>0.996</v>
      </c>
      <c r="N51" s="32">
        <f>'2. Parameters'!Q64</f>
        <v>0.99201600000000001</v>
      </c>
    </row>
    <row r="52" spans="1:78">
      <c r="B52" s="28" t="s">
        <v>235</v>
      </c>
      <c r="D52" s="3" t="s">
        <v>241</v>
      </c>
      <c r="H52" s="10"/>
      <c r="I52" s="10"/>
      <c r="J52" s="10"/>
      <c r="K52" s="10"/>
      <c r="L52" s="10"/>
      <c r="M52" s="32">
        <f>'2. Parameters'!P65</f>
        <v>1</v>
      </c>
      <c r="N52" s="32">
        <f>'2. Parameters'!Q65</f>
        <v>0.996</v>
      </c>
    </row>
    <row r="53" spans="1:78" ht="15.75" customHeight="1">
      <c r="B53" s="28" t="s">
        <v>236</v>
      </c>
      <c r="D53" s="3" t="s">
        <v>241</v>
      </c>
      <c r="H53" s="10"/>
      <c r="I53" s="10"/>
      <c r="J53" s="10"/>
      <c r="K53" s="10"/>
      <c r="L53" s="10"/>
      <c r="M53" s="10"/>
      <c r="N53" s="32">
        <f>'2. Parameters'!Q66</f>
        <v>1</v>
      </c>
    </row>
    <row r="55" spans="1:78" s="33" customFormat="1">
      <c r="B55" s="33" t="s">
        <v>882</v>
      </c>
    </row>
    <row r="56" spans="1:78" s="36" customFormat="1">
      <c r="B56" s="109"/>
    </row>
    <row r="57" spans="1:78" s="36" customFormat="1">
      <c r="O57" s="36" t="s">
        <v>883</v>
      </c>
      <c r="R57" s="36" t="s">
        <v>884</v>
      </c>
      <c r="U57" s="36" t="s">
        <v>885</v>
      </c>
      <c r="X57" s="36" t="s">
        <v>886</v>
      </c>
      <c r="AD57" s="36" t="s">
        <v>887</v>
      </c>
      <c r="AJ57" s="36" t="s">
        <v>888</v>
      </c>
      <c r="AP57" s="36" t="s">
        <v>889</v>
      </c>
      <c r="AV57" s="36" t="s">
        <v>890</v>
      </c>
      <c r="BD57" s="36" t="s">
        <v>529</v>
      </c>
      <c r="BL57" s="36" t="s">
        <v>891</v>
      </c>
      <c r="BT57" s="36" t="s">
        <v>892</v>
      </c>
    </row>
    <row r="58" spans="1:78" s="39" customFormat="1">
      <c r="B58" s="39" t="s">
        <v>893</v>
      </c>
      <c r="F58" s="39" t="s">
        <v>379</v>
      </c>
      <c r="H58" s="40" t="s">
        <v>894</v>
      </c>
      <c r="I58" s="40" t="s">
        <v>895</v>
      </c>
      <c r="J58" s="40" t="s">
        <v>825</v>
      </c>
      <c r="K58" s="40" t="s">
        <v>826</v>
      </c>
      <c r="L58" s="39" t="s">
        <v>896</v>
      </c>
      <c r="M58" s="39" t="s">
        <v>897</v>
      </c>
      <c r="O58" s="45">
        <v>2020</v>
      </c>
      <c r="P58" s="45">
        <v>2021</v>
      </c>
      <c r="R58" s="45">
        <v>2020</v>
      </c>
      <c r="S58" s="45">
        <v>2021</v>
      </c>
      <c r="U58" s="39" t="s">
        <v>898</v>
      </c>
      <c r="V58" s="39" t="s">
        <v>899</v>
      </c>
      <c r="X58" s="45">
        <v>2022</v>
      </c>
      <c r="Y58" s="45">
        <v>2023</v>
      </c>
      <c r="Z58" s="45">
        <v>2024</v>
      </c>
      <c r="AA58" s="45">
        <v>2025</v>
      </c>
      <c r="AB58" s="45">
        <v>2026</v>
      </c>
      <c r="AD58" s="45">
        <v>2022</v>
      </c>
      <c r="AE58" s="45">
        <v>2023</v>
      </c>
      <c r="AF58" s="45">
        <v>2024</v>
      </c>
      <c r="AG58" s="45">
        <v>2025</v>
      </c>
      <c r="AH58" s="45">
        <v>2026</v>
      </c>
      <c r="AJ58" s="45">
        <v>2022</v>
      </c>
      <c r="AK58" s="45">
        <v>2023</v>
      </c>
      <c r="AL58" s="45">
        <v>2024</v>
      </c>
      <c r="AM58" s="45">
        <v>2025</v>
      </c>
      <c r="AN58" s="45">
        <v>2026</v>
      </c>
      <c r="AP58" s="45">
        <v>2022</v>
      </c>
      <c r="AQ58" s="45">
        <v>2023</v>
      </c>
      <c r="AR58" s="45">
        <v>2024</v>
      </c>
      <c r="AS58" s="45">
        <v>2025</v>
      </c>
      <c r="AT58" s="45">
        <v>2026</v>
      </c>
      <c r="AV58" s="45">
        <v>2020</v>
      </c>
      <c r="AW58" s="45">
        <v>2021</v>
      </c>
      <c r="AX58" s="45">
        <v>2022</v>
      </c>
      <c r="AY58" s="45">
        <v>2023</v>
      </c>
      <c r="AZ58" s="45">
        <v>2024</v>
      </c>
      <c r="BA58" s="45">
        <v>2025</v>
      </c>
      <c r="BB58" s="45">
        <v>2026</v>
      </c>
      <c r="BD58" s="45">
        <v>2020</v>
      </c>
      <c r="BE58" s="45">
        <v>2021</v>
      </c>
      <c r="BF58" s="45">
        <v>2022</v>
      </c>
      <c r="BG58" s="45">
        <v>2023</v>
      </c>
      <c r="BH58" s="45">
        <v>2024</v>
      </c>
      <c r="BI58" s="45">
        <v>2025</v>
      </c>
      <c r="BJ58" s="45">
        <v>2026</v>
      </c>
      <c r="BL58" s="45">
        <v>2020</v>
      </c>
      <c r="BM58" s="45">
        <v>2021</v>
      </c>
      <c r="BN58" s="45">
        <v>2022</v>
      </c>
      <c r="BO58" s="45">
        <v>2023</v>
      </c>
      <c r="BP58" s="45">
        <v>2024</v>
      </c>
      <c r="BQ58" s="45">
        <v>2025</v>
      </c>
      <c r="BR58" s="45">
        <v>2026</v>
      </c>
      <c r="BT58" s="45">
        <v>2020</v>
      </c>
      <c r="BU58" s="45">
        <v>2021</v>
      </c>
      <c r="BV58" s="45">
        <v>2022</v>
      </c>
      <c r="BW58" s="45">
        <v>2023</v>
      </c>
      <c r="BX58" s="45">
        <v>2024</v>
      </c>
      <c r="BY58" s="45">
        <v>2025</v>
      </c>
      <c r="BZ58" s="45">
        <v>2026</v>
      </c>
    </row>
    <row r="59" spans="1:78" s="48" customFormat="1">
      <c r="H59" s="49"/>
      <c r="I59" s="49"/>
    </row>
    <row r="60" spans="1:78">
      <c r="A60" s="48"/>
      <c r="B60" s="37">
        <f>'11. Investeringen (WUI+ombouw)'!B20</f>
        <v>1</v>
      </c>
      <c r="C60" s="48"/>
      <c r="D60" s="48"/>
      <c r="E60" s="48"/>
      <c r="F60" s="42">
        <f>'11. Investeringen (WUI+ombouw)'!C20</f>
        <v>560010.50868726079</v>
      </c>
      <c r="G60" s="48"/>
      <c r="H60" s="37">
        <f>'11. Investeringen (WUI+ombouw)'!D20</f>
        <v>2020</v>
      </c>
      <c r="I60" s="37" t="str">
        <f>'11. Investeringen (WUI+ombouw)'!E20</f>
        <v>02 Gasontvangststations</v>
      </c>
      <c r="J60" s="37" t="str">
        <f>'11. Investeringen (WUI+ombouw)'!F20</f>
        <v>VVI</v>
      </c>
      <c r="K60" s="37" t="str">
        <f>'11. Investeringen (WUI+ombouw)'!G20</f>
        <v>Ja</v>
      </c>
      <c r="L60" s="38">
        <f>H60+2</f>
        <v>2022</v>
      </c>
      <c r="M60" s="38">
        <f>_xlfn.XLOOKUP(I60,'3. Input (des)investeringen '!$B$11:$B$81,'3. Input (des)investeringen '!$D$11:$D$81,0)</f>
        <v>30</v>
      </c>
      <c r="O60" s="43">
        <f>IF($M60&gt;0, IF($H60&lt;=O$58, VDB($F60,0,$M60,MAX(0,O$58-$H60-0.5),MIN($M60,O$58-$H60+0.5),1)*INDEX(H$38:H$44,$H60-2019,1),0),0)</f>
        <v>9333.5084781210135</v>
      </c>
      <c r="P60" s="43">
        <f>IF($M60&gt;0, IF($H60&lt;=P$58, VDB($F60,0,$M60,MAX(0,P$58-$H60-0.5),MIN($M60,P$58-$H60+0.5),1)*INDEX(I$38:I$44,$H60-2019,1),0),0)</f>
        <v>18965.689227541901</v>
      </c>
      <c r="R60" s="43">
        <f>IF($O60=0,IF($H60=O$58,$F60,0),IF(OR($H60&gt;R$58,$H60+$M60&lt;=R$58),0,F60-O60))</f>
        <v>550677.00020913978</v>
      </c>
      <c r="S60" s="43">
        <f>IF($M60=0,IF($H60=P$58,$F60,$R60*I$38),IF(OR($H60&gt;S$58,$H60+$M60&lt;=S$58),0,
IF($H60=S$58,F60-P60,R60*I$38-P60)))</f>
        <v>540522.14298494416</v>
      </c>
      <c r="U60" s="43">
        <f>IF(H60&lt;=2021,S60,F60)</f>
        <v>540522.14298494416</v>
      </c>
      <c r="V60" s="38">
        <f>IF($M60&gt;0,IF(H60&lt;2022,M60-2021+H60-0.5,M60),0)</f>
        <v>28.5</v>
      </c>
      <c r="X60" s="43">
        <f>IF($M60&gt;0, IF(OR($H60&gt;X$58,$H60+$M60&lt;X$58),0,IF(OR($H60=2020,$H60=2021),VDB($U60,0,$V60,X$58-2022,MIN($V60,X$58-2021),$F$23,FALSE),
VDB($U60,0,$V60,MAX(0,X$58-$H60-0.5),MIN($V60,X$58-$H60+0.5),$F$23,FALSE)))*(1-$F$26), 0)</f>
        <v>22189.856396224026</v>
      </c>
      <c r="Y60" s="43">
        <f t="shared" ref="Y60:AB80" si="0">IF($M60&gt;0, IF(OR($H60&gt;Y$58,$H60+$M60&lt;Y$58),0,IF(OR($H60=2020,$H60=2021),VDB($U60,0,$V60,Y$58-2022,MIN($V60,Y$58-2021),$F$23,FALSE),
VDB($U60,0,$V60,MAX(0,Y$58-$H60-0.5),MIN($V60,Y$58-$H60+0.5),$F$23,FALSE)))*(1-$F$26), 0)</f>
        <v>21177.68750797521</v>
      </c>
      <c r="Z60" s="43">
        <f>IF($M60&gt;0, IF(OR($H60&gt;Z$58,$H60+$M60&lt;Z$58),0,IF(OR($H60=2020,$H60=2021),VDB($U60,0,$V60,Z$58-2022,MIN($V60,Z$58-2021),$F$23,FALSE),
VDB($U60,0,$V60,MAX(0,Z$58-$H60-0.5),MIN($V60,Z$58-$H60+0.5),$F$23,FALSE)))*(1-$F$26), 0)</f>
        <v>20211.687726909673</v>
      </c>
      <c r="AA60" s="43">
        <f t="shared" si="0"/>
        <v>19289.751093752395</v>
      </c>
      <c r="AB60" s="43">
        <f>IF($M60&gt;0, IF(OR($H60&gt;AB$58,$H60+$M60&lt;AB$58),0,IF(OR($H60=2020,$H60=2021),VDB($U60,0,$V60,AB$58-2022,MIN($V60,AB$58-2021),$F$23,FALSE),
VDB($U60,0,$V60,MAX(0,AB$58-$H60-0.5),MIN($V60,AB$58-$H60+0.5),$F$23,FALSE)))*(1-$F$26), 0)</f>
        <v>18409.867710528601</v>
      </c>
      <c r="AD60" s="43">
        <f>IF($M60&gt;0, IF(OR($H60&gt;AD$58,$H60+$M60&lt;AD$58),0,IF(OR($H60=2020,$H60=2021),VDB($U60,0,$V60,AD$58-2022,MIN($V60,AD$58-2021),1,FALSE),
VDB($U60,0,$V60,MAX(0,AD$58-$H60-0.5),MIN($V60,AD$58-$H60+0.5),1,FALSE)))*$F$26,0)</f>
        <v>1896.5689227541902</v>
      </c>
      <c r="AE60" s="43">
        <f t="shared" ref="AE60:AH80" si="1">IF($M60&gt;0, IF(OR($H60&gt;AE$58,$H60+$M60&lt;AE$58),0,IF(OR($H60=2020,$H60=2021),VDB($U60,0,$V60,AE$58-2022,MIN($V60,AE$58-2021),1,FALSE),
VDB($U60,0,$V60,MAX(0,AE$58-$H60-0.5),MIN($V60,AE$58-$H60+0.5),1,FALSE)))*$F$26,0)</f>
        <v>1896.5689227541902</v>
      </c>
      <c r="AF60" s="43">
        <f t="shared" si="1"/>
        <v>1896.5689227541902</v>
      </c>
      <c r="AG60" s="43">
        <f t="shared" si="1"/>
        <v>1896.5689227541902</v>
      </c>
      <c r="AH60" s="43">
        <f t="shared" si="1"/>
        <v>1896.5689227541902</v>
      </c>
      <c r="AJ60" s="43">
        <f>X60+AD60</f>
        <v>24086.425318978218</v>
      </c>
      <c r="AK60" s="43">
        <f>Y60+AE60</f>
        <v>23074.256430729401</v>
      </c>
      <c r="AL60" s="43">
        <f>Z60+AF60</f>
        <v>22108.256649663865</v>
      </c>
      <c r="AM60" s="43">
        <f t="shared" ref="AM60:AN60" si="2">AA60+AG60</f>
        <v>21186.320016506586</v>
      </c>
      <c r="AN60" s="43">
        <f t="shared" si="2"/>
        <v>20306.436633282792</v>
      </c>
      <c r="AP60" s="43">
        <f>IF($M60=0, IF($H60&gt;AP$58,0, $U60), IF(OR($H60&gt;AP$58,$H60+$M60&lt;=AP$58),0,
IF($H60=AP$58,$U60-AJ60,
U60-AJ60)))</f>
        <v>516435.71766596596</v>
      </c>
      <c r="AQ60" s="43">
        <f>IF($M60=0, IF($H60 &gt; AQ$58, 0, IF($H60=AQ$58, $F60, AP60)), IF(OR($H60&gt;AQ$58,$H60+$M60&lt;=AQ$58),0,
IF($H60=AQ$58,$U60-AK60,
AP60-AK60)))</f>
        <v>493361.46123523655</v>
      </c>
      <c r="AR60" s="43">
        <f t="shared" ref="AR60:AT75" si="3">IF($M60=0, IF($H60 &gt; AR$58, 0, IF($H60=AR$58, $F60, AQ60)), IF(OR($H60&gt;AR$58,$H60+$M60&lt;=AR$58),0,
IF($H60=AR$58,$U60-AL60,
AQ60-AL60)))</f>
        <v>471253.2045855727</v>
      </c>
      <c r="AS60" s="43">
        <f t="shared" si="3"/>
        <v>450066.88456906611</v>
      </c>
      <c r="AT60" s="43">
        <f t="shared" si="3"/>
        <v>429760.4479357833</v>
      </c>
      <c r="AV60" s="47">
        <f>O60+R60*H$16</f>
        <v>27505.849485022627</v>
      </c>
      <c r="AW60" s="47">
        <f>P60+S60*I$16</f>
        <v>35181.353517090225</v>
      </c>
      <c r="AX60" s="47">
        <f>AJ60+AP60*J$17</f>
        <v>41645.239719621066</v>
      </c>
      <c r="AY60" s="47">
        <f>AK60+AQ60*K$17</f>
        <v>39355.184651492207</v>
      </c>
      <c r="AZ60" s="47">
        <f>AL60+AR60*L$17</f>
        <v>40015.878423915623</v>
      </c>
      <c r="BA60" s="43">
        <f>AM60+AS60*M$17</f>
        <v>38288.861630131098</v>
      </c>
      <c r="BB60" s="43">
        <f>AN60+AT60*N$17</f>
        <v>36637.333654842558</v>
      </c>
      <c r="BD60" s="43">
        <f>IF(O60&gt;0,$F60*$F$20*INDEX($H$38:$N$44,$H60-2019,BD$58-2019)*INDEX($H$47:$N$53,$H60-2019,BD$58-2019)* IF(OR(BD$58=$H60,BD$58=$H60+$M60),0.5,1),0)</f>
        <v>2800.0525434363039</v>
      </c>
      <c r="BE60" s="43">
        <f>IF(P60&gt;0,$F60*$F$20*INDEX($H$38:$N$44,$H60-2019,BE$58-2019)*INDEX($H$47:$N$53,$H60-2019,BE$58-2019)*
 IF(OR(BE$58=$H60,BE$58=$H60+$M60),0.5,1),0)</f>
        <v>5684.0170614943063</v>
      </c>
      <c r="BF60" s="43">
        <f>IF(AJ60&gt;0,
$F60*$F$20*INDEX($H$38:$N$44,$H60-2019,BF$58-2019)*INDEX($H$47:$N$53,$H60-2019,BF$58-2019)*
 IF(OR(BF$58=$H60,BF$58=$H60+$M60),0.5,1),0)</f>
        <v>5763.1840511268001</v>
      </c>
      <c r="BG60" s="43">
        <f>IF(AK60&gt;0,
$F60*$F$20*INDEX($H$38:$N$44,$H60-2019,BG$58-2019)*INDEX($H$47:$N$53,$H60-2019,BG$58-2019)*
 IF(OR(BG$58=$H60,BG$58=$H60+$M60),0.5,1),0)</f>
        <v>6096.019456447475</v>
      </c>
      <c r="BH60" s="43">
        <f>IF(AL60&gt;0,
$F60*$F$20*INDEX($H$38:$N$44,$H60-2019,BH$58-2019)*INDEX($H$47:$N$53,$H60-2019,BH$58-2019)*
 IF(OR(BH$58=$H60,BH$58=$H60+$M60),0.5,1),0)</f>
        <v>6557.3662089114214</v>
      </c>
      <c r="BI60" s="43">
        <f>IF(AM60&gt;0,
$F60*$F$20*INDEX($H$38:$N$44,$H60-2019,BI$58-2019)*INDEX($H$47:$N$53,$H60-2019,BI$58-2019)*
 IF(OR(BI$58=$H60,BI$58=$H60+$M60),0.5,1),0)</f>
        <v>6714.0085729098973</v>
      </c>
      <c r="BJ60" s="43">
        <f>IF(AN60&gt;0,
$F60*$F$20*INDEX($H$38:$N$44,$H60-2019,BJ$58-2019)*INDEX($H$47:$N$53,$H60-2019,BJ$58-2019)*
 IF(OR(BJ$58=$H60,BJ$58=$H60+$M60),0.5,1),0)</f>
        <v>6800.8341317747672</v>
      </c>
      <c r="BL60" s="43">
        <f>AV60+BD60</f>
        <v>30305.902028458931</v>
      </c>
      <c r="BM60" s="43">
        <f t="shared" ref="BM60:BR60" si="4">AW60+BE60</f>
        <v>40865.37057858453</v>
      </c>
      <c r="BN60" s="43">
        <f t="shared" si="4"/>
        <v>47408.423770747868</v>
      </c>
      <c r="BO60" s="43">
        <f t="shared" si="4"/>
        <v>45451.20410793968</v>
      </c>
      <c r="BP60" s="43">
        <f t="shared" si="4"/>
        <v>46573.244632827045</v>
      </c>
      <c r="BQ60" s="43">
        <f t="shared" si="4"/>
        <v>45002.870203040991</v>
      </c>
      <c r="BR60" s="43">
        <f t="shared" si="4"/>
        <v>43438.167786617327</v>
      </c>
      <c r="BT60" s="10"/>
      <c r="BU60" s="10"/>
      <c r="BV60" s="51">
        <f>IF($L60&gt;BV$58,0,
IF($L60=BV$58,BL60*INDEX(J$29:J$35,BV$58-2021)+BM60*INDEX(J$29:J$35,BV$58-2020)+BN60,BN60))</f>
        <v>120621.36223131276</v>
      </c>
      <c r="BW60" s="51">
        <f>IF($L60&gt;BW$58,0,
IF($L60=BW$58,BM60*INDEX(K$29:K$35,BW$58-2021)+BN60*INDEX(K$29:K$35,BW$58-2020)+BO60,BO60))</f>
        <v>45451.20410793968</v>
      </c>
      <c r="BX60" s="51">
        <f>IF($L60&gt;BX$58,0,
IF($L60=BX$58,BN60*INDEX(L$29:L$35,BX$58-2021)+BO60*INDEX(L$29:L$35,BX$58-2020)+BP60,BP60))</f>
        <v>46573.244632827045</v>
      </c>
      <c r="BY60" s="51">
        <f>IF($L60&gt;BY$58,0,
IF($L60=BY$58,BO60*INDEX(M$29:M$35,BY$58-2021)+BP60*INDEX(M$29:M$35,BY$58-2020)+BQ60,BQ60))</f>
        <v>45002.870203040991</v>
      </c>
      <c r="BZ60" s="51">
        <f>IF($L60&gt;BZ$58,0,
IF($L60=BZ$58,BP60*INDEX(N$29:N$35,BZ$58-2021)+BQ60*INDEX(N$29:N$35,BZ$58-2020)+BR60,BR60))</f>
        <v>43438.167786617327</v>
      </c>
    </row>
    <row r="61" spans="1:78">
      <c r="A61" s="48"/>
      <c r="B61" s="37">
        <f>'11. Investeringen (WUI+ombouw)'!B21</f>
        <v>2</v>
      </c>
      <c r="C61" s="48"/>
      <c r="D61" s="48"/>
      <c r="E61" s="48"/>
      <c r="F61" s="42">
        <f>'11. Investeringen (WUI+ombouw)'!C21</f>
        <v>1887912.8589451036</v>
      </c>
      <c r="G61" s="48"/>
      <c r="H61" s="37">
        <f>'11. Investeringen (WUI+ombouw)'!D21</f>
        <v>2022</v>
      </c>
      <c r="I61" s="37" t="str">
        <f>'11. Investeringen (WUI+ombouw)'!E21</f>
        <v>01 Regionale leidingen</v>
      </c>
      <c r="J61" s="37" t="str">
        <f>'11. Investeringen (WUI+ombouw)'!F21</f>
        <v>VVI</v>
      </c>
      <c r="K61" s="37" t="str">
        <f>'11. Investeringen (WUI+ombouw)'!G21</f>
        <v>Ja</v>
      </c>
      <c r="L61" s="38">
        <f t="shared" ref="L61:L64" si="5">H61+2</f>
        <v>2024</v>
      </c>
      <c r="M61" s="38">
        <f>_xlfn.XLOOKUP(I61,'3. Input (des)investeringen '!$B$11:$B$81,'3. Input (des)investeringen '!$D$11:$D$81,0)</f>
        <v>55</v>
      </c>
      <c r="O61" s="43">
        <f t="shared" ref="O61:O64" si="6">IF($M61&gt;0, IF($H61&lt;=O$58, VDB($F61,0,$M61,MAX(0,O$58-$H61-0.5),MIN($M61,O$58-$H61+0.5),1)*INDEX(H$38:H$44,$H61-2019,1),0),0)</f>
        <v>0</v>
      </c>
      <c r="P61" s="43">
        <f t="shared" ref="P61:P65" si="7">IF($M61&gt;0, IF($H61&lt;=P$58, VDB($F61,0,$M61,MAX(0,P$58-$H61-0.5),MIN($M61,P$58-$H61+0.5),1)*INDEX(I$38:I$44,$H61-2019,1),0),0)</f>
        <v>0</v>
      </c>
      <c r="R61" s="43">
        <f t="shared" ref="R61:R78" si="8">IF($O61=0,IF($H61=O$58,$F61,0),IF(OR($H61&gt;R$58,$H61+$M61&lt;=R$58),0,F61-O61))</f>
        <v>0</v>
      </c>
      <c r="S61" s="43">
        <f t="shared" ref="S61:S78" si="9">IF($M61=0,IF($H61=P$58,$F61,$R61*I$38),IF(OR($H61&gt;S$58,$H61+$M61&lt;=S$58),0,
IF($H61=S$58,F61-P61,R61*I$38-P61)))</f>
        <v>0</v>
      </c>
      <c r="U61" s="43">
        <f t="shared" ref="U61:U64" si="10">IF(H61&lt;=2021,S61,F61)</f>
        <v>1887912.8589451036</v>
      </c>
      <c r="V61" s="38">
        <f t="shared" ref="V61:V65" si="11">IF($M61&gt;0,IF(H61&lt;2022,M61-2021+H61-0.5,M61),0)</f>
        <v>55</v>
      </c>
      <c r="X61" s="43">
        <f t="shared" ref="X61:X64" si="12">IF($M61&gt;0, IF(OR($H61&gt;X$58,$H61+$M61&lt;X$58),0,IF(OR($H61=2020,$H61=2021),VDB($U61,0,$V61,X$58-2022,MIN($V61,X$58-2021),$F$23,FALSE),
VDB($U61,0,$V61,MAX(0,X$58-$H61-0.5),MIN($V61,X$58-$H61+0.5),$F$23,FALSE)))*(1-$F$26), 0)</f>
        <v>20080.527681507014</v>
      </c>
      <c r="Y61" s="43">
        <f t="shared" si="0"/>
        <v>39686.424708723855</v>
      </c>
      <c r="Z61" s="43">
        <f t="shared" si="0"/>
        <v>38748.381942881293</v>
      </c>
      <c r="AA61" s="43">
        <f t="shared" si="0"/>
        <v>37832.511096958646</v>
      </c>
      <c r="AB61" s="43">
        <f t="shared" si="0"/>
        <v>36938.288107394168</v>
      </c>
      <c r="AD61" s="43">
        <f t="shared" ref="AD61:AD78" si="13">IF($M61&gt;0, IF(OR($H61&gt;AD$58,$H61+$M61&lt;AD$58),0,IF(OR($H61=2020,$H61=2021),VDB($U61,0,$V61,AD$58-2022,MIN($V61,AD$58-2021),1,FALSE),
VDB($U61,0,$V61,MAX(0,AD$58-$H61-0.5),MIN($V61,AD$58-$H61+0.5),1,FALSE)))*$F$26,0)</f>
        <v>1716.2844172228215</v>
      </c>
      <c r="AE61" s="43">
        <f t="shared" si="1"/>
        <v>3432.568834445643</v>
      </c>
      <c r="AF61" s="43">
        <f t="shared" si="1"/>
        <v>3432.568834445643</v>
      </c>
      <c r="AG61" s="43">
        <f t="shared" si="1"/>
        <v>3432.568834445643</v>
      </c>
      <c r="AH61" s="43">
        <f t="shared" si="1"/>
        <v>3432.568834445643</v>
      </c>
      <c r="AJ61" s="43">
        <f t="shared" ref="AJ61:AJ65" si="14">X61+AD61</f>
        <v>21796.812098729835</v>
      </c>
      <c r="AK61" s="43">
        <f t="shared" ref="AK61:AK65" si="15">Y61+AE61</f>
        <v>43118.993543169498</v>
      </c>
      <c r="AL61" s="43">
        <f t="shared" ref="AL61:AL65" si="16">Z61+AF61</f>
        <v>42180.950777326936</v>
      </c>
      <c r="AM61" s="43">
        <f t="shared" ref="AM61:AM65" si="17">AA61+AG61</f>
        <v>41265.079931404289</v>
      </c>
      <c r="AN61" s="43">
        <f t="shared" ref="AN61:AN65" si="18">AB61+AH61</f>
        <v>40370.856941839811</v>
      </c>
      <c r="AP61" s="43">
        <f t="shared" ref="AP61:AP78" si="19">IF($M61=0, IF($H61&gt;AP$58,0, $U61), IF(OR($H61&gt;AP$58,$H61+$M61&lt;=AP$58),0,
IF($H61=AP$58,$U61-AJ61,
U61-AJ61)))</f>
        <v>1866116.0468463737</v>
      </c>
      <c r="AQ61" s="43">
        <f t="shared" ref="AQ61:AQ79" si="20">IF($M61=0, IF($H61 &gt; AQ$58, 0, IF($H61=AQ$58, $F61, AP61)), IF(OR($H61&gt;AQ$58,$H61+$M61&lt;=AQ$58),0,
IF($H61=AQ$58,$U61-AK61,
AP61-AK61)))</f>
        <v>1822997.0533032042</v>
      </c>
      <c r="AR61" s="43">
        <f t="shared" si="3"/>
        <v>1780816.1025258773</v>
      </c>
      <c r="AS61" s="43">
        <f t="shared" si="3"/>
        <v>1739551.0225944731</v>
      </c>
      <c r="AT61" s="43">
        <f t="shared" si="3"/>
        <v>1699180.1656526332</v>
      </c>
      <c r="AV61" s="47">
        <f t="shared" ref="AV61:AV64" si="21">O61+R61*H$16</f>
        <v>0</v>
      </c>
      <c r="AW61" s="47">
        <f t="shared" ref="AW61:AW65" si="22">P61+S61*I$16</f>
        <v>0</v>
      </c>
      <c r="AX61" s="47">
        <f t="shared" ref="AX61:AX64" si="23">AJ61+AP61*J$17</f>
        <v>85244.757691506544</v>
      </c>
      <c r="AY61" s="47">
        <f t="shared" ref="AY61:AY65" si="24">AK61+AQ61*K$17</f>
        <v>103277.89630217524</v>
      </c>
      <c r="AZ61" s="47">
        <f t="shared" ref="AZ61:AZ65" si="25">AL61+AR61*L$17</f>
        <v>109851.96267331028</v>
      </c>
      <c r="BA61" s="43">
        <f t="shared" ref="BA61:BA65" si="26">AM61+AS61*M$17</f>
        <v>107368.01878999427</v>
      </c>
      <c r="BB61" s="43">
        <f t="shared" ref="BB61:BB65" si="27">AN61+AT61*N$17</f>
        <v>104939.70323663988</v>
      </c>
      <c r="BD61" s="43">
        <f t="shared" ref="BD61:BD65" si="28">IF(O61&gt;0,$F61*$F$20*INDEX($H$38:$N$44,$H61-2019,BD$58-2019)*INDEX($H$47:$N$53,$H61-2019,BD$58-2019)* IF(OR(BD$58=$H61,BD$58=$H61+$M61),0.5,1),0)</f>
        <v>0</v>
      </c>
      <c r="BE61" s="43">
        <f t="shared" ref="BE61:BE65" si="29">IF(P61&gt;0,$F61*$F$20*INDEX($H$38:$N$44,$H61-2019,BE$58-2019)*INDEX($H$47:$N$53,$H61-2019,BE$58-2019)*
 IF(OR(BE$58=$H61,BE$58=$H61+$M61),0.5,1),0)</f>
        <v>0</v>
      </c>
      <c r="BF61" s="43">
        <f t="shared" ref="BF61:BF65" si="30">IF(AJ61&gt;0,
$F61*$F$20*INDEX($H$38:$N$44,$H61-2019,BF$58-2019)*INDEX($H$47:$N$53,$H61-2019,BF$58-2019)*
 IF(OR(BF$58=$H61,BF$58=$H61+$M61),0.5,1),0)</f>
        <v>9439.5642947255183</v>
      </c>
      <c r="BG61" s="43">
        <f t="shared" ref="BG61:BG65" si="31">IF(AK61&gt;0,
$F61*$F$20*INDEX($H$38:$N$44,$H61-2019,BG$58-2019)*INDEX($H$47:$N$53,$H61-2019,BG$58-2019)*
 IF(OR(BG$58=$H61,BG$58=$H61+$M61),0.5,1),0)</f>
        <v>19969.436023749015</v>
      </c>
      <c r="BH61" s="43">
        <f t="shared" ref="BH61:BH65" si="32">IF(AL61&gt;0,
$F61*$F$20*INDEX($H$38:$N$44,$H61-2019,BH$58-2019)*INDEX($H$47:$N$53,$H61-2019,BH$58-2019)*
 IF(OR(BH$58=$H61,BH$58=$H61+$M61),0.5,1),0)</f>
        <v>21480.722942026343</v>
      </c>
      <c r="BI61" s="43">
        <f t="shared" ref="BI61:BI65" si="33">IF(AM61&gt;0,
$F61*$F$20*INDEX($H$38:$N$44,$H61-2019,BI$58-2019)*INDEX($H$47:$N$53,$H61-2019,BI$58-2019)*
 IF(OR(BI$58=$H61,BI$58=$H61+$M61),0.5,1),0)</f>
        <v>21993.854451665466</v>
      </c>
      <c r="BJ61" s="43">
        <f t="shared" ref="BJ61:BJ65" si="34">IF(AN61&gt;0,
$F61*$F$20*INDEX($H$38:$N$44,$H61-2019,BJ$58-2019)*INDEX($H$47:$N$53,$H61-2019,BJ$58-2019)*
 IF(OR(BJ$58=$H61,BJ$58=$H61+$M61),0.5,1),0)</f>
        <v>22278.278977434402</v>
      </c>
      <c r="BL61" s="43">
        <f t="shared" ref="BL61:BL65" si="35">AV61+BD61</f>
        <v>0</v>
      </c>
      <c r="BM61" s="43">
        <f t="shared" ref="BM61:BM65" si="36">AW61+BE61</f>
        <v>0</v>
      </c>
      <c r="BN61" s="43">
        <f t="shared" ref="BN61:BN65" si="37">AX61+BF61</f>
        <v>94684.321986232069</v>
      </c>
      <c r="BO61" s="43">
        <f t="shared" ref="BO61:BO65" si="38">AY61+BG61</f>
        <v>123247.33232592426</v>
      </c>
      <c r="BP61" s="43">
        <f t="shared" ref="BP61:BP65" si="39">AZ61+BH61</f>
        <v>131332.68561533661</v>
      </c>
      <c r="BQ61" s="43">
        <f t="shared" ref="BQ61:BQ65" si="40">BA61+BI61</f>
        <v>129361.87324165973</v>
      </c>
      <c r="BR61" s="43">
        <f t="shared" ref="BR61:BR65" si="41">BB61+BJ61</f>
        <v>127217.98221407428</v>
      </c>
      <c r="BT61" s="10"/>
      <c r="BU61" s="10"/>
      <c r="BV61" s="51">
        <f t="shared" ref="BV61:BV65" si="42">IF($L61&gt;BV$58,0,
IF($L61=BV$58,BL61*INDEX(J$29:J$35,BV$58-2021)+BM61*INDEX(J$29:J$35,BV$58-2020)+BN61,BN61))</f>
        <v>0</v>
      </c>
      <c r="BW61" s="51">
        <f t="shared" ref="BW61:BW65" si="43">IF($L61&gt;BW$58,0,
IF($L61=BW$58,BM61*INDEX(K$29:K$35,BW$58-2021)+BN61*INDEX(K$29:K$35,BW$58-2020)+BO61,BO61))</f>
        <v>0</v>
      </c>
      <c r="BX61" s="51">
        <f t="shared" ref="BX61:BX65" si="44">IF($L61&gt;BX$58,0,
IF($L61=BX$58,BN61*INDEX(L$29:L$35,BX$58-2021)+BO61*INDEX(L$29:L$35,BX$58-2020)+BP61,BP61))</f>
        <v>359951.0399972928</v>
      </c>
      <c r="BY61" s="51">
        <f t="shared" ref="BY61:BY65" si="45">IF($L61&gt;BY$58,0,
IF($L61=BY$58,BO61*INDEX(M$29:M$35,BY$58-2021)+BP61*INDEX(M$29:M$35,BY$58-2020)+BQ61,BQ61))</f>
        <v>129361.87324165973</v>
      </c>
      <c r="BZ61" s="51">
        <f t="shared" ref="BZ61:BZ65" si="46">IF($L61&gt;BZ$58,0,
IF($L61=BZ$58,BP61*INDEX(N$29:N$35,BZ$58-2021)+BQ61*INDEX(N$29:N$35,BZ$58-2020)+BR61,BR61))</f>
        <v>127217.98221407428</v>
      </c>
    </row>
    <row r="62" spans="1:78">
      <c r="A62" s="48"/>
      <c r="B62" s="37">
        <f>'11. Investeringen (WUI+ombouw)'!B22</f>
        <v>3</v>
      </c>
      <c r="C62" s="48"/>
      <c r="D62" s="48"/>
      <c r="E62" s="48"/>
      <c r="F62" s="42">
        <f>'11. Investeringen (WUI+ombouw)'!C22</f>
        <v>2724356.4622969897</v>
      </c>
      <c r="G62" s="48"/>
      <c r="H62" s="37">
        <f>'11. Investeringen (WUI+ombouw)'!D22</f>
        <v>2022</v>
      </c>
      <c r="I62" s="37" t="str">
        <f>'11. Investeringen (WUI+ombouw)'!E22</f>
        <v>02 Gasontvangststations</v>
      </c>
      <c r="J62" s="37" t="str">
        <f>'11. Investeringen (WUI+ombouw)'!F22</f>
        <v>VVI</v>
      </c>
      <c r="K62" s="37" t="str">
        <f>'11. Investeringen (WUI+ombouw)'!G22</f>
        <v>Ja</v>
      </c>
      <c r="L62" s="38">
        <f t="shared" si="5"/>
        <v>2024</v>
      </c>
      <c r="M62" s="38">
        <f>_xlfn.XLOOKUP(I62,'3. Input (des)investeringen '!$B$11:$B$81,'3. Input (des)investeringen '!$D$11:$D$81,0)</f>
        <v>30</v>
      </c>
      <c r="O62" s="43">
        <f t="shared" si="6"/>
        <v>0</v>
      </c>
      <c r="P62" s="43">
        <f t="shared" si="7"/>
        <v>0</v>
      </c>
      <c r="R62" s="43">
        <f t="shared" si="8"/>
        <v>0</v>
      </c>
      <c r="S62" s="43">
        <f t="shared" si="9"/>
        <v>0</v>
      </c>
      <c r="U62" s="43">
        <f t="shared" si="10"/>
        <v>2724356.4622969897</v>
      </c>
      <c r="V62" s="38">
        <f t="shared" si="11"/>
        <v>30</v>
      </c>
      <c r="X62" s="43">
        <f t="shared" si="12"/>
        <v>53124.951014791302</v>
      </c>
      <c r="Y62" s="43">
        <f t="shared" si="0"/>
        <v>103947.82081894165</v>
      </c>
      <c r="Z62" s="43">
        <f t="shared" si="0"/>
        <v>99443.415250120845</v>
      </c>
      <c r="AA62" s="43">
        <f t="shared" si="0"/>
        <v>95134.200589282264</v>
      </c>
      <c r="AB62" s="43">
        <f t="shared" si="0"/>
        <v>91011.71856374669</v>
      </c>
      <c r="AD62" s="43">
        <f t="shared" si="13"/>
        <v>4540.5941038283163</v>
      </c>
      <c r="AE62" s="43">
        <f t="shared" si="1"/>
        <v>9081.1882076566326</v>
      </c>
      <c r="AF62" s="43">
        <f t="shared" si="1"/>
        <v>9081.1882076566326</v>
      </c>
      <c r="AG62" s="43">
        <f t="shared" si="1"/>
        <v>9081.1882076566326</v>
      </c>
      <c r="AH62" s="43">
        <f t="shared" si="1"/>
        <v>9081.1882076566326</v>
      </c>
      <c r="AJ62" s="43">
        <f t="shared" si="14"/>
        <v>57665.545118619615</v>
      </c>
      <c r="AK62" s="43">
        <f t="shared" si="15"/>
        <v>113029.00902659827</v>
      </c>
      <c r="AL62" s="43">
        <f t="shared" si="16"/>
        <v>108524.60345777747</v>
      </c>
      <c r="AM62" s="43">
        <f t="shared" si="17"/>
        <v>104215.3887969389</v>
      </c>
      <c r="AN62" s="43">
        <f t="shared" si="18"/>
        <v>100092.90677140333</v>
      </c>
      <c r="AP62" s="43">
        <f t="shared" si="19"/>
        <v>2666690.9171783701</v>
      </c>
      <c r="AQ62" s="43">
        <f t="shared" si="20"/>
        <v>2553661.9081517719</v>
      </c>
      <c r="AR62" s="43">
        <f t="shared" si="3"/>
        <v>2445137.3046939946</v>
      </c>
      <c r="AS62" s="43">
        <f t="shared" si="3"/>
        <v>2340921.9158970555</v>
      </c>
      <c r="AT62" s="43">
        <f t="shared" si="3"/>
        <v>2240829.0091256523</v>
      </c>
      <c r="AV62" s="47">
        <f t="shared" si="21"/>
        <v>0</v>
      </c>
      <c r="AW62" s="47">
        <f t="shared" si="22"/>
        <v>0</v>
      </c>
      <c r="AX62" s="47">
        <f t="shared" si="23"/>
        <v>148333.03630268422</v>
      </c>
      <c r="AY62" s="47">
        <f t="shared" si="24"/>
        <v>197299.85199560673</v>
      </c>
      <c r="AZ62" s="47">
        <f t="shared" si="25"/>
        <v>201439.82103614928</v>
      </c>
      <c r="BA62" s="43">
        <f t="shared" si="26"/>
        <v>193170.42160102702</v>
      </c>
      <c r="BB62" s="43">
        <f t="shared" si="27"/>
        <v>185244.40911817813</v>
      </c>
      <c r="BD62" s="43">
        <f t="shared" si="28"/>
        <v>0</v>
      </c>
      <c r="BE62" s="43">
        <f t="shared" si="29"/>
        <v>0</v>
      </c>
      <c r="BF62" s="43">
        <f t="shared" si="30"/>
        <v>13621.782311484949</v>
      </c>
      <c r="BG62" s="43">
        <f t="shared" si="31"/>
        <v>28816.934967075656</v>
      </c>
      <c r="BH62" s="43">
        <f t="shared" si="32"/>
        <v>30997.800605383945</v>
      </c>
      <c r="BI62" s="43">
        <f t="shared" si="33"/>
        <v>31738.276066245355</v>
      </c>
      <c r="BJ62" s="43">
        <f t="shared" si="34"/>
        <v>32148.715452334036</v>
      </c>
      <c r="BL62" s="43">
        <f t="shared" si="35"/>
        <v>0</v>
      </c>
      <c r="BM62" s="43">
        <f t="shared" si="36"/>
        <v>0</v>
      </c>
      <c r="BN62" s="43">
        <f t="shared" si="37"/>
        <v>161954.81861416917</v>
      </c>
      <c r="BO62" s="43">
        <f t="shared" si="38"/>
        <v>226116.78696268238</v>
      </c>
      <c r="BP62" s="43">
        <f t="shared" si="39"/>
        <v>232437.62164153322</v>
      </c>
      <c r="BQ62" s="43">
        <f t="shared" si="40"/>
        <v>224908.69766727238</v>
      </c>
      <c r="BR62" s="43">
        <f t="shared" si="41"/>
        <v>217393.12457051215</v>
      </c>
      <c r="BT62" s="10"/>
      <c r="BU62" s="10"/>
      <c r="BV62" s="51">
        <f t="shared" si="42"/>
        <v>0</v>
      </c>
      <c r="BW62" s="51">
        <f t="shared" si="43"/>
        <v>0</v>
      </c>
      <c r="BX62" s="51">
        <f t="shared" si="44"/>
        <v>639400.75166863354</v>
      </c>
      <c r="BY62" s="51">
        <f t="shared" si="45"/>
        <v>224908.69766727238</v>
      </c>
      <c r="BZ62" s="51">
        <f t="shared" si="46"/>
        <v>217393.12457051215</v>
      </c>
    </row>
    <row r="63" spans="1:78">
      <c r="A63" s="48"/>
      <c r="B63" s="37">
        <f>'11. Investeringen (WUI+ombouw)'!B23</f>
        <v>4</v>
      </c>
      <c r="C63" s="48"/>
      <c r="D63" s="48"/>
      <c r="E63" s="48"/>
      <c r="F63" s="42">
        <f>'11. Investeringen (WUI+ombouw)'!C23</f>
        <v>226794.9736094765</v>
      </c>
      <c r="G63" s="48"/>
      <c r="H63" s="37">
        <f>'11. Investeringen (WUI+ombouw)'!D23</f>
        <v>2022</v>
      </c>
      <c r="I63" s="37" t="str">
        <f>'11. Investeringen (WUI+ombouw)'!E23</f>
        <v>06 Utiliteitsgebouwen</v>
      </c>
      <c r="J63" s="37" t="str">
        <f>'11. Investeringen (WUI+ombouw)'!F23</f>
        <v>VVI</v>
      </c>
      <c r="K63" s="37" t="str">
        <f>'11. Investeringen (WUI+ombouw)'!G23</f>
        <v>Ja</v>
      </c>
      <c r="L63" s="38">
        <f t="shared" si="5"/>
        <v>2024</v>
      </c>
      <c r="M63" s="38">
        <f>_xlfn.XLOOKUP(I63,'3. Input (des)investeringen '!$B$11:$B$81,'3. Input (des)investeringen '!$D$11:$D$81,0)</f>
        <v>30</v>
      </c>
      <c r="O63" s="43">
        <f t="shared" si="6"/>
        <v>0</v>
      </c>
      <c r="P63" s="43">
        <f t="shared" si="7"/>
        <v>0</v>
      </c>
      <c r="R63" s="43">
        <f t="shared" si="8"/>
        <v>0</v>
      </c>
      <c r="S63" s="43">
        <f t="shared" si="9"/>
        <v>0</v>
      </c>
      <c r="U63" s="43">
        <f t="shared" si="10"/>
        <v>226794.9736094765</v>
      </c>
      <c r="V63" s="38">
        <f t="shared" si="11"/>
        <v>30</v>
      </c>
      <c r="X63" s="43">
        <f t="shared" si="12"/>
        <v>4422.5019853847925</v>
      </c>
      <c r="Y63" s="43">
        <f t="shared" si="0"/>
        <v>8653.3622180695766</v>
      </c>
      <c r="Z63" s="43">
        <f t="shared" si="0"/>
        <v>8278.3831886198932</v>
      </c>
      <c r="AA63" s="43">
        <f t="shared" si="0"/>
        <v>7919.6532504463667</v>
      </c>
      <c r="AB63" s="43">
        <f t="shared" si="0"/>
        <v>7576.468276260357</v>
      </c>
      <c r="AD63" s="43">
        <f t="shared" si="13"/>
        <v>377.99162268246084</v>
      </c>
      <c r="AE63" s="43">
        <f t="shared" si="1"/>
        <v>755.98324536492169</v>
      </c>
      <c r="AF63" s="43">
        <f t="shared" si="1"/>
        <v>755.98324536492169</v>
      </c>
      <c r="AG63" s="43">
        <f t="shared" si="1"/>
        <v>755.98324536492169</v>
      </c>
      <c r="AH63" s="43">
        <f t="shared" si="1"/>
        <v>755.98324536492169</v>
      </c>
      <c r="AJ63" s="43">
        <f t="shared" si="14"/>
        <v>4800.4936080672533</v>
      </c>
      <c r="AK63" s="43">
        <f t="shared" si="15"/>
        <v>9409.345463434498</v>
      </c>
      <c r="AL63" s="43">
        <f t="shared" si="16"/>
        <v>9034.3664339848146</v>
      </c>
      <c r="AM63" s="43">
        <f t="shared" si="17"/>
        <v>8675.6364958112881</v>
      </c>
      <c r="AN63" s="43">
        <f t="shared" si="18"/>
        <v>8332.4515216252785</v>
      </c>
      <c r="AP63" s="43">
        <f t="shared" si="19"/>
        <v>221994.48000140925</v>
      </c>
      <c r="AQ63" s="43">
        <f t="shared" si="20"/>
        <v>212585.13453797475</v>
      </c>
      <c r="AR63" s="43">
        <f t="shared" si="3"/>
        <v>203550.76810398995</v>
      </c>
      <c r="AS63" s="43">
        <f t="shared" si="3"/>
        <v>194875.13160817866</v>
      </c>
      <c r="AT63" s="43">
        <f t="shared" si="3"/>
        <v>186542.68008655339</v>
      </c>
      <c r="AV63" s="47">
        <f t="shared" si="21"/>
        <v>0</v>
      </c>
      <c r="AW63" s="47">
        <f t="shared" si="22"/>
        <v>0</v>
      </c>
      <c r="AX63" s="47">
        <f t="shared" si="23"/>
        <v>12348.305928115169</v>
      </c>
      <c r="AY63" s="47">
        <f t="shared" si="24"/>
        <v>16424.654903187664</v>
      </c>
      <c r="AZ63" s="47">
        <f t="shared" si="25"/>
        <v>16769.295621936431</v>
      </c>
      <c r="BA63" s="43">
        <f t="shared" si="26"/>
        <v>16080.891496922077</v>
      </c>
      <c r="BB63" s="43">
        <f t="shared" si="27"/>
        <v>15421.073364914308</v>
      </c>
      <c r="BD63" s="43">
        <f t="shared" si="28"/>
        <v>0</v>
      </c>
      <c r="BE63" s="43">
        <f t="shared" si="29"/>
        <v>0</v>
      </c>
      <c r="BF63" s="43">
        <f t="shared" si="30"/>
        <v>1133.9748680473824</v>
      </c>
      <c r="BG63" s="43">
        <f>IF(AK63&gt;0,
$F63*$F$20*INDEX($H$38:$N$44,$H63-2019,BG$58-2019)*INDEX($H$47:$N$53,$H63-2019,BG$58-2019)*
 IF(OR(BG$58=$H63,BG$58=$H63+$M63),0.5,1),0)</f>
        <v>2398.9283692537101</v>
      </c>
      <c r="BH63" s="43">
        <f t="shared" si="32"/>
        <v>2580.4792682388306</v>
      </c>
      <c r="BI63" s="43">
        <f t="shared" si="33"/>
        <v>2642.1217569985201</v>
      </c>
      <c r="BJ63" s="43">
        <f t="shared" si="34"/>
        <v>2676.2896755600245</v>
      </c>
      <c r="BL63" s="43">
        <f t="shared" si="35"/>
        <v>0</v>
      </c>
      <c r="BM63" s="43">
        <f t="shared" si="36"/>
        <v>0</v>
      </c>
      <c r="BN63" s="43">
        <f t="shared" si="37"/>
        <v>13482.280796162551</v>
      </c>
      <c r="BO63" s="43">
        <f>AY63+BG63</f>
        <v>18823.583272441374</v>
      </c>
      <c r="BP63" s="43">
        <f t="shared" si="39"/>
        <v>19349.774890175264</v>
      </c>
      <c r="BQ63" s="43">
        <f t="shared" si="40"/>
        <v>18723.013253920595</v>
      </c>
      <c r="BR63" s="43">
        <f t="shared" si="41"/>
        <v>18097.363040474331</v>
      </c>
      <c r="BT63" s="10"/>
      <c r="BU63" s="10"/>
      <c r="BV63" s="51">
        <f t="shared" si="42"/>
        <v>0</v>
      </c>
      <c r="BW63" s="51">
        <f t="shared" si="43"/>
        <v>0</v>
      </c>
      <c r="BX63" s="51">
        <f t="shared" si="44"/>
        <v>53228.304962083523</v>
      </c>
      <c r="BY63" s="51">
        <f t="shared" si="45"/>
        <v>18723.013253920595</v>
      </c>
      <c r="BZ63" s="51">
        <f t="shared" si="46"/>
        <v>18097.363040474331</v>
      </c>
    </row>
    <row r="64" spans="1:78">
      <c r="A64" s="48"/>
      <c r="B64" s="37">
        <f>'11. Investeringen (WUI+ombouw)'!B24</f>
        <v>5</v>
      </c>
      <c r="C64" s="48"/>
      <c r="D64" s="48"/>
      <c r="E64" s="48"/>
      <c r="F64" s="42">
        <f>'11. Investeringen (WUI+ombouw)'!C24</f>
        <v>3824577.1209736457</v>
      </c>
      <c r="G64" s="48"/>
      <c r="H64" s="37">
        <f>'11. Investeringen (WUI+ombouw)'!D24</f>
        <v>2022</v>
      </c>
      <c r="I64" s="37" t="str">
        <f>'11. Investeringen (WUI+ombouw)'!E24</f>
        <v>21 Hoofdtransportleiding</v>
      </c>
      <c r="J64" s="37" t="str">
        <f>'11. Investeringen (WUI+ombouw)'!F24</f>
        <v>VVI</v>
      </c>
      <c r="K64" s="37" t="str">
        <f>'11. Investeringen (WUI+ombouw)'!G24</f>
        <v>Ja</v>
      </c>
      <c r="L64" s="38">
        <f t="shared" si="5"/>
        <v>2024</v>
      </c>
      <c r="M64" s="38">
        <f>_xlfn.XLOOKUP(I64,'3. Input (des)investeringen '!$B$11:$B$81,'3. Input (des)investeringen '!$D$11:$D$81,0)</f>
        <v>55</v>
      </c>
      <c r="O64" s="43">
        <f t="shared" si="6"/>
        <v>0</v>
      </c>
      <c r="P64" s="43">
        <f t="shared" si="7"/>
        <v>0</v>
      </c>
      <c r="R64" s="43">
        <f t="shared" si="8"/>
        <v>0</v>
      </c>
      <c r="S64" s="43">
        <f t="shared" si="9"/>
        <v>0</v>
      </c>
      <c r="U64" s="43">
        <f t="shared" si="10"/>
        <v>3824577.1209736457</v>
      </c>
      <c r="V64" s="38">
        <f t="shared" si="11"/>
        <v>55</v>
      </c>
      <c r="X64" s="43">
        <f t="shared" si="12"/>
        <v>40679.593013992417</v>
      </c>
      <c r="Y64" s="43">
        <f t="shared" si="0"/>
        <v>80397.668374926827</v>
      </c>
      <c r="Z64" s="43">
        <f t="shared" si="0"/>
        <v>78497.359849701272</v>
      </c>
      <c r="AA64" s="43">
        <f t="shared" si="0"/>
        <v>76641.967707799253</v>
      </c>
      <c r="AB64" s="43">
        <f t="shared" si="0"/>
        <v>74830.430289251264</v>
      </c>
      <c r="AD64" s="43">
        <f t="shared" si="13"/>
        <v>3476.8882917942233</v>
      </c>
      <c r="AE64" s="43">
        <f t="shared" si="1"/>
        <v>6953.7765835884484</v>
      </c>
      <c r="AF64" s="43">
        <f t="shared" si="1"/>
        <v>6953.7765835884484</v>
      </c>
      <c r="AG64" s="43">
        <f t="shared" si="1"/>
        <v>6953.7765835884484</v>
      </c>
      <c r="AH64" s="43">
        <f t="shared" si="1"/>
        <v>6953.7765835884484</v>
      </c>
      <c r="AJ64" s="43">
        <f t="shared" si="14"/>
        <v>44156.481305786641</v>
      </c>
      <c r="AK64" s="43">
        <f t="shared" si="15"/>
        <v>87351.444958515276</v>
      </c>
      <c r="AL64" s="43">
        <f t="shared" si="16"/>
        <v>85451.136433289721</v>
      </c>
      <c r="AM64" s="43">
        <f t="shared" si="17"/>
        <v>83595.744291387702</v>
      </c>
      <c r="AN64" s="43">
        <f t="shared" si="18"/>
        <v>81784.206872839713</v>
      </c>
      <c r="AP64" s="43">
        <f t="shared" si="19"/>
        <v>3780420.6396678593</v>
      </c>
      <c r="AQ64" s="43">
        <f t="shared" si="20"/>
        <v>3693069.1947093438</v>
      </c>
      <c r="AR64" s="43">
        <f t="shared" si="3"/>
        <v>3607618.058276054</v>
      </c>
      <c r="AS64" s="43">
        <f t="shared" si="3"/>
        <v>3524022.3139846665</v>
      </c>
      <c r="AT64" s="43">
        <f t="shared" si="3"/>
        <v>3442238.1071118265</v>
      </c>
      <c r="AV64" s="47">
        <f t="shared" si="21"/>
        <v>0</v>
      </c>
      <c r="AW64" s="47">
        <f t="shared" si="22"/>
        <v>0</v>
      </c>
      <c r="AX64" s="47">
        <f t="shared" si="23"/>
        <v>172690.78305449386</v>
      </c>
      <c r="AY64" s="47">
        <f t="shared" si="24"/>
        <v>209222.72838392365</v>
      </c>
      <c r="AZ64" s="47">
        <f t="shared" si="25"/>
        <v>222540.62264777976</v>
      </c>
      <c r="BA64" s="43">
        <f t="shared" si="26"/>
        <v>217508.59222280502</v>
      </c>
      <c r="BB64" s="43">
        <f t="shared" si="27"/>
        <v>212589.25494308912</v>
      </c>
      <c r="BD64" s="43">
        <f t="shared" si="28"/>
        <v>0</v>
      </c>
      <c r="BE64" s="43">
        <f t="shared" si="29"/>
        <v>0</v>
      </c>
      <c r="BF64" s="43">
        <f t="shared" si="30"/>
        <v>19122.885604868228</v>
      </c>
      <c r="BG64" s="43">
        <f t="shared" si="31"/>
        <v>40454.540988641158</v>
      </c>
      <c r="BH64" s="43">
        <f t="shared" si="32"/>
        <v>43516.140650661524</v>
      </c>
      <c r="BI64" s="43">
        <f t="shared" si="33"/>
        <v>44555.654218524527</v>
      </c>
      <c r="BJ64" s="43">
        <f t="shared" si="34"/>
        <v>45131.847938878484</v>
      </c>
      <c r="BL64" s="43">
        <f t="shared" si="35"/>
        <v>0</v>
      </c>
      <c r="BM64" s="43">
        <f t="shared" si="36"/>
        <v>0</v>
      </c>
      <c r="BN64" s="43">
        <f t="shared" si="37"/>
        <v>191813.6686593621</v>
      </c>
      <c r="BO64" s="43">
        <f t="shared" si="38"/>
        <v>249677.2693725648</v>
      </c>
      <c r="BP64" s="43">
        <f t="shared" si="39"/>
        <v>266056.76329844131</v>
      </c>
      <c r="BQ64" s="43">
        <f t="shared" si="40"/>
        <v>262064.24644132954</v>
      </c>
      <c r="BR64" s="43">
        <f t="shared" si="41"/>
        <v>257721.10288196761</v>
      </c>
      <c r="BT64" s="10"/>
      <c r="BU64" s="10"/>
      <c r="BV64" s="51">
        <f>IF($L64&gt;BV$58,0,
IF($L64=BV$58,BL64*INDEX(J$29:J$35,BV$58-2021)+BM64*INDEX(J$29:J$35,BV$58-2020)+BN64,BN64))</f>
        <v>0</v>
      </c>
      <c r="BW64" s="51">
        <f t="shared" si="43"/>
        <v>0</v>
      </c>
      <c r="BX64" s="51">
        <f t="shared" si="44"/>
        <v>729197.06315976009</v>
      </c>
      <c r="BY64" s="51">
        <f t="shared" si="45"/>
        <v>262064.24644132954</v>
      </c>
      <c r="BZ64" s="51">
        <f t="shared" si="46"/>
        <v>257721.10288196761</v>
      </c>
    </row>
    <row r="65" spans="1:78">
      <c r="A65" s="48"/>
      <c r="B65" s="37">
        <f>'11. Investeringen (WUI+ombouw)'!B25</f>
        <v>6</v>
      </c>
      <c r="C65" s="48"/>
      <c r="D65" s="48"/>
      <c r="E65" s="48"/>
      <c r="F65" s="42">
        <f>'11. Investeringen (WUI+ombouw)'!C25</f>
        <v>3150608.2540416676</v>
      </c>
      <c r="G65" s="48"/>
      <c r="H65" s="37">
        <f>'11. Investeringen (WUI+ombouw)'!D25</f>
        <v>2022</v>
      </c>
      <c r="I65" s="37" t="str">
        <f>'11. Investeringen (WUI+ombouw)'!E25</f>
        <v>32 M&amp;R stations</v>
      </c>
      <c r="J65" s="37" t="str">
        <f>'11. Investeringen (WUI+ombouw)'!F25</f>
        <v>VVI</v>
      </c>
      <c r="K65" s="37" t="str">
        <f>'11. Investeringen (WUI+ombouw)'!G25</f>
        <v>Ja</v>
      </c>
      <c r="L65" s="38">
        <f>H65+2</f>
        <v>2024</v>
      </c>
      <c r="M65" s="38">
        <f>_xlfn.XLOOKUP(I65,'3. Input (des)investeringen '!$B$11:$B$81,'3. Input (des)investeringen '!$D$11:$D$81,0)</f>
        <v>30</v>
      </c>
      <c r="O65" s="43">
        <f>IF($M65&gt;0, IF($H65&lt;=O$58, VDB($F65,0,$M65,MAX(0,O$58-$H65-0.5),MIN($M65,O$58-$H65+0.5),1)*INDEX(H$38:H$44,$H65-2019,1),0),0)</f>
        <v>0</v>
      </c>
      <c r="P65" s="43">
        <f t="shared" si="7"/>
        <v>0</v>
      </c>
      <c r="R65" s="43">
        <f t="shared" si="8"/>
        <v>0</v>
      </c>
      <c r="S65" s="43">
        <f t="shared" si="9"/>
        <v>0</v>
      </c>
      <c r="U65" s="43">
        <f>IF(H65&lt;=2021,S65,F65)</f>
        <v>3150608.2540416676</v>
      </c>
      <c r="V65" s="38">
        <f t="shared" si="11"/>
        <v>30</v>
      </c>
      <c r="X65" s="43">
        <f>IF($M65&gt;0, IF(OR($H65&gt;X$58,$H65+$M65&lt;X$58),0,IF(OR($H65=2020,$H65=2021),VDB($U65,0,$V65,X$58-2022,MIN($V65,X$58-2021),$F$23,FALSE),
VDB($U65,0,$V65,MAX(0,X$58-$H65-0.5),MIN($V65,X$58-$H65+0.5),$F$23,FALSE)))*(1-$F$26), 0)</f>
        <v>61436.860953812517</v>
      </c>
      <c r="Y65" s="43">
        <f>IF($M65&gt;0, IF(OR($H65&gt;Y$58,$H65+$M65&lt;Y$58),0,IF(OR($H65=2020,$H65=2021),VDB($U65,0,$V65,Y$58-2022,MIN($V65,Y$58-2021),$F$23,FALSE),
VDB($U65,0,$V65,MAX(0,Y$58-$H65-0.5),MIN($V65,Y$58-$H65+0.5),$F$23,FALSE)))*(1-$F$26), 0)</f>
        <v>120211.45793295982</v>
      </c>
      <c r="Z65" s="43">
        <f>IF($M65&gt;0, IF(OR($H65&gt;Z$58,$H65+$M65&lt;Z$58),0,IF(OR($H65=2020,$H65=2021),VDB($U65,0,$V65,Z$58-2022,MIN($V65,Z$58-2021),$F$23,FALSE),
VDB($U65,0,$V65,MAX(0,Z$58-$H65-0.5),MIN($V65,Z$58-$H65+0.5),$F$23,FALSE)))*(1-$F$26), 0)</f>
        <v>115002.29475586492</v>
      </c>
      <c r="AA65" s="43">
        <f t="shared" si="0"/>
        <v>110018.86198311076</v>
      </c>
      <c r="AB65" s="43">
        <f t="shared" si="0"/>
        <v>105251.37796384263</v>
      </c>
      <c r="AD65" s="43">
        <f t="shared" si="13"/>
        <v>5251.0137567361126</v>
      </c>
      <c r="AE65" s="43">
        <f t="shared" si="1"/>
        <v>10502.027513472225</v>
      </c>
      <c r="AF65" s="43">
        <f t="shared" si="1"/>
        <v>10502.027513472225</v>
      </c>
      <c r="AG65" s="43">
        <f t="shared" si="1"/>
        <v>10502.027513472225</v>
      </c>
      <c r="AH65" s="43">
        <f t="shared" si="1"/>
        <v>10502.027513472225</v>
      </c>
      <c r="AJ65" s="43">
        <f t="shared" si="14"/>
        <v>66687.874710548625</v>
      </c>
      <c r="AK65" s="43">
        <f t="shared" si="15"/>
        <v>130713.48544643205</v>
      </c>
      <c r="AL65" s="43">
        <f t="shared" si="16"/>
        <v>125504.32226933714</v>
      </c>
      <c r="AM65" s="43">
        <f t="shared" si="17"/>
        <v>120520.889496583</v>
      </c>
      <c r="AN65" s="43">
        <f t="shared" si="18"/>
        <v>115753.40547731487</v>
      </c>
      <c r="AP65" s="43">
        <f t="shared" si="19"/>
        <v>3083920.3793311189</v>
      </c>
      <c r="AQ65" s="43">
        <f t="shared" si="20"/>
        <v>2953206.8938846868</v>
      </c>
      <c r="AR65" s="43">
        <f t="shared" si="3"/>
        <v>2827702.5716153495</v>
      </c>
      <c r="AS65" s="43">
        <f t="shared" si="3"/>
        <v>2707181.6821187665</v>
      </c>
      <c r="AT65" s="43">
        <f t="shared" si="3"/>
        <v>2591428.2766414518</v>
      </c>
      <c r="AV65" s="47">
        <f>O65+R65*H$16</f>
        <v>0</v>
      </c>
      <c r="AW65" s="47">
        <f t="shared" si="22"/>
        <v>0</v>
      </c>
      <c r="AX65" s="47">
        <f>AJ65+AP65*J$17</f>
        <v>171541.16760780668</v>
      </c>
      <c r="AY65" s="47">
        <f t="shared" si="24"/>
        <v>228169.31294462673</v>
      </c>
      <c r="AZ65" s="47">
        <f t="shared" si="25"/>
        <v>232957.01999072041</v>
      </c>
      <c r="BA65" s="43">
        <f t="shared" si="26"/>
        <v>223393.79341709614</v>
      </c>
      <c r="BB65" s="43">
        <f t="shared" si="27"/>
        <v>214227.67998969002</v>
      </c>
      <c r="BD65" s="43">
        <f t="shared" si="28"/>
        <v>0</v>
      </c>
      <c r="BE65" s="43">
        <f t="shared" si="29"/>
        <v>0</v>
      </c>
      <c r="BF65" s="43">
        <f t="shared" si="30"/>
        <v>15753.041270208338</v>
      </c>
      <c r="BG65" s="43">
        <f t="shared" si="31"/>
        <v>33325.62181929082</v>
      </c>
      <c r="BH65" s="43">
        <f t="shared" si="32"/>
        <v>35847.704878574754</v>
      </c>
      <c r="BI65" s="43">
        <f t="shared" si="33"/>
        <v>36704.034852714147</v>
      </c>
      <c r="BJ65" s="43">
        <f t="shared" si="34"/>
        <v>37178.691431429448</v>
      </c>
      <c r="BL65" s="43">
        <f t="shared" si="35"/>
        <v>0</v>
      </c>
      <c r="BM65" s="43">
        <f t="shared" si="36"/>
        <v>0</v>
      </c>
      <c r="BN65" s="43">
        <f t="shared" si="37"/>
        <v>187294.20887801502</v>
      </c>
      <c r="BO65" s="43">
        <f t="shared" si="38"/>
        <v>261494.93476391755</v>
      </c>
      <c r="BP65" s="43">
        <f t="shared" si="39"/>
        <v>268804.72486929514</v>
      </c>
      <c r="BQ65" s="43">
        <f t="shared" si="40"/>
        <v>260097.8282698103</v>
      </c>
      <c r="BR65" s="43">
        <f t="shared" si="41"/>
        <v>251406.37142111946</v>
      </c>
      <c r="BT65" s="10"/>
      <c r="BU65" s="10"/>
      <c r="BV65" s="51">
        <f t="shared" si="42"/>
        <v>0</v>
      </c>
      <c r="BW65" s="51">
        <f t="shared" si="43"/>
        <v>0</v>
      </c>
      <c r="BX65" s="51">
        <f t="shared" si="44"/>
        <v>739441.15380156774</v>
      </c>
      <c r="BY65" s="51">
        <f t="shared" si="45"/>
        <v>260097.8282698103</v>
      </c>
      <c r="BZ65" s="51">
        <f t="shared" si="46"/>
        <v>251406.37142111946</v>
      </c>
    </row>
    <row r="66" spans="1:78" s="230" customFormat="1">
      <c r="A66" s="48"/>
      <c r="B66" s="37">
        <f>'11. Investeringen (WUI+ombouw)'!B26</f>
        <v>7</v>
      </c>
      <c r="C66" s="48"/>
      <c r="D66" s="48"/>
      <c r="E66" s="48"/>
      <c r="F66" s="42">
        <f>'11. Investeringen (WUI+ombouw)'!C26</f>
        <v>1821898.5094885458</v>
      </c>
      <c r="G66" s="48"/>
      <c r="H66" s="37">
        <f>'11. Investeringen (WUI+ombouw)'!D26</f>
        <v>2023</v>
      </c>
      <c r="I66" s="37" t="str">
        <f>'11. Investeringen (WUI+ombouw)'!E26</f>
        <v>04 Terreinen</v>
      </c>
      <c r="J66" s="37" t="str">
        <f>'11. Investeringen (WUI+ombouw)'!F26</f>
        <v>WUI</v>
      </c>
      <c r="K66" s="37" t="str">
        <f>'11. Investeringen (WUI+ombouw)'!G26</f>
        <v>Nee</v>
      </c>
      <c r="L66" s="38">
        <f t="shared" ref="L66:L79" si="47">H66+2</f>
        <v>2025</v>
      </c>
      <c r="M66" s="38">
        <f>_xlfn.XLOOKUP(I66,'3. Input (des)investeringen '!$B$11:$B$81,'3. Input (des)investeringen '!$D$11:$D$81,0)</f>
        <v>0</v>
      </c>
      <c r="N66" s="3"/>
      <c r="O66" s="43">
        <f>IF($M66&gt;0, IF($H66&lt;=O$58, VDB($F66,0,$M66,MAX(0,O$58-$H66-0.5),MIN($M66,O$58-$H66+0.5),1)*INDEX(H$38:H$44,$H66-2019,1),0),0)</f>
        <v>0</v>
      </c>
      <c r="P66" s="43">
        <f t="shared" ref="P66:P78" si="48">IF($M66&gt;0, IF($H66&lt;=P$58, VDB($F66,0,$M66,MAX(0,P$58-$H66-0.5),MIN($M66,P$58-$H66+0.5),1)*INDEX(I$38:I$44,$H66-2019,1),0),0)</f>
        <v>0</v>
      </c>
      <c r="Q66" s="3"/>
      <c r="R66" s="43">
        <f t="shared" si="8"/>
        <v>0</v>
      </c>
      <c r="S66" s="43">
        <f>IF($M66=0,IF($H66=P$58,$F66,$R66*I$38),IF(OR($H66&gt;S$58,$H66+$M66&lt;=S$58),0,
IF($H66=S$58,F66-P66,R66*I$38-P66)))</f>
        <v>0</v>
      </c>
      <c r="T66" s="3"/>
      <c r="U66" s="43">
        <f t="shared" ref="U66:U79" si="49">IF(H66&lt;=2021,S66,F66)</f>
        <v>1821898.5094885458</v>
      </c>
      <c r="V66" s="38">
        <f t="shared" ref="V66:V79" si="50">IF($M66&gt;0,IF(H66&lt;2022,M66-2021+H66-0.5,M66),0)</f>
        <v>0</v>
      </c>
      <c r="W66" s="3"/>
      <c r="X66" s="43">
        <f>IF($M66&gt;0, IF(OR($H66&gt;X$58,$H66+$M66&lt;X$58),0,IF(OR($H66=2020,$H66=2021),VDB($U66,0,$V66,X$58-2022,MIN($V66,X$58-2021),$F$23,FALSE),
VDB($U66,0,$V66,MAX(0,X$58-$H66-0.5),MIN($V66,X$58-$H66+0.5),$F$23,FALSE)))*(1-$F$26), 0)</f>
        <v>0</v>
      </c>
      <c r="Y66" s="43">
        <f>IF($M66&gt;0, IF(OR($H66&gt;Y$58,$H66+$M66&lt;Y$58),0,IF(OR($H66=2020,$H66=2021),VDB($U66,0,$V66,Y$58-2022,MIN($V66,Y$58-2021),$F$23,FALSE),
VDB($U66,0,$V66,MAX(0,Y$58-$H66-0.5),MIN($V66,Y$58-$H66+0.5),$F$23,FALSE)))*(1-$F$26), 0)</f>
        <v>0</v>
      </c>
      <c r="Z66" s="43">
        <f t="shared" ref="X66:AB81" si="51">IF($M66&gt;0, IF(OR($H66&gt;Z$58,$H66+$M66&lt;Z$58),0,IF(OR($H66=2020,$H66=2021),VDB($U66,0,$V66,Z$58-2022,MIN($V66,Z$58-2021),$F$23,FALSE),
VDB($U66,0,$V66,MAX(0,Z$58-$H66-0.5),MIN($V66,Z$58-$H66+0.5),$F$23,FALSE)))*(1-$F$26), 0)</f>
        <v>0</v>
      </c>
      <c r="AA66" s="43">
        <f t="shared" si="0"/>
        <v>0</v>
      </c>
      <c r="AB66" s="43">
        <f t="shared" si="0"/>
        <v>0</v>
      </c>
      <c r="AC66" s="3"/>
      <c r="AD66" s="43">
        <f t="shared" si="13"/>
        <v>0</v>
      </c>
      <c r="AE66" s="43">
        <f t="shared" si="1"/>
        <v>0</v>
      </c>
      <c r="AF66" s="43">
        <f t="shared" si="1"/>
        <v>0</v>
      </c>
      <c r="AG66" s="43">
        <f t="shared" si="1"/>
        <v>0</v>
      </c>
      <c r="AH66" s="43">
        <f t="shared" si="1"/>
        <v>0</v>
      </c>
      <c r="AI66" s="3"/>
      <c r="AJ66" s="43">
        <f t="shared" ref="AJ66:AJ79" si="52">X66+AD66</f>
        <v>0</v>
      </c>
      <c r="AK66" s="43">
        <f t="shared" ref="AK66:AK79" si="53">Y66+AE66</f>
        <v>0</v>
      </c>
      <c r="AL66" s="43">
        <f t="shared" ref="AL66:AL79" si="54">Z66+AF66</f>
        <v>0</v>
      </c>
      <c r="AM66" s="43">
        <f t="shared" ref="AM66:AM79" si="55">AA66+AG66</f>
        <v>0</v>
      </c>
      <c r="AN66" s="43">
        <f t="shared" ref="AN66:AN79" si="56">AB66+AH66</f>
        <v>0</v>
      </c>
      <c r="AO66" s="3"/>
      <c r="AP66" s="43">
        <f t="shared" si="19"/>
        <v>0</v>
      </c>
      <c r="AQ66" s="43">
        <f t="shared" si="20"/>
        <v>1821898.5094885458</v>
      </c>
      <c r="AR66" s="43">
        <f t="shared" si="3"/>
        <v>1821898.5094885458</v>
      </c>
      <c r="AS66" s="43">
        <f t="shared" si="3"/>
        <v>1821898.5094885458</v>
      </c>
      <c r="AT66" s="43">
        <f t="shared" si="3"/>
        <v>1821898.5094885458</v>
      </c>
      <c r="AU66" s="3"/>
      <c r="AV66" s="47">
        <f>O66+R66*H$16</f>
        <v>0</v>
      </c>
      <c r="AW66" s="47">
        <f t="shared" ref="AW66:AW79" si="57">P66+S66*I$16</f>
        <v>0</v>
      </c>
      <c r="AX66" s="47">
        <f>AJ66+AP66*J$17</f>
        <v>0</v>
      </c>
      <c r="AY66" s="47">
        <f t="shared" ref="AY66:AY79" si="58">AK66+AQ66*K$17</f>
        <v>60122.650813122018</v>
      </c>
      <c r="AZ66" s="47">
        <f t="shared" ref="AZ66:AZ79" si="59">AL66+AR66*L$17</f>
        <v>69232.143360564733</v>
      </c>
      <c r="BA66" s="43">
        <f t="shared" ref="BA66:BA79" si="60">AM66+AS66*M$17</f>
        <v>69232.143360564733</v>
      </c>
      <c r="BB66" s="43">
        <f t="shared" ref="BB66:BB79" si="61">AN66+AT66*N$17</f>
        <v>69232.143360564733</v>
      </c>
      <c r="BC66" s="3"/>
      <c r="BD66" s="43">
        <f t="shared" ref="BD66:BD79" si="62">IF(O66&gt;0,$F66*$F$20*INDEX($H$38:$N$44,$H66-2019,BD$58-2019)*INDEX($H$47:$N$53,$H66-2019,BD$58-2019)* IF(OR(BD$58=$H66,BD$58=$H66+$M66),0.5,1),0)</f>
        <v>0</v>
      </c>
      <c r="BE66" s="43">
        <f t="shared" ref="BE66:BE79" si="63">IF(P66&gt;0,$F66*$F$20*INDEX($H$38:$N$44,$H66-2019,BE$58-2019)*INDEX($H$47:$N$53,$H66-2019,BE$58-2019)*
 IF(OR(BE$58=$H66,BE$58=$H66+$M66),0.5,1),0)</f>
        <v>0</v>
      </c>
      <c r="BF66" s="43">
        <f t="shared" ref="BF66:BF79" si="64">IF(AJ66&gt;0,
$F66*$F$20*INDEX($H$38:$N$44,$H66-2019,BF$58-2019)*INDEX($H$47:$N$53,$H66-2019,BF$58-2019)*
 IF(OR(BF$58=$H66,BF$58=$H66+$M66),0.5,1),0)</f>
        <v>0</v>
      </c>
      <c r="BG66" s="43">
        <f t="shared" ref="BG66:BG79" si="65">IF(AK66&gt;0,
$F66*$F$20*INDEX($H$38:$N$44,$H66-2019,BG$58-2019)*INDEX($H$47:$N$53,$H66-2019,BG$58-2019)*
 IF(OR(BG$58=$H66,BG$58=$H66+$M66),0.5,1),0)</f>
        <v>0</v>
      </c>
      <c r="BH66" s="43">
        <f t="shared" ref="BH66:BH79" si="66">IF(AL66&gt;0,
$F66*$F$20*INDEX($H$38:$N$44,$H66-2019,BH$58-2019)*INDEX($H$47:$N$53,$H66-2019,BH$58-2019)*
 IF(OR(BH$58=$H66,BH$58=$H66+$M66),0.5,1),0)</f>
        <v>0</v>
      </c>
      <c r="BI66" s="43">
        <f t="shared" ref="BI66:BI79" si="67">IF(AM66&gt;0,
$F66*$F$20*INDEX($H$38:$N$44,$H66-2019,BI$58-2019)*INDEX($H$47:$N$53,$H66-2019,BI$58-2019)*
 IF(OR(BI$58=$H66,BI$58=$H66+$M66),0.5,1),0)</f>
        <v>0</v>
      </c>
      <c r="BJ66" s="43">
        <f t="shared" ref="BJ66:BJ79" si="68">IF(AN66&gt;0,
$F66*$F$20*INDEX($H$38:$N$44,$H66-2019,BJ$58-2019)*INDEX($H$47:$N$53,$H66-2019,BJ$58-2019)*
 IF(OR(BJ$58=$H66,BJ$58=$H66+$M66),0.5,1),0)</f>
        <v>0</v>
      </c>
      <c r="BK66" s="3"/>
      <c r="BL66" s="43">
        <f t="shared" ref="BL66:BL79" si="69">AV66+BD66</f>
        <v>0</v>
      </c>
      <c r="BM66" s="43">
        <f t="shared" ref="BM66:BM79" si="70">AW66+BE66</f>
        <v>0</v>
      </c>
      <c r="BN66" s="43">
        <f t="shared" ref="BN66:BN79" si="71">AX66+BF66</f>
        <v>0</v>
      </c>
      <c r="BO66" s="43">
        <f t="shared" ref="BO66:BO79" si="72">AY66+BG66</f>
        <v>60122.650813122018</v>
      </c>
      <c r="BP66" s="43">
        <f t="shared" ref="BP66:BP79" si="73">AZ66+BH66</f>
        <v>69232.143360564733</v>
      </c>
      <c r="BQ66" s="43">
        <f t="shared" ref="BQ66:BQ79" si="74">BA66+BI66</f>
        <v>69232.143360564733</v>
      </c>
      <c r="BR66" s="43">
        <f t="shared" ref="BR66:BR79" si="75">BB66+BJ66</f>
        <v>69232.143360564733</v>
      </c>
      <c r="BS66" s="3"/>
      <c r="BT66" s="10"/>
      <c r="BU66" s="10"/>
      <c r="BV66" s="51">
        <f t="shared" ref="BV66:BV79" si="76">IF($L66&gt;BV$58,0,
IF($L66=BV$58,BL66*INDEX(J$29:J$35,BV$58-2021)+BM66*INDEX(J$29:J$35,BV$58-2020)+BN66,BN66))</f>
        <v>0</v>
      </c>
      <c r="BW66" s="51">
        <f t="shared" ref="BW66:BW79" si="77">IF($L66&gt;BW$58,0,
IF($L66=BW$58,BM66*INDEX(K$29:K$35,BW$58-2021)+BN66*INDEX(K$29:K$35,BW$58-2020)+BO66,BO66))</f>
        <v>0</v>
      </c>
      <c r="BX66" s="51">
        <f>IF($L66&gt;BX$58,0,
IF($L66=BX$58,BN66*INDEX(L$29:L$35,BX$58-2021)+BO66*INDEX(L$29:L$35,BX$58-2020)+BP66,BP66))</f>
        <v>0</v>
      </c>
      <c r="BY66" s="323">
        <f t="shared" ref="BY66:BY79" si="78">IF($L66&gt;BY$58,0,
IF($L66=BY$58,BO66*INDEX(M$29:M$35,BY$58-2021)+BP66*INDEX(M$29:M$35,BY$58-2020)+BQ66,BQ66))</f>
        <v>210215.02258121117</v>
      </c>
      <c r="BZ66" s="51">
        <f t="shared" ref="BZ66:BZ79" si="79">IF($L66&gt;BZ$58,0,
IF($L66=BZ$58,BP66*INDEX(N$29:N$35,BZ$58-2021)+BQ66*INDEX(N$29:N$35,BZ$58-2020)+BR66,BR66))</f>
        <v>69232.143360564733</v>
      </c>
    </row>
    <row r="67" spans="1:78" s="230" customFormat="1">
      <c r="A67" s="48"/>
      <c r="B67" s="37">
        <f>'11. Investeringen (WUI+ombouw)'!B27</f>
        <v>8</v>
      </c>
      <c r="C67" s="48"/>
      <c r="D67" s="48"/>
      <c r="E67" s="48"/>
      <c r="F67" s="42">
        <f>'11. Investeringen (WUI+ombouw)'!C27</f>
        <v>41241409.443761975</v>
      </c>
      <c r="G67" s="48"/>
      <c r="H67" s="37">
        <f>'11. Investeringen (WUI+ombouw)'!D27</f>
        <v>2023</v>
      </c>
      <c r="I67" s="37" t="str">
        <f>'11. Investeringen (WUI+ombouw)'!E27</f>
        <v>05 Wegen en terreinvoorzieningen</v>
      </c>
      <c r="J67" s="37" t="str">
        <f>'11. Investeringen (WUI+ombouw)'!F27</f>
        <v>WUI</v>
      </c>
      <c r="K67" s="37" t="str">
        <f>'11. Investeringen (WUI+ombouw)'!G27</f>
        <v>Nee</v>
      </c>
      <c r="L67" s="38">
        <f t="shared" si="47"/>
        <v>2025</v>
      </c>
      <c r="M67" s="38">
        <f>_xlfn.XLOOKUP(I67,'3. Input (des)investeringen '!$B$11:$B$81,'3. Input (des)investeringen '!$D$11:$D$81,0)</f>
        <v>10</v>
      </c>
      <c r="N67" s="3"/>
      <c r="O67" s="43">
        <f t="shared" ref="O67:O78" si="80">IF($M67&gt;0, IF($H67&lt;=O$58, VDB($F67,0,$M67,MAX(0,O$58-$H67-0.5),MIN($M67,O$58-$H67+0.5),1)*INDEX(H$38:H$44,$H67-2019,1),0),0)</f>
        <v>0</v>
      </c>
      <c r="P67" s="43">
        <f t="shared" si="48"/>
        <v>0</v>
      </c>
      <c r="Q67" s="3"/>
      <c r="R67" s="43">
        <f t="shared" si="8"/>
        <v>0</v>
      </c>
      <c r="S67" s="43">
        <f t="shared" si="9"/>
        <v>0</v>
      </c>
      <c r="T67" s="3"/>
      <c r="U67" s="43">
        <f t="shared" si="49"/>
        <v>41241409.443761975</v>
      </c>
      <c r="V67" s="38">
        <f t="shared" si="50"/>
        <v>10</v>
      </c>
      <c r="W67" s="3"/>
      <c r="X67" s="43">
        <f t="shared" si="51"/>
        <v>0</v>
      </c>
      <c r="Y67" s="43">
        <f t="shared" si="51"/>
        <v>2412622.4524600757</v>
      </c>
      <c r="Z67" s="43">
        <f t="shared" si="51"/>
        <v>4511603.9861003421</v>
      </c>
      <c r="AA67" s="43">
        <f t="shared" si="0"/>
        <v>3925095.467907297</v>
      </c>
      <c r="AB67" s="43">
        <f t="shared" si="0"/>
        <v>3502392.8790557417</v>
      </c>
      <c r="AC67" s="3"/>
      <c r="AD67" s="43">
        <f t="shared" si="13"/>
        <v>0</v>
      </c>
      <c r="AE67" s="43">
        <f t="shared" si="1"/>
        <v>206207.04721880989</v>
      </c>
      <c r="AF67" s="43">
        <f t="shared" si="1"/>
        <v>412414.09443761973</v>
      </c>
      <c r="AG67" s="43">
        <f t="shared" si="1"/>
        <v>412414.09443761973</v>
      </c>
      <c r="AH67" s="43">
        <f t="shared" si="1"/>
        <v>412414.09443761973</v>
      </c>
      <c r="AI67" s="3"/>
      <c r="AJ67" s="43">
        <f t="shared" si="52"/>
        <v>0</v>
      </c>
      <c r="AK67" s="43">
        <f t="shared" si="53"/>
        <v>2618829.4996788856</v>
      </c>
      <c r="AL67" s="43">
        <f t="shared" si="54"/>
        <v>4924018.0805379618</v>
      </c>
      <c r="AM67" s="43">
        <f t="shared" si="55"/>
        <v>4337509.5623449171</v>
      </c>
      <c r="AN67" s="43">
        <f t="shared" si="56"/>
        <v>3914806.9734933614</v>
      </c>
      <c r="AO67" s="3"/>
      <c r="AP67" s="43">
        <f t="shared" si="19"/>
        <v>0</v>
      </c>
      <c r="AQ67" s="43">
        <f t="shared" si="20"/>
        <v>38622579.944083087</v>
      </c>
      <c r="AR67" s="43">
        <f t="shared" si="3"/>
        <v>33698561.863545127</v>
      </c>
      <c r="AS67" s="43">
        <f t="shared" si="3"/>
        <v>29361052.301200211</v>
      </c>
      <c r="AT67" s="43">
        <f t="shared" si="3"/>
        <v>25446245.327706851</v>
      </c>
      <c r="AU67" s="3"/>
      <c r="AV67" s="47">
        <f t="shared" ref="AV67:AV79" si="81">O67+R67*H$16</f>
        <v>0</v>
      </c>
      <c r="AW67" s="47">
        <f t="shared" si="57"/>
        <v>0</v>
      </c>
      <c r="AX67" s="47">
        <f t="shared" ref="AX67:AX79" si="82">AJ67+AP67*J$17</f>
        <v>0</v>
      </c>
      <c r="AY67" s="47">
        <f t="shared" si="58"/>
        <v>3893374.6378336274</v>
      </c>
      <c r="AZ67" s="47">
        <f t="shared" si="59"/>
        <v>6204563.4313526768</v>
      </c>
      <c r="BA67" s="43">
        <f t="shared" si="60"/>
        <v>5453229.5497905249</v>
      </c>
      <c r="BB67" s="43">
        <f t="shared" si="61"/>
        <v>4881764.2959462218</v>
      </c>
      <c r="BC67" s="3"/>
      <c r="BD67" s="43">
        <f t="shared" si="62"/>
        <v>0</v>
      </c>
      <c r="BE67" s="43">
        <f t="shared" si="63"/>
        <v>0</v>
      </c>
      <c r="BF67" s="43">
        <f t="shared" si="64"/>
        <v>0</v>
      </c>
      <c r="BG67" s="43">
        <f t="shared" si="65"/>
        <v>206207.04721880986</v>
      </c>
      <c r="BH67" s="43">
        <f t="shared" si="66"/>
        <v>443625.59310465882</v>
      </c>
      <c r="BI67" s="43">
        <f t="shared" si="67"/>
        <v>454222.92127274291</v>
      </c>
      <c r="BJ67" s="43">
        <f t="shared" si="68"/>
        <v>460096.93209064193</v>
      </c>
      <c r="BK67" s="3"/>
      <c r="BL67" s="43">
        <f t="shared" si="69"/>
        <v>0</v>
      </c>
      <c r="BM67" s="43">
        <f t="shared" si="70"/>
        <v>0</v>
      </c>
      <c r="BN67" s="43">
        <f t="shared" si="71"/>
        <v>0</v>
      </c>
      <c r="BO67" s="43">
        <f t="shared" si="72"/>
        <v>4099581.6850524372</v>
      </c>
      <c r="BP67" s="43">
        <f t="shared" si="73"/>
        <v>6648189.0244573355</v>
      </c>
      <c r="BQ67" s="43">
        <f t="shared" si="74"/>
        <v>5907452.4710632674</v>
      </c>
      <c r="BR67" s="43">
        <f t="shared" si="75"/>
        <v>5341861.2280368637</v>
      </c>
      <c r="BS67" s="3"/>
      <c r="BT67" s="10"/>
      <c r="BU67" s="10"/>
      <c r="BV67" s="51">
        <f t="shared" si="76"/>
        <v>0</v>
      </c>
      <c r="BW67" s="51">
        <f t="shared" si="77"/>
        <v>0</v>
      </c>
      <c r="BX67" s="51">
        <f t="shared" ref="BX67:BX79" si="83">IF($L67&gt;BX$58,0,
IF($L67=BX$58,BN67*INDEX(L$29:L$35,BX$58-2021)+BO67*INDEX(L$29:L$35,BX$58-2020)+BP67,BP67))</f>
        <v>0</v>
      </c>
      <c r="BY67" s="323">
        <f t="shared" si="78"/>
        <v>17583029.226358969</v>
      </c>
      <c r="BZ67" s="51">
        <f t="shared" si="79"/>
        <v>5341861.2280368637</v>
      </c>
    </row>
    <row r="68" spans="1:78" s="230" customFormat="1">
      <c r="A68" s="48"/>
      <c r="B68" s="37">
        <f>'11. Investeringen (WUI+ombouw)'!B28</f>
        <v>9</v>
      </c>
      <c r="C68" s="48"/>
      <c r="D68" s="48"/>
      <c r="E68" s="48"/>
      <c r="F68" s="42">
        <f>'11. Investeringen (WUI+ombouw)'!C28</f>
        <v>26179329.440538418</v>
      </c>
      <c r="G68" s="48"/>
      <c r="H68" s="37">
        <f>'11. Investeringen (WUI+ombouw)'!D28</f>
        <v>2023</v>
      </c>
      <c r="I68" s="37" t="str">
        <f>'11. Investeringen (WUI+ombouw)'!E28</f>
        <v>06 Utiliteitsgebouwen</v>
      </c>
      <c r="J68" s="37" t="str">
        <f>'11. Investeringen (WUI+ombouw)'!F28</f>
        <v>WUI</v>
      </c>
      <c r="K68" s="37" t="str">
        <f>'11. Investeringen (WUI+ombouw)'!G28</f>
        <v>Nee</v>
      </c>
      <c r="L68" s="38">
        <f t="shared" si="47"/>
        <v>2025</v>
      </c>
      <c r="M68" s="38">
        <f>_xlfn.XLOOKUP(I68,'3. Input (des)investeringen '!$B$11:$B$81,'3. Input (des)investeringen '!$D$11:$D$81,0)</f>
        <v>30</v>
      </c>
      <c r="N68" s="3"/>
      <c r="O68" s="43">
        <f t="shared" si="80"/>
        <v>0</v>
      </c>
      <c r="P68" s="43">
        <f t="shared" si="48"/>
        <v>0</v>
      </c>
      <c r="Q68" s="3"/>
      <c r="R68" s="43">
        <f t="shared" si="8"/>
        <v>0</v>
      </c>
      <c r="S68" s="43">
        <f>IF($M68=0,IF($H68=P$58,$F68,$R68*I$38),IF(OR($H68&gt;S$58,$H68+$M68&lt;=S$58),0,
IF($H68=S$58,F68-P68,R68*I$38-P68)))</f>
        <v>0</v>
      </c>
      <c r="T68" s="3"/>
      <c r="U68" s="43">
        <f t="shared" si="49"/>
        <v>26179329.440538418</v>
      </c>
      <c r="V68" s="38">
        <f t="shared" si="50"/>
        <v>30</v>
      </c>
      <c r="W68" s="3"/>
      <c r="X68" s="43">
        <f t="shared" si="51"/>
        <v>0</v>
      </c>
      <c r="Y68" s="43">
        <f t="shared" si="51"/>
        <v>510496.92409049912</v>
      </c>
      <c r="Z68" s="43">
        <f t="shared" si="51"/>
        <v>998872.31480374327</v>
      </c>
      <c r="AA68" s="43">
        <f t="shared" si="0"/>
        <v>955587.84782891441</v>
      </c>
      <c r="AB68" s="43">
        <f t="shared" si="0"/>
        <v>914179.04108966154</v>
      </c>
      <c r="AC68" s="3"/>
      <c r="AD68" s="43">
        <f t="shared" si="13"/>
        <v>0</v>
      </c>
      <c r="AE68" s="43">
        <f t="shared" si="1"/>
        <v>43632.215734230704</v>
      </c>
      <c r="AF68" s="43">
        <f t="shared" si="1"/>
        <v>87264.431468461407</v>
      </c>
      <c r="AG68" s="43">
        <f t="shared" si="1"/>
        <v>87264.431468461407</v>
      </c>
      <c r="AH68" s="43">
        <f t="shared" si="1"/>
        <v>87264.431468461407</v>
      </c>
      <c r="AI68" s="3"/>
      <c r="AJ68" s="43">
        <f t="shared" si="52"/>
        <v>0</v>
      </c>
      <c r="AK68" s="43">
        <f t="shared" si="53"/>
        <v>554129.13982472988</v>
      </c>
      <c r="AL68" s="43">
        <f t="shared" si="54"/>
        <v>1086136.7462722047</v>
      </c>
      <c r="AM68" s="43">
        <f t="shared" si="55"/>
        <v>1042852.2792973758</v>
      </c>
      <c r="AN68" s="43">
        <f t="shared" si="56"/>
        <v>1001443.4725581229</v>
      </c>
      <c r="AO68" s="3"/>
      <c r="AP68" s="43">
        <f t="shared" si="19"/>
        <v>0</v>
      </c>
      <c r="AQ68" s="43">
        <f t="shared" si="20"/>
        <v>25625200.300713688</v>
      </c>
      <c r="AR68" s="43">
        <f t="shared" si="3"/>
        <v>24539063.554441482</v>
      </c>
      <c r="AS68" s="43">
        <f t="shared" si="3"/>
        <v>23496211.275144108</v>
      </c>
      <c r="AT68" s="43">
        <f t="shared" si="3"/>
        <v>22494767.802585986</v>
      </c>
      <c r="AU68" s="3"/>
      <c r="AV68" s="47">
        <f t="shared" si="81"/>
        <v>0</v>
      </c>
      <c r="AW68" s="47">
        <f t="shared" si="57"/>
        <v>0</v>
      </c>
      <c r="AX68" s="47">
        <f t="shared" si="82"/>
        <v>0</v>
      </c>
      <c r="AY68" s="47">
        <f t="shared" si="58"/>
        <v>1399760.7497482817</v>
      </c>
      <c r="AZ68" s="47">
        <f t="shared" si="59"/>
        <v>2018621.1613409808</v>
      </c>
      <c r="BA68" s="43">
        <f t="shared" si="60"/>
        <v>1935708.3077528519</v>
      </c>
      <c r="BB68" s="43">
        <f t="shared" si="61"/>
        <v>1856244.6490563904</v>
      </c>
      <c r="BC68" s="3"/>
      <c r="BD68" s="43">
        <f t="shared" si="62"/>
        <v>0</v>
      </c>
      <c r="BE68" s="43">
        <f t="shared" si="63"/>
        <v>0</v>
      </c>
      <c r="BF68" s="43">
        <f t="shared" si="64"/>
        <v>0</v>
      </c>
      <c r="BG68" s="43">
        <f t="shared" si="65"/>
        <v>130896.6472026921</v>
      </c>
      <c r="BH68" s="43">
        <f t="shared" si="66"/>
        <v>281605.81092598371</v>
      </c>
      <c r="BI68" s="43">
        <f t="shared" si="67"/>
        <v>288332.8105373836</v>
      </c>
      <c r="BJ68" s="43">
        <f t="shared" si="68"/>
        <v>292061.53044325294</v>
      </c>
      <c r="BK68" s="3"/>
      <c r="BL68" s="43">
        <f t="shared" si="69"/>
        <v>0</v>
      </c>
      <c r="BM68" s="43">
        <f t="shared" si="70"/>
        <v>0</v>
      </c>
      <c r="BN68" s="43">
        <f t="shared" si="71"/>
        <v>0</v>
      </c>
      <c r="BO68" s="43">
        <f t="shared" si="72"/>
        <v>1530657.3969509737</v>
      </c>
      <c r="BP68" s="43">
        <f t="shared" si="73"/>
        <v>2300226.9722669646</v>
      </c>
      <c r="BQ68" s="43">
        <f t="shared" si="74"/>
        <v>2224041.1182902353</v>
      </c>
      <c r="BR68" s="43">
        <f t="shared" si="75"/>
        <v>2148306.1794996434</v>
      </c>
      <c r="BS68" s="3"/>
      <c r="BT68" s="10"/>
      <c r="BU68" s="10"/>
      <c r="BV68" s="51">
        <f t="shared" si="76"/>
        <v>0</v>
      </c>
      <c r="BW68" s="51">
        <f t="shared" si="77"/>
        <v>0</v>
      </c>
      <c r="BX68" s="51">
        <f t="shared" si="83"/>
        <v>0</v>
      </c>
      <c r="BY68" s="323">
        <f t="shared" si="78"/>
        <v>6388599.5299429307</v>
      </c>
      <c r="BZ68" s="51">
        <f t="shared" si="79"/>
        <v>2148306.1794996434</v>
      </c>
    </row>
    <row r="69" spans="1:78" s="230" customFormat="1">
      <c r="A69" s="48"/>
      <c r="B69" s="37">
        <f>'11. Investeringen (WUI+ombouw)'!B29</f>
        <v>10</v>
      </c>
      <c r="C69" s="48"/>
      <c r="D69" s="48"/>
      <c r="E69" s="48"/>
      <c r="F69" s="42">
        <f>'11. Investeringen (WUI+ombouw)'!C29</f>
        <v>324466.46385633486</v>
      </c>
      <c r="G69" s="48"/>
      <c r="H69" s="37">
        <f>'11. Investeringen (WUI+ombouw)'!D29</f>
        <v>2023</v>
      </c>
      <c r="I69" s="37" t="str">
        <f>'11. Investeringen (WUI+ombouw)'!E29</f>
        <v>08 Inrichting gebouwen</v>
      </c>
      <c r="J69" s="37" t="str">
        <f>'11. Investeringen (WUI+ombouw)'!F29</f>
        <v>WUI</v>
      </c>
      <c r="K69" s="37" t="str">
        <f>'11. Investeringen (WUI+ombouw)'!G29</f>
        <v>Nee</v>
      </c>
      <c r="L69" s="38">
        <f t="shared" si="47"/>
        <v>2025</v>
      </c>
      <c r="M69" s="38">
        <f>_xlfn.XLOOKUP(I69,'3. Input (des)investeringen '!$B$11:$B$81,'3. Input (des)investeringen '!$D$11:$D$81,0)</f>
        <v>10</v>
      </c>
      <c r="N69" s="3"/>
      <c r="O69" s="43">
        <f t="shared" si="80"/>
        <v>0</v>
      </c>
      <c r="P69" s="43">
        <f t="shared" si="48"/>
        <v>0</v>
      </c>
      <c r="Q69" s="3"/>
      <c r="R69" s="43">
        <f t="shared" si="8"/>
        <v>0</v>
      </c>
      <c r="S69" s="43">
        <f t="shared" si="9"/>
        <v>0</v>
      </c>
      <c r="T69" s="3"/>
      <c r="U69" s="43">
        <f t="shared" si="49"/>
        <v>324466.46385633486</v>
      </c>
      <c r="V69" s="38">
        <f t="shared" si="50"/>
        <v>10</v>
      </c>
      <c r="W69" s="3"/>
      <c r="X69" s="43">
        <f t="shared" si="51"/>
        <v>0</v>
      </c>
      <c r="Y69" s="43">
        <f t="shared" si="51"/>
        <v>18981.288135595591</v>
      </c>
      <c r="Z69" s="43">
        <f t="shared" si="51"/>
        <v>35495.008813563756</v>
      </c>
      <c r="AA69" s="43">
        <f t="shared" si="0"/>
        <v>30880.657667800471</v>
      </c>
      <c r="AB69" s="43">
        <f t="shared" si="0"/>
        <v>27555.04838049888</v>
      </c>
      <c r="AC69" s="3"/>
      <c r="AD69" s="43">
        <f t="shared" si="13"/>
        <v>0</v>
      </c>
      <c r="AE69" s="43">
        <f t="shared" si="1"/>
        <v>1622.3323192816745</v>
      </c>
      <c r="AF69" s="43">
        <f t="shared" si="1"/>
        <v>3244.6646385633485</v>
      </c>
      <c r="AG69" s="43">
        <f t="shared" si="1"/>
        <v>3244.6646385633485</v>
      </c>
      <c r="AH69" s="43">
        <f t="shared" si="1"/>
        <v>3244.6646385633485</v>
      </c>
      <c r="AI69" s="3"/>
      <c r="AJ69" s="43">
        <f t="shared" si="52"/>
        <v>0</v>
      </c>
      <c r="AK69" s="43">
        <f t="shared" si="53"/>
        <v>20603.620454877266</v>
      </c>
      <c r="AL69" s="43">
        <f t="shared" si="54"/>
        <v>38739.673452127106</v>
      </c>
      <c r="AM69" s="43">
        <f t="shared" si="55"/>
        <v>34125.322306363822</v>
      </c>
      <c r="AN69" s="43">
        <f t="shared" si="56"/>
        <v>30799.713019062227</v>
      </c>
      <c r="AO69" s="3"/>
      <c r="AP69" s="43">
        <f t="shared" si="19"/>
        <v>0</v>
      </c>
      <c r="AQ69" s="43">
        <f t="shared" si="20"/>
        <v>303862.84340145759</v>
      </c>
      <c r="AR69" s="43">
        <f t="shared" si="3"/>
        <v>265123.16994933051</v>
      </c>
      <c r="AS69" s="43">
        <f t="shared" si="3"/>
        <v>230997.84764296669</v>
      </c>
      <c r="AT69" s="43">
        <f t="shared" si="3"/>
        <v>200198.13462390448</v>
      </c>
      <c r="AU69" s="3"/>
      <c r="AV69" s="47">
        <f t="shared" si="81"/>
        <v>0</v>
      </c>
      <c r="AW69" s="47">
        <f t="shared" si="57"/>
        <v>0</v>
      </c>
      <c r="AX69" s="47">
        <f t="shared" si="82"/>
        <v>0</v>
      </c>
      <c r="AY69" s="47">
        <f t="shared" si="58"/>
        <v>30631.094287125365</v>
      </c>
      <c r="AZ69" s="47">
        <f t="shared" si="59"/>
        <v>48814.353910201666</v>
      </c>
      <c r="BA69" s="43">
        <f t="shared" si="60"/>
        <v>42903.240516796555</v>
      </c>
      <c r="BB69" s="43">
        <f t="shared" si="61"/>
        <v>38407.242134770597</v>
      </c>
      <c r="BC69" s="3"/>
      <c r="BD69" s="43">
        <f t="shared" si="62"/>
        <v>0</v>
      </c>
      <c r="BE69" s="43">
        <f t="shared" si="63"/>
        <v>0</v>
      </c>
      <c r="BF69" s="43">
        <f t="shared" si="64"/>
        <v>0</v>
      </c>
      <c r="BG69" s="43">
        <f t="shared" si="65"/>
        <v>1622.3323192816742</v>
      </c>
      <c r="BH69" s="43">
        <f t="shared" si="66"/>
        <v>3490.220858409823</v>
      </c>
      <c r="BI69" s="43">
        <f t="shared" si="67"/>
        <v>3573.5952542755167</v>
      </c>
      <c r="BJ69" s="43">
        <f t="shared" si="68"/>
        <v>3619.8089881038072</v>
      </c>
      <c r="BK69" s="3"/>
      <c r="BL69" s="43">
        <f t="shared" si="69"/>
        <v>0</v>
      </c>
      <c r="BM69" s="43">
        <f t="shared" si="70"/>
        <v>0</v>
      </c>
      <c r="BN69" s="43">
        <f t="shared" si="71"/>
        <v>0</v>
      </c>
      <c r="BO69" s="43">
        <f t="shared" si="72"/>
        <v>32253.42660640704</v>
      </c>
      <c r="BP69" s="43">
        <f t="shared" si="73"/>
        <v>52304.574768611492</v>
      </c>
      <c r="BQ69" s="43">
        <f t="shared" si="74"/>
        <v>46476.835771072074</v>
      </c>
      <c r="BR69" s="43">
        <f t="shared" si="75"/>
        <v>42027.051122874407</v>
      </c>
      <c r="BS69" s="3"/>
      <c r="BT69" s="10"/>
      <c r="BU69" s="10"/>
      <c r="BV69" s="51">
        <f t="shared" si="76"/>
        <v>0</v>
      </c>
      <c r="BW69" s="51">
        <f t="shared" si="77"/>
        <v>0</v>
      </c>
      <c r="BX69" s="51">
        <f t="shared" si="83"/>
        <v>0</v>
      </c>
      <c r="BY69" s="323">
        <f t="shared" si="78"/>
        <v>138334.34390109612</v>
      </c>
      <c r="BZ69" s="51">
        <f t="shared" si="79"/>
        <v>42027.051122874407</v>
      </c>
    </row>
    <row r="70" spans="1:78" s="230" customFormat="1">
      <c r="A70" s="48"/>
      <c r="B70" s="37">
        <f>'11. Investeringen (WUI+ombouw)'!B30</f>
        <v>11</v>
      </c>
      <c r="C70" s="48"/>
      <c r="D70" s="48"/>
      <c r="E70" s="48"/>
      <c r="F70" s="42">
        <f>'11. Investeringen (WUI+ombouw)'!C30</f>
        <v>358620.80849138752</v>
      </c>
      <c r="G70" s="48"/>
      <c r="H70" s="37">
        <f>'11. Investeringen (WUI+ombouw)'!D30</f>
        <v>2023</v>
      </c>
      <c r="I70" s="37" t="str">
        <f>'11. Investeringen (WUI+ombouw)'!E30</f>
        <v>09 Bedrijfsinventaris</v>
      </c>
      <c r="J70" s="37" t="str">
        <f>'11. Investeringen (WUI+ombouw)'!F30</f>
        <v>WUI</v>
      </c>
      <c r="K70" s="37" t="str">
        <f>'11. Investeringen (WUI+ombouw)'!G30</f>
        <v>Nee</v>
      </c>
      <c r="L70" s="38">
        <f t="shared" si="47"/>
        <v>2025</v>
      </c>
      <c r="M70" s="38">
        <f>_xlfn.XLOOKUP(I70,'3. Input (des)investeringen '!$B$11:$B$81,'3. Input (des)investeringen '!$D$11:$D$81,0)</f>
        <v>10</v>
      </c>
      <c r="N70" s="3"/>
      <c r="O70" s="43">
        <f t="shared" si="80"/>
        <v>0</v>
      </c>
      <c r="P70" s="43">
        <f t="shared" si="48"/>
        <v>0</v>
      </c>
      <c r="Q70" s="3"/>
      <c r="R70" s="43">
        <f t="shared" si="8"/>
        <v>0</v>
      </c>
      <c r="S70" s="43">
        <f t="shared" si="9"/>
        <v>0</v>
      </c>
      <c r="T70" s="3"/>
      <c r="U70" s="43">
        <f t="shared" si="49"/>
        <v>358620.80849138752</v>
      </c>
      <c r="V70" s="38">
        <f t="shared" si="50"/>
        <v>10</v>
      </c>
      <c r="W70" s="3"/>
      <c r="X70" s="43">
        <f t="shared" si="51"/>
        <v>0</v>
      </c>
      <c r="Y70" s="43">
        <f t="shared" si="51"/>
        <v>20979.317296746169</v>
      </c>
      <c r="Z70" s="43">
        <f t="shared" si="51"/>
        <v>39231.323344915341</v>
      </c>
      <c r="AA70" s="43">
        <f t="shared" si="0"/>
        <v>34131.251310076346</v>
      </c>
      <c r="AB70" s="43">
        <f t="shared" si="0"/>
        <v>30455.578092068125</v>
      </c>
      <c r="AC70" s="3"/>
      <c r="AD70" s="43">
        <f t="shared" si="13"/>
        <v>0</v>
      </c>
      <c r="AE70" s="43">
        <f t="shared" si="1"/>
        <v>1793.1040424569376</v>
      </c>
      <c r="AF70" s="43">
        <f t="shared" si="1"/>
        <v>3586.2080849138752</v>
      </c>
      <c r="AG70" s="43">
        <f t="shared" si="1"/>
        <v>3586.2080849138752</v>
      </c>
      <c r="AH70" s="43">
        <f t="shared" si="1"/>
        <v>3586.2080849138752</v>
      </c>
      <c r="AI70" s="3"/>
      <c r="AJ70" s="43">
        <f t="shared" si="52"/>
        <v>0</v>
      </c>
      <c r="AK70" s="43">
        <f t="shared" si="53"/>
        <v>22772.421339203105</v>
      </c>
      <c r="AL70" s="43">
        <f t="shared" si="54"/>
        <v>42817.531429829214</v>
      </c>
      <c r="AM70" s="43">
        <f t="shared" si="55"/>
        <v>37717.459394990219</v>
      </c>
      <c r="AN70" s="43">
        <f t="shared" si="56"/>
        <v>34041.786176982001</v>
      </c>
      <c r="AO70" s="3"/>
      <c r="AP70" s="43">
        <f t="shared" si="19"/>
        <v>0</v>
      </c>
      <c r="AQ70" s="43">
        <f t="shared" si="20"/>
        <v>335848.38715218444</v>
      </c>
      <c r="AR70" s="43">
        <f t="shared" si="3"/>
        <v>293030.85572235525</v>
      </c>
      <c r="AS70" s="43">
        <f t="shared" si="3"/>
        <v>255313.39632736502</v>
      </c>
      <c r="AT70" s="43">
        <f t="shared" si="3"/>
        <v>221271.61015038303</v>
      </c>
      <c r="AU70" s="3"/>
      <c r="AV70" s="47">
        <f t="shared" si="81"/>
        <v>0</v>
      </c>
      <c r="AW70" s="47">
        <f t="shared" si="57"/>
        <v>0</v>
      </c>
      <c r="AX70" s="47">
        <f t="shared" si="82"/>
        <v>0</v>
      </c>
      <c r="AY70" s="47">
        <f t="shared" si="58"/>
        <v>33855.418115225191</v>
      </c>
      <c r="AZ70" s="47">
        <f t="shared" si="59"/>
        <v>53952.703947278715</v>
      </c>
      <c r="BA70" s="43">
        <f t="shared" si="60"/>
        <v>47419.368455430085</v>
      </c>
      <c r="BB70" s="43">
        <f t="shared" si="61"/>
        <v>42450.107362696552</v>
      </c>
      <c r="BC70" s="3"/>
      <c r="BD70" s="43">
        <f t="shared" si="62"/>
        <v>0</v>
      </c>
      <c r="BE70" s="43">
        <f t="shared" si="63"/>
        <v>0</v>
      </c>
      <c r="BF70" s="43">
        <f t="shared" si="64"/>
        <v>0</v>
      </c>
      <c r="BG70" s="43">
        <f t="shared" si="65"/>
        <v>1793.1040424569376</v>
      </c>
      <c r="BH70" s="43">
        <f t="shared" si="66"/>
        <v>3857.6123127801575</v>
      </c>
      <c r="BI70" s="43">
        <f t="shared" si="67"/>
        <v>3949.7629557078499</v>
      </c>
      <c r="BJ70" s="43">
        <f t="shared" si="68"/>
        <v>4000.8412902510631</v>
      </c>
      <c r="BK70" s="3"/>
      <c r="BL70" s="43">
        <f t="shared" si="69"/>
        <v>0</v>
      </c>
      <c r="BM70" s="43">
        <f t="shared" si="70"/>
        <v>0</v>
      </c>
      <c r="BN70" s="43">
        <f t="shared" si="71"/>
        <v>0</v>
      </c>
      <c r="BO70" s="43">
        <f t="shared" si="72"/>
        <v>35648.522157682128</v>
      </c>
      <c r="BP70" s="43">
        <f t="shared" si="73"/>
        <v>57810.316260058869</v>
      </c>
      <c r="BQ70" s="43">
        <f t="shared" si="74"/>
        <v>51369.131411137932</v>
      </c>
      <c r="BR70" s="43">
        <f t="shared" si="75"/>
        <v>46450.948652947613</v>
      </c>
      <c r="BS70" s="3"/>
      <c r="BT70" s="10"/>
      <c r="BU70" s="10"/>
      <c r="BV70" s="51">
        <f t="shared" si="76"/>
        <v>0</v>
      </c>
      <c r="BW70" s="51">
        <f t="shared" si="77"/>
        <v>0</v>
      </c>
      <c r="BX70" s="51">
        <f t="shared" si="83"/>
        <v>0</v>
      </c>
      <c r="BY70" s="323">
        <f t="shared" si="78"/>
        <v>152895.84526646961</v>
      </c>
      <c r="BZ70" s="51">
        <f t="shared" si="79"/>
        <v>46450.948652947613</v>
      </c>
    </row>
    <row r="71" spans="1:78" s="230" customFormat="1">
      <c r="A71" s="48"/>
      <c r="B71" s="37">
        <f>'11. Investeringen (WUI+ombouw)'!B31</f>
        <v>12</v>
      </c>
      <c r="C71" s="48"/>
      <c r="D71" s="48"/>
      <c r="E71" s="48"/>
      <c r="F71" s="42">
        <f>'11. Investeringen (WUI+ombouw)'!C31</f>
        <v>77940287.016589478</v>
      </c>
      <c r="G71" s="48"/>
      <c r="H71" s="37">
        <f>'11. Investeringen (WUI+ombouw)'!D31</f>
        <v>2023</v>
      </c>
      <c r="I71" s="37" t="str">
        <f>'11. Investeringen (WUI+ombouw)'!E31</f>
        <v>17 Mengstations</v>
      </c>
      <c r="J71" s="37" t="str">
        <f>'11. Investeringen (WUI+ombouw)'!F31</f>
        <v>WUI</v>
      </c>
      <c r="K71" s="37" t="str">
        <f>'11. Investeringen (WUI+ombouw)'!G31</f>
        <v>Nee</v>
      </c>
      <c r="L71" s="38">
        <f t="shared" si="47"/>
        <v>2025</v>
      </c>
      <c r="M71" s="38">
        <f>_xlfn.XLOOKUP(I71,'3. Input (des)investeringen '!$B$11:$B$81,'3. Input (des)investeringen '!$D$11:$D$81,0)</f>
        <v>30</v>
      </c>
      <c r="N71" s="3"/>
      <c r="O71" s="43">
        <f t="shared" si="80"/>
        <v>0</v>
      </c>
      <c r="P71" s="43">
        <f t="shared" si="48"/>
        <v>0</v>
      </c>
      <c r="Q71" s="3"/>
      <c r="R71" s="43">
        <f t="shared" si="8"/>
        <v>0</v>
      </c>
      <c r="S71" s="43">
        <f t="shared" si="9"/>
        <v>0</v>
      </c>
      <c r="T71" s="3"/>
      <c r="U71" s="43">
        <f t="shared" si="49"/>
        <v>77940287.016589478</v>
      </c>
      <c r="V71" s="38">
        <f t="shared" si="50"/>
        <v>30</v>
      </c>
      <c r="W71" s="3"/>
      <c r="X71" s="43">
        <f t="shared" si="51"/>
        <v>0</v>
      </c>
      <c r="Y71" s="43">
        <f t="shared" si="51"/>
        <v>1519835.5968234949</v>
      </c>
      <c r="Z71" s="43">
        <f t="shared" si="51"/>
        <v>2973811.6511179721</v>
      </c>
      <c r="AA71" s="43">
        <f t="shared" si="0"/>
        <v>2844946.4795695264</v>
      </c>
      <c r="AB71" s="43">
        <f t="shared" si="0"/>
        <v>2721665.4654548471</v>
      </c>
      <c r="AC71" s="3"/>
      <c r="AD71" s="43">
        <f t="shared" si="13"/>
        <v>0</v>
      </c>
      <c r="AE71" s="43">
        <f t="shared" si="1"/>
        <v>129900.47836098248</v>
      </c>
      <c r="AF71" s="43">
        <f t="shared" si="1"/>
        <v>259800.95672196496</v>
      </c>
      <c r="AG71" s="43">
        <f t="shared" si="1"/>
        <v>259800.95672196496</v>
      </c>
      <c r="AH71" s="43">
        <f t="shared" si="1"/>
        <v>259800.95672196496</v>
      </c>
      <c r="AI71" s="3"/>
      <c r="AJ71" s="43">
        <f t="shared" si="52"/>
        <v>0</v>
      </c>
      <c r="AK71" s="43">
        <f t="shared" si="53"/>
        <v>1649736.0751844773</v>
      </c>
      <c r="AL71" s="43">
        <f t="shared" si="54"/>
        <v>3233612.6078399369</v>
      </c>
      <c r="AM71" s="43">
        <f t="shared" si="55"/>
        <v>3104747.4362914911</v>
      </c>
      <c r="AN71" s="43">
        <f t="shared" si="56"/>
        <v>2981466.4221768118</v>
      </c>
      <c r="AO71" s="3"/>
      <c r="AP71" s="43">
        <f t="shared" si="19"/>
        <v>0</v>
      </c>
      <c r="AQ71" s="43">
        <f t="shared" si="20"/>
        <v>76290550.941404998</v>
      </c>
      <c r="AR71" s="43">
        <f t="shared" si="3"/>
        <v>73056938.333565056</v>
      </c>
      <c r="AS71" s="43">
        <f t="shared" si="3"/>
        <v>69952190.89727357</v>
      </c>
      <c r="AT71" s="43">
        <f t="shared" si="3"/>
        <v>66970724.475096762</v>
      </c>
      <c r="AU71" s="3"/>
      <c r="AV71" s="47">
        <f t="shared" si="81"/>
        <v>0</v>
      </c>
      <c r="AW71" s="47">
        <f t="shared" si="57"/>
        <v>0</v>
      </c>
      <c r="AX71" s="47">
        <f t="shared" si="82"/>
        <v>0</v>
      </c>
      <c r="AY71" s="47">
        <f t="shared" si="58"/>
        <v>4167324.2562508425</v>
      </c>
      <c r="AZ71" s="47">
        <f t="shared" si="59"/>
        <v>6009776.2645154092</v>
      </c>
      <c r="BA71" s="43">
        <f t="shared" si="60"/>
        <v>5762930.6903878869</v>
      </c>
      <c r="BB71" s="43">
        <f t="shared" si="61"/>
        <v>5526353.9522304889</v>
      </c>
      <c r="BC71" s="3"/>
      <c r="BD71" s="43">
        <f t="shared" si="62"/>
        <v>0</v>
      </c>
      <c r="BE71" s="43">
        <f t="shared" si="63"/>
        <v>0</v>
      </c>
      <c r="BF71" s="43">
        <f t="shared" si="64"/>
        <v>0</v>
      </c>
      <c r="BG71" s="43">
        <f t="shared" si="65"/>
        <v>389701.43508294737</v>
      </c>
      <c r="BH71" s="43">
        <f t="shared" si="66"/>
        <v>838388.07938004972</v>
      </c>
      <c r="BI71" s="43">
        <f t="shared" si="67"/>
        <v>858415.4938202803</v>
      </c>
      <c r="BJ71" s="43">
        <f t="shared" si="68"/>
        <v>869516.52298636409</v>
      </c>
      <c r="BK71" s="3"/>
      <c r="BL71" s="43">
        <f t="shared" si="69"/>
        <v>0</v>
      </c>
      <c r="BM71" s="43">
        <f t="shared" si="70"/>
        <v>0</v>
      </c>
      <c r="BN71" s="43">
        <f t="shared" si="71"/>
        <v>0</v>
      </c>
      <c r="BO71" s="43">
        <f t="shared" si="72"/>
        <v>4557025.6913337894</v>
      </c>
      <c r="BP71" s="43">
        <f t="shared" si="73"/>
        <v>6848164.3438954586</v>
      </c>
      <c r="BQ71" s="43">
        <f t="shared" si="74"/>
        <v>6621346.1842081677</v>
      </c>
      <c r="BR71" s="43">
        <f t="shared" si="75"/>
        <v>6395870.4752168525</v>
      </c>
      <c r="BS71" s="3"/>
      <c r="BT71" s="10"/>
      <c r="BU71" s="10"/>
      <c r="BV71" s="51">
        <f t="shared" si="76"/>
        <v>0</v>
      </c>
      <c r="BW71" s="51">
        <f t="shared" si="77"/>
        <v>0</v>
      </c>
      <c r="BX71" s="51">
        <f t="shared" si="83"/>
        <v>0</v>
      </c>
      <c r="BY71" s="323">
        <f t="shared" si="78"/>
        <v>19019940.221492551</v>
      </c>
      <c r="BZ71" s="51">
        <f t="shared" si="79"/>
        <v>6395870.4752168525</v>
      </c>
    </row>
    <row r="72" spans="1:78" s="230" customFormat="1">
      <c r="A72" s="48"/>
      <c r="B72" s="37">
        <f>'11. Investeringen (WUI+ombouw)'!B32</f>
        <v>13</v>
      </c>
      <c r="C72" s="48"/>
      <c r="D72" s="48"/>
      <c r="E72" s="48"/>
      <c r="F72" s="42">
        <f>'11. Investeringen (WUI+ombouw)'!C32</f>
        <v>21107403.53252615</v>
      </c>
      <c r="G72" s="48"/>
      <c r="H72" s="37">
        <f>'11. Investeringen (WUI+ombouw)'!D32</f>
        <v>2023</v>
      </c>
      <c r="I72" s="37" t="str">
        <f>'11. Investeringen (WUI+ombouw)'!E32</f>
        <v>21 Hoofdtransportleiding</v>
      </c>
      <c r="J72" s="37" t="str">
        <f>'11. Investeringen (WUI+ombouw)'!F32</f>
        <v>WUI</v>
      </c>
      <c r="K72" s="37" t="str">
        <f>'11. Investeringen (WUI+ombouw)'!G32</f>
        <v>Nee</v>
      </c>
      <c r="L72" s="38">
        <f t="shared" si="47"/>
        <v>2025</v>
      </c>
      <c r="M72" s="38">
        <f>_xlfn.XLOOKUP(I72,'3. Input (des)investeringen '!$B$11:$B$81,'3. Input (des)investeringen '!$D$11:$D$81,0)</f>
        <v>55</v>
      </c>
      <c r="N72" s="3"/>
      <c r="O72" s="43">
        <f t="shared" si="80"/>
        <v>0</v>
      </c>
      <c r="P72" s="43">
        <f t="shared" si="48"/>
        <v>0</v>
      </c>
      <c r="Q72" s="3"/>
      <c r="R72" s="43">
        <f t="shared" si="8"/>
        <v>0</v>
      </c>
      <c r="S72" s="43">
        <f>IF($M72=0,IF($H72=P$58,$F72,$R72*I$38),IF(OR($H72&gt;S$58,$H72+$M72&lt;=S$58),0,
IF($H72=S$58,F72-P72,R72*I$38-P72)))</f>
        <v>0</v>
      </c>
      <c r="T72" s="3"/>
      <c r="U72" s="43">
        <f t="shared" si="49"/>
        <v>21107403.53252615</v>
      </c>
      <c r="V72" s="38">
        <f t="shared" si="50"/>
        <v>55</v>
      </c>
      <c r="W72" s="3"/>
      <c r="X72" s="43">
        <f t="shared" si="51"/>
        <v>0</v>
      </c>
      <c r="Y72" s="43">
        <f t="shared" si="51"/>
        <v>224506.01939141451</v>
      </c>
      <c r="Z72" s="43">
        <f t="shared" si="51"/>
        <v>443705.53286994109</v>
      </c>
      <c r="AA72" s="43">
        <f t="shared" si="0"/>
        <v>433217.94754756062</v>
      </c>
      <c r="AB72" s="43">
        <f t="shared" si="0"/>
        <v>422978.25060552737</v>
      </c>
      <c r="AC72" s="3"/>
      <c r="AD72" s="43">
        <f t="shared" si="13"/>
        <v>0</v>
      </c>
      <c r="AE72" s="43">
        <f t="shared" si="1"/>
        <v>19188.548665932864</v>
      </c>
      <c r="AF72" s="43">
        <f t="shared" si="1"/>
        <v>38377.097331865727</v>
      </c>
      <c r="AG72" s="43">
        <f t="shared" si="1"/>
        <v>38377.097331865727</v>
      </c>
      <c r="AH72" s="43">
        <f t="shared" si="1"/>
        <v>38377.097331865727</v>
      </c>
      <c r="AI72" s="3"/>
      <c r="AJ72" s="43">
        <f t="shared" si="52"/>
        <v>0</v>
      </c>
      <c r="AK72" s="43">
        <f t="shared" si="53"/>
        <v>243694.56805734738</v>
      </c>
      <c r="AL72" s="43">
        <f t="shared" si="54"/>
        <v>482082.63020180684</v>
      </c>
      <c r="AM72" s="43">
        <f t="shared" si="55"/>
        <v>471595.04487942636</v>
      </c>
      <c r="AN72" s="43">
        <f t="shared" si="56"/>
        <v>461355.34793739312</v>
      </c>
      <c r="AO72" s="3"/>
      <c r="AP72" s="43">
        <f t="shared" si="19"/>
        <v>0</v>
      </c>
      <c r="AQ72" s="43">
        <f t="shared" si="20"/>
        <v>20863708.964468803</v>
      </c>
      <c r="AR72" s="43">
        <f t="shared" si="3"/>
        <v>20381626.334266998</v>
      </c>
      <c r="AS72" s="43">
        <f t="shared" si="3"/>
        <v>19910031.289387573</v>
      </c>
      <c r="AT72" s="43">
        <f t="shared" si="3"/>
        <v>19448675.941450179</v>
      </c>
      <c r="AU72" s="3"/>
      <c r="AV72" s="47">
        <f t="shared" si="81"/>
        <v>0</v>
      </c>
      <c r="AW72" s="47">
        <f t="shared" si="57"/>
        <v>0</v>
      </c>
      <c r="AX72" s="47">
        <f t="shared" si="82"/>
        <v>0</v>
      </c>
      <c r="AY72" s="47">
        <f t="shared" si="58"/>
        <v>932196.9638848179</v>
      </c>
      <c r="AZ72" s="47">
        <f t="shared" si="59"/>
        <v>1256584.4309039528</v>
      </c>
      <c r="BA72" s="43">
        <f t="shared" si="60"/>
        <v>1228176.2338761541</v>
      </c>
      <c r="BB72" s="43">
        <f t="shared" si="61"/>
        <v>1200405.0337124998</v>
      </c>
      <c r="BC72" s="3"/>
      <c r="BD72" s="43">
        <f t="shared" si="62"/>
        <v>0</v>
      </c>
      <c r="BE72" s="43">
        <f t="shared" si="63"/>
        <v>0</v>
      </c>
      <c r="BF72" s="43">
        <f t="shared" si="64"/>
        <v>0</v>
      </c>
      <c r="BG72" s="43">
        <f t="shared" si="65"/>
        <v>105537.01766263075</v>
      </c>
      <c r="BH72" s="43">
        <f t="shared" si="66"/>
        <v>227048.11831867733</v>
      </c>
      <c r="BI72" s="43">
        <f t="shared" si="67"/>
        <v>232471.84376907389</v>
      </c>
      <c r="BJ72" s="43">
        <f t="shared" si="68"/>
        <v>235478.16965269551</v>
      </c>
      <c r="BK72" s="3"/>
      <c r="BL72" s="43">
        <f t="shared" si="69"/>
        <v>0</v>
      </c>
      <c r="BM72" s="43">
        <f t="shared" si="70"/>
        <v>0</v>
      </c>
      <c r="BN72" s="43">
        <f t="shared" si="71"/>
        <v>0</v>
      </c>
      <c r="BO72" s="43">
        <f t="shared" si="72"/>
        <v>1037733.9815474487</v>
      </c>
      <c r="BP72" s="43">
        <f t="shared" si="73"/>
        <v>1483632.5492226302</v>
      </c>
      <c r="BQ72" s="43">
        <f t="shared" si="74"/>
        <v>1460648.077645228</v>
      </c>
      <c r="BR72" s="43">
        <f t="shared" si="75"/>
        <v>1435883.2033651953</v>
      </c>
      <c r="BS72" s="3"/>
      <c r="BT72" s="10"/>
      <c r="BU72" s="10"/>
      <c r="BV72" s="51">
        <f t="shared" si="76"/>
        <v>0</v>
      </c>
      <c r="BW72" s="51">
        <f t="shared" si="77"/>
        <v>0</v>
      </c>
      <c r="BX72" s="51">
        <f t="shared" si="83"/>
        <v>0</v>
      </c>
      <c r="BY72" s="323">
        <f t="shared" si="78"/>
        <v>4202925.2799794432</v>
      </c>
      <c r="BZ72" s="51">
        <f t="shared" si="79"/>
        <v>1435883.2033651953</v>
      </c>
    </row>
    <row r="73" spans="1:78" s="230" customFormat="1">
      <c r="A73" s="48"/>
      <c r="B73" s="37">
        <f>'11. Investeringen (WUI+ombouw)'!B33</f>
        <v>14</v>
      </c>
      <c r="C73" s="48"/>
      <c r="D73" s="48"/>
      <c r="E73" s="48"/>
      <c r="F73" s="42">
        <f>'11. Investeringen (WUI+ombouw)'!C33</f>
        <v>18334898.10779709</v>
      </c>
      <c r="G73" s="48"/>
      <c r="H73" s="37">
        <f>'11. Investeringen (WUI+ombouw)'!D33</f>
        <v>2023</v>
      </c>
      <c r="I73" s="37" t="str">
        <f>'11. Investeringen (WUI+ombouw)'!E33</f>
        <v>36 Luchtscheidingsunit</v>
      </c>
      <c r="J73" s="37" t="str">
        <f>'11. Investeringen (WUI+ombouw)'!F33</f>
        <v>WUI</v>
      </c>
      <c r="K73" s="37" t="str">
        <f>'11. Investeringen (WUI+ombouw)'!G33</f>
        <v>Nee</v>
      </c>
      <c r="L73" s="38">
        <f t="shared" si="47"/>
        <v>2025</v>
      </c>
      <c r="M73" s="38">
        <f>_xlfn.XLOOKUP(I73,'3. Input (des)investeringen '!$B$11:$B$81,'3. Input (des)investeringen '!$D$11:$D$81,0)</f>
        <v>30</v>
      </c>
      <c r="N73" s="3"/>
      <c r="O73" s="43">
        <f t="shared" si="80"/>
        <v>0</v>
      </c>
      <c r="P73" s="43">
        <f t="shared" si="48"/>
        <v>0</v>
      </c>
      <c r="Q73" s="3"/>
      <c r="R73" s="43">
        <f t="shared" si="8"/>
        <v>0</v>
      </c>
      <c r="S73" s="43">
        <f t="shared" si="9"/>
        <v>0</v>
      </c>
      <c r="T73" s="3"/>
      <c r="U73" s="43">
        <f t="shared" si="49"/>
        <v>18334898.10779709</v>
      </c>
      <c r="V73" s="38">
        <f t="shared" si="50"/>
        <v>30</v>
      </c>
      <c r="W73" s="3"/>
      <c r="X73" s="43">
        <f t="shared" si="51"/>
        <v>0</v>
      </c>
      <c r="Y73" s="43">
        <f t="shared" si="51"/>
        <v>357530.5131020433</v>
      </c>
      <c r="Z73" s="43">
        <f t="shared" si="51"/>
        <v>699568.03730299813</v>
      </c>
      <c r="AA73" s="43">
        <f t="shared" si="0"/>
        <v>669253.42235320143</v>
      </c>
      <c r="AB73" s="43">
        <f t="shared" si="0"/>
        <v>640252.44071789621</v>
      </c>
      <c r="AC73" s="3"/>
      <c r="AD73" s="43">
        <f t="shared" si="13"/>
        <v>0</v>
      </c>
      <c r="AE73" s="43">
        <f t="shared" si="1"/>
        <v>30558.163512995154</v>
      </c>
      <c r="AF73" s="43">
        <f t="shared" si="1"/>
        <v>61116.327025990307</v>
      </c>
      <c r="AG73" s="43">
        <f t="shared" si="1"/>
        <v>61116.327025990307</v>
      </c>
      <c r="AH73" s="43">
        <f t="shared" si="1"/>
        <v>61116.327025990307</v>
      </c>
      <c r="AI73" s="3"/>
      <c r="AJ73" s="43">
        <f t="shared" si="52"/>
        <v>0</v>
      </c>
      <c r="AK73" s="43">
        <f t="shared" si="53"/>
        <v>388088.67661503848</v>
      </c>
      <c r="AL73" s="43">
        <f t="shared" si="54"/>
        <v>760684.36432898848</v>
      </c>
      <c r="AM73" s="43">
        <f t="shared" si="55"/>
        <v>730369.74937919178</v>
      </c>
      <c r="AN73" s="43">
        <f t="shared" si="56"/>
        <v>701368.76774388656</v>
      </c>
      <c r="AO73" s="3"/>
      <c r="AP73" s="43">
        <f t="shared" si="19"/>
        <v>0</v>
      </c>
      <c r="AQ73" s="43">
        <f t="shared" si="20"/>
        <v>17946809.431182053</v>
      </c>
      <c r="AR73" s="43">
        <f t="shared" si="3"/>
        <v>17186125.066853065</v>
      </c>
      <c r="AS73" s="43">
        <f t="shared" si="3"/>
        <v>16455755.317473873</v>
      </c>
      <c r="AT73" s="43">
        <f t="shared" si="3"/>
        <v>15754386.549729986</v>
      </c>
      <c r="AU73" s="3"/>
      <c r="AV73" s="47">
        <f t="shared" si="81"/>
        <v>0</v>
      </c>
      <c r="AW73" s="47">
        <f t="shared" si="57"/>
        <v>0</v>
      </c>
      <c r="AX73" s="47">
        <f t="shared" si="82"/>
        <v>0</v>
      </c>
      <c r="AY73" s="47">
        <f t="shared" si="58"/>
        <v>980333.38784404634</v>
      </c>
      <c r="AZ73" s="47">
        <f t="shared" si="59"/>
        <v>1413757.1168694049</v>
      </c>
      <c r="BA73" s="43">
        <f t="shared" si="60"/>
        <v>1355688.4514431991</v>
      </c>
      <c r="BB73" s="43">
        <f t="shared" si="61"/>
        <v>1300035.456633626</v>
      </c>
      <c r="BC73" s="3"/>
      <c r="BD73" s="43">
        <f t="shared" si="62"/>
        <v>0</v>
      </c>
      <c r="BE73" s="43">
        <f t="shared" si="63"/>
        <v>0</v>
      </c>
      <c r="BF73" s="43">
        <f t="shared" si="64"/>
        <v>0</v>
      </c>
      <c r="BG73" s="43">
        <f t="shared" si="65"/>
        <v>91674.490538985454</v>
      </c>
      <c r="BH73" s="43">
        <f t="shared" si="66"/>
        <v>197224.83196595174</v>
      </c>
      <c r="BI73" s="43">
        <f t="shared" si="67"/>
        <v>201936.13875195442</v>
      </c>
      <c r="BJ73" s="43">
        <f t="shared" si="68"/>
        <v>204547.57689829465</v>
      </c>
      <c r="BK73" s="3"/>
      <c r="BL73" s="43">
        <f t="shared" si="69"/>
        <v>0</v>
      </c>
      <c r="BM73" s="43">
        <f t="shared" si="70"/>
        <v>0</v>
      </c>
      <c r="BN73" s="43">
        <f t="shared" si="71"/>
        <v>0</v>
      </c>
      <c r="BO73" s="43">
        <f t="shared" si="72"/>
        <v>1072007.8783830318</v>
      </c>
      <c r="BP73" s="43">
        <f t="shared" si="73"/>
        <v>1610981.9488353566</v>
      </c>
      <c r="BQ73" s="43">
        <f t="shared" si="74"/>
        <v>1557624.5901951534</v>
      </c>
      <c r="BR73" s="43">
        <f t="shared" si="75"/>
        <v>1504583.0335319208</v>
      </c>
      <c r="BS73" s="3"/>
      <c r="BT73" s="10"/>
      <c r="BU73" s="10"/>
      <c r="BV73" s="51">
        <f t="shared" si="76"/>
        <v>0</v>
      </c>
      <c r="BW73" s="51">
        <f t="shared" si="77"/>
        <v>0</v>
      </c>
      <c r="BX73" s="51">
        <f t="shared" si="83"/>
        <v>0</v>
      </c>
      <c r="BY73" s="323">
        <f t="shared" si="78"/>
        <v>4474305.6425136235</v>
      </c>
      <c r="BZ73" s="51">
        <f t="shared" si="79"/>
        <v>1504583.0335319208</v>
      </c>
    </row>
    <row r="74" spans="1:78" s="230" customFormat="1">
      <c r="A74" s="48"/>
      <c r="B74" s="37">
        <f>'11. Investeringen (WUI+ombouw)'!B34</f>
        <v>15</v>
      </c>
      <c r="C74" s="48"/>
      <c r="D74" s="48"/>
      <c r="E74" s="48"/>
      <c r="F74" s="42">
        <f>'11. Investeringen (WUI+ombouw)'!C34</f>
        <v>3620364.0601766575</v>
      </c>
      <c r="G74" s="48"/>
      <c r="H74" s="37">
        <f>'11. Investeringen (WUI+ombouw)'!D34</f>
        <v>2023</v>
      </c>
      <c r="I74" s="37" t="str">
        <f>'11. Investeringen (WUI+ombouw)'!E34</f>
        <v>41 Stikstofbuffer</v>
      </c>
      <c r="J74" s="37" t="str">
        <f>'11. Investeringen (WUI+ombouw)'!F34</f>
        <v>WUI</v>
      </c>
      <c r="K74" s="37" t="str">
        <f>'11. Investeringen (WUI+ombouw)'!G34</f>
        <v>Nee</v>
      </c>
      <c r="L74" s="38">
        <f t="shared" si="47"/>
        <v>2025</v>
      </c>
      <c r="M74" s="38">
        <f>_xlfn.XLOOKUP(I74,'3. Input (des)investeringen '!$B$11:$B$81,'3. Input (des)investeringen '!$D$11:$D$81,0)</f>
        <v>30</v>
      </c>
      <c r="N74" s="3"/>
      <c r="O74" s="43">
        <f t="shared" si="80"/>
        <v>0</v>
      </c>
      <c r="P74" s="43">
        <f t="shared" si="48"/>
        <v>0</v>
      </c>
      <c r="Q74" s="3"/>
      <c r="R74" s="43">
        <f t="shared" si="8"/>
        <v>0</v>
      </c>
      <c r="S74" s="43">
        <f t="shared" si="9"/>
        <v>0</v>
      </c>
      <c r="T74" s="3"/>
      <c r="U74" s="43">
        <f t="shared" si="49"/>
        <v>3620364.0601766575</v>
      </c>
      <c r="V74" s="38">
        <f t="shared" si="50"/>
        <v>30</v>
      </c>
      <c r="W74" s="3"/>
      <c r="X74" s="43">
        <f t="shared" si="51"/>
        <v>0</v>
      </c>
      <c r="Y74" s="43">
        <f t="shared" si="51"/>
        <v>70597.099173444818</v>
      </c>
      <c r="Z74" s="43">
        <f t="shared" si="51"/>
        <v>138134.99071604037</v>
      </c>
      <c r="AA74" s="43">
        <f t="shared" si="0"/>
        <v>132149.14111834532</v>
      </c>
      <c r="AB74" s="43">
        <f t="shared" si="0"/>
        <v>126422.67833655035</v>
      </c>
      <c r="AC74" s="3"/>
      <c r="AD74" s="43">
        <f t="shared" si="13"/>
        <v>0</v>
      </c>
      <c r="AE74" s="43">
        <f t="shared" si="1"/>
        <v>6033.9401002944296</v>
      </c>
      <c r="AF74" s="43">
        <f t="shared" si="1"/>
        <v>12067.880200588857</v>
      </c>
      <c r="AG74" s="43">
        <f t="shared" si="1"/>
        <v>12067.880200588857</v>
      </c>
      <c r="AH74" s="43">
        <f t="shared" si="1"/>
        <v>12067.880200588857</v>
      </c>
      <c r="AI74" s="3"/>
      <c r="AJ74" s="43">
        <f t="shared" si="52"/>
        <v>0</v>
      </c>
      <c r="AK74" s="43">
        <f t="shared" si="53"/>
        <v>76631.039273739254</v>
      </c>
      <c r="AL74" s="43">
        <f t="shared" si="54"/>
        <v>150202.87091662921</v>
      </c>
      <c r="AM74" s="43">
        <f t="shared" si="55"/>
        <v>144217.02131893416</v>
      </c>
      <c r="AN74" s="43">
        <f t="shared" si="56"/>
        <v>138490.55853713921</v>
      </c>
      <c r="AO74" s="3"/>
      <c r="AP74" s="43">
        <f t="shared" si="19"/>
        <v>0</v>
      </c>
      <c r="AQ74" s="43">
        <f t="shared" si="20"/>
        <v>3543733.0209029182</v>
      </c>
      <c r="AR74" s="43">
        <f t="shared" si="3"/>
        <v>3393530.149986289</v>
      </c>
      <c r="AS74" s="43">
        <f t="shared" si="3"/>
        <v>3249313.1286673546</v>
      </c>
      <c r="AT74" s="43">
        <f t="shared" si="3"/>
        <v>3110822.5701302155</v>
      </c>
      <c r="AU74" s="3"/>
      <c r="AV74" s="47">
        <f t="shared" si="81"/>
        <v>0</v>
      </c>
      <c r="AW74" s="47">
        <f t="shared" si="57"/>
        <v>0</v>
      </c>
      <c r="AX74" s="47">
        <f t="shared" si="82"/>
        <v>0</v>
      </c>
      <c r="AY74" s="47">
        <f t="shared" si="58"/>
        <v>193574.22896353557</v>
      </c>
      <c r="AZ74" s="47">
        <f t="shared" si="59"/>
        <v>279157.01661610819</v>
      </c>
      <c r="BA74" s="43">
        <f t="shared" si="60"/>
        <v>267690.9202082936</v>
      </c>
      <c r="BB74" s="43">
        <f t="shared" si="61"/>
        <v>256701.81620208739</v>
      </c>
      <c r="BC74" s="3"/>
      <c r="BD74" s="43">
        <f t="shared" si="62"/>
        <v>0</v>
      </c>
      <c r="BE74" s="43">
        <f t="shared" si="63"/>
        <v>0</v>
      </c>
      <c r="BF74" s="43">
        <f t="shared" si="64"/>
        <v>0</v>
      </c>
      <c r="BG74" s="43">
        <f t="shared" si="65"/>
        <v>18101.82030088329</v>
      </c>
      <c r="BH74" s="43">
        <f t="shared" si="66"/>
        <v>38943.532122508281</v>
      </c>
      <c r="BI74" s="43">
        <f t="shared" si="67"/>
        <v>39873.815217850752</v>
      </c>
      <c r="BJ74" s="43">
        <f t="shared" si="68"/>
        <v>40389.463396247993</v>
      </c>
      <c r="BK74" s="3"/>
      <c r="BL74" s="43">
        <f t="shared" si="69"/>
        <v>0</v>
      </c>
      <c r="BM74" s="43">
        <f t="shared" si="70"/>
        <v>0</v>
      </c>
      <c r="BN74" s="43">
        <f t="shared" si="71"/>
        <v>0</v>
      </c>
      <c r="BO74" s="43">
        <f t="shared" si="72"/>
        <v>211676.04926441886</v>
      </c>
      <c r="BP74" s="43">
        <f t="shared" si="73"/>
        <v>318100.54873861646</v>
      </c>
      <c r="BQ74" s="43">
        <f t="shared" si="74"/>
        <v>307564.73542614433</v>
      </c>
      <c r="BR74" s="43">
        <f t="shared" si="75"/>
        <v>297091.27959833539</v>
      </c>
      <c r="BS74" s="3"/>
      <c r="BT74" s="10"/>
      <c r="BU74" s="10"/>
      <c r="BV74" s="51">
        <f t="shared" si="76"/>
        <v>0</v>
      </c>
      <c r="BW74" s="51">
        <f t="shared" si="77"/>
        <v>0</v>
      </c>
      <c r="BX74" s="51">
        <f t="shared" si="83"/>
        <v>0</v>
      </c>
      <c r="BY74" s="323">
        <f t="shared" si="78"/>
        <v>883485.43019790936</v>
      </c>
      <c r="BZ74" s="51">
        <f t="shared" si="79"/>
        <v>297091.27959833539</v>
      </c>
    </row>
    <row r="75" spans="1:78" s="230" customFormat="1">
      <c r="A75" s="48"/>
      <c r="B75" s="37">
        <f>'11. Investeringen (WUI+ombouw)'!B35</f>
        <v>16</v>
      </c>
      <c r="C75" s="48"/>
      <c r="D75" s="48"/>
      <c r="E75" s="48"/>
      <c r="F75" s="42">
        <f>'11. Investeringen (WUI+ombouw)'!C35</f>
        <v>480761.86491484893</v>
      </c>
      <c r="G75" s="48"/>
      <c r="H75" s="37">
        <f>'11. Investeringen (WUI+ombouw)'!D35</f>
        <v>2023</v>
      </c>
      <c r="I75" s="37" t="str">
        <f>'11. Investeringen (WUI+ombouw)'!E35</f>
        <v>01 Regionale leidingen</v>
      </c>
      <c r="J75" s="37" t="str">
        <f>'11. Investeringen (WUI+ombouw)'!F35</f>
        <v>VVI</v>
      </c>
      <c r="K75" s="37" t="str">
        <f>'11. Investeringen (WUI+ombouw)'!G35</f>
        <v>Ja</v>
      </c>
      <c r="L75" s="38">
        <f t="shared" si="47"/>
        <v>2025</v>
      </c>
      <c r="M75" s="38">
        <f>_xlfn.XLOOKUP(I75,'3. Input (des)investeringen '!$B$11:$B$81,'3. Input (des)investeringen '!$D$11:$D$81,0)</f>
        <v>55</v>
      </c>
      <c r="N75" s="3"/>
      <c r="O75" s="43">
        <f t="shared" si="80"/>
        <v>0</v>
      </c>
      <c r="P75" s="43">
        <f t="shared" si="48"/>
        <v>0</v>
      </c>
      <c r="Q75" s="3"/>
      <c r="R75" s="43">
        <f t="shared" si="8"/>
        <v>0</v>
      </c>
      <c r="S75" s="43">
        <f t="shared" si="9"/>
        <v>0</v>
      </c>
      <c r="T75" s="3"/>
      <c r="U75" s="43">
        <f t="shared" si="49"/>
        <v>480761.86491484893</v>
      </c>
      <c r="V75" s="38">
        <f t="shared" si="50"/>
        <v>55</v>
      </c>
      <c r="W75" s="3"/>
      <c r="X75" s="43">
        <f t="shared" si="51"/>
        <v>0</v>
      </c>
      <c r="Y75" s="43">
        <f t="shared" si="51"/>
        <v>5113.5580177306656</v>
      </c>
      <c r="Z75" s="43">
        <f t="shared" si="51"/>
        <v>10106.250118678607</v>
      </c>
      <c r="AA75" s="43">
        <f t="shared" si="0"/>
        <v>9867.3751158734758</v>
      </c>
      <c r="AB75" s="43">
        <f t="shared" si="0"/>
        <v>9634.1462494982861</v>
      </c>
      <c r="AC75" s="3"/>
      <c r="AD75" s="43">
        <f t="shared" si="13"/>
        <v>0</v>
      </c>
      <c r="AE75" s="43">
        <f t="shared" si="1"/>
        <v>437.0562408316809</v>
      </c>
      <c r="AF75" s="43">
        <f t="shared" si="1"/>
        <v>874.11248166336179</v>
      </c>
      <c r="AG75" s="43">
        <f t="shared" si="1"/>
        <v>874.11248166336179</v>
      </c>
      <c r="AH75" s="43">
        <f t="shared" si="1"/>
        <v>874.11248166336179</v>
      </c>
      <c r="AI75" s="3"/>
      <c r="AJ75" s="43">
        <f t="shared" si="52"/>
        <v>0</v>
      </c>
      <c r="AK75" s="43">
        <f t="shared" si="53"/>
        <v>5550.6142585623465</v>
      </c>
      <c r="AL75" s="43">
        <f t="shared" si="54"/>
        <v>10980.362600341969</v>
      </c>
      <c r="AM75" s="43">
        <f t="shared" si="55"/>
        <v>10741.487597536838</v>
      </c>
      <c r="AN75" s="43">
        <f t="shared" si="56"/>
        <v>10508.258731161648</v>
      </c>
      <c r="AO75" s="3"/>
      <c r="AP75" s="43">
        <f t="shared" si="19"/>
        <v>0</v>
      </c>
      <c r="AQ75" s="43">
        <f t="shared" si="20"/>
        <v>475211.2506562866</v>
      </c>
      <c r="AR75" s="43">
        <f t="shared" si="3"/>
        <v>464230.88805594464</v>
      </c>
      <c r="AS75" s="43">
        <f t="shared" si="3"/>
        <v>453489.40045840782</v>
      </c>
      <c r="AT75" s="43">
        <f t="shared" si="3"/>
        <v>442981.14172724617</v>
      </c>
      <c r="AU75" s="3"/>
      <c r="AV75" s="47">
        <f t="shared" si="81"/>
        <v>0</v>
      </c>
      <c r="AW75" s="47">
        <f t="shared" si="57"/>
        <v>0</v>
      </c>
      <c r="AX75" s="47">
        <f t="shared" si="82"/>
        <v>0</v>
      </c>
      <c r="AY75" s="47">
        <f t="shared" si="58"/>
        <v>21232.585530219807</v>
      </c>
      <c r="AZ75" s="47">
        <f t="shared" si="59"/>
        <v>28621.136346467865</v>
      </c>
      <c r="BA75" s="43">
        <f t="shared" si="60"/>
        <v>27974.084814956335</v>
      </c>
      <c r="BB75" s="43">
        <f t="shared" si="61"/>
        <v>27341.542116797002</v>
      </c>
      <c r="BC75" s="3"/>
      <c r="BD75" s="43">
        <f t="shared" si="62"/>
        <v>0</v>
      </c>
      <c r="BE75" s="43">
        <f t="shared" si="63"/>
        <v>0</v>
      </c>
      <c r="BF75" s="43">
        <f t="shared" si="64"/>
        <v>0</v>
      </c>
      <c r="BG75" s="43">
        <f t="shared" si="65"/>
        <v>2403.8093245742448</v>
      </c>
      <c r="BH75" s="43">
        <f t="shared" si="66"/>
        <v>5171.459228516047</v>
      </c>
      <c r="BI75" s="43">
        <f t="shared" si="67"/>
        <v>5294.9950465668389</v>
      </c>
      <c r="BJ75" s="43">
        <f t="shared" si="68"/>
        <v>5363.4699225090399</v>
      </c>
      <c r="BK75" s="3"/>
      <c r="BL75" s="43">
        <f t="shared" si="69"/>
        <v>0</v>
      </c>
      <c r="BM75" s="43">
        <f t="shared" si="70"/>
        <v>0</v>
      </c>
      <c r="BN75" s="43">
        <f t="shared" si="71"/>
        <v>0</v>
      </c>
      <c r="BO75" s="43">
        <f t="shared" si="72"/>
        <v>23636.394854794053</v>
      </c>
      <c r="BP75" s="43">
        <f t="shared" si="73"/>
        <v>33792.595574983912</v>
      </c>
      <c r="BQ75" s="43">
        <f t="shared" si="74"/>
        <v>33269.079861523176</v>
      </c>
      <c r="BR75" s="43">
        <f t="shared" si="75"/>
        <v>32705.012039306042</v>
      </c>
      <c r="BS75" s="3"/>
      <c r="BT75" s="10"/>
      <c r="BU75" s="10"/>
      <c r="BV75" s="51">
        <f t="shared" si="76"/>
        <v>0</v>
      </c>
      <c r="BW75" s="51">
        <f t="shared" si="77"/>
        <v>0</v>
      </c>
      <c r="BX75" s="51">
        <f t="shared" si="83"/>
        <v>0</v>
      </c>
      <c r="BY75" s="51">
        <f t="shared" si="78"/>
        <v>95729.737321170789</v>
      </c>
      <c r="BZ75" s="51">
        <f t="shared" si="79"/>
        <v>32705.012039306042</v>
      </c>
    </row>
    <row r="76" spans="1:78" s="230" customFormat="1">
      <c r="A76" s="48"/>
      <c r="B76" s="37">
        <f>'11. Investeringen (WUI+ombouw)'!B36</f>
        <v>17</v>
      </c>
      <c r="C76" s="48"/>
      <c r="D76" s="48"/>
      <c r="E76" s="48"/>
      <c r="F76" s="42">
        <f>'11. Investeringen (WUI+ombouw)'!C36</f>
        <v>1837695.4875736441</v>
      </c>
      <c r="G76" s="48"/>
      <c r="H76" s="37">
        <f>'11. Investeringen (WUI+ombouw)'!D36</f>
        <v>2023</v>
      </c>
      <c r="I76" s="37" t="str">
        <f>'11. Investeringen (WUI+ombouw)'!E36</f>
        <v>02 Gasontvangststations</v>
      </c>
      <c r="J76" s="37" t="str">
        <f>'11. Investeringen (WUI+ombouw)'!F36</f>
        <v>VVI</v>
      </c>
      <c r="K76" s="37" t="str">
        <f>'11. Investeringen (WUI+ombouw)'!G36</f>
        <v>Ja</v>
      </c>
      <c r="L76" s="38">
        <f t="shared" si="47"/>
        <v>2025</v>
      </c>
      <c r="M76" s="38">
        <f>_xlfn.XLOOKUP(I76,'3. Input (des)investeringen '!$B$11:$B$81,'3. Input (des)investeringen '!$D$11:$D$81,0)</f>
        <v>30</v>
      </c>
      <c r="N76" s="3"/>
      <c r="O76" s="43">
        <f t="shared" si="80"/>
        <v>0</v>
      </c>
      <c r="P76" s="43">
        <f t="shared" si="48"/>
        <v>0</v>
      </c>
      <c r="Q76" s="3"/>
      <c r="R76" s="43">
        <f t="shared" si="8"/>
        <v>0</v>
      </c>
      <c r="S76" s="43">
        <f t="shared" si="9"/>
        <v>0</v>
      </c>
      <c r="T76" s="3"/>
      <c r="U76" s="43">
        <f t="shared" si="49"/>
        <v>1837695.4875736441</v>
      </c>
      <c r="V76" s="38">
        <f t="shared" si="50"/>
        <v>30</v>
      </c>
      <c r="W76" s="3"/>
      <c r="X76" s="43">
        <f t="shared" si="51"/>
        <v>0</v>
      </c>
      <c r="Y76" s="43">
        <f t="shared" si="51"/>
        <v>35835.062007686065</v>
      </c>
      <c r="Z76" s="43">
        <f t="shared" si="51"/>
        <v>70117.271328372386</v>
      </c>
      <c r="AA76" s="43">
        <f t="shared" si="0"/>
        <v>67078.856237476255</v>
      </c>
      <c r="AB76" s="43">
        <f t="shared" si="0"/>
        <v>64172.105800518955</v>
      </c>
      <c r="AC76" s="3"/>
      <c r="AD76" s="43">
        <f t="shared" si="13"/>
        <v>0</v>
      </c>
      <c r="AE76" s="43">
        <f t="shared" si="1"/>
        <v>3062.8258126227406</v>
      </c>
      <c r="AF76" s="43">
        <f t="shared" si="1"/>
        <v>6125.6516252454812</v>
      </c>
      <c r="AG76" s="43">
        <f t="shared" si="1"/>
        <v>6125.6516252454812</v>
      </c>
      <c r="AH76" s="43">
        <f t="shared" si="1"/>
        <v>6125.6516252454812</v>
      </c>
      <c r="AI76" s="3"/>
      <c r="AJ76" s="43">
        <f t="shared" si="52"/>
        <v>0</v>
      </c>
      <c r="AK76" s="43">
        <f t="shared" si="53"/>
        <v>38897.887820308802</v>
      </c>
      <c r="AL76" s="43">
        <f t="shared" si="54"/>
        <v>76242.922953617861</v>
      </c>
      <c r="AM76" s="43">
        <f t="shared" si="55"/>
        <v>73204.50786272173</v>
      </c>
      <c r="AN76" s="43">
        <f t="shared" si="56"/>
        <v>70297.75742576443</v>
      </c>
      <c r="AO76" s="3"/>
      <c r="AP76" s="43">
        <f t="shared" si="19"/>
        <v>0</v>
      </c>
      <c r="AQ76" s="43">
        <f t="shared" si="20"/>
        <v>1798797.5997533354</v>
      </c>
      <c r="AR76" s="43">
        <f t="shared" ref="AR76:AR79" si="84">IF($M76=0, IF($H76 &gt; AR$58, 0, IF($H76=AR$58, $F76, AQ76)), IF(OR($H76&gt;AR$58,$H76+$M76&lt;=AR$58),0,
IF($H76=AR$58,$U76-AL76,
AQ76-AL76)))</f>
        <v>1722554.6767997176</v>
      </c>
      <c r="AS76" s="43">
        <f t="shared" ref="AS76:AS79" si="85">IF($M76=0, IF($H76 &gt; AS$58, 0, IF($H76=AS$58, $F76, AR76)), IF(OR($H76&gt;AS$58,$H76+$M76&lt;=AS$58),0,
IF($H76=AS$58,$U76-AM76,
AR76-AM76)))</f>
        <v>1649350.1689369958</v>
      </c>
      <c r="AT76" s="43">
        <f t="shared" ref="AT76:AT79" si="86">IF($M76=0, IF($H76 &gt; AT$58, 0, IF($H76=AT$58, $F76, AS76)), IF(OR($H76&gt;AT$58,$H76+$M76&lt;=AT$58),0,
IF($H76=AT$58,$U76-AN76,
AS76-AN76)))</f>
        <v>1579052.4115112314</v>
      </c>
      <c r="AU76" s="3"/>
      <c r="AV76" s="47">
        <f t="shared" si="81"/>
        <v>0</v>
      </c>
      <c r="AW76" s="47">
        <f t="shared" si="57"/>
        <v>0</v>
      </c>
      <c r="AX76" s="47">
        <f t="shared" si="82"/>
        <v>0</v>
      </c>
      <c r="AY76" s="47">
        <f t="shared" si="58"/>
        <v>98258.208612168877</v>
      </c>
      <c r="AZ76" s="47">
        <f t="shared" si="59"/>
        <v>141700.00067200713</v>
      </c>
      <c r="BA76" s="43">
        <f t="shared" si="60"/>
        <v>135879.81428232757</v>
      </c>
      <c r="BB76" s="43">
        <f t="shared" si="61"/>
        <v>130301.74906319122</v>
      </c>
      <c r="BC76" s="3"/>
      <c r="BD76" s="43">
        <f t="shared" si="62"/>
        <v>0</v>
      </c>
      <c r="BE76" s="43">
        <f t="shared" si="63"/>
        <v>0</v>
      </c>
      <c r="BF76" s="43">
        <f t="shared" si="64"/>
        <v>0</v>
      </c>
      <c r="BG76" s="43">
        <f t="shared" si="65"/>
        <v>9188.4774378682214</v>
      </c>
      <c r="BH76" s="43">
        <f t="shared" si="66"/>
        <v>19767.722820732179</v>
      </c>
      <c r="BI76" s="43">
        <f t="shared" si="67"/>
        <v>20239.934183473826</v>
      </c>
      <c r="BJ76" s="43">
        <f t="shared" si="68"/>
        <v>20501.677012334509</v>
      </c>
      <c r="BK76" s="3"/>
      <c r="BL76" s="43">
        <f t="shared" si="69"/>
        <v>0</v>
      </c>
      <c r="BM76" s="43">
        <f t="shared" si="70"/>
        <v>0</v>
      </c>
      <c r="BN76" s="43">
        <f t="shared" si="71"/>
        <v>0</v>
      </c>
      <c r="BO76" s="43">
        <f t="shared" si="72"/>
        <v>107446.6860500371</v>
      </c>
      <c r="BP76" s="43">
        <f t="shared" si="73"/>
        <v>161467.72349273931</v>
      </c>
      <c r="BQ76" s="43">
        <f t="shared" si="74"/>
        <v>156119.74846580139</v>
      </c>
      <c r="BR76" s="43">
        <f t="shared" si="75"/>
        <v>150803.42607552573</v>
      </c>
      <c r="BS76" s="3"/>
      <c r="BT76" s="10"/>
      <c r="BU76" s="10"/>
      <c r="BV76" s="51">
        <f t="shared" si="76"/>
        <v>0</v>
      </c>
      <c r="BW76" s="51">
        <f t="shared" si="77"/>
        <v>0</v>
      </c>
      <c r="BX76" s="51">
        <f t="shared" si="83"/>
        <v>0</v>
      </c>
      <c r="BY76" s="51">
        <f t="shared" si="78"/>
        <v>448456.8848395138</v>
      </c>
      <c r="BZ76" s="51">
        <f t="shared" si="79"/>
        <v>150803.42607552573</v>
      </c>
    </row>
    <row r="77" spans="1:78" s="230" customFormat="1">
      <c r="A77" s="48"/>
      <c r="B77" s="37">
        <f>'11. Investeringen (WUI+ombouw)'!B37</f>
        <v>18</v>
      </c>
      <c r="C77" s="48"/>
      <c r="D77" s="48"/>
      <c r="E77" s="48"/>
      <c r="F77" s="42">
        <f>'11. Investeringen (WUI+ombouw)'!C37</f>
        <v>12952.219318794072</v>
      </c>
      <c r="G77" s="48"/>
      <c r="H77" s="37">
        <f>'11. Investeringen (WUI+ombouw)'!D37</f>
        <v>2023</v>
      </c>
      <c r="I77" s="37" t="str">
        <f>'11. Investeringen (WUI+ombouw)'!E37</f>
        <v>06 Utiliteitsgebouwen</v>
      </c>
      <c r="J77" s="37" t="str">
        <f>'11. Investeringen (WUI+ombouw)'!F37</f>
        <v>VVI</v>
      </c>
      <c r="K77" s="37" t="str">
        <f>'11. Investeringen (WUI+ombouw)'!G37</f>
        <v>Ja</v>
      </c>
      <c r="L77" s="38">
        <f t="shared" si="47"/>
        <v>2025</v>
      </c>
      <c r="M77" s="38">
        <f>_xlfn.XLOOKUP(I77,'3. Input (des)investeringen '!$B$11:$B$81,'3. Input (des)investeringen '!$D$11:$D$81,0)</f>
        <v>30</v>
      </c>
      <c r="N77" s="3"/>
      <c r="O77" s="43">
        <f t="shared" si="80"/>
        <v>0</v>
      </c>
      <c r="P77" s="43">
        <f t="shared" si="48"/>
        <v>0</v>
      </c>
      <c r="Q77" s="3"/>
      <c r="R77" s="43">
        <f t="shared" si="8"/>
        <v>0</v>
      </c>
      <c r="S77" s="43">
        <f t="shared" si="9"/>
        <v>0</v>
      </c>
      <c r="T77" s="3"/>
      <c r="U77" s="43">
        <f t="shared" si="49"/>
        <v>12952.219318794072</v>
      </c>
      <c r="V77" s="38">
        <f t="shared" si="50"/>
        <v>30</v>
      </c>
      <c r="W77" s="3"/>
      <c r="X77" s="43">
        <f t="shared" si="51"/>
        <v>0</v>
      </c>
      <c r="Y77" s="43">
        <f t="shared" si="51"/>
        <v>252.56827671648441</v>
      </c>
      <c r="Z77" s="43">
        <f t="shared" si="51"/>
        <v>494.19192810858783</v>
      </c>
      <c r="AA77" s="43">
        <f t="shared" si="0"/>
        <v>472.77694455721564</v>
      </c>
      <c r="AB77" s="43">
        <f t="shared" si="0"/>
        <v>452.28994362640299</v>
      </c>
      <c r="AC77" s="3"/>
      <c r="AD77" s="43">
        <f t="shared" si="13"/>
        <v>0</v>
      </c>
      <c r="AE77" s="43">
        <f t="shared" si="1"/>
        <v>21.587032197990123</v>
      </c>
      <c r="AF77" s="43">
        <f t="shared" si="1"/>
        <v>43.174064395980245</v>
      </c>
      <c r="AG77" s="43">
        <f t="shared" si="1"/>
        <v>43.174064395980245</v>
      </c>
      <c r="AH77" s="43">
        <f t="shared" si="1"/>
        <v>43.174064395980245</v>
      </c>
      <c r="AI77" s="3"/>
      <c r="AJ77" s="43">
        <f t="shared" si="52"/>
        <v>0</v>
      </c>
      <c r="AK77" s="43">
        <f t="shared" si="53"/>
        <v>274.15530891447452</v>
      </c>
      <c r="AL77" s="43">
        <f t="shared" si="54"/>
        <v>537.36599250456811</v>
      </c>
      <c r="AM77" s="43">
        <f t="shared" si="55"/>
        <v>515.95100895319592</v>
      </c>
      <c r="AN77" s="43">
        <f t="shared" si="56"/>
        <v>495.46400802238321</v>
      </c>
      <c r="AO77" s="3"/>
      <c r="AP77" s="43">
        <f t="shared" si="19"/>
        <v>0</v>
      </c>
      <c r="AQ77" s="43">
        <f t="shared" si="20"/>
        <v>12678.064009879598</v>
      </c>
      <c r="AR77" s="43">
        <f t="shared" si="84"/>
        <v>12140.698017375029</v>
      </c>
      <c r="AS77" s="43">
        <f t="shared" si="85"/>
        <v>11624.747008421833</v>
      </c>
      <c r="AT77" s="43">
        <f t="shared" si="86"/>
        <v>11129.28300039945</v>
      </c>
      <c r="AU77" s="3"/>
      <c r="AV77" s="47">
        <f t="shared" si="81"/>
        <v>0</v>
      </c>
      <c r="AW77" s="47">
        <f t="shared" si="57"/>
        <v>0</v>
      </c>
      <c r="AX77" s="47">
        <f t="shared" si="82"/>
        <v>0</v>
      </c>
      <c r="AY77" s="47">
        <f t="shared" si="58"/>
        <v>692.53142124050123</v>
      </c>
      <c r="AZ77" s="47">
        <f t="shared" si="59"/>
        <v>998.71251716481925</v>
      </c>
      <c r="BA77" s="43">
        <f t="shared" si="60"/>
        <v>957.69139527322557</v>
      </c>
      <c r="BB77" s="43">
        <f t="shared" si="61"/>
        <v>918.37676203756223</v>
      </c>
      <c r="BC77" s="3"/>
      <c r="BD77" s="43">
        <f t="shared" si="62"/>
        <v>0</v>
      </c>
      <c r="BE77" s="43">
        <f t="shared" si="63"/>
        <v>0</v>
      </c>
      <c r="BF77" s="43">
        <f t="shared" si="64"/>
        <v>0</v>
      </c>
      <c r="BG77" s="43">
        <f t="shared" si="65"/>
        <v>64.761096593970365</v>
      </c>
      <c r="BH77" s="43">
        <f t="shared" si="66"/>
        <v>139.32443276840408</v>
      </c>
      <c r="BI77" s="43">
        <f t="shared" si="67"/>
        <v>142.65261481837575</v>
      </c>
      <c r="BJ77" s="43">
        <f t="shared" si="68"/>
        <v>144.49739843320694</v>
      </c>
      <c r="BK77" s="3"/>
      <c r="BL77" s="43">
        <f t="shared" si="69"/>
        <v>0</v>
      </c>
      <c r="BM77" s="43">
        <f t="shared" si="70"/>
        <v>0</v>
      </c>
      <c r="BN77" s="43">
        <f t="shared" si="71"/>
        <v>0</v>
      </c>
      <c r="BO77" s="43">
        <f t="shared" si="72"/>
        <v>757.2925178344716</v>
      </c>
      <c r="BP77" s="43">
        <f t="shared" si="73"/>
        <v>1138.0369499332232</v>
      </c>
      <c r="BQ77" s="43">
        <f t="shared" si="74"/>
        <v>1100.3440100916014</v>
      </c>
      <c r="BR77" s="43">
        <f t="shared" si="75"/>
        <v>1062.8741604707691</v>
      </c>
      <c r="BS77" s="3"/>
      <c r="BT77" s="10"/>
      <c r="BU77" s="10"/>
      <c r="BV77" s="51">
        <f t="shared" si="76"/>
        <v>0</v>
      </c>
      <c r="BW77" s="51">
        <f t="shared" si="77"/>
        <v>0</v>
      </c>
      <c r="BX77" s="51">
        <f t="shared" si="83"/>
        <v>0</v>
      </c>
      <c r="BY77" s="51">
        <f t="shared" si="78"/>
        <v>3160.7586603663503</v>
      </c>
      <c r="BZ77" s="51">
        <f t="shared" si="79"/>
        <v>1062.8741604707691</v>
      </c>
    </row>
    <row r="78" spans="1:78" s="230" customFormat="1">
      <c r="A78" s="48"/>
      <c r="B78" s="37">
        <f>'11. Investeringen (WUI+ombouw)'!B38</f>
        <v>19</v>
      </c>
      <c r="C78" s="48"/>
      <c r="D78" s="48"/>
      <c r="E78" s="48"/>
      <c r="F78" s="42">
        <f>'11. Investeringen (WUI+ombouw)'!C38</f>
        <v>4401460.9803481428</v>
      </c>
      <c r="G78" s="48"/>
      <c r="H78" s="37">
        <f>'11. Investeringen (WUI+ombouw)'!D38</f>
        <v>2023</v>
      </c>
      <c r="I78" s="37" t="str">
        <f>'11. Investeringen (WUI+ombouw)'!E38</f>
        <v>21 Hoofdtransportleiding</v>
      </c>
      <c r="J78" s="37" t="str">
        <f>'11. Investeringen (WUI+ombouw)'!F38</f>
        <v>VVI</v>
      </c>
      <c r="K78" s="37" t="str">
        <f>'11. Investeringen (WUI+ombouw)'!G38</f>
        <v>Ja</v>
      </c>
      <c r="L78" s="38">
        <f t="shared" si="47"/>
        <v>2025</v>
      </c>
      <c r="M78" s="38">
        <f>_xlfn.XLOOKUP(I78,'3. Input (des)investeringen '!$B$11:$B$81,'3. Input (des)investeringen '!$D$11:$D$81,0)</f>
        <v>55</v>
      </c>
      <c r="N78" s="3"/>
      <c r="O78" s="43">
        <f t="shared" si="80"/>
        <v>0</v>
      </c>
      <c r="P78" s="43">
        <f t="shared" si="48"/>
        <v>0</v>
      </c>
      <c r="Q78" s="3"/>
      <c r="R78" s="43">
        <f t="shared" si="8"/>
        <v>0</v>
      </c>
      <c r="S78" s="43">
        <f t="shared" si="9"/>
        <v>0</v>
      </c>
      <c r="T78" s="3"/>
      <c r="U78" s="43">
        <f t="shared" si="49"/>
        <v>4401460.9803481428</v>
      </c>
      <c r="V78" s="38">
        <f t="shared" si="50"/>
        <v>55</v>
      </c>
      <c r="W78" s="3"/>
      <c r="X78" s="43">
        <f t="shared" si="51"/>
        <v>0</v>
      </c>
      <c r="Y78" s="43">
        <f t="shared" si="51"/>
        <v>46815.539518248428</v>
      </c>
      <c r="Z78" s="43">
        <f t="shared" si="51"/>
        <v>92524.529920610978</v>
      </c>
      <c r="AA78" s="43">
        <f t="shared" si="0"/>
        <v>90337.586486123822</v>
      </c>
      <c r="AB78" s="43">
        <f t="shared" si="0"/>
        <v>88202.334441906351</v>
      </c>
      <c r="AC78" s="3"/>
      <c r="AD78" s="43">
        <f t="shared" si="13"/>
        <v>0</v>
      </c>
      <c r="AE78" s="43">
        <f t="shared" si="1"/>
        <v>4001.3281639528573</v>
      </c>
      <c r="AF78" s="43">
        <f t="shared" si="1"/>
        <v>8002.6563279057145</v>
      </c>
      <c r="AG78" s="43">
        <f t="shared" si="1"/>
        <v>8002.6563279057145</v>
      </c>
      <c r="AH78" s="43">
        <f t="shared" si="1"/>
        <v>8002.6563279057145</v>
      </c>
      <c r="AI78" s="3"/>
      <c r="AJ78" s="43">
        <f t="shared" si="52"/>
        <v>0</v>
      </c>
      <c r="AK78" s="43">
        <f t="shared" si="53"/>
        <v>50816.867682201286</v>
      </c>
      <c r="AL78" s="43">
        <f t="shared" si="54"/>
        <v>100527.18624851669</v>
      </c>
      <c r="AM78" s="43">
        <f t="shared" si="55"/>
        <v>98340.242814029538</v>
      </c>
      <c r="AN78" s="43">
        <f t="shared" si="56"/>
        <v>96204.990769812066</v>
      </c>
      <c r="AO78" s="3"/>
      <c r="AP78" s="43">
        <f t="shared" si="19"/>
        <v>0</v>
      </c>
      <c r="AQ78" s="43">
        <f t="shared" si="20"/>
        <v>4350644.1126659419</v>
      </c>
      <c r="AR78" s="43">
        <f t="shared" si="84"/>
        <v>4250116.9264174253</v>
      </c>
      <c r="AS78" s="43">
        <f t="shared" si="85"/>
        <v>4151776.6836033957</v>
      </c>
      <c r="AT78" s="43">
        <f t="shared" si="86"/>
        <v>4055571.6928335838</v>
      </c>
      <c r="AU78" s="3"/>
      <c r="AV78" s="47">
        <f t="shared" si="81"/>
        <v>0</v>
      </c>
      <c r="AW78" s="47">
        <f t="shared" si="57"/>
        <v>0</v>
      </c>
      <c r="AX78" s="47">
        <f t="shared" si="82"/>
        <v>0</v>
      </c>
      <c r="AY78" s="47">
        <f t="shared" si="58"/>
        <v>194388.12340017737</v>
      </c>
      <c r="AZ78" s="47">
        <f t="shared" si="59"/>
        <v>262031.62945237884</v>
      </c>
      <c r="BA78" s="43">
        <f t="shared" si="60"/>
        <v>256107.75679095858</v>
      </c>
      <c r="BB78" s="43">
        <f t="shared" si="61"/>
        <v>250316.71509748825</v>
      </c>
      <c r="BC78" s="3"/>
      <c r="BD78" s="43">
        <f t="shared" si="62"/>
        <v>0</v>
      </c>
      <c r="BE78" s="43">
        <f t="shared" si="63"/>
        <v>0</v>
      </c>
      <c r="BF78" s="43">
        <f t="shared" si="64"/>
        <v>0</v>
      </c>
      <c r="BG78" s="43">
        <f t="shared" si="65"/>
        <v>22007.304901740714</v>
      </c>
      <c r="BH78" s="43">
        <f t="shared" si="66"/>
        <v>47345.635473408904</v>
      </c>
      <c r="BI78" s="43">
        <f t="shared" si="67"/>
        <v>48476.628013597699</v>
      </c>
      <c r="BJ78" s="43">
        <f t="shared" si="68"/>
        <v>49103.527767069536</v>
      </c>
      <c r="BK78" s="3"/>
      <c r="BL78" s="43">
        <f t="shared" si="69"/>
        <v>0</v>
      </c>
      <c r="BM78" s="43">
        <f t="shared" si="70"/>
        <v>0</v>
      </c>
      <c r="BN78" s="43">
        <f t="shared" si="71"/>
        <v>0</v>
      </c>
      <c r="BO78" s="43">
        <f t="shared" si="72"/>
        <v>216395.42830191809</v>
      </c>
      <c r="BP78" s="43">
        <f t="shared" si="73"/>
        <v>309377.26492578775</v>
      </c>
      <c r="BQ78" s="43">
        <f t="shared" si="74"/>
        <v>304584.38480455626</v>
      </c>
      <c r="BR78" s="43">
        <f t="shared" si="75"/>
        <v>299420.24286455777</v>
      </c>
      <c r="BS78" s="3"/>
      <c r="BT78" s="10"/>
      <c r="BU78" s="10"/>
      <c r="BV78" s="51">
        <f t="shared" si="76"/>
        <v>0</v>
      </c>
      <c r="BW78" s="51">
        <f t="shared" si="77"/>
        <v>0</v>
      </c>
      <c r="BX78" s="51">
        <f t="shared" si="83"/>
        <v>0</v>
      </c>
      <c r="BY78" s="51">
        <f t="shared" si="78"/>
        <v>876422.89088952367</v>
      </c>
      <c r="BZ78" s="51">
        <f t="shared" si="79"/>
        <v>299420.24286455777</v>
      </c>
    </row>
    <row r="79" spans="1:78" s="230" customFormat="1">
      <c r="A79" s="48"/>
      <c r="B79" s="37">
        <f>'11. Investeringen (WUI+ombouw)'!B39</f>
        <v>20</v>
      </c>
      <c r="C79" s="48"/>
      <c r="D79" s="48"/>
      <c r="E79" s="48"/>
      <c r="F79" s="42">
        <f>'11. Investeringen (WUI+ombouw)'!C39</f>
        <v>179930.39320672158</v>
      </c>
      <c r="G79" s="48"/>
      <c r="H79" s="37">
        <f>'11. Investeringen (WUI+ombouw)'!D39</f>
        <v>2023</v>
      </c>
      <c r="I79" s="37" t="str">
        <f>'11. Investeringen (WUI+ombouw)'!E39</f>
        <v>32 M&amp;R stations</v>
      </c>
      <c r="J79" s="37" t="str">
        <f>'11. Investeringen (WUI+ombouw)'!F39</f>
        <v>VVI</v>
      </c>
      <c r="K79" s="37" t="str">
        <f>'11. Investeringen (WUI+ombouw)'!G39</f>
        <v>Ja</v>
      </c>
      <c r="L79" s="38">
        <f t="shared" si="47"/>
        <v>2025</v>
      </c>
      <c r="M79" s="38">
        <f>_xlfn.XLOOKUP(I79,'3. Input (des)investeringen '!$B$11:$B$81,'3. Input (des)investeringen '!$D$11:$D$81,0)</f>
        <v>30</v>
      </c>
      <c r="N79" s="3"/>
      <c r="O79" s="43">
        <f>IF($M79&gt;0, IF($H79&lt;=O$58, VDB($F79,0,$M79,MAX(0,O$58-$H79-0.5),MIN($M79,O$58-$H79+0.5),1)*INDEX(H$38:H$44,$H79-2019,1),0),0)</f>
        <v>0</v>
      </c>
      <c r="P79" s="43">
        <f>IF($M79&gt;0, IF($H79&lt;=P$58, VDB($F79,0,$M79,MAX(0,P$58-$H79-0.5),MIN($M79,P$58-$H79+0.5),1)*INDEX(I$38:I$44,$H79-2019,1),0),0)</f>
        <v>0</v>
      </c>
      <c r="Q79" s="3"/>
      <c r="R79" s="43">
        <f>IF($O79=0,IF($H79=O$58,$F79,0),IF(OR($H79&gt;R$58,$H79+$M79&lt;=R$58),0,F79-O79))</f>
        <v>0</v>
      </c>
      <c r="S79" s="43">
        <f>IF($M79=0,IF($H79=P$58,$F79,$R79*I$38),IF(OR($H79&gt;S$58,$H79+$M79&lt;=S$58),0,
IF($H79=S$58,F79-P79,R79*I$38-P79)))</f>
        <v>0</v>
      </c>
      <c r="T79" s="3"/>
      <c r="U79" s="43">
        <f t="shared" si="49"/>
        <v>179930.39320672158</v>
      </c>
      <c r="V79" s="38">
        <f t="shared" si="50"/>
        <v>30</v>
      </c>
      <c r="W79" s="3"/>
      <c r="X79" s="43">
        <f>IF($M79&gt;0, IF(OR($H79&gt;X$58,$H79+$M79&lt;X$58),0,IF(OR($H79=2020,$H79=2021),VDB($U79,0,$V79,X$58-2022,MIN($V79,X$58-2021),$F$23,FALSE),
VDB($U79,0,$V79,MAX(0,X$58-$H79-0.5),MIN($V79,X$58-$H79+0.5),$F$23,FALSE)))*(1-$F$26), 0)</f>
        <v>0</v>
      </c>
      <c r="Y79" s="43">
        <f t="shared" si="51"/>
        <v>3508.6426675310713</v>
      </c>
      <c r="Z79" s="43">
        <f t="shared" si="51"/>
        <v>6865.2441528024619</v>
      </c>
      <c r="AA79" s="43">
        <f t="shared" si="0"/>
        <v>6567.7502395143556</v>
      </c>
      <c r="AB79" s="43">
        <f t="shared" si="0"/>
        <v>6283.1477291354013</v>
      </c>
      <c r="AC79" s="3"/>
      <c r="AD79" s="43">
        <f>IF($M79&gt;0, IF(OR($H79&gt;AD$58,$H79+$M79&lt;AD$58),0,IF(OR($H79=2020,$H79=2021),VDB($U79,0,$V79,AD$58-2022,MIN($V79,AD$58-2021),1,FALSE),
VDB($U79,0,$V79,MAX(0,AD$58-$H79-0.5),MIN($V79,AD$58-$H79+0.5),1,FALSE)))*$F$26,0)</f>
        <v>0</v>
      </c>
      <c r="AE79" s="43">
        <f t="shared" si="1"/>
        <v>299.88398867786935</v>
      </c>
      <c r="AF79" s="43">
        <f t="shared" si="1"/>
        <v>599.76797735573871</v>
      </c>
      <c r="AG79" s="43">
        <f t="shared" si="1"/>
        <v>599.76797735573871</v>
      </c>
      <c r="AH79" s="43">
        <f t="shared" si="1"/>
        <v>599.76797735573871</v>
      </c>
      <c r="AI79" s="3"/>
      <c r="AJ79" s="43">
        <f t="shared" si="52"/>
        <v>0</v>
      </c>
      <c r="AK79" s="43">
        <f t="shared" si="53"/>
        <v>3808.5266562089405</v>
      </c>
      <c r="AL79" s="43">
        <f t="shared" si="54"/>
        <v>7465.0121301582003</v>
      </c>
      <c r="AM79" s="43">
        <f t="shared" si="55"/>
        <v>7167.518216870094</v>
      </c>
      <c r="AN79" s="43">
        <f t="shared" si="56"/>
        <v>6882.9157064911396</v>
      </c>
      <c r="AO79" s="3"/>
      <c r="AP79" s="43">
        <f>IF($M79=0, IF($H79&gt;AP$58,0, $U79), IF(OR($H79&gt;AP$58,$H79+$M79&lt;=AP$58),0,
IF($H79=AP$58,$U79-AJ79,
U79-AJ79)))</f>
        <v>0</v>
      </c>
      <c r="AQ79" s="43">
        <f t="shared" si="20"/>
        <v>176121.86655051264</v>
      </c>
      <c r="AR79" s="43">
        <f t="shared" si="84"/>
        <v>168656.85442035444</v>
      </c>
      <c r="AS79" s="43">
        <f t="shared" si="85"/>
        <v>161489.33620348436</v>
      </c>
      <c r="AT79" s="43">
        <f t="shared" si="86"/>
        <v>154606.42049699323</v>
      </c>
      <c r="AU79" s="3"/>
      <c r="AV79" s="47">
        <f t="shared" si="81"/>
        <v>0</v>
      </c>
      <c r="AW79" s="47">
        <f t="shared" si="57"/>
        <v>0</v>
      </c>
      <c r="AX79" s="47">
        <f t="shared" si="82"/>
        <v>0</v>
      </c>
      <c r="AY79" s="47">
        <f t="shared" si="58"/>
        <v>9620.5482523758583</v>
      </c>
      <c r="AZ79" s="47">
        <f t="shared" si="59"/>
        <v>13873.97259813167</v>
      </c>
      <c r="BA79" s="43">
        <f t="shared" si="60"/>
        <v>13304.112992602499</v>
      </c>
      <c r="BB79" s="43">
        <f t="shared" si="61"/>
        <v>12757.959685376882</v>
      </c>
      <c r="BC79" s="3"/>
      <c r="BD79" s="43">
        <f t="shared" si="62"/>
        <v>0</v>
      </c>
      <c r="BE79" s="43">
        <f t="shared" si="63"/>
        <v>0</v>
      </c>
      <c r="BF79" s="43">
        <f t="shared" si="64"/>
        <v>0</v>
      </c>
      <c r="BG79" s="43">
        <f t="shared" si="65"/>
        <v>899.65196603360789</v>
      </c>
      <c r="BH79" s="43">
        <f t="shared" si="66"/>
        <v>1935.4752536460628</v>
      </c>
      <c r="BI79" s="43">
        <f t="shared" si="67"/>
        <v>1981.7098865051601</v>
      </c>
      <c r="BJ79" s="43">
        <f t="shared" si="68"/>
        <v>2007.3373587574445</v>
      </c>
      <c r="BK79" s="3"/>
      <c r="BL79" s="43">
        <f t="shared" si="69"/>
        <v>0</v>
      </c>
      <c r="BM79" s="43">
        <f t="shared" si="70"/>
        <v>0</v>
      </c>
      <c r="BN79" s="43">
        <f t="shared" si="71"/>
        <v>0</v>
      </c>
      <c r="BO79" s="43">
        <f t="shared" si="72"/>
        <v>10520.200218409465</v>
      </c>
      <c r="BP79" s="43">
        <f t="shared" si="73"/>
        <v>15809.447851777732</v>
      </c>
      <c r="BQ79" s="43">
        <f t="shared" si="74"/>
        <v>15285.822879107658</v>
      </c>
      <c r="BR79" s="43">
        <f t="shared" si="75"/>
        <v>14765.297044134326</v>
      </c>
      <c r="BS79" s="3"/>
      <c r="BT79" s="10"/>
      <c r="BU79" s="10"/>
      <c r="BV79" s="51">
        <f t="shared" si="76"/>
        <v>0</v>
      </c>
      <c r="BW79" s="51">
        <f t="shared" si="77"/>
        <v>0</v>
      </c>
      <c r="BX79" s="51">
        <f t="shared" si="83"/>
        <v>0</v>
      </c>
      <c r="BY79" s="51">
        <f t="shared" si="78"/>
        <v>43908.810883555881</v>
      </c>
      <c r="BZ79" s="51">
        <f t="shared" si="79"/>
        <v>14765.297044134326</v>
      </c>
    </row>
    <row r="80" spans="1:78" s="230" customFormat="1">
      <c r="A80" s="48"/>
      <c r="B80" s="37">
        <f>'11. Investeringen (WUI+ombouw)'!B40</f>
        <v>21</v>
      </c>
      <c r="C80" s="229"/>
      <c r="D80" s="229"/>
      <c r="E80" s="229"/>
      <c r="F80" s="42">
        <f>'11. Investeringen (WUI+ombouw)'!C40</f>
        <v>30711053.170000002</v>
      </c>
      <c r="G80" s="48"/>
      <c r="H80" s="37">
        <f>'11. Investeringen (WUI+ombouw)'!D40</f>
        <v>2024</v>
      </c>
      <c r="I80" s="37" t="str">
        <f>'11. Investeringen (WUI+ombouw)'!E40</f>
        <v>05 Wegen en terreinvoorzieningen</v>
      </c>
      <c r="J80" s="37" t="str">
        <f>'11. Investeringen (WUI+ombouw)'!F40</f>
        <v>WUI</v>
      </c>
      <c r="K80" s="37" t="str">
        <f>'11. Investeringen (WUI+ombouw)'!G40</f>
        <v>Nee</v>
      </c>
      <c r="L80" s="38">
        <f t="shared" ref="L80:L90" si="87">H80+2</f>
        <v>2026</v>
      </c>
      <c r="M80" s="38">
        <f>_xlfn.XLOOKUP(I80,'3. Input (des)investeringen '!$B$11:$B$81,'3. Input (des)investeringen '!$D$11:$D$81,0)</f>
        <v>10</v>
      </c>
      <c r="N80" s="3"/>
      <c r="O80" s="43">
        <f t="shared" ref="O80:O90" si="88">IF($M80&gt;0, IF($H80&lt;=O$58, VDB($F80,0,$M80,MAX(0,O$58-$H80-0.5),MIN($M80,O$58-$H80+0.5),1)*INDEX(H$38:H$44,$H80-2019,1),0),0)</f>
        <v>0</v>
      </c>
      <c r="P80" s="43">
        <f t="shared" ref="P80:P90" si="89">IF($M80&gt;0, IF($H80&lt;=P$58, VDB($F80,0,$M80,MAX(0,P$58-$H80-0.5),MIN($M80,P$58-$H80+0.5),1)*INDEX(I$38:I$44,$H80-2019,1),0),0)</f>
        <v>0</v>
      </c>
      <c r="Q80" s="3"/>
      <c r="R80" s="43">
        <f t="shared" ref="R80:R90" si="90">IF($O80=0,IF($H80=O$58,$F80,0),IF(OR($H80&gt;R$58,$H80+$M80&lt;=R$58),0,F80-O80))</f>
        <v>0</v>
      </c>
      <c r="S80" s="43">
        <f t="shared" ref="S80:S90" si="91">IF($M80=0,IF($H80=P$58,$F80,$R80*I$38),IF(OR($H80&gt;S$58,$H80+$M80&lt;=S$58),0,
IF($H80=S$58,F80-P80,R80*I$38-P80)))</f>
        <v>0</v>
      </c>
      <c r="T80" s="3"/>
      <c r="U80" s="43">
        <f t="shared" ref="U80:U90" si="92">IF(H80&lt;=2021,S80,F80)</f>
        <v>30711053.170000002</v>
      </c>
      <c r="V80" s="38">
        <f t="shared" ref="V80:V90" si="93">IF($M80&gt;0,IF(H80&lt;2022,M80-2021+H80-0.5,M80),0)</f>
        <v>10</v>
      </c>
      <c r="W80" s="3"/>
      <c r="X80" s="43">
        <f t="shared" ref="X80:AB90" si="94">IF($M80&gt;0, IF(OR($H80&gt;X$58,$H80+$M80&lt;X$58),0,IF(OR($H80=2020,$H80=2021),VDB($U80,0,$V80,X$58-2022,MIN($V80,X$58-2021),$F$23,FALSE),
VDB($U80,0,$V80,MAX(0,X$58-$H80-0.5),MIN($V80,X$58-$H80+0.5),$F$23,FALSE)))*(1-$F$26), 0)</f>
        <v>0</v>
      </c>
      <c r="Y80" s="43">
        <f t="shared" si="51"/>
        <v>0</v>
      </c>
      <c r="Z80" s="43">
        <f t="shared" si="51"/>
        <v>1796596.6104450002</v>
      </c>
      <c r="AA80" s="43">
        <f t="shared" si="0"/>
        <v>3359635.6615321501</v>
      </c>
      <c r="AB80" s="43">
        <f t="shared" si="0"/>
        <v>2922883.0255329707</v>
      </c>
      <c r="AC80" s="3"/>
      <c r="AD80" s="43">
        <f t="shared" ref="AD80:AH90" si="95">IF($M80&gt;0, IF(OR($H80&gt;AD$58,$H80+$M80&lt;AD$58),0,IF(OR($H80=2020,$H80=2021),VDB($U80,0,$V80,AD$58-2022,MIN($V80,AD$58-2021),1,FALSE),
VDB($U80,0,$V80,MAX(0,AD$58-$H80-0.5),MIN($V80,AD$58-$H80+0.5),1,FALSE)))*$F$26,0)</f>
        <v>0</v>
      </c>
      <c r="AE80" s="43">
        <f t="shared" si="1"/>
        <v>0</v>
      </c>
      <c r="AF80" s="43">
        <f t="shared" si="1"/>
        <v>153555.26585000003</v>
      </c>
      <c r="AG80" s="43">
        <f t="shared" si="1"/>
        <v>307110.53170000005</v>
      </c>
      <c r="AH80" s="43">
        <f t="shared" si="1"/>
        <v>307110.53170000005</v>
      </c>
      <c r="AI80" s="3"/>
      <c r="AJ80" s="43">
        <f t="shared" ref="AJ80:AJ90" si="96">X80+AD80</f>
        <v>0</v>
      </c>
      <c r="AK80" s="43">
        <f t="shared" ref="AK80:AK90" si="97">Y80+AE80</f>
        <v>0</v>
      </c>
      <c r="AL80" s="43">
        <f t="shared" ref="AL80:AL90" si="98">Z80+AF80</f>
        <v>1950151.8762950003</v>
      </c>
      <c r="AM80" s="43">
        <f t="shared" ref="AM80:AM90" si="99">AA80+AG80</f>
        <v>3666746.1932321503</v>
      </c>
      <c r="AN80" s="43">
        <f t="shared" ref="AN80:AN90" si="100">AB80+AH80</f>
        <v>3229993.5572329708</v>
      </c>
      <c r="AO80" s="3"/>
      <c r="AP80" s="43">
        <f t="shared" ref="AP80:AP90" si="101">IF($M80=0, IF($H80&gt;AP$58,0, $U80), IF(OR($H80&gt;AP$58,$H80+$M80&lt;=AP$58),0,
IF($H80=AP$58,$U80-AJ80,
U80-AJ80)))</f>
        <v>0</v>
      </c>
      <c r="AQ80" s="43">
        <f t="shared" ref="AQ80:AQ90" si="102">IF($M80=0, IF($H80 &gt; AQ$58, 0, IF($H80=AQ$58, $F80, AP80)), IF(OR($H80&gt;AQ$58,$H80+$M80&lt;=AQ$58),0,
IF($H80=AQ$58,$U80-AK80,
AP80-AK80)))</f>
        <v>0</v>
      </c>
      <c r="AR80" s="43">
        <f t="shared" ref="AR80:AR90" si="103">IF($M80=0, IF($H80 &gt; AR$58, 0, IF($H80=AR$58, $F80, AQ80)), IF(OR($H80&gt;AR$58,$H80+$M80&lt;=AR$58),0,
IF($H80=AR$58,$U80-AL80,
AQ80-AL80)))</f>
        <v>28760901.293705001</v>
      </c>
      <c r="AS80" s="43">
        <f t="shared" ref="AS80:AS90" si="104">IF($M80=0, IF($H80 &gt; AS$58, 0, IF($H80=AS$58, $F80, AR80)), IF(OR($H80&gt;AS$58,$H80+$M80&lt;=AS$58),0,
IF($H80=AS$58,$U80-AM80,
AR80-AM80)))</f>
        <v>25094155.100472853</v>
      </c>
      <c r="AT80" s="43">
        <f t="shared" ref="AT80:AT90" si="105">IF($M80=0, IF($H80 &gt; AT$58, 0, IF($H80=AT$58, $F80, AS80)), IF(OR($H80&gt;AT$58,$H80+$M80&lt;=AT$58),0,
IF($H80=AT$58,$U80-AN80,
AS80-AN80)))</f>
        <v>21864161.54323988</v>
      </c>
      <c r="AU80" s="3"/>
      <c r="AV80" s="47">
        <f t="shared" ref="AV80:AV90" si="106">O80+R80*H$16</f>
        <v>0</v>
      </c>
      <c r="AW80" s="47">
        <f t="shared" ref="AW80:AW90" si="107">P80+S80*I$16</f>
        <v>0</v>
      </c>
      <c r="AX80" s="47">
        <f t="shared" ref="AX80:AX90" si="108">AJ80+AP80*J$17</f>
        <v>0</v>
      </c>
      <c r="AY80" s="47">
        <f t="shared" ref="AY80:AY90" si="109">AK80+AQ80*K$17</f>
        <v>0</v>
      </c>
      <c r="AZ80" s="47">
        <f t="shared" ref="AZ80:AZ90" si="110">AL80+AR80*L$17</f>
        <v>3043066.1254557902</v>
      </c>
      <c r="BA80" s="43">
        <f t="shared" ref="BA80:BA90" si="111">AM80+AS80*M$17</f>
        <v>4620324.0870501185</v>
      </c>
      <c r="BB80" s="43">
        <f t="shared" ref="BB80:BB90" si="112">AN80+AT80*N$17</f>
        <v>4060831.6958760861</v>
      </c>
      <c r="BC80" s="3"/>
      <c r="BD80" s="43">
        <f t="shared" ref="BD80:BD90" si="113">IF(O80&gt;0,$F80*$F$20*INDEX($H$38:$N$44,$H80-2019,BD$58-2019)*INDEX($H$47:$N$53,$H80-2019,BD$58-2019)* IF(OR(BD$58=$H80,BD$58=$H80+$M80),0.5,1),0)</f>
        <v>0</v>
      </c>
      <c r="BE80" s="43">
        <f t="shared" ref="BE80:BE90" si="114">IF(P80&gt;0,$F80*$F$20*INDEX($H$38:$N$44,$H80-2019,BE$58-2019)*INDEX($H$47:$N$53,$H80-2019,BE$58-2019)*
 IF(OR(BE$58=$H80,BE$58=$H80+$M80),0.5,1),0)</f>
        <v>0</v>
      </c>
      <c r="BF80" s="43">
        <f t="shared" ref="BF80:BF90" si="115">IF(AJ80&gt;0,
$F80*$F$20*INDEX($H$38:$N$44,$H80-2019,BF$58-2019)*INDEX($H$47:$N$53,$H80-2019,BF$58-2019)*
 IF(OR(BF$58=$H80,BF$58=$H80+$M80),0.5,1),0)</f>
        <v>0</v>
      </c>
      <c r="BG80" s="43">
        <f t="shared" ref="BG80:BG90" si="116">IF(AK80&gt;0,
$F80*$F$20*INDEX($H$38:$N$44,$H80-2019,BG$58-2019)*INDEX($H$47:$N$53,$H80-2019,BG$58-2019)*
 IF(OR(BG$58=$H80,BG$58=$H80+$M80),0.5,1),0)</f>
        <v>0</v>
      </c>
      <c r="BH80" s="43">
        <f t="shared" ref="BH80:BH90" si="117">IF(AL80&gt;0,
$F80*$F$20*INDEX($H$38:$N$44,$H80-2019,BH$58-2019)*INDEX($H$47:$N$53,$H80-2019,BH$58-2019)*
 IF(OR(BH$58=$H80,BH$58=$H80+$M80),0.5,1),0)</f>
        <v>153555.26585000003</v>
      </c>
      <c r="BI80" s="43">
        <f t="shared" ref="BI80:BI90" si="118">IF(AM80&gt;0,
$F80*$F$20*INDEX($H$38:$N$44,$H80-2019,BI$58-2019)*INDEX($H$47:$N$53,$H80-2019,BI$58-2019)*
 IF(OR(BI$58=$H80,BI$58=$H80+$M80),0.5,1),0)</f>
        <v>314446.78808124963</v>
      </c>
      <c r="BJ80" s="43">
        <f t="shared" ref="BJ80:BJ90" si="119">IF(AN80&gt;0,
$F80*$F$20*INDEX($H$38:$N$44,$H80-2019,BJ$58-2019)*INDEX($H$47:$N$53,$H80-2019,BJ$58-2019)*
 IF(OR(BJ$58=$H80,BJ$58=$H80+$M80),0.5,1),0)</f>
        <v>318513.21394471632</v>
      </c>
      <c r="BK80" s="3"/>
      <c r="BL80" s="43">
        <f t="shared" ref="BL80:BL90" si="120">AV80+BD80</f>
        <v>0</v>
      </c>
      <c r="BM80" s="43">
        <f t="shared" ref="BM80:BM90" si="121">AW80+BE80</f>
        <v>0</v>
      </c>
      <c r="BN80" s="43">
        <f t="shared" ref="BN80:BN90" si="122">AX80+BF80</f>
        <v>0</v>
      </c>
      <c r="BO80" s="43">
        <f t="shared" ref="BO80:BO90" si="123">AY80+BG80</f>
        <v>0</v>
      </c>
      <c r="BP80" s="43">
        <f t="shared" ref="BP80:BP90" si="124">AZ80+BH80</f>
        <v>3196621.3913057903</v>
      </c>
      <c r="BQ80" s="43">
        <f t="shared" ref="BQ80:BQ90" si="125">BA80+BI80</f>
        <v>4934770.8751313677</v>
      </c>
      <c r="BR80" s="43">
        <f t="shared" ref="BR80:BR90" si="126">BB80+BJ80</f>
        <v>4379344.9098208025</v>
      </c>
      <c r="BS80" s="3"/>
      <c r="BT80" s="10"/>
      <c r="BU80" s="10"/>
      <c r="BV80" s="51">
        <f t="shared" ref="BV80:BV90" si="127">IF($L80&gt;BV$58,0,
IF($L80=BV$58,BL80*INDEX(J$29:J$35,BV$58-2021)+BM80*INDEX(J$29:J$35,BV$58-2020)+BN80,BN80))</f>
        <v>0</v>
      </c>
      <c r="BW80" s="51">
        <f t="shared" ref="BW80:BW90" si="128">IF($L80&gt;BW$58,0,
IF($L80=BW$58,BM80*INDEX(K$29:K$35,BW$58-2021)+BN80*INDEX(K$29:K$35,BW$58-2020)+BO80,BO80))</f>
        <v>0</v>
      </c>
      <c r="BX80" s="51">
        <f t="shared" ref="BX80:BX90" si="129">IF($L80&gt;BX$58,0,
IF($L80=BX$58,BN80*INDEX(L$29:L$35,BX$58-2021)+BO80*INDEX(L$29:L$35,BX$58-2020)+BP80,BP80))</f>
        <v>0</v>
      </c>
      <c r="BY80" s="51">
        <f t="shared" ref="BY80:BY90" si="130">IF($L80&gt;BY$58,0,
IF($L80=BY$58,BO80*INDEX(M$29:M$35,BY$58-2021)+BP80*INDEX(M$29:M$35,BY$58-2020)+BQ80,BQ80))</f>
        <v>0</v>
      </c>
      <c r="BZ80" s="51">
        <f t="shared" ref="BZ80:BZ90" si="131">IF($L80&gt;BZ$58,0,
IF($L80=BZ$58,BP80*INDEX(N$29:N$35,BZ$58-2021)+BQ80*INDEX(N$29:N$35,BZ$58-2020)+BR80,BR80))</f>
        <v>13152258.461840795</v>
      </c>
    </row>
    <row r="81" spans="1:78" s="230" customFormat="1">
      <c r="A81" s="48"/>
      <c r="B81" s="37">
        <f>'11. Investeringen (WUI+ombouw)'!B41</f>
        <v>22</v>
      </c>
      <c r="C81" s="229"/>
      <c r="D81" s="229"/>
      <c r="E81" s="229"/>
      <c r="F81" s="42">
        <f>'11. Investeringen (WUI+ombouw)'!C41</f>
        <v>103280388.23999999</v>
      </c>
      <c r="G81" s="48"/>
      <c r="H81" s="37">
        <f>'11. Investeringen (WUI+ombouw)'!D41</f>
        <v>2024</v>
      </c>
      <c r="I81" s="37" t="str">
        <f>'11. Investeringen (WUI+ombouw)'!E41</f>
        <v>06 Utiliteitsgebouwen</v>
      </c>
      <c r="J81" s="37" t="str">
        <f>'11. Investeringen (WUI+ombouw)'!F41</f>
        <v>WUI</v>
      </c>
      <c r="K81" s="37" t="str">
        <f>'11. Investeringen (WUI+ombouw)'!G41</f>
        <v>Nee</v>
      </c>
      <c r="L81" s="38">
        <f t="shared" si="87"/>
        <v>2026</v>
      </c>
      <c r="M81" s="38">
        <f>_xlfn.XLOOKUP(I81,'3. Input (des)investeringen '!$B$11:$B$81,'3. Input (des)investeringen '!$D$11:$D$81,0)</f>
        <v>30</v>
      </c>
      <c r="N81" s="3"/>
      <c r="O81" s="43">
        <f t="shared" si="88"/>
        <v>0</v>
      </c>
      <c r="P81" s="43">
        <f t="shared" si="89"/>
        <v>0</v>
      </c>
      <c r="Q81" s="3"/>
      <c r="R81" s="43">
        <f t="shared" si="90"/>
        <v>0</v>
      </c>
      <c r="S81" s="43">
        <f t="shared" si="91"/>
        <v>0</v>
      </c>
      <c r="T81" s="3"/>
      <c r="U81" s="43">
        <f t="shared" si="92"/>
        <v>103280388.23999999</v>
      </c>
      <c r="V81" s="38">
        <f t="shared" si="93"/>
        <v>30</v>
      </c>
      <c r="W81" s="3"/>
      <c r="X81" s="43">
        <f t="shared" si="94"/>
        <v>0</v>
      </c>
      <c r="Y81" s="43">
        <f t="shared" si="51"/>
        <v>0</v>
      </c>
      <c r="Z81" s="43">
        <f t="shared" si="51"/>
        <v>2013967.5706799999</v>
      </c>
      <c r="AA81" s="43">
        <f t="shared" si="51"/>
        <v>3940663.2132971999</v>
      </c>
      <c r="AB81" s="43">
        <f t="shared" si="51"/>
        <v>3769901.1407209882</v>
      </c>
      <c r="AC81" s="3"/>
      <c r="AD81" s="43">
        <f t="shared" si="95"/>
        <v>0</v>
      </c>
      <c r="AE81" s="43">
        <f t="shared" si="95"/>
        <v>0</v>
      </c>
      <c r="AF81" s="43">
        <f t="shared" si="95"/>
        <v>172133.9804</v>
      </c>
      <c r="AG81" s="43">
        <f t="shared" si="95"/>
        <v>344267.9608</v>
      </c>
      <c r="AH81" s="43">
        <f t="shared" si="95"/>
        <v>344267.9608</v>
      </c>
      <c r="AI81" s="3"/>
      <c r="AJ81" s="43">
        <f t="shared" si="96"/>
        <v>0</v>
      </c>
      <c r="AK81" s="43">
        <f t="shared" si="97"/>
        <v>0</v>
      </c>
      <c r="AL81" s="43">
        <f t="shared" si="98"/>
        <v>2186101.5510799997</v>
      </c>
      <c r="AM81" s="43">
        <f t="shared" si="99"/>
        <v>4284931.1740971999</v>
      </c>
      <c r="AN81" s="43">
        <f t="shared" si="100"/>
        <v>4114169.1015209882</v>
      </c>
      <c r="AO81" s="3"/>
      <c r="AP81" s="43">
        <f t="shared" si="101"/>
        <v>0</v>
      </c>
      <c r="AQ81" s="43">
        <f t="shared" si="102"/>
        <v>0</v>
      </c>
      <c r="AR81" s="43">
        <f t="shared" si="103"/>
        <v>101094286.68891999</v>
      </c>
      <c r="AS81" s="43">
        <f t="shared" si="104"/>
        <v>96809355.514822796</v>
      </c>
      <c r="AT81" s="43">
        <f t="shared" si="105"/>
        <v>92695186.413301811</v>
      </c>
      <c r="AU81" s="3"/>
      <c r="AV81" s="47">
        <f t="shared" si="106"/>
        <v>0</v>
      </c>
      <c r="AW81" s="47">
        <f t="shared" si="107"/>
        <v>0</v>
      </c>
      <c r="AX81" s="47">
        <f t="shared" si="108"/>
        <v>0</v>
      </c>
      <c r="AY81" s="47">
        <f t="shared" si="109"/>
        <v>0</v>
      </c>
      <c r="AZ81" s="47">
        <f t="shared" si="110"/>
        <v>6027684.4452589592</v>
      </c>
      <c r="BA81" s="43">
        <f t="shared" si="111"/>
        <v>7963686.6836604662</v>
      </c>
      <c r="BB81" s="43">
        <f t="shared" si="112"/>
        <v>7636586.1852264572</v>
      </c>
      <c r="BC81" s="3"/>
      <c r="BD81" s="43">
        <f t="shared" si="113"/>
        <v>0</v>
      </c>
      <c r="BE81" s="43">
        <f t="shared" si="114"/>
        <v>0</v>
      </c>
      <c r="BF81" s="43">
        <f t="shared" si="115"/>
        <v>0</v>
      </c>
      <c r="BG81" s="43">
        <f t="shared" si="116"/>
        <v>0</v>
      </c>
      <c r="BH81" s="43">
        <f t="shared" si="117"/>
        <v>516401.9412</v>
      </c>
      <c r="BI81" s="43">
        <f t="shared" si="118"/>
        <v>1057475.5015427712</v>
      </c>
      <c r="BJ81" s="43">
        <f t="shared" si="119"/>
        <v>1071150.7747287222</v>
      </c>
      <c r="BK81" s="3"/>
      <c r="BL81" s="43">
        <f t="shared" si="120"/>
        <v>0</v>
      </c>
      <c r="BM81" s="43">
        <f t="shared" si="121"/>
        <v>0</v>
      </c>
      <c r="BN81" s="43">
        <f t="shared" si="122"/>
        <v>0</v>
      </c>
      <c r="BO81" s="43">
        <f t="shared" si="123"/>
        <v>0</v>
      </c>
      <c r="BP81" s="43">
        <f t="shared" si="124"/>
        <v>6544086.3864589594</v>
      </c>
      <c r="BQ81" s="43">
        <f t="shared" si="125"/>
        <v>9021162.1852032375</v>
      </c>
      <c r="BR81" s="43">
        <f t="shared" si="126"/>
        <v>8707736.9599551801</v>
      </c>
      <c r="BS81" s="3"/>
      <c r="BT81" s="10"/>
      <c r="BU81" s="10"/>
      <c r="BV81" s="51">
        <f t="shared" si="127"/>
        <v>0</v>
      </c>
      <c r="BW81" s="51">
        <f t="shared" si="128"/>
        <v>0</v>
      </c>
      <c r="BX81" s="51">
        <f t="shared" si="129"/>
        <v>0</v>
      </c>
      <c r="BY81" s="51">
        <f t="shared" si="130"/>
        <v>0</v>
      </c>
      <c r="BZ81" s="51">
        <f t="shared" si="131"/>
        <v>25532238.309605218</v>
      </c>
    </row>
    <row r="82" spans="1:78" s="230" customFormat="1">
      <c r="A82" s="48"/>
      <c r="B82" s="37">
        <f>'11. Investeringen (WUI+ombouw)'!B42</f>
        <v>23</v>
      </c>
      <c r="C82" s="229"/>
      <c r="D82" s="229"/>
      <c r="E82" s="229"/>
      <c r="F82" s="42">
        <f>'11. Investeringen (WUI+ombouw)'!C42</f>
        <v>1964.46</v>
      </c>
      <c r="G82" s="48"/>
      <c r="H82" s="37">
        <f>'11. Investeringen (WUI+ombouw)'!D42</f>
        <v>2024</v>
      </c>
      <c r="I82" s="37" t="str">
        <f>'11. Investeringen (WUI+ombouw)'!E42</f>
        <v>08 Inrichting gebouwen</v>
      </c>
      <c r="J82" s="37" t="str">
        <f>'11. Investeringen (WUI+ombouw)'!F42</f>
        <v>WUI</v>
      </c>
      <c r="K82" s="37" t="str">
        <f>'11. Investeringen (WUI+ombouw)'!G42</f>
        <v>Nee</v>
      </c>
      <c r="L82" s="38">
        <f t="shared" si="87"/>
        <v>2026</v>
      </c>
      <c r="M82" s="38">
        <f>_xlfn.XLOOKUP(I82,'3. Input (des)investeringen '!$B$11:$B$81,'3. Input (des)investeringen '!$D$11:$D$81,0)</f>
        <v>10</v>
      </c>
      <c r="N82" s="3"/>
      <c r="O82" s="43">
        <f t="shared" si="88"/>
        <v>0</v>
      </c>
      <c r="P82" s="43">
        <f t="shared" si="89"/>
        <v>0</v>
      </c>
      <c r="Q82" s="3"/>
      <c r="R82" s="43">
        <f t="shared" si="90"/>
        <v>0</v>
      </c>
      <c r="S82" s="43">
        <f t="shared" si="91"/>
        <v>0</v>
      </c>
      <c r="T82" s="3"/>
      <c r="U82" s="43">
        <f t="shared" si="92"/>
        <v>1964.46</v>
      </c>
      <c r="V82" s="38">
        <f t="shared" si="93"/>
        <v>10</v>
      </c>
      <c r="W82" s="3"/>
      <c r="X82" s="43">
        <f t="shared" si="94"/>
        <v>0</v>
      </c>
      <c r="Y82" s="43">
        <f t="shared" si="94"/>
        <v>0</v>
      </c>
      <c r="Z82" s="43">
        <f t="shared" si="94"/>
        <v>114.92091000000001</v>
      </c>
      <c r="AA82" s="43">
        <f t="shared" si="94"/>
        <v>214.9021017</v>
      </c>
      <c r="AB82" s="43">
        <f t="shared" si="94"/>
        <v>186.964828479</v>
      </c>
      <c r="AC82" s="3"/>
      <c r="AD82" s="43">
        <f t="shared" si="95"/>
        <v>0</v>
      </c>
      <c r="AE82" s="43">
        <f t="shared" si="95"/>
        <v>0</v>
      </c>
      <c r="AF82" s="43">
        <f t="shared" si="95"/>
        <v>9.822300000000002</v>
      </c>
      <c r="AG82" s="43">
        <f t="shared" si="95"/>
        <v>19.644600000000001</v>
      </c>
      <c r="AH82" s="43">
        <f t="shared" si="95"/>
        <v>19.644600000000001</v>
      </c>
      <c r="AI82" s="3"/>
      <c r="AJ82" s="43">
        <f t="shared" si="96"/>
        <v>0</v>
      </c>
      <c r="AK82" s="43">
        <f t="shared" si="97"/>
        <v>0</v>
      </c>
      <c r="AL82" s="43">
        <f t="shared" si="98"/>
        <v>124.74321</v>
      </c>
      <c r="AM82" s="43">
        <f t="shared" si="99"/>
        <v>234.5467017</v>
      </c>
      <c r="AN82" s="43">
        <f t="shared" si="100"/>
        <v>206.609428479</v>
      </c>
      <c r="AO82" s="3"/>
      <c r="AP82" s="43">
        <f t="shared" si="101"/>
        <v>0</v>
      </c>
      <c r="AQ82" s="43">
        <f t="shared" si="102"/>
        <v>0</v>
      </c>
      <c r="AR82" s="43">
        <f t="shared" si="103"/>
        <v>1839.7167899999999</v>
      </c>
      <c r="AS82" s="43">
        <f t="shared" si="104"/>
        <v>1605.1700882999999</v>
      </c>
      <c r="AT82" s="43">
        <f t="shared" si="105"/>
        <v>1398.5606598209999</v>
      </c>
      <c r="AU82" s="3"/>
      <c r="AV82" s="47">
        <f t="shared" si="106"/>
        <v>0</v>
      </c>
      <c r="AW82" s="47">
        <f t="shared" si="107"/>
        <v>0</v>
      </c>
      <c r="AX82" s="47">
        <f t="shared" si="108"/>
        <v>0</v>
      </c>
      <c r="AY82" s="47">
        <f t="shared" si="109"/>
        <v>0</v>
      </c>
      <c r="AZ82" s="47">
        <f t="shared" si="110"/>
        <v>194.65244802000001</v>
      </c>
      <c r="BA82" s="43">
        <f t="shared" si="111"/>
        <v>295.54316505539998</v>
      </c>
      <c r="BB82" s="43">
        <f t="shared" si="112"/>
        <v>259.75473355219799</v>
      </c>
      <c r="BC82" s="3"/>
      <c r="BD82" s="43">
        <f t="shared" si="113"/>
        <v>0</v>
      </c>
      <c r="BE82" s="43">
        <f t="shared" si="114"/>
        <v>0</v>
      </c>
      <c r="BF82" s="43">
        <f t="shared" si="115"/>
        <v>0</v>
      </c>
      <c r="BG82" s="43">
        <f t="shared" si="116"/>
        <v>0</v>
      </c>
      <c r="BH82" s="43">
        <f t="shared" si="117"/>
        <v>9.8223000000000003</v>
      </c>
      <c r="BI82" s="43">
        <f t="shared" si="118"/>
        <v>20.113870204799998</v>
      </c>
      <c r="BJ82" s="43">
        <f t="shared" si="119"/>
        <v>20.373982774288471</v>
      </c>
      <c r="BK82" s="3"/>
      <c r="BL82" s="43">
        <f t="shared" si="120"/>
        <v>0</v>
      </c>
      <c r="BM82" s="43">
        <f t="shared" si="121"/>
        <v>0</v>
      </c>
      <c r="BN82" s="43">
        <f t="shared" si="122"/>
        <v>0</v>
      </c>
      <c r="BO82" s="43">
        <f t="shared" si="123"/>
        <v>0</v>
      </c>
      <c r="BP82" s="43">
        <f t="shared" si="124"/>
        <v>204.47474802000002</v>
      </c>
      <c r="BQ82" s="43">
        <f t="shared" si="125"/>
        <v>315.65703526019996</v>
      </c>
      <c r="BR82" s="43">
        <f t="shared" si="126"/>
        <v>280.12871632648648</v>
      </c>
      <c r="BS82" s="3"/>
      <c r="BT82" s="10"/>
      <c r="BU82" s="10"/>
      <c r="BV82" s="51">
        <f t="shared" si="127"/>
        <v>0</v>
      </c>
      <c r="BW82" s="51">
        <f t="shared" si="128"/>
        <v>0</v>
      </c>
      <c r="BX82" s="51">
        <f t="shared" si="129"/>
        <v>0</v>
      </c>
      <c r="BY82" s="51">
        <f t="shared" si="130"/>
        <v>0</v>
      </c>
      <c r="BZ82" s="51">
        <f t="shared" si="131"/>
        <v>841.29598275016656</v>
      </c>
    </row>
    <row r="83" spans="1:78" s="230" customFormat="1">
      <c r="A83" s="48"/>
      <c r="B83" s="37">
        <f>'11. Investeringen (WUI+ombouw)'!B43</f>
        <v>24</v>
      </c>
      <c r="C83" s="229"/>
      <c r="D83" s="229"/>
      <c r="E83" s="229"/>
      <c r="F83" s="42">
        <f>'11. Investeringen (WUI+ombouw)'!C43</f>
        <v>224147.45</v>
      </c>
      <c r="G83" s="48"/>
      <c r="H83" s="37">
        <f>'11. Investeringen (WUI+ombouw)'!D43</f>
        <v>2024</v>
      </c>
      <c r="I83" s="37" t="str">
        <f>'11. Investeringen (WUI+ombouw)'!E43</f>
        <v>17 Mengstations</v>
      </c>
      <c r="J83" s="37" t="str">
        <f>'11. Investeringen (WUI+ombouw)'!F43</f>
        <v>WUI</v>
      </c>
      <c r="K83" s="37" t="str">
        <f>'11. Investeringen (WUI+ombouw)'!G43</f>
        <v>Nee</v>
      </c>
      <c r="L83" s="38">
        <f t="shared" si="87"/>
        <v>2026</v>
      </c>
      <c r="M83" s="38">
        <f>_xlfn.XLOOKUP(I83,'3. Input (des)investeringen '!$B$11:$B$81,'3. Input (des)investeringen '!$D$11:$D$81,0)</f>
        <v>30</v>
      </c>
      <c r="N83" s="3"/>
      <c r="O83" s="43">
        <f t="shared" si="88"/>
        <v>0</v>
      </c>
      <c r="P83" s="43">
        <f t="shared" si="89"/>
        <v>0</v>
      </c>
      <c r="Q83" s="3"/>
      <c r="R83" s="43">
        <f t="shared" si="90"/>
        <v>0</v>
      </c>
      <c r="S83" s="43">
        <f t="shared" si="91"/>
        <v>0</v>
      </c>
      <c r="T83" s="3"/>
      <c r="U83" s="43">
        <f t="shared" si="92"/>
        <v>224147.45</v>
      </c>
      <c r="V83" s="38">
        <f t="shared" si="93"/>
        <v>30</v>
      </c>
      <c r="W83" s="3"/>
      <c r="X83" s="43">
        <f t="shared" si="94"/>
        <v>0</v>
      </c>
      <c r="Y83" s="43">
        <f t="shared" si="94"/>
        <v>0</v>
      </c>
      <c r="Z83" s="43">
        <f t="shared" si="94"/>
        <v>4370.8752750000003</v>
      </c>
      <c r="AA83" s="43">
        <f t="shared" si="94"/>
        <v>8552.3459547500006</v>
      </c>
      <c r="AB83" s="43">
        <f t="shared" si="94"/>
        <v>8181.7442967108345</v>
      </c>
      <c r="AC83" s="3"/>
      <c r="AD83" s="43">
        <f t="shared" si="95"/>
        <v>0</v>
      </c>
      <c r="AE83" s="43">
        <f t="shared" si="95"/>
        <v>0</v>
      </c>
      <c r="AF83" s="43">
        <f t="shared" si="95"/>
        <v>373.57908333333336</v>
      </c>
      <c r="AG83" s="43">
        <f t="shared" si="95"/>
        <v>747.15816666666672</v>
      </c>
      <c r="AH83" s="43">
        <f t="shared" si="95"/>
        <v>747.15816666666672</v>
      </c>
      <c r="AI83" s="3"/>
      <c r="AJ83" s="43">
        <f t="shared" si="96"/>
        <v>0</v>
      </c>
      <c r="AK83" s="43">
        <f t="shared" si="97"/>
        <v>0</v>
      </c>
      <c r="AL83" s="43">
        <f t="shared" si="98"/>
        <v>4744.4543583333334</v>
      </c>
      <c r="AM83" s="43">
        <f t="shared" si="99"/>
        <v>9299.5041214166667</v>
      </c>
      <c r="AN83" s="43">
        <f t="shared" si="100"/>
        <v>8928.9024633775007</v>
      </c>
      <c r="AO83" s="3"/>
      <c r="AP83" s="43">
        <f t="shared" si="101"/>
        <v>0</v>
      </c>
      <c r="AQ83" s="43">
        <f t="shared" si="102"/>
        <v>0</v>
      </c>
      <c r="AR83" s="43">
        <f t="shared" si="103"/>
        <v>219402.99564166667</v>
      </c>
      <c r="AS83" s="43">
        <f t="shared" si="104"/>
        <v>210103.49152025001</v>
      </c>
      <c r="AT83" s="43">
        <f t="shared" si="105"/>
        <v>201174.5890568725</v>
      </c>
      <c r="AU83" s="3"/>
      <c r="AV83" s="47">
        <f t="shared" si="106"/>
        <v>0</v>
      </c>
      <c r="AW83" s="47">
        <f t="shared" si="107"/>
        <v>0</v>
      </c>
      <c r="AX83" s="47">
        <f t="shared" si="108"/>
        <v>0</v>
      </c>
      <c r="AY83" s="47">
        <f t="shared" si="109"/>
        <v>0</v>
      </c>
      <c r="AZ83" s="47">
        <f t="shared" si="110"/>
        <v>13081.768192716667</v>
      </c>
      <c r="BA83" s="43">
        <f t="shared" si="111"/>
        <v>17283.436799186165</v>
      </c>
      <c r="BB83" s="43">
        <f t="shared" si="112"/>
        <v>16573.536847538657</v>
      </c>
      <c r="BC83" s="3"/>
      <c r="BD83" s="43">
        <f t="shared" si="113"/>
        <v>0</v>
      </c>
      <c r="BE83" s="43">
        <f t="shared" si="114"/>
        <v>0</v>
      </c>
      <c r="BF83" s="43">
        <f t="shared" si="115"/>
        <v>0</v>
      </c>
      <c r="BG83" s="43">
        <f t="shared" si="116"/>
        <v>0</v>
      </c>
      <c r="BH83" s="43">
        <f t="shared" si="117"/>
        <v>1120.7372500000001</v>
      </c>
      <c r="BI83" s="43">
        <f t="shared" si="118"/>
        <v>2295.018842856</v>
      </c>
      <c r="BJ83" s="43">
        <f t="shared" si="119"/>
        <v>2324.6980265318139</v>
      </c>
      <c r="BK83" s="3"/>
      <c r="BL83" s="43">
        <f t="shared" si="120"/>
        <v>0</v>
      </c>
      <c r="BM83" s="43">
        <f t="shared" si="121"/>
        <v>0</v>
      </c>
      <c r="BN83" s="43">
        <f t="shared" si="122"/>
        <v>0</v>
      </c>
      <c r="BO83" s="43">
        <f t="shared" si="123"/>
        <v>0</v>
      </c>
      <c r="BP83" s="43">
        <f t="shared" si="124"/>
        <v>14202.505442716667</v>
      </c>
      <c r="BQ83" s="43">
        <f t="shared" si="125"/>
        <v>19578.455642042165</v>
      </c>
      <c r="BR83" s="43">
        <f t="shared" si="126"/>
        <v>18898.234874070469</v>
      </c>
      <c r="BS83" s="3"/>
      <c r="BT83" s="10"/>
      <c r="BU83" s="10"/>
      <c r="BV83" s="51">
        <f t="shared" si="127"/>
        <v>0</v>
      </c>
      <c r="BW83" s="51">
        <f t="shared" si="128"/>
        <v>0</v>
      </c>
      <c r="BX83" s="51">
        <f t="shared" si="129"/>
        <v>0</v>
      </c>
      <c r="BY83" s="51">
        <f t="shared" si="130"/>
        <v>0</v>
      </c>
      <c r="BZ83" s="51">
        <f t="shared" si="131"/>
        <v>55412.128163106921</v>
      </c>
    </row>
    <row r="84" spans="1:78" s="230" customFormat="1">
      <c r="A84" s="48"/>
      <c r="B84" s="37">
        <f>'11. Investeringen (WUI+ombouw)'!B44</f>
        <v>25</v>
      </c>
      <c r="C84" s="229"/>
      <c r="D84" s="229"/>
      <c r="E84" s="229"/>
      <c r="F84" s="42">
        <f>'11. Investeringen (WUI+ombouw)'!C44</f>
        <v>60702.53</v>
      </c>
      <c r="G84" s="48"/>
      <c r="H84" s="37">
        <f>'11. Investeringen (WUI+ombouw)'!D44</f>
        <v>2024</v>
      </c>
      <c r="I84" s="37" t="str">
        <f>'11. Investeringen (WUI+ombouw)'!E44</f>
        <v>21 Hoofdtransportleiding</v>
      </c>
      <c r="J84" s="37" t="str">
        <f>'11. Investeringen (WUI+ombouw)'!F44</f>
        <v>WUI</v>
      </c>
      <c r="K84" s="37" t="str">
        <f>'11. Investeringen (WUI+ombouw)'!G44</f>
        <v>Nee</v>
      </c>
      <c r="L84" s="38">
        <f t="shared" si="87"/>
        <v>2026</v>
      </c>
      <c r="M84" s="38">
        <f>_xlfn.XLOOKUP(I84,'3. Input (des)investeringen '!$B$11:$B$81,'3. Input (des)investeringen '!$D$11:$D$81,0)</f>
        <v>55</v>
      </c>
      <c r="N84" s="3"/>
      <c r="O84" s="43">
        <f t="shared" si="88"/>
        <v>0</v>
      </c>
      <c r="P84" s="43">
        <f t="shared" si="89"/>
        <v>0</v>
      </c>
      <c r="Q84" s="3"/>
      <c r="R84" s="43">
        <f t="shared" si="90"/>
        <v>0</v>
      </c>
      <c r="S84" s="43">
        <f t="shared" si="91"/>
        <v>0</v>
      </c>
      <c r="T84" s="3"/>
      <c r="U84" s="43">
        <f t="shared" si="92"/>
        <v>60702.53</v>
      </c>
      <c r="V84" s="38">
        <f t="shared" si="93"/>
        <v>55</v>
      </c>
      <c r="W84" s="3"/>
      <c r="X84" s="43">
        <f t="shared" si="94"/>
        <v>0</v>
      </c>
      <c r="Y84" s="43">
        <f t="shared" si="94"/>
        <v>0</v>
      </c>
      <c r="Z84" s="43">
        <f t="shared" si="94"/>
        <v>645.65418272727277</v>
      </c>
      <c r="AA84" s="43">
        <f t="shared" si="94"/>
        <v>1276.0474484082645</v>
      </c>
      <c r="AB84" s="43">
        <f t="shared" si="94"/>
        <v>1245.8863269004328</v>
      </c>
      <c r="AC84" s="3"/>
      <c r="AD84" s="43">
        <f t="shared" si="95"/>
        <v>0</v>
      </c>
      <c r="AE84" s="43">
        <f t="shared" si="95"/>
        <v>0</v>
      </c>
      <c r="AF84" s="43">
        <f t="shared" si="95"/>
        <v>55.184118181818178</v>
      </c>
      <c r="AG84" s="43">
        <f t="shared" si="95"/>
        <v>110.36823636363636</v>
      </c>
      <c r="AH84" s="43">
        <f t="shared" si="95"/>
        <v>110.36823636363636</v>
      </c>
      <c r="AI84" s="3"/>
      <c r="AJ84" s="43">
        <f t="shared" si="96"/>
        <v>0</v>
      </c>
      <c r="AK84" s="43">
        <f t="shared" si="97"/>
        <v>0</v>
      </c>
      <c r="AL84" s="43">
        <f t="shared" si="98"/>
        <v>700.838300909091</v>
      </c>
      <c r="AM84" s="43">
        <f t="shared" si="99"/>
        <v>1386.4156847719009</v>
      </c>
      <c r="AN84" s="43">
        <f t="shared" si="100"/>
        <v>1356.254563264069</v>
      </c>
      <c r="AO84" s="3"/>
      <c r="AP84" s="43">
        <f t="shared" si="101"/>
        <v>0</v>
      </c>
      <c r="AQ84" s="43">
        <f t="shared" si="102"/>
        <v>0</v>
      </c>
      <c r="AR84" s="43">
        <f t="shared" si="103"/>
        <v>60001.691699090909</v>
      </c>
      <c r="AS84" s="43">
        <f t="shared" si="104"/>
        <v>58615.27601431901</v>
      </c>
      <c r="AT84" s="43">
        <f t="shared" si="105"/>
        <v>57259.021451054941</v>
      </c>
      <c r="AU84" s="3"/>
      <c r="AV84" s="47">
        <f t="shared" si="106"/>
        <v>0</v>
      </c>
      <c r="AW84" s="47">
        <f t="shared" si="107"/>
        <v>0</v>
      </c>
      <c r="AX84" s="47">
        <f t="shared" si="108"/>
        <v>0</v>
      </c>
      <c r="AY84" s="47">
        <f t="shared" si="109"/>
        <v>0</v>
      </c>
      <c r="AZ84" s="47">
        <f t="shared" si="110"/>
        <v>2980.902585474545</v>
      </c>
      <c r="BA84" s="43">
        <f t="shared" si="111"/>
        <v>3613.7961733160232</v>
      </c>
      <c r="BB84" s="43">
        <f t="shared" si="112"/>
        <v>3532.0973784041566</v>
      </c>
      <c r="BC84" s="3"/>
      <c r="BD84" s="43">
        <f t="shared" si="113"/>
        <v>0</v>
      </c>
      <c r="BE84" s="43">
        <f t="shared" si="114"/>
        <v>0</v>
      </c>
      <c r="BF84" s="43">
        <f t="shared" si="115"/>
        <v>0</v>
      </c>
      <c r="BG84" s="43">
        <f t="shared" si="116"/>
        <v>0</v>
      </c>
      <c r="BH84" s="43">
        <f t="shared" si="117"/>
        <v>303.51265000000001</v>
      </c>
      <c r="BI84" s="43">
        <f t="shared" si="118"/>
        <v>621.52592036639999</v>
      </c>
      <c r="BJ84" s="43">
        <f t="shared" si="119"/>
        <v>629.56349356857822</v>
      </c>
      <c r="BK84" s="3"/>
      <c r="BL84" s="43">
        <f t="shared" si="120"/>
        <v>0</v>
      </c>
      <c r="BM84" s="43">
        <f t="shared" si="121"/>
        <v>0</v>
      </c>
      <c r="BN84" s="43">
        <f t="shared" si="122"/>
        <v>0</v>
      </c>
      <c r="BO84" s="43">
        <f t="shared" si="123"/>
        <v>0</v>
      </c>
      <c r="BP84" s="43">
        <f t="shared" si="124"/>
        <v>3284.4152354745452</v>
      </c>
      <c r="BQ84" s="43">
        <f t="shared" si="125"/>
        <v>4235.3220936824237</v>
      </c>
      <c r="BR84" s="43">
        <f t="shared" si="126"/>
        <v>4161.6608719727346</v>
      </c>
      <c r="BS84" s="3"/>
      <c r="BT84" s="10"/>
      <c r="BU84" s="10"/>
      <c r="BV84" s="51">
        <f t="shared" si="127"/>
        <v>0</v>
      </c>
      <c r="BW84" s="51">
        <f t="shared" si="128"/>
        <v>0</v>
      </c>
      <c r="BX84" s="51">
        <f t="shared" si="129"/>
        <v>0</v>
      </c>
      <c r="BY84" s="51">
        <f t="shared" si="130"/>
        <v>0</v>
      </c>
      <c r="BZ84" s="51">
        <f t="shared" si="131"/>
        <v>12298.789587394931</v>
      </c>
    </row>
    <row r="85" spans="1:78" s="230" customFormat="1">
      <c r="A85" s="48"/>
      <c r="B85" s="37">
        <f>'11. Investeringen (WUI+ombouw)'!B45</f>
        <v>26</v>
      </c>
      <c r="C85" s="229"/>
      <c r="D85" s="229"/>
      <c r="E85" s="229"/>
      <c r="F85" s="42">
        <f>'11. Investeringen (WUI+ombouw)'!C45</f>
        <v>345979197.91000003</v>
      </c>
      <c r="G85" s="48"/>
      <c r="H85" s="37">
        <f>'11. Investeringen (WUI+ombouw)'!D45</f>
        <v>2024</v>
      </c>
      <c r="I85" s="37" t="str">
        <f>'11. Investeringen (WUI+ombouw)'!E45</f>
        <v>36 Luchtscheidingsunit</v>
      </c>
      <c r="J85" s="37" t="str">
        <f>'11. Investeringen (WUI+ombouw)'!F45</f>
        <v>WUI</v>
      </c>
      <c r="K85" s="37" t="str">
        <f>'11. Investeringen (WUI+ombouw)'!G45</f>
        <v>Nee</v>
      </c>
      <c r="L85" s="38">
        <f t="shared" si="87"/>
        <v>2026</v>
      </c>
      <c r="M85" s="38">
        <f>_xlfn.XLOOKUP(I85,'3. Input (des)investeringen '!$B$11:$B$81,'3. Input (des)investeringen '!$D$11:$D$81,0)</f>
        <v>30</v>
      </c>
      <c r="N85" s="3"/>
      <c r="O85" s="43">
        <f t="shared" si="88"/>
        <v>0</v>
      </c>
      <c r="P85" s="43">
        <f t="shared" si="89"/>
        <v>0</v>
      </c>
      <c r="Q85" s="3"/>
      <c r="R85" s="43">
        <f t="shared" si="90"/>
        <v>0</v>
      </c>
      <c r="S85" s="43">
        <f t="shared" si="91"/>
        <v>0</v>
      </c>
      <c r="T85" s="3"/>
      <c r="U85" s="43">
        <f t="shared" si="92"/>
        <v>345979197.91000003</v>
      </c>
      <c r="V85" s="38">
        <f t="shared" si="93"/>
        <v>30</v>
      </c>
      <c r="W85" s="3"/>
      <c r="X85" s="43">
        <f t="shared" si="94"/>
        <v>0</v>
      </c>
      <c r="Y85" s="43">
        <f t="shared" si="94"/>
        <v>0</v>
      </c>
      <c r="Z85" s="43">
        <f t="shared" si="94"/>
        <v>6746594.3592450013</v>
      </c>
      <c r="AA85" s="43">
        <f t="shared" si="94"/>
        <v>13200836.296256052</v>
      </c>
      <c r="AB85" s="43">
        <f t="shared" si="94"/>
        <v>12628800.056751622</v>
      </c>
      <c r="AC85" s="3"/>
      <c r="AD85" s="43">
        <f t="shared" si="95"/>
        <v>0</v>
      </c>
      <c r="AE85" s="43">
        <f t="shared" si="95"/>
        <v>0</v>
      </c>
      <c r="AF85" s="43">
        <f t="shared" si="95"/>
        <v>576631.99651666672</v>
      </c>
      <c r="AG85" s="43">
        <f t="shared" si="95"/>
        <v>1153263.9930333334</v>
      </c>
      <c r="AH85" s="43">
        <f t="shared" si="95"/>
        <v>1153263.9930333334</v>
      </c>
      <c r="AI85" s="3"/>
      <c r="AJ85" s="43">
        <f t="shared" si="96"/>
        <v>0</v>
      </c>
      <c r="AK85" s="43">
        <f t="shared" si="97"/>
        <v>0</v>
      </c>
      <c r="AL85" s="43">
        <f t="shared" si="98"/>
        <v>7323226.3557616677</v>
      </c>
      <c r="AM85" s="43">
        <f t="shared" si="99"/>
        <v>14354100.289289385</v>
      </c>
      <c r="AN85" s="43">
        <f t="shared" si="100"/>
        <v>13782064.049784955</v>
      </c>
      <c r="AO85" s="3"/>
      <c r="AP85" s="43">
        <f t="shared" si="101"/>
        <v>0</v>
      </c>
      <c r="AQ85" s="43">
        <f t="shared" si="102"/>
        <v>0</v>
      </c>
      <c r="AR85" s="43">
        <f t="shared" si="103"/>
        <v>338655971.55423838</v>
      </c>
      <c r="AS85" s="43">
        <f t="shared" si="104"/>
        <v>324301871.26494896</v>
      </c>
      <c r="AT85" s="43">
        <f t="shared" si="105"/>
        <v>310519807.21516401</v>
      </c>
      <c r="AU85" s="3"/>
      <c r="AV85" s="47">
        <f t="shared" si="106"/>
        <v>0</v>
      </c>
      <c r="AW85" s="47">
        <f t="shared" si="107"/>
        <v>0</v>
      </c>
      <c r="AX85" s="47">
        <f t="shared" si="108"/>
        <v>0</v>
      </c>
      <c r="AY85" s="47">
        <f t="shared" si="109"/>
        <v>0</v>
      </c>
      <c r="AZ85" s="47">
        <f t="shared" si="110"/>
        <v>20192153.274822727</v>
      </c>
      <c r="BA85" s="43">
        <f t="shared" si="111"/>
        <v>26677571.397357445</v>
      </c>
      <c r="BB85" s="43">
        <f t="shared" si="112"/>
        <v>25581816.723961186</v>
      </c>
      <c r="BC85" s="3"/>
      <c r="BD85" s="43">
        <f t="shared" si="113"/>
        <v>0</v>
      </c>
      <c r="BE85" s="43">
        <f t="shared" si="114"/>
        <v>0</v>
      </c>
      <c r="BF85" s="43">
        <f t="shared" si="115"/>
        <v>0</v>
      </c>
      <c r="BG85" s="43">
        <f t="shared" si="116"/>
        <v>0</v>
      </c>
      <c r="BH85" s="43">
        <f t="shared" si="117"/>
        <v>1729895.9895500001</v>
      </c>
      <c r="BI85" s="43">
        <f t="shared" si="118"/>
        <v>3542439.4898967412</v>
      </c>
      <c r="BJ85" s="43">
        <f t="shared" si="119"/>
        <v>3588250.3173800851</v>
      </c>
      <c r="BK85" s="3"/>
      <c r="BL85" s="43">
        <f t="shared" si="120"/>
        <v>0</v>
      </c>
      <c r="BM85" s="43">
        <f t="shared" si="121"/>
        <v>0</v>
      </c>
      <c r="BN85" s="43">
        <f t="shared" si="122"/>
        <v>0</v>
      </c>
      <c r="BO85" s="43">
        <f t="shared" si="123"/>
        <v>0</v>
      </c>
      <c r="BP85" s="43">
        <f t="shared" si="124"/>
        <v>21922049.264372729</v>
      </c>
      <c r="BQ85" s="43">
        <f t="shared" si="125"/>
        <v>30220010.887254186</v>
      </c>
      <c r="BR85" s="43">
        <f t="shared" si="126"/>
        <v>29170067.041341271</v>
      </c>
      <c r="BS85" s="3"/>
      <c r="BT85" s="10"/>
      <c r="BU85" s="10"/>
      <c r="BV85" s="51">
        <f t="shared" si="127"/>
        <v>0</v>
      </c>
      <c r="BW85" s="51">
        <f t="shared" si="128"/>
        <v>0</v>
      </c>
      <c r="BX85" s="51">
        <f t="shared" si="129"/>
        <v>0</v>
      </c>
      <c r="BY85" s="51">
        <f t="shared" si="130"/>
        <v>0</v>
      </c>
      <c r="BZ85" s="51">
        <f t="shared" si="131"/>
        <v>85530500.82148093</v>
      </c>
    </row>
    <row r="86" spans="1:78" s="230" customFormat="1">
      <c r="A86" s="48"/>
      <c r="B86" s="37">
        <f>'11. Investeringen (WUI+ombouw)'!B46</f>
        <v>27</v>
      </c>
      <c r="C86" s="229"/>
      <c r="D86" s="229"/>
      <c r="E86" s="229"/>
      <c r="F86" s="42">
        <f>'11. Investeringen (WUI+ombouw)'!C46</f>
        <v>10411.74</v>
      </c>
      <c r="G86" s="48"/>
      <c r="H86" s="37">
        <f>'11. Investeringen (WUI+ombouw)'!D46</f>
        <v>2024</v>
      </c>
      <c r="I86" s="37" t="str">
        <f>'11. Investeringen (WUI+ombouw)'!E46</f>
        <v>41 Stikstofbuffer</v>
      </c>
      <c r="J86" s="37" t="str">
        <f>'11. Investeringen (WUI+ombouw)'!F46</f>
        <v>WUI</v>
      </c>
      <c r="K86" s="37" t="str">
        <f>'11. Investeringen (WUI+ombouw)'!G46</f>
        <v>Nee</v>
      </c>
      <c r="L86" s="38">
        <f t="shared" si="87"/>
        <v>2026</v>
      </c>
      <c r="M86" s="38">
        <f>_xlfn.XLOOKUP(I86,'3. Input (des)investeringen '!$B$11:$B$81,'3. Input (des)investeringen '!$D$11:$D$81,0)</f>
        <v>30</v>
      </c>
      <c r="N86" s="3"/>
      <c r="O86" s="43">
        <f t="shared" si="88"/>
        <v>0</v>
      </c>
      <c r="P86" s="43">
        <f t="shared" si="89"/>
        <v>0</v>
      </c>
      <c r="Q86" s="3"/>
      <c r="R86" s="43">
        <f t="shared" si="90"/>
        <v>0</v>
      </c>
      <c r="S86" s="43">
        <f t="shared" si="91"/>
        <v>0</v>
      </c>
      <c r="T86" s="3"/>
      <c r="U86" s="43">
        <f t="shared" si="92"/>
        <v>10411.74</v>
      </c>
      <c r="V86" s="38">
        <f t="shared" si="93"/>
        <v>30</v>
      </c>
      <c r="W86" s="3"/>
      <c r="X86" s="43">
        <f t="shared" si="94"/>
        <v>0</v>
      </c>
      <c r="Y86" s="43">
        <f t="shared" si="94"/>
        <v>0</v>
      </c>
      <c r="Z86" s="43">
        <f t="shared" si="94"/>
        <v>203.02893</v>
      </c>
      <c r="AA86" s="43">
        <f t="shared" si="94"/>
        <v>397.25993969999996</v>
      </c>
      <c r="AB86" s="43">
        <f t="shared" si="94"/>
        <v>380.04534231299999</v>
      </c>
      <c r="AC86" s="3"/>
      <c r="AD86" s="43">
        <f t="shared" si="95"/>
        <v>0</v>
      </c>
      <c r="AE86" s="43">
        <f t="shared" si="95"/>
        <v>0</v>
      </c>
      <c r="AF86" s="43">
        <f t="shared" si="95"/>
        <v>17.352900000000002</v>
      </c>
      <c r="AG86" s="43">
        <f t="shared" si="95"/>
        <v>34.705800000000004</v>
      </c>
      <c r="AH86" s="43">
        <f t="shared" si="95"/>
        <v>34.705800000000004</v>
      </c>
      <c r="AI86" s="3"/>
      <c r="AJ86" s="43">
        <f t="shared" si="96"/>
        <v>0</v>
      </c>
      <c r="AK86" s="43">
        <f t="shared" si="97"/>
        <v>0</v>
      </c>
      <c r="AL86" s="43">
        <f t="shared" si="98"/>
        <v>220.38183000000001</v>
      </c>
      <c r="AM86" s="43">
        <f t="shared" si="99"/>
        <v>431.96573969999997</v>
      </c>
      <c r="AN86" s="43">
        <f t="shared" si="100"/>
        <v>414.751142313</v>
      </c>
      <c r="AO86" s="3"/>
      <c r="AP86" s="43">
        <f t="shared" si="101"/>
        <v>0</v>
      </c>
      <c r="AQ86" s="43">
        <f t="shared" si="102"/>
        <v>0</v>
      </c>
      <c r="AR86" s="43">
        <f t="shared" si="103"/>
        <v>10191.35817</v>
      </c>
      <c r="AS86" s="43">
        <f t="shared" si="104"/>
        <v>9759.3924303000003</v>
      </c>
      <c r="AT86" s="43">
        <f t="shared" si="105"/>
        <v>9344.6412879870004</v>
      </c>
      <c r="AU86" s="3"/>
      <c r="AV86" s="47">
        <f t="shared" si="106"/>
        <v>0</v>
      </c>
      <c r="AW86" s="47">
        <f t="shared" si="107"/>
        <v>0</v>
      </c>
      <c r="AX86" s="47">
        <f t="shared" si="108"/>
        <v>0</v>
      </c>
      <c r="AY86" s="47">
        <f t="shared" si="109"/>
        <v>0</v>
      </c>
      <c r="AZ86" s="47">
        <f t="shared" si="110"/>
        <v>607.65344045999996</v>
      </c>
      <c r="BA86" s="43">
        <f t="shared" si="111"/>
        <v>802.82265205139993</v>
      </c>
      <c r="BB86" s="43">
        <f t="shared" si="112"/>
        <v>769.84751125650598</v>
      </c>
      <c r="BC86" s="3"/>
      <c r="BD86" s="43">
        <f t="shared" si="113"/>
        <v>0</v>
      </c>
      <c r="BE86" s="43">
        <f t="shared" si="114"/>
        <v>0</v>
      </c>
      <c r="BF86" s="43">
        <f t="shared" si="115"/>
        <v>0</v>
      </c>
      <c r="BG86" s="43">
        <f t="shared" si="116"/>
        <v>0</v>
      </c>
      <c r="BH86" s="43">
        <f t="shared" si="117"/>
        <v>52.058700000000002</v>
      </c>
      <c r="BI86" s="43">
        <f t="shared" si="118"/>
        <v>106.60455645120001</v>
      </c>
      <c r="BJ86" s="43">
        <f t="shared" si="119"/>
        <v>107.98316657522692</v>
      </c>
      <c r="BK86" s="3"/>
      <c r="BL86" s="43">
        <f t="shared" si="120"/>
        <v>0</v>
      </c>
      <c r="BM86" s="43">
        <f t="shared" si="121"/>
        <v>0</v>
      </c>
      <c r="BN86" s="43">
        <f t="shared" si="122"/>
        <v>0</v>
      </c>
      <c r="BO86" s="43">
        <f t="shared" si="123"/>
        <v>0</v>
      </c>
      <c r="BP86" s="43">
        <f t="shared" si="124"/>
        <v>659.71214046</v>
      </c>
      <c r="BQ86" s="43">
        <f t="shared" si="125"/>
        <v>909.42720850259991</v>
      </c>
      <c r="BR86" s="43">
        <f t="shared" si="126"/>
        <v>877.83067783173294</v>
      </c>
      <c r="BS86" s="3"/>
      <c r="BT86" s="10"/>
      <c r="BU86" s="10"/>
      <c r="BV86" s="51">
        <f t="shared" si="127"/>
        <v>0</v>
      </c>
      <c r="BW86" s="51">
        <f t="shared" si="128"/>
        <v>0</v>
      </c>
      <c r="BX86" s="51">
        <f t="shared" si="129"/>
        <v>0</v>
      </c>
      <c r="BY86" s="51">
        <f t="shared" si="130"/>
        <v>0</v>
      </c>
      <c r="BZ86" s="51">
        <f t="shared" si="131"/>
        <v>2573.9158365662729</v>
      </c>
    </row>
    <row r="87" spans="1:78" s="230" customFormat="1">
      <c r="A87" s="48"/>
      <c r="B87" s="37">
        <f>'11. Investeringen (WUI+ombouw)'!B47</f>
        <v>28</v>
      </c>
      <c r="C87" s="229"/>
      <c r="D87" s="229"/>
      <c r="E87" s="229"/>
      <c r="F87" s="42">
        <f>'11. Investeringen (WUI+ombouw)'!C47</f>
        <v>5531647.6200000001</v>
      </c>
      <c r="G87" s="48"/>
      <c r="H87" s="37">
        <f>'11. Investeringen (WUI+ombouw)'!D47</f>
        <v>2024</v>
      </c>
      <c r="I87" s="37" t="str">
        <f>'11. Investeringen (WUI+ombouw)'!E47</f>
        <v>01 Regionale leidingen</v>
      </c>
      <c r="J87" s="37" t="str">
        <f>'11. Investeringen (WUI+ombouw)'!F47</f>
        <v>VVI</v>
      </c>
      <c r="K87" s="37" t="str">
        <f>'11. Investeringen (WUI+ombouw)'!G47</f>
        <v>Ja</v>
      </c>
      <c r="L87" s="38">
        <f t="shared" si="87"/>
        <v>2026</v>
      </c>
      <c r="M87" s="38">
        <f>_xlfn.XLOOKUP(I87,'3. Input (des)investeringen '!$B$11:$B$81,'3. Input (des)investeringen '!$D$11:$D$81,0)</f>
        <v>55</v>
      </c>
      <c r="N87" s="3"/>
      <c r="O87" s="43">
        <f t="shared" si="88"/>
        <v>0</v>
      </c>
      <c r="P87" s="43">
        <f t="shared" si="89"/>
        <v>0</v>
      </c>
      <c r="Q87" s="3"/>
      <c r="R87" s="43">
        <f t="shared" si="90"/>
        <v>0</v>
      </c>
      <c r="S87" s="43">
        <f t="shared" si="91"/>
        <v>0</v>
      </c>
      <c r="T87" s="3"/>
      <c r="U87" s="43">
        <f t="shared" si="92"/>
        <v>5531647.6200000001</v>
      </c>
      <c r="V87" s="38">
        <f t="shared" si="93"/>
        <v>55</v>
      </c>
      <c r="W87" s="3"/>
      <c r="X87" s="43">
        <f t="shared" si="94"/>
        <v>0</v>
      </c>
      <c r="Y87" s="43">
        <f t="shared" si="94"/>
        <v>0</v>
      </c>
      <c r="Z87" s="43">
        <f t="shared" si="94"/>
        <v>58836.615594545452</v>
      </c>
      <c r="AA87" s="43">
        <f t="shared" si="94"/>
        <v>116282.54754776529</v>
      </c>
      <c r="AB87" s="43">
        <f t="shared" si="94"/>
        <v>113534.05096936358</v>
      </c>
      <c r="AC87" s="3"/>
      <c r="AD87" s="43">
        <f t="shared" si="95"/>
        <v>0</v>
      </c>
      <c r="AE87" s="43">
        <f t="shared" si="95"/>
        <v>0</v>
      </c>
      <c r="AF87" s="43">
        <f t="shared" si="95"/>
        <v>5028.7705636363644</v>
      </c>
      <c r="AG87" s="43">
        <f t="shared" si="95"/>
        <v>10057.541127272729</v>
      </c>
      <c r="AH87" s="43">
        <f t="shared" si="95"/>
        <v>10057.541127272729</v>
      </c>
      <c r="AI87" s="3"/>
      <c r="AJ87" s="43">
        <f t="shared" si="96"/>
        <v>0</v>
      </c>
      <c r="AK87" s="43">
        <f t="shared" si="97"/>
        <v>0</v>
      </c>
      <c r="AL87" s="43">
        <f t="shared" si="98"/>
        <v>63865.38615818182</v>
      </c>
      <c r="AM87" s="43">
        <f t="shared" si="99"/>
        <v>126340.08867503802</v>
      </c>
      <c r="AN87" s="43">
        <f t="shared" si="100"/>
        <v>123591.5920966363</v>
      </c>
      <c r="AO87" s="3"/>
      <c r="AP87" s="43">
        <f t="shared" si="101"/>
        <v>0</v>
      </c>
      <c r="AQ87" s="43">
        <f t="shared" si="102"/>
        <v>0</v>
      </c>
      <c r="AR87" s="43">
        <f t="shared" si="103"/>
        <v>5467782.2338418178</v>
      </c>
      <c r="AS87" s="43">
        <f t="shared" si="104"/>
        <v>5341442.1451667799</v>
      </c>
      <c r="AT87" s="43">
        <f t="shared" si="105"/>
        <v>5217850.5530701438</v>
      </c>
      <c r="AU87" s="3"/>
      <c r="AV87" s="47">
        <f t="shared" si="106"/>
        <v>0</v>
      </c>
      <c r="AW87" s="47">
        <f t="shared" si="107"/>
        <v>0</v>
      </c>
      <c r="AX87" s="47">
        <f t="shared" si="108"/>
        <v>0</v>
      </c>
      <c r="AY87" s="47">
        <f t="shared" si="109"/>
        <v>0</v>
      </c>
      <c r="AZ87" s="47">
        <f t="shared" si="110"/>
        <v>271641.11104417092</v>
      </c>
      <c r="BA87" s="43">
        <f t="shared" si="111"/>
        <v>329314.89019137563</v>
      </c>
      <c r="BB87" s="43">
        <f t="shared" si="112"/>
        <v>321869.91311330174</v>
      </c>
      <c r="BC87" s="3"/>
      <c r="BD87" s="43">
        <f t="shared" si="113"/>
        <v>0</v>
      </c>
      <c r="BE87" s="43">
        <f t="shared" si="114"/>
        <v>0</v>
      </c>
      <c r="BF87" s="43">
        <f t="shared" si="115"/>
        <v>0</v>
      </c>
      <c r="BG87" s="43">
        <f t="shared" si="116"/>
        <v>0</v>
      </c>
      <c r="BH87" s="43">
        <f t="shared" si="117"/>
        <v>27658.238100000002</v>
      </c>
      <c r="BI87" s="43">
        <f t="shared" si="118"/>
        <v>56637.876183465603</v>
      </c>
      <c r="BJ87" s="43">
        <f t="shared" si="119"/>
        <v>57370.317198270175</v>
      </c>
      <c r="BK87" s="3"/>
      <c r="BL87" s="43">
        <f t="shared" si="120"/>
        <v>0</v>
      </c>
      <c r="BM87" s="43">
        <f t="shared" si="121"/>
        <v>0</v>
      </c>
      <c r="BN87" s="43">
        <f t="shared" si="122"/>
        <v>0</v>
      </c>
      <c r="BO87" s="43">
        <f t="shared" si="123"/>
        <v>0</v>
      </c>
      <c r="BP87" s="43">
        <f t="shared" si="124"/>
        <v>299299.34914417093</v>
      </c>
      <c r="BQ87" s="43">
        <f t="shared" si="125"/>
        <v>385952.76637484122</v>
      </c>
      <c r="BR87" s="43">
        <f t="shared" si="126"/>
        <v>379240.23031157191</v>
      </c>
      <c r="BS87" s="3"/>
      <c r="BT87" s="10"/>
      <c r="BU87" s="10"/>
      <c r="BV87" s="51">
        <f t="shared" si="127"/>
        <v>0</v>
      </c>
      <c r="BW87" s="51">
        <f t="shared" si="128"/>
        <v>0</v>
      </c>
      <c r="BX87" s="51">
        <f t="shared" si="129"/>
        <v>0</v>
      </c>
      <c r="BY87" s="51">
        <f t="shared" si="130"/>
        <v>0</v>
      </c>
      <c r="BZ87" s="51">
        <f t="shared" si="131"/>
        <v>1120753.4537686312</v>
      </c>
    </row>
    <row r="88" spans="1:78" s="230" customFormat="1">
      <c r="A88" s="48"/>
      <c r="B88" s="37">
        <f>'11. Investeringen (WUI+ombouw)'!B48</f>
        <v>29</v>
      </c>
      <c r="C88" s="229"/>
      <c r="D88" s="229"/>
      <c r="E88" s="229"/>
      <c r="F88" s="42">
        <f>'11. Investeringen (WUI+ombouw)'!C48</f>
        <v>2027103.15</v>
      </c>
      <c r="G88" s="48"/>
      <c r="H88" s="37">
        <f>'11. Investeringen (WUI+ombouw)'!D48</f>
        <v>2024</v>
      </c>
      <c r="I88" s="37" t="str">
        <f>'11. Investeringen (WUI+ombouw)'!E48</f>
        <v>02 Gasontvangststations</v>
      </c>
      <c r="J88" s="37" t="str">
        <f>'11. Investeringen (WUI+ombouw)'!F48</f>
        <v>VVI</v>
      </c>
      <c r="K88" s="37" t="str">
        <f>'11. Investeringen (WUI+ombouw)'!G48</f>
        <v>Ja</v>
      </c>
      <c r="L88" s="38">
        <f t="shared" si="87"/>
        <v>2026</v>
      </c>
      <c r="M88" s="38">
        <f>_xlfn.XLOOKUP(I88,'3. Input (des)investeringen '!$B$11:$B$81,'3. Input (des)investeringen '!$D$11:$D$81,0)</f>
        <v>30</v>
      </c>
      <c r="N88" s="3"/>
      <c r="O88" s="43">
        <f t="shared" si="88"/>
        <v>0</v>
      </c>
      <c r="P88" s="43">
        <f t="shared" si="89"/>
        <v>0</v>
      </c>
      <c r="Q88" s="3"/>
      <c r="R88" s="43">
        <f t="shared" si="90"/>
        <v>0</v>
      </c>
      <c r="S88" s="43">
        <f t="shared" si="91"/>
        <v>0</v>
      </c>
      <c r="T88" s="3"/>
      <c r="U88" s="43">
        <f t="shared" si="92"/>
        <v>2027103.15</v>
      </c>
      <c r="V88" s="38">
        <f t="shared" si="93"/>
        <v>30</v>
      </c>
      <c r="W88" s="3"/>
      <c r="X88" s="43">
        <f t="shared" si="94"/>
        <v>0</v>
      </c>
      <c r="Y88" s="43">
        <f t="shared" si="94"/>
        <v>0</v>
      </c>
      <c r="Z88" s="43">
        <f t="shared" si="94"/>
        <v>39528.511424999997</v>
      </c>
      <c r="AA88" s="43">
        <f t="shared" si="94"/>
        <v>77344.120688249997</v>
      </c>
      <c r="AB88" s="43">
        <f t="shared" si="94"/>
        <v>73992.542125092499</v>
      </c>
      <c r="AC88" s="3"/>
      <c r="AD88" s="43">
        <f t="shared" si="95"/>
        <v>0</v>
      </c>
      <c r="AE88" s="43">
        <f t="shared" si="95"/>
        <v>0</v>
      </c>
      <c r="AF88" s="43">
        <f t="shared" si="95"/>
        <v>3378.5052500000002</v>
      </c>
      <c r="AG88" s="43">
        <f t="shared" si="95"/>
        <v>6757.0105000000003</v>
      </c>
      <c r="AH88" s="43">
        <f t="shared" si="95"/>
        <v>6757.0105000000003</v>
      </c>
      <c r="AI88" s="3"/>
      <c r="AJ88" s="43">
        <f t="shared" si="96"/>
        <v>0</v>
      </c>
      <c r="AK88" s="43">
        <f t="shared" si="97"/>
        <v>0</v>
      </c>
      <c r="AL88" s="43">
        <f t="shared" si="98"/>
        <v>42907.016674999999</v>
      </c>
      <c r="AM88" s="43">
        <f t="shared" si="99"/>
        <v>84101.131188250001</v>
      </c>
      <c r="AN88" s="43">
        <f t="shared" si="100"/>
        <v>80749.552625092503</v>
      </c>
      <c r="AO88" s="3"/>
      <c r="AP88" s="43">
        <f t="shared" si="101"/>
        <v>0</v>
      </c>
      <c r="AQ88" s="43">
        <f t="shared" si="102"/>
        <v>0</v>
      </c>
      <c r="AR88" s="43">
        <f t="shared" si="103"/>
        <v>1984196.1333249998</v>
      </c>
      <c r="AS88" s="43">
        <f t="shared" si="104"/>
        <v>1900095.0021367499</v>
      </c>
      <c r="AT88" s="43">
        <f t="shared" si="105"/>
        <v>1819345.4495116575</v>
      </c>
      <c r="AU88" s="3"/>
      <c r="AV88" s="47">
        <f t="shared" si="106"/>
        <v>0</v>
      </c>
      <c r="AW88" s="47">
        <f t="shared" si="107"/>
        <v>0</v>
      </c>
      <c r="AX88" s="47">
        <f t="shared" si="108"/>
        <v>0</v>
      </c>
      <c r="AY88" s="47">
        <f t="shared" si="109"/>
        <v>0</v>
      </c>
      <c r="AZ88" s="47">
        <f t="shared" si="110"/>
        <v>118306.46974134998</v>
      </c>
      <c r="BA88" s="43">
        <f t="shared" si="111"/>
        <v>156304.7412694465</v>
      </c>
      <c r="BB88" s="43">
        <f t="shared" si="112"/>
        <v>149884.67970653548</v>
      </c>
      <c r="BC88" s="3"/>
      <c r="BD88" s="43">
        <f t="shared" si="113"/>
        <v>0</v>
      </c>
      <c r="BE88" s="43">
        <f t="shared" si="114"/>
        <v>0</v>
      </c>
      <c r="BF88" s="43">
        <f t="shared" si="115"/>
        <v>0</v>
      </c>
      <c r="BG88" s="43">
        <f t="shared" si="116"/>
        <v>0</v>
      </c>
      <c r="BH88" s="43">
        <f t="shared" si="117"/>
        <v>10135.51575</v>
      </c>
      <c r="BI88" s="43">
        <f t="shared" si="118"/>
        <v>20755.265900472001</v>
      </c>
      <c r="BJ88" s="43">
        <f t="shared" si="119"/>
        <v>21023.672999096903</v>
      </c>
      <c r="BK88" s="3"/>
      <c r="BL88" s="43">
        <f t="shared" si="120"/>
        <v>0</v>
      </c>
      <c r="BM88" s="43">
        <f t="shared" si="121"/>
        <v>0</v>
      </c>
      <c r="BN88" s="43">
        <f t="shared" si="122"/>
        <v>0</v>
      </c>
      <c r="BO88" s="43">
        <f t="shared" si="123"/>
        <v>0</v>
      </c>
      <c r="BP88" s="43">
        <f t="shared" si="124"/>
        <v>128441.98549134999</v>
      </c>
      <c r="BQ88" s="43">
        <f t="shared" si="125"/>
        <v>177060.00716991851</v>
      </c>
      <c r="BR88" s="43">
        <f t="shared" si="126"/>
        <v>170908.35270563239</v>
      </c>
      <c r="BS88" s="3"/>
      <c r="BT88" s="10"/>
      <c r="BU88" s="10"/>
      <c r="BV88" s="51">
        <f t="shared" si="127"/>
        <v>0</v>
      </c>
      <c r="BW88" s="51">
        <f t="shared" si="128"/>
        <v>0</v>
      </c>
      <c r="BX88" s="51">
        <f t="shared" si="129"/>
        <v>0</v>
      </c>
      <c r="BY88" s="51">
        <f t="shared" si="130"/>
        <v>0</v>
      </c>
      <c r="BZ88" s="51">
        <f t="shared" si="131"/>
        <v>501125.93093357858</v>
      </c>
    </row>
    <row r="89" spans="1:78" s="230" customFormat="1">
      <c r="A89" s="48"/>
      <c r="B89" s="37">
        <f>'11. Investeringen (WUI+ombouw)'!B49</f>
        <v>30</v>
      </c>
      <c r="C89" s="229"/>
      <c r="D89" s="229"/>
      <c r="E89" s="229"/>
      <c r="F89" s="42">
        <f>'11. Investeringen (WUI+ombouw)'!C49</f>
        <v>33082111.84</v>
      </c>
      <c r="G89" s="48"/>
      <c r="H89" s="37">
        <f>'11. Investeringen (WUI+ombouw)'!D49</f>
        <v>2024</v>
      </c>
      <c r="I89" s="37" t="str">
        <f>'11. Investeringen (WUI+ombouw)'!E49</f>
        <v>21 Hoofdtransportleiding</v>
      </c>
      <c r="J89" s="37" t="str">
        <f>'11. Investeringen (WUI+ombouw)'!F49</f>
        <v>VVI</v>
      </c>
      <c r="K89" s="37" t="str">
        <f>'11. Investeringen (WUI+ombouw)'!G49</f>
        <v>Ja</v>
      </c>
      <c r="L89" s="38">
        <f t="shared" si="87"/>
        <v>2026</v>
      </c>
      <c r="M89" s="38">
        <f>_xlfn.XLOOKUP(I89,'3. Input (des)investeringen '!$B$11:$B$81,'3. Input (des)investeringen '!$D$11:$D$81,0)</f>
        <v>55</v>
      </c>
      <c r="N89" s="3"/>
      <c r="O89" s="43">
        <f t="shared" si="88"/>
        <v>0</v>
      </c>
      <c r="P89" s="43">
        <f t="shared" si="89"/>
        <v>0</v>
      </c>
      <c r="Q89" s="3"/>
      <c r="R89" s="43">
        <f t="shared" si="90"/>
        <v>0</v>
      </c>
      <c r="S89" s="43">
        <f t="shared" si="91"/>
        <v>0</v>
      </c>
      <c r="T89" s="3"/>
      <c r="U89" s="43">
        <f t="shared" si="92"/>
        <v>33082111.84</v>
      </c>
      <c r="V89" s="38">
        <f t="shared" si="93"/>
        <v>55</v>
      </c>
      <c r="W89" s="3"/>
      <c r="X89" s="43">
        <f t="shared" si="94"/>
        <v>0</v>
      </c>
      <c r="Y89" s="43">
        <f t="shared" si="94"/>
        <v>0</v>
      </c>
      <c r="Z89" s="43">
        <f t="shared" si="94"/>
        <v>351873.3713890909</v>
      </c>
      <c r="AA89" s="43">
        <f t="shared" si="94"/>
        <v>695429.73581807606</v>
      </c>
      <c r="AB89" s="43">
        <f t="shared" si="94"/>
        <v>678992.30569873971</v>
      </c>
      <c r="AC89" s="3"/>
      <c r="AD89" s="43">
        <f t="shared" si="95"/>
        <v>0</v>
      </c>
      <c r="AE89" s="43">
        <f t="shared" si="95"/>
        <v>0</v>
      </c>
      <c r="AF89" s="43">
        <f t="shared" si="95"/>
        <v>30074.647127272732</v>
      </c>
      <c r="AG89" s="43">
        <f t="shared" si="95"/>
        <v>60149.294254545464</v>
      </c>
      <c r="AH89" s="43">
        <f t="shared" si="95"/>
        <v>60149.294254545464</v>
      </c>
      <c r="AI89" s="3"/>
      <c r="AJ89" s="43">
        <f t="shared" si="96"/>
        <v>0</v>
      </c>
      <c r="AK89" s="43">
        <f t="shared" si="97"/>
        <v>0</v>
      </c>
      <c r="AL89" s="43">
        <f t="shared" si="98"/>
        <v>381948.01851636363</v>
      </c>
      <c r="AM89" s="43">
        <f t="shared" si="99"/>
        <v>755579.03007262154</v>
      </c>
      <c r="AN89" s="43">
        <f t="shared" si="100"/>
        <v>739141.59995328519</v>
      </c>
      <c r="AO89" s="3"/>
      <c r="AP89" s="43">
        <f t="shared" si="101"/>
        <v>0</v>
      </c>
      <c r="AQ89" s="43">
        <f t="shared" si="102"/>
        <v>0</v>
      </c>
      <c r="AR89" s="43">
        <f t="shared" si="103"/>
        <v>32700163.821483634</v>
      </c>
      <c r="AS89" s="43">
        <f t="shared" si="104"/>
        <v>31944584.791411012</v>
      </c>
      <c r="AT89" s="43">
        <f t="shared" si="105"/>
        <v>31205443.191457726</v>
      </c>
      <c r="AU89" s="3"/>
      <c r="AV89" s="47">
        <f t="shared" si="106"/>
        <v>0</v>
      </c>
      <c r="AW89" s="47">
        <f t="shared" si="107"/>
        <v>0</v>
      </c>
      <c r="AX89" s="47">
        <f t="shared" si="108"/>
        <v>0</v>
      </c>
      <c r="AY89" s="47">
        <f t="shared" si="109"/>
        <v>0</v>
      </c>
      <c r="AZ89" s="47">
        <f t="shared" si="110"/>
        <v>1624554.2437327416</v>
      </c>
      <c r="BA89" s="43">
        <f t="shared" si="111"/>
        <v>1969473.2521462401</v>
      </c>
      <c r="BB89" s="43">
        <f t="shared" si="112"/>
        <v>1924948.4412286787</v>
      </c>
      <c r="BC89" s="3"/>
      <c r="BD89" s="43">
        <f t="shared" si="113"/>
        <v>0</v>
      </c>
      <c r="BE89" s="43">
        <f t="shared" si="114"/>
        <v>0</v>
      </c>
      <c r="BF89" s="43">
        <f t="shared" si="115"/>
        <v>0</v>
      </c>
      <c r="BG89" s="43">
        <f t="shared" si="116"/>
        <v>0</v>
      </c>
      <c r="BH89" s="43">
        <f t="shared" si="117"/>
        <v>165410.55919999999</v>
      </c>
      <c r="BI89" s="43">
        <f t="shared" si="118"/>
        <v>338723.77327633917</v>
      </c>
      <c r="BJ89" s="43">
        <f t="shared" si="119"/>
        <v>343104.14911234874</v>
      </c>
      <c r="BK89" s="3"/>
      <c r="BL89" s="43">
        <f t="shared" si="120"/>
        <v>0</v>
      </c>
      <c r="BM89" s="43">
        <f t="shared" si="121"/>
        <v>0</v>
      </c>
      <c r="BN89" s="43">
        <f t="shared" si="122"/>
        <v>0</v>
      </c>
      <c r="BO89" s="43">
        <f t="shared" si="123"/>
        <v>0</v>
      </c>
      <c r="BP89" s="43">
        <f t="shared" si="124"/>
        <v>1789964.8029327416</v>
      </c>
      <c r="BQ89" s="43">
        <f t="shared" si="125"/>
        <v>2308197.0254225791</v>
      </c>
      <c r="BR89" s="43">
        <f t="shared" si="126"/>
        <v>2268052.5903410274</v>
      </c>
      <c r="BS89" s="3"/>
      <c r="BT89" s="10"/>
      <c r="BU89" s="10"/>
      <c r="BV89" s="51">
        <f t="shared" si="127"/>
        <v>0</v>
      </c>
      <c r="BW89" s="51">
        <f t="shared" si="128"/>
        <v>0</v>
      </c>
      <c r="BX89" s="51">
        <f t="shared" si="129"/>
        <v>0</v>
      </c>
      <c r="BY89" s="51">
        <f t="shared" si="130"/>
        <v>0</v>
      </c>
      <c r="BZ89" s="51">
        <f t="shared" si="131"/>
        <v>6702684.9231296722</v>
      </c>
    </row>
    <row r="90" spans="1:78" s="230" customFormat="1">
      <c r="A90" s="48"/>
      <c r="B90" s="37">
        <f>'11. Investeringen (WUI+ombouw)'!B50</f>
        <v>31</v>
      </c>
      <c r="C90" s="229"/>
      <c r="D90" s="229"/>
      <c r="E90" s="229"/>
      <c r="F90" s="42">
        <f>'11. Investeringen (WUI+ombouw)'!C50</f>
        <v>136024.09</v>
      </c>
      <c r="G90" s="48"/>
      <c r="H90" s="37">
        <f>'11. Investeringen (WUI+ombouw)'!D50</f>
        <v>2024</v>
      </c>
      <c r="I90" s="37" t="str">
        <f>'11. Investeringen (WUI+ombouw)'!E50</f>
        <v>32 M&amp;R stations</v>
      </c>
      <c r="J90" s="37" t="str">
        <f>'11. Investeringen (WUI+ombouw)'!F50</f>
        <v>VVI</v>
      </c>
      <c r="K90" s="37" t="str">
        <f>'11. Investeringen (WUI+ombouw)'!G50</f>
        <v>Ja</v>
      </c>
      <c r="L90" s="38">
        <f t="shared" si="87"/>
        <v>2026</v>
      </c>
      <c r="M90" s="38">
        <f>_xlfn.XLOOKUP(I90,'3. Input (des)investeringen '!$B$11:$B$81,'3. Input (des)investeringen '!$D$11:$D$81,0)</f>
        <v>30</v>
      </c>
      <c r="N90" s="3"/>
      <c r="O90" s="43">
        <f t="shared" si="88"/>
        <v>0</v>
      </c>
      <c r="P90" s="43">
        <f t="shared" si="89"/>
        <v>0</v>
      </c>
      <c r="Q90" s="3"/>
      <c r="R90" s="43">
        <f t="shared" si="90"/>
        <v>0</v>
      </c>
      <c r="S90" s="43">
        <f t="shared" si="91"/>
        <v>0</v>
      </c>
      <c r="T90" s="3"/>
      <c r="U90" s="43">
        <f t="shared" si="92"/>
        <v>136024.09</v>
      </c>
      <c r="V90" s="38">
        <f t="shared" si="93"/>
        <v>30</v>
      </c>
      <c r="W90" s="3"/>
      <c r="X90" s="43">
        <f t="shared" si="94"/>
        <v>0</v>
      </c>
      <c r="Y90" s="43">
        <f t="shared" si="94"/>
        <v>0</v>
      </c>
      <c r="Z90" s="43">
        <f t="shared" si="94"/>
        <v>2652.4697550000001</v>
      </c>
      <c r="AA90" s="43">
        <f t="shared" si="94"/>
        <v>5189.9991539499997</v>
      </c>
      <c r="AB90" s="43">
        <f t="shared" si="94"/>
        <v>4965.0991906121662</v>
      </c>
      <c r="AC90" s="3"/>
      <c r="AD90" s="43">
        <f t="shared" si="95"/>
        <v>0</v>
      </c>
      <c r="AE90" s="43">
        <f t="shared" si="95"/>
        <v>0</v>
      </c>
      <c r="AF90" s="43">
        <f t="shared" si="95"/>
        <v>226.70681666666667</v>
      </c>
      <c r="AG90" s="43">
        <f t="shared" si="95"/>
        <v>453.41363333333334</v>
      </c>
      <c r="AH90" s="43">
        <f t="shared" si="95"/>
        <v>453.41363333333334</v>
      </c>
      <c r="AI90" s="3"/>
      <c r="AJ90" s="43">
        <f t="shared" si="96"/>
        <v>0</v>
      </c>
      <c r="AK90" s="43">
        <f t="shared" si="97"/>
        <v>0</v>
      </c>
      <c r="AL90" s="43">
        <f t="shared" si="98"/>
        <v>2879.1765716666669</v>
      </c>
      <c r="AM90" s="43">
        <f t="shared" si="99"/>
        <v>5643.4127872833333</v>
      </c>
      <c r="AN90" s="43">
        <f t="shared" si="100"/>
        <v>5418.5128239454998</v>
      </c>
      <c r="AO90" s="3"/>
      <c r="AP90" s="43">
        <f t="shared" si="101"/>
        <v>0</v>
      </c>
      <c r="AQ90" s="43">
        <f t="shared" si="102"/>
        <v>0</v>
      </c>
      <c r="AR90" s="43">
        <f t="shared" si="103"/>
        <v>133144.91342833333</v>
      </c>
      <c r="AS90" s="43">
        <f t="shared" si="104"/>
        <v>127501.50064104999</v>
      </c>
      <c r="AT90" s="43">
        <f t="shared" si="105"/>
        <v>122082.9878171045</v>
      </c>
      <c r="AU90" s="3"/>
      <c r="AV90" s="47">
        <f t="shared" si="106"/>
        <v>0</v>
      </c>
      <c r="AW90" s="47">
        <f t="shared" si="107"/>
        <v>0</v>
      </c>
      <c r="AX90" s="47">
        <f t="shared" si="108"/>
        <v>0</v>
      </c>
      <c r="AY90" s="47">
        <f t="shared" si="109"/>
        <v>0</v>
      </c>
      <c r="AZ90" s="47">
        <f t="shared" si="110"/>
        <v>7938.683281943333</v>
      </c>
      <c r="BA90" s="43">
        <f t="shared" si="111"/>
        <v>10488.469811643234</v>
      </c>
      <c r="BB90" s="43">
        <f t="shared" si="112"/>
        <v>10057.66636099547</v>
      </c>
      <c r="BC90" s="3"/>
      <c r="BD90" s="43">
        <f t="shared" si="113"/>
        <v>0</v>
      </c>
      <c r="BE90" s="43">
        <f t="shared" si="114"/>
        <v>0</v>
      </c>
      <c r="BF90" s="43">
        <f t="shared" si="115"/>
        <v>0</v>
      </c>
      <c r="BG90" s="43">
        <f t="shared" si="116"/>
        <v>0</v>
      </c>
      <c r="BH90" s="43">
        <f t="shared" si="117"/>
        <v>680.12045000000001</v>
      </c>
      <c r="BI90" s="43">
        <f t="shared" si="118"/>
        <v>1392.7343346191999</v>
      </c>
      <c r="BJ90" s="43">
        <f t="shared" si="119"/>
        <v>1410.7451750344953</v>
      </c>
      <c r="BK90" s="3"/>
      <c r="BL90" s="43">
        <f t="shared" si="120"/>
        <v>0</v>
      </c>
      <c r="BM90" s="43">
        <f t="shared" si="121"/>
        <v>0</v>
      </c>
      <c r="BN90" s="43">
        <f t="shared" si="122"/>
        <v>0</v>
      </c>
      <c r="BO90" s="43">
        <f t="shared" si="123"/>
        <v>0</v>
      </c>
      <c r="BP90" s="43">
        <f t="shared" si="124"/>
        <v>8618.8037319433333</v>
      </c>
      <c r="BQ90" s="43">
        <f t="shared" si="125"/>
        <v>11881.204146262433</v>
      </c>
      <c r="BR90" s="43">
        <f t="shared" si="126"/>
        <v>11468.411536029966</v>
      </c>
      <c r="BS90" s="3"/>
      <c r="BT90" s="10"/>
      <c r="BU90" s="10"/>
      <c r="BV90" s="51">
        <f t="shared" si="127"/>
        <v>0</v>
      </c>
      <c r="BW90" s="51">
        <f t="shared" si="128"/>
        <v>0</v>
      </c>
      <c r="BX90" s="51">
        <f t="shared" si="129"/>
        <v>0</v>
      </c>
      <c r="BY90" s="51">
        <f t="shared" si="130"/>
        <v>0</v>
      </c>
      <c r="BZ90" s="51">
        <f t="shared" si="131"/>
        <v>33626.901882443854</v>
      </c>
    </row>
    <row r="91" spans="1:78">
      <c r="C91" s="48"/>
      <c r="E91" s="48"/>
      <c r="G91" s="48"/>
    </row>
    <row r="92" spans="1:78" s="33" customFormat="1">
      <c r="A92" s="98"/>
      <c r="B92" s="33" t="s">
        <v>900</v>
      </c>
    </row>
    <row r="93" spans="1:78" s="34" customFormat="1">
      <c r="A93" s="99"/>
      <c r="B93" s="34" t="s">
        <v>157</v>
      </c>
      <c r="D93" s="34" t="s">
        <v>199</v>
      </c>
      <c r="J93" s="101">
        <v>2022</v>
      </c>
      <c r="K93" s="101">
        <v>2023</v>
      </c>
      <c r="L93" s="101">
        <v>2024</v>
      </c>
      <c r="M93" s="101">
        <v>2025</v>
      </c>
      <c r="N93" s="101">
        <v>2026</v>
      </c>
    </row>
    <row r="95" spans="1:78">
      <c r="B95" s="3" t="s">
        <v>901</v>
      </c>
      <c r="D95" s="3" t="s">
        <v>209</v>
      </c>
      <c r="J95" s="47">
        <f t="shared" ref="J95:M95" si="132">SUMIF($J60:$J90,"WUI",BV60:BV90)</f>
        <v>0</v>
      </c>
      <c r="K95" s="47">
        <f t="shared" si="132"/>
        <v>0</v>
      </c>
      <c r="L95" s="47">
        <f t="shared" si="132"/>
        <v>0</v>
      </c>
      <c r="M95" s="47">
        <f t="shared" si="132"/>
        <v>53053730.542234212</v>
      </c>
      <c r="N95" s="96">
        <f>SUMIF($J60:$J90,"WUI",BZ60:BZ90)</f>
        <v>141567429.26488197</v>
      </c>
      <c r="R95" s="5"/>
    </row>
    <row r="96" spans="1:78">
      <c r="B96" s="3" t="s">
        <v>493</v>
      </c>
      <c r="D96" s="3" t="s">
        <v>209</v>
      </c>
      <c r="J96" s="47">
        <f t="shared" ref="J96:M96" si="133">SUMIF($K60:$K90,"Ja",BV60:BV90)</f>
        <v>120621.36223131276</v>
      </c>
      <c r="K96" s="47">
        <f t="shared" si="133"/>
        <v>45451.20410793968</v>
      </c>
      <c r="L96" s="47">
        <f t="shared" si="133"/>
        <v>2567791.5582221649</v>
      </c>
      <c r="M96" s="47">
        <f t="shared" si="133"/>
        <v>2407837.6116711642</v>
      </c>
      <c r="N96" s="96">
        <f>SUMIF($K60:$K90,"Ja",BZ60:BZ90)</f>
        <v>9772222.1738130841</v>
      </c>
      <c r="R96" s="5"/>
    </row>
    <row r="98" spans="13:13">
      <c r="M98" s="89"/>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BC5A-CDFC-4445-B9A5-B5948BFEA139}">
  <sheetPr>
    <tabColor rgb="FFFFFFCC"/>
  </sheetPr>
  <dimension ref="A2:BD346"/>
  <sheetViews>
    <sheetView showGridLines="0" zoomScale="85" zoomScaleNormal="85" workbookViewId="0">
      <pane xSplit="4" ySplit="13" topLeftCell="E14" activePane="bottomRight" state="frozen"/>
      <selection pane="topRight" activeCell="E1" sqref="E1"/>
      <selection pane="bottomLeft" activeCell="A14" sqref="A14"/>
      <selection pane="bottomRight"/>
    </sheetView>
  </sheetViews>
  <sheetFormatPr defaultColWidth="13.5703125" defaultRowHeight="12.75"/>
  <cols>
    <col min="1" max="1" width="2.5703125" style="3" customWidth="1"/>
    <col min="2" max="2" width="56.42578125" style="3" customWidth="1"/>
    <col min="3" max="3" width="2.5703125" style="3" customWidth="1"/>
    <col min="4" max="4" width="47.5703125" style="3" customWidth="1"/>
    <col min="5" max="5" width="2.5703125" style="3" customWidth="1"/>
    <col min="6" max="6" width="15.5703125" style="3" customWidth="1"/>
    <col min="7" max="7" width="2.5703125" style="3" customWidth="1"/>
    <col min="8" max="8" width="20" style="3" bestFit="1" customWidth="1"/>
    <col min="9" max="9" width="39.140625" style="3" customWidth="1"/>
    <col min="10" max="10" width="20.42578125" style="3" bestFit="1" customWidth="1"/>
    <col min="11" max="11" width="27.42578125" style="3" bestFit="1" customWidth="1"/>
    <col min="12" max="14" width="15.5703125" style="3" customWidth="1"/>
    <col min="15" max="15" width="2.5703125" style="3" customWidth="1"/>
    <col min="16" max="16" width="15.5703125" style="3" customWidth="1"/>
    <col min="17" max="17" width="18" style="3" bestFit="1" customWidth="1"/>
    <col min="18" max="18" width="18.42578125" style="3" customWidth="1"/>
    <col min="19" max="19" width="29.5703125" style="3" customWidth="1"/>
    <col min="20" max="20" width="40.140625" style="3" bestFit="1" customWidth="1"/>
    <col min="21" max="21" width="2.5703125" style="3" customWidth="1"/>
    <col min="22" max="22" width="25" style="3" bestFit="1" customWidth="1"/>
    <col min="23" max="26" width="15.5703125" style="3" customWidth="1"/>
    <col min="27" max="27" width="2.5703125" style="3" customWidth="1"/>
    <col min="28" max="28" width="25" style="3" bestFit="1" customWidth="1"/>
    <col min="29" max="32" width="15.5703125" style="3" customWidth="1"/>
    <col min="33" max="33" width="2.5703125" style="3" customWidth="1"/>
    <col min="34" max="34" width="25" style="3" bestFit="1" customWidth="1"/>
    <col min="35" max="38" width="15.5703125" style="3" customWidth="1"/>
    <col min="39" max="39" width="2.5703125" style="3" customWidth="1"/>
    <col min="40" max="40" width="22.42578125" style="3" bestFit="1" customWidth="1"/>
    <col min="41" max="44" width="15.5703125" style="3" customWidth="1"/>
    <col min="45" max="45" width="2.5703125" style="3" customWidth="1"/>
    <col min="46" max="50" width="15.5703125" style="3" customWidth="1"/>
    <col min="51" max="51" width="2.5703125" style="3" customWidth="1"/>
    <col min="52" max="57" width="13.5703125" style="3"/>
    <col min="58" max="58" width="2.5703125" style="3" customWidth="1"/>
    <col min="59" max="65" width="13.5703125" style="3"/>
    <col min="66" max="66" width="2.5703125" style="3" customWidth="1"/>
    <col min="67" max="73" width="13.5703125" style="3"/>
    <col min="74" max="74" width="2.5703125" style="3" customWidth="1"/>
    <col min="75" max="81" width="13.5703125" style="3"/>
    <col min="82" max="82" width="15.5703125" style="3" customWidth="1"/>
    <col min="83" max="16384" width="13.5703125" style="3"/>
  </cols>
  <sheetData>
    <row r="2" spans="1:39" s="12" customFormat="1" ht="18">
      <c r="B2" s="12" t="s">
        <v>902</v>
      </c>
    </row>
    <row r="4" spans="1:39">
      <c r="B4" s="16" t="s">
        <v>868</v>
      </c>
    </row>
    <row r="5" spans="1:39" ht="39.75" customHeight="1">
      <c r="B5" s="346" t="s">
        <v>903</v>
      </c>
      <c r="C5" s="346"/>
      <c r="D5" s="346"/>
      <c r="F5" s="13"/>
    </row>
    <row r="6" spans="1:39">
      <c r="B6" s="1"/>
      <c r="C6" s="1"/>
      <c r="D6" s="1"/>
      <c r="F6" s="13"/>
    </row>
    <row r="7" spans="1:39">
      <c r="B7" s="354" t="s">
        <v>870</v>
      </c>
      <c r="C7" s="356"/>
      <c r="D7" s="356"/>
      <c r="F7" s="13"/>
    </row>
    <row r="8" spans="1:39" ht="51.75" customHeight="1">
      <c r="B8" s="346" t="s">
        <v>904</v>
      </c>
      <c r="C8" s="346"/>
      <c r="D8" s="346"/>
      <c r="F8" s="13"/>
    </row>
    <row r="9" spans="1:39" ht="14.25" customHeight="1"/>
    <row r="10" spans="1:39" s="8" customFormat="1">
      <c r="B10" s="8" t="s">
        <v>157</v>
      </c>
      <c r="H10" s="53"/>
      <c r="I10" s="46"/>
      <c r="J10" s="53"/>
      <c r="K10" s="46"/>
      <c r="L10" s="53"/>
      <c r="M10" s="46"/>
      <c r="N10" s="46"/>
      <c r="O10" s="46"/>
      <c r="P10" s="46"/>
      <c r="Q10" s="46"/>
      <c r="R10" s="46"/>
      <c r="U10" s="46"/>
      <c r="AA10" s="46"/>
      <c r="AG10" s="46"/>
      <c r="AM10" s="46"/>
    </row>
    <row r="12" spans="1:39" s="33" customFormat="1">
      <c r="A12" s="98"/>
      <c r="B12" s="33" t="s">
        <v>872</v>
      </c>
    </row>
    <row r="13" spans="1:39" s="34" customFormat="1">
      <c r="A13" s="99"/>
      <c r="B13" s="34" t="s">
        <v>157</v>
      </c>
      <c r="D13" s="34" t="s">
        <v>199</v>
      </c>
      <c r="F13" s="34" t="s">
        <v>200</v>
      </c>
      <c r="H13" s="100">
        <v>2020</v>
      </c>
      <c r="I13" s="101">
        <v>2021</v>
      </c>
      <c r="J13" s="101">
        <v>2022</v>
      </c>
      <c r="K13" s="101">
        <v>2023</v>
      </c>
      <c r="L13" s="101">
        <v>2024</v>
      </c>
      <c r="M13" s="101">
        <v>2025</v>
      </c>
      <c r="N13" s="101">
        <v>2026</v>
      </c>
    </row>
    <row r="14" spans="1:39" s="102" customFormat="1">
      <c r="H14" s="103"/>
      <c r="I14" s="104"/>
      <c r="J14" s="103"/>
      <c r="K14" s="104"/>
      <c r="L14" s="103"/>
      <c r="M14" s="104"/>
      <c r="N14" s="104"/>
      <c r="Q14" s="104"/>
      <c r="S14" s="104"/>
      <c r="T14" s="104"/>
      <c r="V14" s="104"/>
      <c r="W14" s="104"/>
      <c r="AB14" s="104"/>
      <c r="AC14" s="104"/>
      <c r="AH14" s="104"/>
      <c r="AI14" s="104"/>
    </row>
    <row r="15" spans="1:39">
      <c r="B15" s="16" t="s">
        <v>211</v>
      </c>
    </row>
    <row r="16" spans="1:39">
      <c r="B16" s="146" t="s">
        <v>873</v>
      </c>
      <c r="D16" s="3" t="s">
        <v>204</v>
      </c>
      <c r="H16" s="10"/>
      <c r="I16" s="10"/>
      <c r="J16" s="151">
        <f>'2. Parameters'!M24</f>
        <v>3.4000000000000002E-2</v>
      </c>
      <c r="K16" s="151">
        <f>'2. Parameters'!N24</f>
        <v>3.3000000000000002E-2</v>
      </c>
      <c r="L16" s="151">
        <f>'2. Parameters'!O24</f>
        <v>3.7999999999999999E-2</v>
      </c>
      <c r="M16" s="151">
        <f>'2. Parameters'!P24</f>
        <v>3.7999999999999999E-2</v>
      </c>
      <c r="N16" s="151">
        <f>'2. Parameters'!Q24</f>
        <v>3.7999999999999999E-2</v>
      </c>
    </row>
    <row r="18" spans="2:14">
      <c r="B18" s="16" t="s">
        <v>222</v>
      </c>
    </row>
    <row r="19" spans="2:14">
      <c r="B19" s="3" t="s">
        <v>222</v>
      </c>
      <c r="D19" s="3" t="s">
        <v>204</v>
      </c>
      <c r="F19" s="77">
        <f>'2. Parameters'!F32</f>
        <v>0.01</v>
      </c>
    </row>
    <row r="20" spans="2:14" s="90" customFormat="1">
      <c r="F20" s="106"/>
    </row>
    <row r="21" spans="2:14" s="90" customFormat="1">
      <c r="B21" s="107" t="s">
        <v>248</v>
      </c>
      <c r="F21" s="106"/>
    </row>
    <row r="22" spans="2:14">
      <c r="B22" s="3" t="s">
        <v>248</v>
      </c>
      <c r="F22" s="108">
        <f>'2. Parameters'!F88</f>
        <v>1.3</v>
      </c>
    </row>
    <row r="24" spans="2:14">
      <c r="B24" s="2" t="s">
        <v>247</v>
      </c>
    </row>
    <row r="25" spans="2:14">
      <c r="B25" s="3" t="s">
        <v>247</v>
      </c>
      <c r="D25" s="3" t="s">
        <v>204</v>
      </c>
      <c r="F25" s="149">
        <f>'2. Parameters'!F84</f>
        <v>1</v>
      </c>
    </row>
    <row r="27" spans="2:14">
      <c r="B27" s="2" t="s">
        <v>249</v>
      </c>
    </row>
    <row r="28" spans="2:14">
      <c r="B28" s="3" t="s">
        <v>249</v>
      </c>
      <c r="D28" s="3" t="s">
        <v>204</v>
      </c>
      <c r="F28" s="78">
        <f>'2. Parameters'!F92</f>
        <v>0.1</v>
      </c>
    </row>
    <row r="30" spans="2:14">
      <c r="B30" s="16" t="s">
        <v>242</v>
      </c>
    </row>
    <row r="31" spans="2:14">
      <c r="B31" s="28" t="s">
        <v>230</v>
      </c>
      <c r="D31" s="3" t="s">
        <v>874</v>
      </c>
      <c r="H31" s="32">
        <f>'2. Parameters'!K74</f>
        <v>1</v>
      </c>
      <c r="I31" s="32">
        <f>'2. Parameters'!L74</f>
        <v>1.02</v>
      </c>
      <c r="J31" s="32">
        <f>'2. Parameters'!M74</f>
        <v>1.0404</v>
      </c>
      <c r="K31" s="32">
        <f>'2. Parameters'!N74</f>
        <v>1.0612079999999999</v>
      </c>
      <c r="L31" s="32">
        <f>'2. Parameters'!O74</f>
        <v>1.10365632</v>
      </c>
      <c r="M31" s="32">
        <f>'2. Parameters'!P74</f>
        <v>1.1809122624000001</v>
      </c>
      <c r="N31" s="32">
        <f>'2. Parameters'!Q74</f>
        <v>1.2399578755200003</v>
      </c>
    </row>
    <row r="32" spans="2:14">
      <c r="B32" s="28" t="s">
        <v>231</v>
      </c>
      <c r="D32" s="3" t="s">
        <v>874</v>
      </c>
      <c r="H32" s="10"/>
      <c r="I32" s="32">
        <f>'2. Parameters'!L75</f>
        <v>1</v>
      </c>
      <c r="J32" s="32">
        <f>'2. Parameters'!M75</f>
        <v>1.02</v>
      </c>
      <c r="K32" s="32">
        <f>'2. Parameters'!N75</f>
        <v>1.0404</v>
      </c>
      <c r="L32" s="32">
        <f>'2. Parameters'!O75</f>
        <v>1.0820160000000001</v>
      </c>
      <c r="M32" s="32">
        <f>'2. Parameters'!P75</f>
        <v>1.1577571200000001</v>
      </c>
      <c r="N32" s="32">
        <f>'2. Parameters'!Q75</f>
        <v>1.2156449760000001</v>
      </c>
    </row>
    <row r="33" spans="2:14">
      <c r="B33" s="28" t="s">
        <v>232</v>
      </c>
      <c r="D33" s="3" t="s">
        <v>874</v>
      </c>
      <c r="H33" s="10"/>
      <c r="I33" s="10"/>
      <c r="J33" s="32">
        <f>'2. Parameters'!M76</f>
        <v>1</v>
      </c>
      <c r="K33" s="32">
        <f>'2. Parameters'!N76</f>
        <v>1.02</v>
      </c>
      <c r="L33" s="32">
        <f>'2. Parameters'!O76</f>
        <v>1.0608</v>
      </c>
      <c r="M33" s="32">
        <f>'2. Parameters'!P76</f>
        <v>1.1350560000000001</v>
      </c>
      <c r="N33" s="32">
        <f>'2. Parameters'!Q76</f>
        <v>1.1918088000000002</v>
      </c>
    </row>
    <row r="34" spans="2:14">
      <c r="B34" s="28" t="s">
        <v>233</v>
      </c>
      <c r="D34" s="3" t="s">
        <v>874</v>
      </c>
      <c r="H34" s="10"/>
      <c r="I34" s="10"/>
      <c r="J34" s="10"/>
      <c r="K34" s="32">
        <f>'2. Parameters'!N77</f>
        <v>1</v>
      </c>
      <c r="L34" s="32">
        <f>'2. Parameters'!O77</f>
        <v>1.04</v>
      </c>
      <c r="M34" s="32">
        <f>'2. Parameters'!P77</f>
        <v>1.1128</v>
      </c>
      <c r="N34" s="32">
        <f>'2. Parameters'!Q77</f>
        <v>1.1684400000000001</v>
      </c>
    </row>
    <row r="35" spans="2:14">
      <c r="B35" s="28" t="s">
        <v>234</v>
      </c>
      <c r="D35" s="3" t="s">
        <v>874</v>
      </c>
      <c r="H35" s="10"/>
      <c r="I35" s="10"/>
      <c r="J35" s="10"/>
      <c r="K35" s="10"/>
      <c r="L35" s="32">
        <f>'2. Parameters'!O78</f>
        <v>1</v>
      </c>
      <c r="M35" s="32">
        <f>'2. Parameters'!P78</f>
        <v>1.07</v>
      </c>
      <c r="N35" s="32">
        <f>'2. Parameters'!Q78</f>
        <v>1.1235000000000002</v>
      </c>
    </row>
    <row r="36" spans="2:14">
      <c r="B36" s="28" t="s">
        <v>235</v>
      </c>
      <c r="D36" s="3" t="s">
        <v>874</v>
      </c>
      <c r="H36" s="10"/>
      <c r="I36" s="10"/>
      <c r="J36" s="10"/>
      <c r="K36" s="10"/>
      <c r="L36" s="10"/>
      <c r="M36" s="32">
        <f>'2. Parameters'!P79</f>
        <v>1</v>
      </c>
      <c r="N36" s="32">
        <f>'2. Parameters'!Q79</f>
        <v>1.05</v>
      </c>
    </row>
    <row r="37" spans="2:14">
      <c r="B37" s="28" t="s">
        <v>236</v>
      </c>
      <c r="D37" s="3" t="s">
        <v>874</v>
      </c>
      <c r="H37" s="10"/>
      <c r="I37" s="10"/>
      <c r="J37" s="10"/>
      <c r="K37" s="10"/>
      <c r="L37" s="10"/>
      <c r="M37" s="10"/>
      <c r="N37" s="32">
        <f>'2. Parameters'!Q80</f>
        <v>1</v>
      </c>
    </row>
    <row r="38" spans="2:14">
      <c r="D38" s="3" t="s">
        <v>874</v>
      </c>
    </row>
    <row r="39" spans="2:14">
      <c r="B39" s="2" t="s">
        <v>223</v>
      </c>
    </row>
    <row r="40" spans="2:14">
      <c r="B40" s="3" t="s">
        <v>875</v>
      </c>
      <c r="D40" s="3" t="s">
        <v>227</v>
      </c>
      <c r="H40" s="32">
        <f>'2. Parameters'!K43</f>
        <v>1</v>
      </c>
      <c r="I40" s="32">
        <f>'2. Parameters'!L43</f>
        <v>1.016</v>
      </c>
      <c r="J40" s="32">
        <f>'2. Parameters'!M43</f>
        <v>1.0342880000000001</v>
      </c>
      <c r="K40" s="32">
        <f>'2. Parameters'!N43</f>
        <v>1.0984138560000001</v>
      </c>
      <c r="L40" s="32">
        <f>'2. Parameters'!O43</f>
        <v>1.1862869644800003</v>
      </c>
      <c r="M40" s="32">
        <f>'2. Parameters'!P43</f>
        <v>1.2195029994854403</v>
      </c>
      <c r="N40" s="32">
        <f>'2. Parameters'!Q43</f>
        <v>1.2402345504766927</v>
      </c>
    </row>
    <row r="41" spans="2:14">
      <c r="B41" s="3" t="s">
        <v>876</v>
      </c>
      <c r="D41" s="3" t="s">
        <v>227</v>
      </c>
      <c r="H41" s="10"/>
      <c r="I41" s="32">
        <f>'2. Parameters'!L44</f>
        <v>1</v>
      </c>
      <c r="J41" s="32">
        <f>'2. Parameters'!M44</f>
        <v>1.018</v>
      </c>
      <c r="K41" s="32">
        <f>'2. Parameters'!N44</f>
        <v>1.081116</v>
      </c>
      <c r="L41" s="32">
        <f>'2. Parameters'!O44</f>
        <v>1.1676052800000001</v>
      </c>
      <c r="M41" s="32">
        <f>'2. Parameters'!P44</f>
        <v>1.2002982278400001</v>
      </c>
      <c r="N41" s="32">
        <f>'2. Parameters'!Q44</f>
        <v>1.2207032977132799</v>
      </c>
    </row>
    <row r="42" spans="2:14">
      <c r="B42" s="3" t="s">
        <v>877</v>
      </c>
      <c r="D42" s="3" t="s">
        <v>227</v>
      </c>
      <c r="H42" s="10"/>
      <c r="I42" s="10"/>
      <c r="J42" s="32">
        <f>'2. Parameters'!M45</f>
        <v>1</v>
      </c>
      <c r="K42" s="32">
        <f>'2. Parameters'!N45</f>
        <v>1.0620000000000001</v>
      </c>
      <c r="L42" s="32">
        <f>'2. Parameters'!O45</f>
        <v>1.1469600000000002</v>
      </c>
      <c r="M42" s="32">
        <f>'2. Parameters'!P45</f>
        <v>1.1790748800000002</v>
      </c>
      <c r="N42" s="32">
        <f>'2. Parameters'!Q45</f>
        <v>1.19911915296</v>
      </c>
    </row>
    <row r="43" spans="2:14">
      <c r="B43" s="3" t="s">
        <v>878</v>
      </c>
      <c r="D43" s="3" t="s">
        <v>227</v>
      </c>
      <c r="H43" s="10"/>
      <c r="I43" s="10"/>
      <c r="J43" s="10"/>
      <c r="K43" s="32">
        <f>'2. Parameters'!N46</f>
        <v>1</v>
      </c>
      <c r="L43" s="32">
        <f>'2. Parameters'!O46</f>
        <v>1.08</v>
      </c>
      <c r="M43" s="32">
        <f>'2. Parameters'!P46</f>
        <v>1.1102400000000001</v>
      </c>
      <c r="N43" s="32">
        <f>'2. Parameters'!Q46</f>
        <v>1.1291140799999999</v>
      </c>
    </row>
    <row r="44" spans="2:14">
      <c r="B44" s="3" t="s">
        <v>879</v>
      </c>
      <c r="D44" s="3" t="s">
        <v>227</v>
      </c>
      <c r="H44" s="10"/>
      <c r="I44" s="10"/>
      <c r="J44" s="10"/>
      <c r="K44" s="10"/>
      <c r="L44" s="32">
        <f>'2. Parameters'!O47</f>
        <v>1</v>
      </c>
      <c r="M44" s="32">
        <f>'2. Parameters'!P47</f>
        <v>1.028</v>
      </c>
      <c r="N44" s="32">
        <f>'2. Parameters'!Q47</f>
        <v>1.0454759999999998</v>
      </c>
    </row>
    <row r="45" spans="2:14">
      <c r="B45" s="3" t="s">
        <v>880</v>
      </c>
      <c r="D45" s="3" t="s">
        <v>227</v>
      </c>
      <c r="H45" s="10"/>
      <c r="I45" s="10"/>
      <c r="J45" s="10"/>
      <c r="K45" s="10"/>
      <c r="L45" s="10"/>
      <c r="M45" s="32">
        <f>'2. Parameters'!P48</f>
        <v>1</v>
      </c>
      <c r="N45" s="32">
        <f>'2. Parameters'!Q48</f>
        <v>1.0169999999999999</v>
      </c>
    </row>
    <row r="46" spans="2:14">
      <c r="B46" s="3" t="s">
        <v>881</v>
      </c>
      <c r="D46" s="3" t="s">
        <v>227</v>
      </c>
      <c r="H46" s="10"/>
      <c r="I46" s="10"/>
      <c r="J46" s="10"/>
      <c r="K46" s="10"/>
      <c r="L46" s="10"/>
      <c r="M46" s="10"/>
      <c r="N46" s="32">
        <f>'2. Parameters'!Q49</f>
        <v>1</v>
      </c>
    </row>
    <row r="47" spans="2:14" ht="13.5" customHeight="1"/>
    <row r="48" spans="2:14">
      <c r="B48" s="2" t="s">
        <v>237</v>
      </c>
    </row>
    <row r="49" spans="2:56">
      <c r="B49" s="28" t="s">
        <v>230</v>
      </c>
      <c r="D49" s="3" t="s">
        <v>241</v>
      </c>
      <c r="H49" s="32">
        <f>'2. Parameters'!K60</f>
        <v>1</v>
      </c>
      <c r="I49" s="32">
        <f>'2. Parameters'!L60</f>
        <v>0.999</v>
      </c>
      <c r="J49" s="32">
        <f>'2. Parameters'!M60</f>
        <v>0.995004</v>
      </c>
      <c r="K49" s="32">
        <f>'2. Parameters'!N60</f>
        <v>0.99102398400000002</v>
      </c>
      <c r="L49" s="32">
        <f>'2. Parameters'!O60</f>
        <v>0.98705988806400002</v>
      </c>
      <c r="M49" s="32">
        <f>'2. Parameters'!P60</f>
        <v>0.98311164851174404</v>
      </c>
      <c r="N49" s="32">
        <f>'2. Parameters'!Q60</f>
        <v>0.97917920191769703</v>
      </c>
    </row>
    <row r="50" spans="2:56">
      <c r="B50" s="28" t="s">
        <v>231</v>
      </c>
      <c r="D50" s="3" t="s">
        <v>241</v>
      </c>
      <c r="H50" s="10"/>
      <c r="I50" s="32">
        <f>'2. Parameters'!L61</f>
        <v>1</v>
      </c>
      <c r="J50" s="32">
        <f>'2. Parameters'!M61</f>
        <v>0.996</v>
      </c>
      <c r="K50" s="32">
        <f>'2. Parameters'!N61</f>
        <v>0.99201600000000001</v>
      </c>
      <c r="L50" s="32">
        <f>'2. Parameters'!O61</f>
        <v>0.98804793599999996</v>
      </c>
      <c r="M50" s="32">
        <f>'2. Parameters'!P61</f>
        <v>0.98409574425599999</v>
      </c>
      <c r="N50" s="32">
        <f>'2. Parameters'!Q61</f>
        <v>0.98015936127897596</v>
      </c>
    </row>
    <row r="51" spans="2:56">
      <c r="B51" s="28" t="s">
        <v>232</v>
      </c>
      <c r="D51" s="3" t="s">
        <v>241</v>
      </c>
      <c r="H51" s="10"/>
      <c r="I51" s="10"/>
      <c r="J51" s="32">
        <f>'2. Parameters'!M62</f>
        <v>1</v>
      </c>
      <c r="K51" s="32">
        <f>'2. Parameters'!N62</f>
        <v>0.996</v>
      </c>
      <c r="L51" s="32">
        <f>'2. Parameters'!O62</f>
        <v>0.99201600000000001</v>
      </c>
      <c r="M51" s="32">
        <f>'2. Parameters'!P62</f>
        <v>0.98804793599999996</v>
      </c>
      <c r="N51" s="32">
        <f>'2. Parameters'!Q62</f>
        <v>0.98409574425599999</v>
      </c>
    </row>
    <row r="52" spans="2:56">
      <c r="B52" s="28" t="s">
        <v>233</v>
      </c>
      <c r="D52" s="3" t="s">
        <v>241</v>
      </c>
      <c r="H52" s="10"/>
      <c r="I52" s="10"/>
      <c r="J52" s="10"/>
      <c r="K52" s="32">
        <f>'2. Parameters'!N63</f>
        <v>1</v>
      </c>
      <c r="L52" s="32">
        <f>'2. Parameters'!O63</f>
        <v>0.996</v>
      </c>
      <c r="M52" s="32">
        <f>'2. Parameters'!P63</f>
        <v>0.99201600000000001</v>
      </c>
      <c r="N52" s="32">
        <f>'2. Parameters'!Q63</f>
        <v>0.98804793599999996</v>
      </c>
    </row>
    <row r="53" spans="2:56">
      <c r="B53" s="28" t="s">
        <v>234</v>
      </c>
      <c r="D53" s="3" t="s">
        <v>241</v>
      </c>
      <c r="H53" s="10"/>
      <c r="I53" s="10"/>
      <c r="J53" s="10"/>
      <c r="K53" s="10"/>
      <c r="L53" s="32">
        <f>'2. Parameters'!O64</f>
        <v>1</v>
      </c>
      <c r="M53" s="32">
        <f>'2. Parameters'!P64</f>
        <v>0.996</v>
      </c>
      <c r="N53" s="32">
        <f>'2. Parameters'!Q64</f>
        <v>0.99201600000000001</v>
      </c>
    </row>
    <row r="54" spans="2:56">
      <c r="B54" s="28" t="s">
        <v>235</v>
      </c>
      <c r="D54" s="3" t="s">
        <v>241</v>
      </c>
      <c r="H54" s="10"/>
      <c r="I54" s="10"/>
      <c r="J54" s="10"/>
      <c r="K54" s="10"/>
      <c r="L54" s="10"/>
      <c r="M54" s="32">
        <f>'2. Parameters'!P65</f>
        <v>1</v>
      </c>
      <c r="N54" s="32">
        <f>'2. Parameters'!Q65</f>
        <v>0.996</v>
      </c>
    </row>
    <row r="55" spans="2:56" ht="15.75" customHeight="1">
      <c r="B55" s="28" t="s">
        <v>236</v>
      </c>
      <c r="D55" s="3" t="s">
        <v>241</v>
      </c>
      <c r="H55" s="10"/>
      <c r="I55" s="10"/>
      <c r="J55" s="10"/>
      <c r="K55" s="10"/>
      <c r="L55" s="10"/>
      <c r="M55" s="10"/>
      <c r="N55" s="32">
        <f>'2. Parameters'!Q66</f>
        <v>1</v>
      </c>
    </row>
    <row r="56" spans="2:56" ht="13.5" customHeight="1"/>
    <row r="57" spans="2:56" s="33" customFormat="1">
      <c r="B57" s="33" t="s">
        <v>905</v>
      </c>
    </row>
    <row r="58" spans="2:56" s="36" customFormat="1">
      <c r="M58" s="36" t="s">
        <v>883</v>
      </c>
      <c r="P58" s="36" t="s">
        <v>884</v>
      </c>
      <c r="S58" s="36" t="s">
        <v>885</v>
      </c>
      <c r="V58" s="36" t="s">
        <v>886</v>
      </c>
      <c r="AB58" s="36" t="s">
        <v>887</v>
      </c>
      <c r="AH58" s="36" t="s">
        <v>888</v>
      </c>
      <c r="AN58" s="36" t="s">
        <v>889</v>
      </c>
      <c r="AT58" s="36" t="s">
        <v>906</v>
      </c>
      <c r="AZ58" s="36" t="s">
        <v>907</v>
      </c>
    </row>
    <row r="59" spans="2:56" s="39" customFormat="1">
      <c r="B59" s="39" t="s">
        <v>378</v>
      </c>
      <c r="F59" s="39" t="s">
        <v>379</v>
      </c>
      <c r="H59" s="40" t="s">
        <v>380</v>
      </c>
      <c r="I59" s="39" t="s">
        <v>301</v>
      </c>
      <c r="J59" s="40" t="s">
        <v>302</v>
      </c>
      <c r="K59" s="41" t="s">
        <v>381</v>
      </c>
      <c r="M59" s="45">
        <v>2020</v>
      </c>
      <c r="N59" s="45">
        <v>2021</v>
      </c>
      <c r="P59" s="45">
        <v>2020</v>
      </c>
      <c r="Q59" s="45">
        <v>2021</v>
      </c>
      <c r="S59" s="39" t="s">
        <v>898</v>
      </c>
      <c r="T59" s="39" t="s">
        <v>899</v>
      </c>
      <c r="V59" s="45">
        <v>2022</v>
      </c>
      <c r="W59" s="45">
        <v>2023</v>
      </c>
      <c r="X59" s="45">
        <v>2024</v>
      </c>
      <c r="Y59" s="45">
        <v>2025</v>
      </c>
      <c r="Z59" s="45">
        <v>2026</v>
      </c>
      <c r="AB59" s="45">
        <v>2022</v>
      </c>
      <c r="AC59" s="45">
        <v>2023</v>
      </c>
      <c r="AD59" s="45">
        <v>2024</v>
      </c>
      <c r="AE59" s="45">
        <v>2025</v>
      </c>
      <c r="AF59" s="45">
        <v>2026</v>
      </c>
      <c r="AH59" s="45">
        <v>2022</v>
      </c>
      <c r="AI59" s="45">
        <v>2023</v>
      </c>
      <c r="AJ59" s="45">
        <v>2024</v>
      </c>
      <c r="AK59" s="45">
        <v>2025</v>
      </c>
      <c r="AL59" s="45">
        <v>2026</v>
      </c>
      <c r="AN59" s="45">
        <v>2022</v>
      </c>
      <c r="AO59" s="45">
        <v>2023</v>
      </c>
      <c r="AP59" s="45">
        <v>2024</v>
      </c>
      <c r="AQ59" s="45">
        <v>2025</v>
      </c>
      <c r="AR59" s="45">
        <v>2026</v>
      </c>
      <c r="AT59" s="45">
        <v>2022</v>
      </c>
      <c r="AU59" s="45">
        <v>2023</v>
      </c>
      <c r="AV59" s="45">
        <v>2024</v>
      </c>
      <c r="AW59" s="45">
        <v>2025</v>
      </c>
      <c r="AX59" s="45">
        <v>2026</v>
      </c>
      <c r="AZ59" s="45">
        <v>2022</v>
      </c>
      <c r="BA59" s="45">
        <v>2023</v>
      </c>
      <c r="BB59" s="45">
        <v>2024</v>
      </c>
      <c r="BC59" s="45">
        <v>2025</v>
      </c>
      <c r="BD59" s="45">
        <v>2026</v>
      </c>
    </row>
    <row r="60" spans="2:56" s="48" customFormat="1">
      <c r="H60" s="49"/>
      <c r="I60" s="49"/>
      <c r="J60" s="50"/>
    </row>
    <row r="61" spans="2:56">
      <c r="B61" s="37">
        <f>'3. Input (des)investeringen '!B86</f>
        <v>1529</v>
      </c>
      <c r="C61" s="48"/>
      <c r="D61" s="48"/>
      <c r="E61" s="48"/>
      <c r="F61" s="42">
        <f>'3. Input (des)investeringen '!D86</f>
        <v>0</v>
      </c>
      <c r="G61" s="48"/>
      <c r="H61" s="37">
        <f>'3. Input (des)investeringen '!F86</f>
        <v>2020</v>
      </c>
      <c r="I61" s="42" t="str">
        <f>'3. Input (des)investeringen '!G86</f>
        <v>nvt</v>
      </c>
      <c r="J61" s="42">
        <f>'3. Input (des)investeringen '!H86</f>
        <v>0</v>
      </c>
      <c r="K61" s="42">
        <f>'3. Input (des)investeringen '!I86</f>
        <v>1</v>
      </c>
      <c r="M61" s="43">
        <f>IF($J61=0, 0, IF($H61&lt;=M$59,
VDB($F61,0,$J61,MAX(0,M$59-$H61-0.5),MIN($J61,M$59-$H61+0.5),1)*INDEX(H$40:H$46,$H61-2019,1),
0))</f>
        <v>0</v>
      </c>
      <c r="N61" s="43">
        <f>IF($J61=0, 0, IF($H61&lt;=N$59,
VDB($F61,0,$J61,MAX(0,N$59-$H61-0.5),MIN($J61,N$59-$H61+0.5),1)*INDEX(I$40:I$46,$H61-2019,1),
0))</f>
        <v>0</v>
      </c>
      <c r="P61" s="138">
        <f>IF($J61=0,IF($H61=M$59,$F61,0),IF(OR($H61&gt;P$59,$H61+$J61&lt;=P$59),0,
F61-M61))</f>
        <v>0</v>
      </c>
      <c r="Q61" s="138">
        <f>IF($J61=0,IF($H61=N$59,$F61,$P61*I$40),IF(OR($H61&gt;Q$59,$H61+$J61&lt;=Q$59),0,
IF($H61=Q$59,F61-N61,P61*I$40-N61)))</f>
        <v>0</v>
      </c>
      <c r="S61" s="43">
        <f>IF($P61=0, IF(H61&lt;=2021, $Q61, IF(H61&gt;=2022, $F61,0)), IF(H61&lt;=2021,Q61,F61))</f>
        <v>0</v>
      </c>
      <c r="T61" s="38">
        <f>IF($J61=0, 0, IF(H61&lt;2022,J61-2021+H61-0.5,J61))</f>
        <v>0</v>
      </c>
      <c r="V61" s="43">
        <f>IF($J61=0, 0, IF(OR($H61&gt;V$59,$H61+$J61&lt;V$59),0,
IF(OR($H61=2020,$H61=2021),VDB($S61*(1-$F$28),0,$T61,V$59-2022,MIN($T61,V$59-2021),$F$22,FALSE),
VDB($S61*(1-$F$28),0,$T61,MAX(0,V$59-$H61-0.5),MIN($T61,V$59-$H61+0.5),$F$22,FALSE))))</f>
        <v>0</v>
      </c>
      <c r="W61" s="43">
        <f>IF($J61=0, 0, IF(OR($H61&gt;W$59,$H61+$J61&lt;W$59),0,
IF(OR($H61=2020,$H61=2021),VDB($S61*(1-$F$28),0,$T61,W$59-2022,MIN($T61,W$59-2021),$F$22,FALSE),
VDB($S61*(1-$F$28),0,$T61,MAX(0,W$59-$H61-0.5),MIN($T61,W$59-$H61+0.5),$F$22,FALSE))))</f>
        <v>0</v>
      </c>
      <c r="X61" s="43">
        <f t="shared" ref="X61:Z76" si="0">IF($J61=0, 0, IF(OR($H61&gt;X$59,$H61+$J61&lt;X$59),0,
IF(OR($H61=2020,$H61=2021),VDB($S61*(1-$F$28),0,$T61,X$59-2022,MIN($T61,X$59-2021),$F$22,FALSE),
VDB($S61*(1-$F$28),0,$T61,MAX(0,X$59-$H61-0.5),MIN($T61,X$59-$H61+0.5),$F$22,FALSE))))</f>
        <v>0</v>
      </c>
      <c r="Y61" s="43">
        <f t="shared" si="0"/>
        <v>0</v>
      </c>
      <c r="Z61" s="43">
        <f t="shared" si="0"/>
        <v>0</v>
      </c>
      <c r="AB61" s="43">
        <f>IF($J61=0, 0, IF(OR($H61&gt;AB$59,$H61+$J61&lt;AB$59),0,
IF(OR($H61=2020,$H61=2021),VDB($S61*$F$28,0,$T61,AB$59-2022,MIN($T61,AB$59-2021),1),
VDB($S61*$F$28,0,$T61,MAX(0,AB$59-$H61-0.5),MIN($T61,AB$59-$H61+0.5),1))))</f>
        <v>0</v>
      </c>
      <c r="AC61" s="43">
        <f>IF($J61=0, 0, IF(OR($H61&gt;AC$59,$H61+$J61&lt;AC$59),0,
IF(OR($H61=2020,$H61=2021),VDB($S61*$F$28,0,$T61,AC$59-2022,MIN($T61,AC$59-2021),1),
VDB($S61*$F$28,0,$T61,MAX(0,AC$59-$H61-0.5),MIN($T61,AC$59-$H61+0.5),1))))</f>
        <v>0</v>
      </c>
      <c r="AD61" s="43">
        <f t="shared" ref="AD61:AF76" si="1">IF($J61=0, 0, IF(OR($H61&gt;AD$59,$H61+$J61&lt;AD$59),0,
IF(OR($H61=2020,$H61=2021),VDB($S61*$F$28,0,$T61,AD$59-2022,MIN($T61,AD$59-2021),1),
VDB($S61*$F$28,0,$T61,MAX(0,AD$59-$H61-0.5),MIN($T61,AD$59-$H61+0.5),1))))</f>
        <v>0</v>
      </c>
      <c r="AE61" s="43">
        <f t="shared" si="1"/>
        <v>0</v>
      </c>
      <c r="AF61" s="43">
        <f t="shared" si="1"/>
        <v>0</v>
      </c>
      <c r="AH61" s="43">
        <f t="shared" ref="AH61:AL61" si="2">V61+AB61</f>
        <v>0</v>
      </c>
      <c r="AI61" s="43">
        <f t="shared" si="2"/>
        <v>0</v>
      </c>
      <c r="AJ61" s="43">
        <f t="shared" si="2"/>
        <v>0</v>
      </c>
      <c r="AK61" s="43">
        <f t="shared" si="2"/>
        <v>0</v>
      </c>
      <c r="AL61" s="43">
        <f t="shared" si="2"/>
        <v>0</v>
      </c>
      <c r="AN61" s="43">
        <f>IF($J61=0, IF($H61&gt;AN$59,0, $S61), IF(OR($H61&gt;AN$59,$H61+$J61&lt;=AN$59),0,
IF($H61=AN$59,$S61-AH61,
S61-AH61)))</f>
        <v>0</v>
      </c>
      <c r="AO61" s="43">
        <f>IF($J61=0, IF($H61 &gt; AO$59, 0, IF($H61=AO$59, $F61, AN61)), IF(OR($H61&gt;AO$59,$H61+$J61&lt;=AO$59),0,
IF($H61=AO$59,$S61-AI61,
AN61-AI61)))</f>
        <v>0</v>
      </c>
      <c r="AP61" s="43">
        <f t="shared" ref="AP61" si="3">IF($J61=0, IF($H61 &gt; AP$59, 0, IF($H61=AP$59, $F61, AO61)), IF(OR($H61&gt;AP$59,$H61+$J61&lt;=AP$59),0,
IF($H61=AP$59,$S61-AJ61,
AO61-AJ61)))</f>
        <v>0</v>
      </c>
      <c r="AQ61" s="43">
        <f t="shared" ref="AQ61" si="4">IF($J61=0, IF($H61 &gt; AQ$59, 0, IF($H61=AQ$59, $F61, AP61)), IF(OR($H61&gt;AQ$59,$H61+$J61&lt;=AQ$59),0,
IF($H61=AQ$59,$S61-AK61,
AP61-AK61)))</f>
        <v>0</v>
      </c>
      <c r="AR61" s="43">
        <f>IF($J61=0, IF($H61 &gt; AR$59, 0, IF($H61=AR$59, $F61, AQ61)), IF(OR($H61&gt;AR$59,$H61+$J61&lt;=AR$59),0,
IF($H61=AR$59,$S61-AL61,
AQ61-AL61)))</f>
        <v>0</v>
      </c>
      <c r="AT61" s="43">
        <f>IF($H61&lt;=AT$59,$F61*INDEX($H$40:$N$46,$H61-2019,AT$59-2019)*INDEX($H$49:$N$55,$H61-2019,AT$59-2019)*$F$19,0)</f>
        <v>0</v>
      </c>
      <c r="AU61" s="43">
        <f t="shared" ref="AU61:AX76" si="5">IF($H61&lt;=AU$59,$F61*INDEX($H$40:$N$46,$H61-2019,AU$59-2019)*INDEX($H$49:$N$55,$H61-2019,AU$59-2019)*$F$19,0)</f>
        <v>0</v>
      </c>
      <c r="AV61" s="43">
        <f t="shared" si="5"/>
        <v>0</v>
      </c>
      <c r="AW61" s="43">
        <f t="shared" si="5"/>
        <v>0</v>
      </c>
      <c r="AX61" s="43">
        <f t="shared" si="5"/>
        <v>0</v>
      </c>
      <c r="AZ61" s="47">
        <f>(AH61+AN61*J$16+AT61)*IF($K61=1,$F$25,1)</f>
        <v>0</v>
      </c>
      <c r="BA61" s="47">
        <f>(AI61+AO61*K$16+AU61)*IF($K61=1,$F$25,1)</f>
        <v>0</v>
      </c>
      <c r="BB61" s="47">
        <f t="shared" ref="BB61:BD61" si="6">(AJ61+AP61*L$16+AV61)*IF($K61=1,$F$25,1)</f>
        <v>0</v>
      </c>
      <c r="BC61" s="47">
        <f t="shared" si="6"/>
        <v>0</v>
      </c>
      <c r="BD61" s="47">
        <f t="shared" si="6"/>
        <v>0</v>
      </c>
    </row>
    <row r="62" spans="2:56">
      <c r="B62" s="37">
        <f>'3. Input (des)investeringen '!B87</f>
        <v>1530</v>
      </c>
      <c r="C62" s="48"/>
      <c r="D62" s="48"/>
      <c r="E62" s="48"/>
      <c r="F62" s="42">
        <f>'3. Input (des)investeringen '!D87</f>
        <v>16428371.587765666</v>
      </c>
      <c r="G62" s="48"/>
      <c r="H62" s="37">
        <f>'3. Input (des)investeringen '!F87</f>
        <v>2020</v>
      </c>
      <c r="I62" s="42" t="str">
        <f>'3. Input (des)investeringen '!G87</f>
        <v>nvt</v>
      </c>
      <c r="J62" s="42">
        <f>'3. Input (des)investeringen '!H87</f>
        <v>5</v>
      </c>
      <c r="K62" s="42">
        <f>'3. Input (des)investeringen '!I87</f>
        <v>1</v>
      </c>
      <c r="M62" s="43">
        <f t="shared" ref="M62:M125" si="7">IF($J62=0, 0, IF($H62&lt;=M$59,
VDB($F62,0,$J62,MAX(0,M$59-$H62-0.5),MIN($J62,M$59-$H62+0.5),1)*INDEX(H$40:H$46,$H62-2019,1),
0))</f>
        <v>1642837.1587765666</v>
      </c>
      <c r="N62" s="43">
        <f t="shared" ref="N62:N125" si="8">IF($J62=0, 0, IF($H62&lt;=N$59,
VDB($F62,0,$J62,MAX(0,N$59-$H62-0.5),MIN($J62,N$59-$H62+0.5),1)*INDEX(I$40:I$46,$H62-2019,1),
0))</f>
        <v>3338245.1066339836</v>
      </c>
      <c r="P62" s="138">
        <f>IF($J62=0,IF($H62=M$59,$F62,0),IF(OR($H62&gt;P$59,$H62+$J62&lt;=P$59),0,
F62-M62))</f>
        <v>14785534.428989099</v>
      </c>
      <c r="Q62" s="138">
        <f t="shared" ref="Q62:Q125" si="9">IF($J62=0,IF($H62=N$59,$F62,$P62*I$40),IF(OR($H62&gt;Q$59,$H62+$J62&lt;=Q$59),0,
IF($H62=Q$59,F62-N62,P62*I$40-N62)))</f>
        <v>11683857.873218942</v>
      </c>
      <c r="S62" s="43">
        <f t="shared" ref="S62:S125" si="10">IF($P62=0, IF(H62&lt;=2021, $Q62, IF(H62&gt;=2022, $F62,0)), IF(H62&lt;=2021,Q62,F62))</f>
        <v>11683857.873218942</v>
      </c>
      <c r="T62" s="38">
        <f t="shared" ref="T62:T125" si="11">IF($J62=0, 0, IF(H62&lt;2022,J62-2021+H62-0.5,J62))</f>
        <v>3.5</v>
      </c>
      <c r="V62" s="43">
        <f t="shared" ref="V62:Z93" si="12">IF($J62=0, 0, IF(OR($H62&gt;V$59,$H62+$J62&lt;V$59),0,
IF(OR($H62=2020,$H62=2021),VDB($S62*(1-$F$28),0,$T62,V$59-2022,MIN($T62,V$59-2021),$F$22,FALSE),
VDB($S62*(1-$F$28),0,$T62,MAX(0,V$59-$H62-0.5),MIN($T62,V$59-$H62+0.5),$F$22,FALSE))))</f>
        <v>3905746.7747617611</v>
      </c>
      <c r="W62" s="43">
        <f t="shared" si="12"/>
        <v>2643890.1244541155</v>
      </c>
      <c r="X62" s="43">
        <f t="shared" si="0"/>
        <v>2643890.1244541155</v>
      </c>
      <c r="Y62" s="43">
        <f t="shared" si="0"/>
        <v>1321945.0622270578</v>
      </c>
      <c r="Z62" s="43">
        <f t="shared" si="0"/>
        <v>0</v>
      </c>
      <c r="AB62" s="43">
        <f t="shared" ref="AB62:AF93" si="13">IF($J62=0, 0, IF(OR($H62&gt;AB$59,$H62+$J62&lt;AB$59),0,
IF(OR($H62=2020,$H62=2021),VDB($S62*$F$28,0,$T62,AB$59-2022,MIN($T62,AB$59-2021),1),
VDB($S62*$F$28,0,$T62,MAX(0,AB$59-$H62-0.5),MIN($T62,AB$59-$H62+0.5),1))))</f>
        <v>333824.51066339837</v>
      </c>
      <c r="AC62" s="43">
        <f t="shared" si="13"/>
        <v>333824.51066339837</v>
      </c>
      <c r="AD62" s="43">
        <f t="shared" si="1"/>
        <v>333824.51066339837</v>
      </c>
      <c r="AE62" s="43">
        <f t="shared" si="1"/>
        <v>166912.25533169918</v>
      </c>
      <c r="AF62" s="43">
        <f t="shared" si="1"/>
        <v>0</v>
      </c>
      <c r="AH62" s="43">
        <f t="shared" ref="AH62:AH125" si="14">V62+AB62</f>
        <v>4239571.2854251591</v>
      </c>
      <c r="AI62" s="43">
        <f t="shared" ref="AI62:AI125" si="15">W62+AC62</f>
        <v>2977714.6351175141</v>
      </c>
      <c r="AJ62" s="43">
        <f t="shared" ref="AJ62:AJ125" si="16">X62+AD62</f>
        <v>2977714.6351175141</v>
      </c>
      <c r="AK62" s="43">
        <f t="shared" ref="AK62:AK125" si="17">Y62+AE62</f>
        <v>1488857.317558757</v>
      </c>
      <c r="AL62" s="43">
        <f t="shared" ref="AL62:AL125" si="18">Z62+AF62</f>
        <v>0</v>
      </c>
      <c r="AN62" s="43">
        <f t="shared" ref="AN62:AN125" si="19">IF($J62=0, IF($H62&gt;AN$59,0, $S62), IF(OR($H62&gt;AN$59,$H62+$J62&lt;=AN$59),0,
IF($H62=AN$59,$S62-AH62,
S62-AH62)))</f>
        <v>7444286.5877937833</v>
      </c>
      <c r="AO62" s="43">
        <f t="shared" ref="AO62:AO125" si="20">IF($J62=0, IF($H62 &gt; AO$59, 0, IF($H62=AO$59, $F62, AN62)), IF(OR($H62&gt;AO$59,$H62+$J62&lt;=AO$59),0,
IF($H62=AO$59,$S62-AI62,
AN62-AI62)))</f>
        <v>4466571.9526762692</v>
      </c>
      <c r="AP62" s="43">
        <f t="shared" ref="AP62:AP125" si="21">IF($J62=0, IF($H62 &gt; AP$59, 0, IF($H62=AP$59, $F62, AO62)), IF(OR($H62&gt;AP$59,$H62+$J62&lt;=AP$59),0,
IF($H62=AP$59,$S62-AJ62,
AO62-AJ62)))</f>
        <v>1488857.3175587552</v>
      </c>
      <c r="AQ62" s="43">
        <f t="shared" ref="AQ62:AQ125" si="22">IF($J62=0, IF($H62 &gt; AQ$59, 0, IF($H62=AQ$59, $F62, AP62)), IF(OR($H62&gt;AQ$59,$H62+$J62&lt;=AQ$59),0,
IF($H62=AQ$59,$S62-AK62,
AP62-AK62)))</f>
        <v>0</v>
      </c>
      <c r="AR62" s="43">
        <f t="shared" ref="AR62:AR125" si="23">IF($J62=0, IF($H62 &gt; AR$59, 0, IF($H62=AR$59, $F62, AQ62)), IF(OR($H62&gt;AR$59,$H62+$J62&lt;=AR$59),0,
IF($H62=AR$59,$S62-AL62,
AQ62-AL62)))</f>
        <v>0</v>
      </c>
      <c r="AT62" s="43">
        <f t="shared" ref="AT62:AX93" si="24">IF($H62&lt;=AT$59,$F62*INDEX($H$40:$N$46,$H62-2019,AT$59-2019)*INDEX($H$49:$N$55,$H62-2019,AT$59-2019)*$F$19,0)</f>
        <v>169067.77221473516</v>
      </c>
      <c r="AU62" s="43">
        <f t="shared" si="5"/>
        <v>178831.77419568051</v>
      </c>
      <c r="AV62" s="43">
        <f t="shared" si="5"/>
        <v>192365.76286680964</v>
      </c>
      <c r="AW62" s="43">
        <f t="shared" si="5"/>
        <v>196960.99621017199</v>
      </c>
      <c r="AX62" s="43">
        <f t="shared" si="5"/>
        <v>199508.09581316193</v>
      </c>
      <c r="AZ62" s="47">
        <f t="shared" ref="AZ62:AZ125" si="25">(AH62+AN62*J$16+AT62)*IF($K62=1,$F$25,1)</f>
        <v>4661744.801624883</v>
      </c>
      <c r="BA62" s="47">
        <f t="shared" ref="BA62:BA125" si="26">(AI62+AO62*K$16+AU62)*IF($K62=1,$F$25,1)</f>
        <v>3303943.2837515115</v>
      </c>
      <c r="BB62" s="47">
        <f t="shared" ref="BB62:BB125" si="27">(AJ62+AP62*L$16+AV62)*IF($K62=1,$F$25,1)</f>
        <v>3226656.9760515564</v>
      </c>
      <c r="BC62" s="47">
        <f t="shared" ref="BC62:BC125" si="28">(AK62+AQ62*M$16+AW62)*IF($K62=1,$F$25,1)</f>
        <v>1685818.3137689291</v>
      </c>
      <c r="BD62" s="47">
        <f t="shared" ref="BD62:BD125" si="29">(AL62+AR62*N$16+AX62)*IF($K62=1,$F$25,1)</f>
        <v>199508.09581316193</v>
      </c>
    </row>
    <row r="63" spans="2:56">
      <c r="B63" s="37">
        <f>'3. Input (des)investeringen '!B88</f>
        <v>1531</v>
      </c>
      <c r="C63" s="48"/>
      <c r="D63" s="48"/>
      <c r="E63" s="48"/>
      <c r="F63" s="42">
        <f>'3. Input (des)investeringen '!D88</f>
        <v>4983079.8391110003</v>
      </c>
      <c r="G63" s="48"/>
      <c r="H63" s="37">
        <f>'3. Input (des)investeringen '!F88</f>
        <v>2020</v>
      </c>
      <c r="I63" s="42" t="str">
        <f>'3. Input (des)investeringen '!G88</f>
        <v>nvt</v>
      </c>
      <c r="J63" s="42">
        <f>'3. Input (des)investeringen '!H88</f>
        <v>10</v>
      </c>
      <c r="K63" s="42">
        <f>'3. Input (des)investeringen '!I88</f>
        <v>1</v>
      </c>
      <c r="M63" s="43">
        <f t="shared" si="7"/>
        <v>249153.99195555004</v>
      </c>
      <c r="N63" s="43">
        <f t="shared" si="8"/>
        <v>506280.91165367764</v>
      </c>
      <c r="P63" s="138">
        <f t="shared" ref="P63:P125" si="30">IF($J63=0,IF($H63=M$59,$F63,0),IF(OR($H63&gt;P$59,$H63+$J63&lt;=P$59),0,
F63-M63))</f>
        <v>4733925.8471554499</v>
      </c>
      <c r="Q63" s="138">
        <f t="shared" si="9"/>
        <v>4303387.7490562592</v>
      </c>
      <c r="S63" s="43">
        <f t="shared" si="10"/>
        <v>4303387.7490562592</v>
      </c>
      <c r="T63" s="38">
        <f t="shared" si="11"/>
        <v>8.5</v>
      </c>
      <c r="V63" s="43">
        <f t="shared" si="12"/>
        <v>592348.66663480282</v>
      </c>
      <c r="W63" s="43">
        <f t="shared" si="12"/>
        <v>501754.16467889177</v>
      </c>
      <c r="X63" s="43">
        <f t="shared" si="0"/>
        <v>427530.17582106753</v>
      </c>
      <c r="Y63" s="43">
        <f t="shared" si="0"/>
        <v>427530.17582106753</v>
      </c>
      <c r="Z63" s="43">
        <f t="shared" si="0"/>
        <v>427530.17582106753</v>
      </c>
      <c r="AB63" s="43">
        <f t="shared" si="13"/>
        <v>50628.091165367761</v>
      </c>
      <c r="AC63" s="43">
        <f t="shared" si="13"/>
        <v>50628.091165367761</v>
      </c>
      <c r="AD63" s="43">
        <f t="shared" si="1"/>
        <v>50628.091165367761</v>
      </c>
      <c r="AE63" s="43">
        <f t="shared" si="1"/>
        <v>50628.091165367761</v>
      </c>
      <c r="AF63" s="43">
        <f t="shared" si="1"/>
        <v>50628.091165367761</v>
      </c>
      <c r="AH63" s="43">
        <f t="shared" si="14"/>
        <v>642976.75780017057</v>
      </c>
      <c r="AI63" s="43">
        <f t="shared" si="15"/>
        <v>552382.25584425952</v>
      </c>
      <c r="AJ63" s="43">
        <f t="shared" si="16"/>
        <v>478158.26698643528</v>
      </c>
      <c r="AK63" s="43">
        <f t="shared" si="17"/>
        <v>478158.26698643528</v>
      </c>
      <c r="AL63" s="43">
        <f t="shared" si="18"/>
        <v>478158.26698643528</v>
      </c>
      <c r="AN63" s="43">
        <f>IF($J63=0, IF($H63&gt;AN$59,0, $S63), IF(OR($H63&gt;AN$59,$H63+$J63&lt;=AN$59),0,
IF($H63=AN$59,$S63-AH63,
S63-AH63)))</f>
        <v>3660410.9912560885</v>
      </c>
      <c r="AO63" s="43">
        <f t="shared" si="20"/>
        <v>3108028.7354118288</v>
      </c>
      <c r="AP63" s="43">
        <f t="shared" si="21"/>
        <v>2629870.4684253936</v>
      </c>
      <c r="AQ63" s="43">
        <f t="shared" si="22"/>
        <v>2151712.2014389583</v>
      </c>
      <c r="AR63" s="43">
        <f t="shared" si="23"/>
        <v>1673553.934452523</v>
      </c>
      <c r="AT63" s="43">
        <f t="shared" si="24"/>
        <v>51281.905979899893</v>
      </c>
      <c r="AU63" s="43">
        <f t="shared" si="5"/>
        <v>54243.538614051067</v>
      </c>
      <c r="AV63" s="43">
        <f t="shared" si="5"/>
        <v>58348.68961636247</v>
      </c>
      <c r="AW63" s="43">
        <f t="shared" si="5"/>
        <v>59742.523113918127</v>
      </c>
      <c r="AX63" s="43">
        <f t="shared" si="5"/>
        <v>60515.113422827322</v>
      </c>
      <c r="AZ63" s="47">
        <f t="shared" si="25"/>
        <v>818712.63748277747</v>
      </c>
      <c r="BA63" s="47">
        <f t="shared" si="26"/>
        <v>709190.74272690096</v>
      </c>
      <c r="BB63" s="47">
        <f t="shared" si="27"/>
        <v>636442.03440296266</v>
      </c>
      <c r="BC63" s="47">
        <f t="shared" si="28"/>
        <v>619665.85375503381</v>
      </c>
      <c r="BD63" s="47">
        <f t="shared" si="29"/>
        <v>602268.42991845845</v>
      </c>
    </row>
    <row r="64" spans="2:56">
      <c r="B64" s="37">
        <f>'3. Input (des)investeringen '!B89</f>
        <v>1532</v>
      </c>
      <c r="C64" s="48"/>
      <c r="D64" s="48"/>
      <c r="E64" s="48"/>
      <c r="F64" s="42">
        <f>'3. Input (des)investeringen '!D89</f>
        <v>23504856.52408703</v>
      </c>
      <c r="G64" s="48"/>
      <c r="H64" s="37">
        <f>'3. Input (des)investeringen '!F89</f>
        <v>2020</v>
      </c>
      <c r="I64" s="42" t="str">
        <f>'3. Input (des)investeringen '!G89</f>
        <v>nvt</v>
      </c>
      <c r="J64" s="42">
        <f>'3. Input (des)investeringen '!H89</f>
        <v>15</v>
      </c>
      <c r="K64" s="42">
        <f>'3. Input (des)investeringen '!I89</f>
        <v>1</v>
      </c>
      <c r="M64" s="43">
        <f t="shared" si="7"/>
        <v>783495.21746956767</v>
      </c>
      <c r="N64" s="43">
        <f t="shared" si="8"/>
        <v>1592062.2818981616</v>
      </c>
      <c r="P64" s="138">
        <f t="shared" si="30"/>
        <v>22721361.306617461</v>
      </c>
      <c r="Q64" s="138">
        <f t="shared" si="9"/>
        <v>21492840.805625178</v>
      </c>
      <c r="S64" s="43">
        <f t="shared" si="10"/>
        <v>21492840.805625178</v>
      </c>
      <c r="T64" s="38">
        <f t="shared" si="11"/>
        <v>13.5</v>
      </c>
      <c r="V64" s="43">
        <f t="shared" si="12"/>
        <v>1862712.8698208488</v>
      </c>
      <c r="W64" s="43">
        <f t="shared" si="12"/>
        <v>1683340.5193936559</v>
      </c>
      <c r="X64" s="43">
        <f t="shared" si="0"/>
        <v>1521241.0619705631</v>
      </c>
      <c r="Y64" s="43">
        <f t="shared" si="0"/>
        <v>1374751.1819289534</v>
      </c>
      <c r="Z64" s="43">
        <f t="shared" si="0"/>
        <v>1358053.7991524884</v>
      </c>
      <c r="AB64" s="43">
        <f t="shared" si="13"/>
        <v>159206.22818981615</v>
      </c>
      <c r="AC64" s="43">
        <f t="shared" si="13"/>
        <v>159206.22818981615</v>
      </c>
      <c r="AD64" s="43">
        <f t="shared" si="1"/>
        <v>159206.22818981615</v>
      </c>
      <c r="AE64" s="43">
        <f t="shared" si="1"/>
        <v>159206.22818981615</v>
      </c>
      <c r="AF64" s="43">
        <f t="shared" si="1"/>
        <v>159206.22818981615</v>
      </c>
      <c r="AH64" s="43">
        <f t="shared" si="14"/>
        <v>2021919.098010665</v>
      </c>
      <c r="AI64" s="43">
        <f t="shared" si="15"/>
        <v>1842546.7475834722</v>
      </c>
      <c r="AJ64" s="43">
        <f t="shared" si="16"/>
        <v>1680447.2901603794</v>
      </c>
      <c r="AK64" s="43">
        <f t="shared" si="17"/>
        <v>1533957.4101187696</v>
      </c>
      <c r="AL64" s="43">
        <f t="shared" si="18"/>
        <v>1517260.0273423046</v>
      </c>
      <c r="AN64" s="43">
        <f t="shared" si="19"/>
        <v>19470921.707614511</v>
      </c>
      <c r="AO64" s="43">
        <f t="shared" si="20"/>
        <v>17628374.96003104</v>
      </c>
      <c r="AP64" s="43">
        <f t="shared" si="21"/>
        <v>15947927.66987066</v>
      </c>
      <c r="AQ64" s="43">
        <f t="shared" si="22"/>
        <v>14413970.25975189</v>
      </c>
      <c r="AR64" s="43">
        <f t="shared" si="23"/>
        <v>12896710.232409585</v>
      </c>
      <c r="AT64" s="43">
        <f t="shared" si="24"/>
        <v>241893.34332526184</v>
      </c>
      <c r="AU64" s="43">
        <f t="shared" si="5"/>
        <v>255863.16768898239</v>
      </c>
      <c r="AV64" s="43">
        <f t="shared" si="5"/>
        <v>275226.89221968455</v>
      </c>
      <c r="AW64" s="43">
        <f t="shared" si="5"/>
        <v>281801.51222102839</v>
      </c>
      <c r="AX64" s="43">
        <f t="shared" si="5"/>
        <v>285445.76937707077</v>
      </c>
      <c r="AZ64" s="47">
        <f t="shared" si="25"/>
        <v>2925823.7793948203</v>
      </c>
      <c r="BA64" s="47">
        <f t="shared" si="26"/>
        <v>2680146.2889534789</v>
      </c>
      <c r="BB64" s="47">
        <f t="shared" si="27"/>
        <v>2561695.4338351488</v>
      </c>
      <c r="BC64" s="47">
        <f t="shared" si="28"/>
        <v>2363489.7922103698</v>
      </c>
      <c r="BD64" s="47">
        <f t="shared" si="29"/>
        <v>2292780.7855509399</v>
      </c>
    </row>
    <row r="65" spans="2:56">
      <c r="B65" s="37">
        <f>'3. Input (des)investeringen '!B90</f>
        <v>1533</v>
      </c>
      <c r="C65" s="48"/>
      <c r="D65" s="48"/>
      <c r="E65" s="48"/>
      <c r="F65" s="42">
        <f>'3. Input (des)investeringen '!D90</f>
        <v>28868891.250722278</v>
      </c>
      <c r="G65" s="48"/>
      <c r="H65" s="37">
        <f>'3. Input (des)investeringen '!F90</f>
        <v>2020</v>
      </c>
      <c r="I65" s="42" t="str">
        <f>'3. Input (des)investeringen '!G90</f>
        <v>nvt</v>
      </c>
      <c r="J65" s="42">
        <f>'3. Input (des)investeringen '!H90</f>
        <v>30</v>
      </c>
      <c r="K65" s="42">
        <f>'3. Input (des)investeringen '!I90</f>
        <v>1</v>
      </c>
      <c r="M65" s="43">
        <f t="shared" si="7"/>
        <v>481148.18751203798</v>
      </c>
      <c r="N65" s="43">
        <f t="shared" si="8"/>
        <v>977693.11702446116</v>
      </c>
      <c r="P65" s="138">
        <f t="shared" si="30"/>
        <v>28387743.063210241</v>
      </c>
      <c r="Q65" s="138">
        <f t="shared" si="9"/>
        <v>27864253.835197143</v>
      </c>
      <c r="S65" s="43">
        <f t="shared" si="10"/>
        <v>27864253.835197143</v>
      </c>
      <c r="T65" s="38">
        <f t="shared" si="11"/>
        <v>28.5</v>
      </c>
      <c r="V65" s="43">
        <f t="shared" si="12"/>
        <v>1143900.9469186198</v>
      </c>
      <c r="W65" s="43">
        <f t="shared" si="12"/>
        <v>1091723.0089889986</v>
      </c>
      <c r="X65" s="43">
        <f t="shared" si="0"/>
        <v>1041925.1173509038</v>
      </c>
      <c r="Y65" s="43">
        <f t="shared" si="0"/>
        <v>994398.70848928369</v>
      </c>
      <c r="Z65" s="43">
        <f t="shared" si="0"/>
        <v>949040.17090907076</v>
      </c>
      <c r="AB65" s="43">
        <f t="shared" si="13"/>
        <v>97769.311702446124</v>
      </c>
      <c r="AC65" s="43">
        <f t="shared" si="13"/>
        <v>97769.311702446124</v>
      </c>
      <c r="AD65" s="43">
        <f t="shared" si="1"/>
        <v>97769.311702446124</v>
      </c>
      <c r="AE65" s="43">
        <f t="shared" si="1"/>
        <v>97769.311702446124</v>
      </c>
      <c r="AF65" s="43">
        <f t="shared" si="1"/>
        <v>97769.311702446124</v>
      </c>
      <c r="AH65" s="43">
        <f t="shared" si="14"/>
        <v>1241670.2586210659</v>
      </c>
      <c r="AI65" s="43">
        <f t="shared" si="15"/>
        <v>1189492.3206914447</v>
      </c>
      <c r="AJ65" s="43">
        <f t="shared" si="16"/>
        <v>1139694.4290533499</v>
      </c>
      <c r="AK65" s="43">
        <f t="shared" si="17"/>
        <v>1092168.0201917298</v>
      </c>
      <c r="AL65" s="43">
        <f t="shared" si="18"/>
        <v>1046809.4826115168</v>
      </c>
      <c r="AN65" s="43">
        <f t="shared" si="19"/>
        <v>26622583.576576076</v>
      </c>
      <c r="AO65" s="43">
        <f t="shared" si="20"/>
        <v>25433091.255884632</v>
      </c>
      <c r="AP65" s="43">
        <f t="shared" si="21"/>
        <v>24293396.826831281</v>
      </c>
      <c r="AQ65" s="43">
        <f t="shared" si="22"/>
        <v>23201228.806639552</v>
      </c>
      <c r="AR65" s="43">
        <f t="shared" si="23"/>
        <v>22154419.324028034</v>
      </c>
      <c r="AT65" s="43">
        <f t="shared" si="24"/>
        <v>297095.73489948589</v>
      </c>
      <c r="AU65" s="43">
        <f t="shared" si="5"/>
        <v>314253.60778140096</v>
      </c>
      <c r="AV65" s="43">
        <f t="shared" si="5"/>
        <v>338036.32081829745</v>
      </c>
      <c r="AW65" s="43">
        <f t="shared" si="5"/>
        <v>346111.33245000488</v>
      </c>
      <c r="AX65" s="43">
        <f t="shared" si="5"/>
        <v>350587.24420124845</v>
      </c>
      <c r="AZ65" s="47">
        <f t="shared" si="25"/>
        <v>2443933.8351241383</v>
      </c>
      <c r="BA65" s="47">
        <f t="shared" si="26"/>
        <v>2343037.9399170387</v>
      </c>
      <c r="BB65" s="47">
        <f t="shared" si="27"/>
        <v>2400879.8292912361</v>
      </c>
      <c r="BC65" s="47">
        <f t="shared" si="28"/>
        <v>2319926.0472940374</v>
      </c>
      <c r="BD65" s="47">
        <f t="shared" si="29"/>
        <v>2239264.6611258304</v>
      </c>
    </row>
    <row r="66" spans="2:56">
      <c r="B66" s="37">
        <f>'3. Input (des)investeringen '!B91</f>
        <v>1534</v>
      </c>
      <c r="C66" s="48"/>
      <c r="D66" s="48"/>
      <c r="E66" s="48"/>
      <c r="F66" s="42">
        <f>'3. Input (des)investeringen '!D91</f>
        <v>79913166.073822603</v>
      </c>
      <c r="G66" s="48"/>
      <c r="H66" s="37">
        <f>'3. Input (des)investeringen '!F91</f>
        <v>2020</v>
      </c>
      <c r="I66" s="42" t="str">
        <f>'3. Input (des)investeringen '!G91</f>
        <v>nvt</v>
      </c>
      <c r="J66" s="42">
        <f>'3. Input (des)investeringen '!H91</f>
        <v>55</v>
      </c>
      <c r="K66" s="42">
        <f>'3. Input (des)investeringen '!I91</f>
        <v>1</v>
      </c>
      <c r="M66" s="43">
        <f t="shared" si="7"/>
        <v>726483.32794384181</v>
      </c>
      <c r="N66" s="43">
        <f t="shared" si="8"/>
        <v>1476214.1223818865</v>
      </c>
      <c r="P66" s="138">
        <f t="shared" si="30"/>
        <v>79186682.745878756</v>
      </c>
      <c r="Q66" s="138">
        <f t="shared" si="9"/>
        <v>78977455.547430933</v>
      </c>
      <c r="S66" s="43">
        <f t="shared" si="10"/>
        <v>78977455.547430933</v>
      </c>
      <c r="T66" s="38">
        <f t="shared" si="11"/>
        <v>53.5</v>
      </c>
      <c r="V66" s="43">
        <f t="shared" si="12"/>
        <v>1727170.5231868073</v>
      </c>
      <c r="W66" s="43">
        <f t="shared" si="12"/>
        <v>1685201.893651427</v>
      </c>
      <c r="X66" s="43">
        <f t="shared" si="0"/>
        <v>1644253.0625907381</v>
      </c>
      <c r="Y66" s="43">
        <f t="shared" si="0"/>
        <v>1604299.2498548883</v>
      </c>
      <c r="Z66" s="43">
        <f t="shared" si="0"/>
        <v>1565316.277428508</v>
      </c>
      <c r="AB66" s="43">
        <f t="shared" si="13"/>
        <v>147621.41223818867</v>
      </c>
      <c r="AC66" s="43">
        <f t="shared" si="13"/>
        <v>147621.41223818867</v>
      </c>
      <c r="AD66" s="43">
        <f t="shared" si="1"/>
        <v>147621.41223818867</v>
      </c>
      <c r="AE66" s="43">
        <f t="shared" si="1"/>
        <v>147621.41223818867</v>
      </c>
      <c r="AF66" s="43">
        <f t="shared" si="1"/>
        <v>147621.41223818867</v>
      </c>
      <c r="AH66" s="43">
        <f t="shared" si="14"/>
        <v>1874791.9354249961</v>
      </c>
      <c r="AI66" s="43">
        <f t="shared" si="15"/>
        <v>1832823.3058896158</v>
      </c>
      <c r="AJ66" s="43">
        <f t="shared" si="16"/>
        <v>1791874.4748289268</v>
      </c>
      <c r="AK66" s="43">
        <f t="shared" si="17"/>
        <v>1751920.6620930769</v>
      </c>
      <c r="AL66" s="43">
        <f t="shared" si="18"/>
        <v>1712937.6896666968</v>
      </c>
      <c r="AN66" s="43">
        <f t="shared" si="19"/>
        <v>77102663.612005934</v>
      </c>
      <c r="AO66" s="43">
        <f t="shared" si="20"/>
        <v>75269840.306116313</v>
      </c>
      <c r="AP66" s="43">
        <f t="shared" si="21"/>
        <v>73477965.831287384</v>
      </c>
      <c r="AQ66" s="43">
        <f t="shared" si="22"/>
        <v>71726045.169194311</v>
      </c>
      <c r="AR66" s="43">
        <f t="shared" si="23"/>
        <v>70013107.479527608</v>
      </c>
      <c r="AT66" s="43">
        <f t="shared" si="24"/>
        <v>822402.93181515869</v>
      </c>
      <c r="AU66" s="43">
        <f t="shared" si="5"/>
        <v>869898.34593334782</v>
      </c>
      <c r="AV66" s="43">
        <f t="shared" si="5"/>
        <v>935732.25275358383</v>
      </c>
      <c r="AW66" s="43">
        <f t="shared" si="5"/>
        <v>958085.02480736142</v>
      </c>
      <c r="AX66" s="43">
        <f t="shared" si="5"/>
        <v>970474.98034817015</v>
      </c>
      <c r="AZ66" s="47">
        <f t="shared" si="25"/>
        <v>5318685.4300483568</v>
      </c>
      <c r="BA66" s="47">
        <f t="shared" si="26"/>
        <v>5186626.3819248024</v>
      </c>
      <c r="BB66" s="47">
        <f t="shared" si="27"/>
        <v>5519769.4291714309</v>
      </c>
      <c r="BC66" s="47">
        <f t="shared" si="28"/>
        <v>5435595.4033298232</v>
      </c>
      <c r="BD66" s="47">
        <f t="shared" si="29"/>
        <v>5343910.7542369161</v>
      </c>
    </row>
    <row r="67" spans="2:56">
      <c r="B67" s="37">
        <f>'3. Input (des)investeringen '!B92</f>
        <v>1535</v>
      </c>
      <c r="C67" s="48"/>
      <c r="D67" s="48"/>
      <c r="E67" s="48"/>
      <c r="F67" s="42">
        <f>'3. Input (des)investeringen '!D92</f>
        <v>-30502.390165910823</v>
      </c>
      <c r="G67" s="48"/>
      <c r="H67" s="37">
        <f>'3. Input (des)investeringen '!F92</f>
        <v>2020</v>
      </c>
      <c r="I67" s="42" t="str">
        <f>'3. Input (des)investeringen '!G92</f>
        <v>nvt</v>
      </c>
      <c r="J67" s="42">
        <f>'3. Input (des)investeringen '!H92</f>
        <v>0</v>
      </c>
      <c r="K67" s="42">
        <f>'3. Input (des)investeringen '!I92</f>
        <v>0</v>
      </c>
      <c r="M67" s="43">
        <f t="shared" si="7"/>
        <v>0</v>
      </c>
      <c r="N67" s="43">
        <f t="shared" si="8"/>
        <v>0</v>
      </c>
      <c r="P67" s="138">
        <f>IF($J67=0,IF($H67=M$59,$F67,0),IF(OR($H67&gt;P$59,$H67+$J67&lt;=P$59),0,
F67-M67))</f>
        <v>-30502.390165910823</v>
      </c>
      <c r="Q67" s="138">
        <f t="shared" si="9"/>
        <v>-30990.428408565396</v>
      </c>
      <c r="S67" s="43">
        <f t="shared" si="10"/>
        <v>-30990.428408565396</v>
      </c>
      <c r="T67" s="38">
        <f t="shared" si="11"/>
        <v>0</v>
      </c>
      <c r="V67" s="43">
        <f t="shared" si="12"/>
        <v>0</v>
      </c>
      <c r="W67" s="43">
        <f t="shared" si="12"/>
        <v>0</v>
      </c>
      <c r="X67" s="43">
        <f t="shared" si="0"/>
        <v>0</v>
      </c>
      <c r="Y67" s="43">
        <f t="shared" si="0"/>
        <v>0</v>
      </c>
      <c r="Z67" s="43">
        <f t="shared" si="0"/>
        <v>0</v>
      </c>
      <c r="AB67" s="43">
        <f t="shared" si="13"/>
        <v>0</v>
      </c>
      <c r="AC67" s="43">
        <f t="shared" si="13"/>
        <v>0</v>
      </c>
      <c r="AD67" s="43">
        <f t="shared" si="1"/>
        <v>0</v>
      </c>
      <c r="AE67" s="43">
        <f t="shared" si="1"/>
        <v>0</v>
      </c>
      <c r="AF67" s="43">
        <f t="shared" si="1"/>
        <v>0</v>
      </c>
      <c r="AH67" s="43">
        <f t="shared" si="14"/>
        <v>0</v>
      </c>
      <c r="AI67" s="43">
        <f t="shared" si="15"/>
        <v>0</v>
      </c>
      <c r="AJ67" s="43">
        <f t="shared" si="16"/>
        <v>0</v>
      </c>
      <c r="AK67" s="43">
        <f t="shared" si="17"/>
        <v>0</v>
      </c>
      <c r="AL67" s="43">
        <f t="shared" si="18"/>
        <v>0</v>
      </c>
      <c r="AN67" s="43">
        <f t="shared" si="19"/>
        <v>-30990.428408565396</v>
      </c>
      <c r="AO67" s="43">
        <f t="shared" si="20"/>
        <v>-30990.428408565396</v>
      </c>
      <c r="AP67" s="43">
        <f t="shared" si="21"/>
        <v>-30990.428408565396</v>
      </c>
      <c r="AQ67" s="43">
        <f t="shared" si="22"/>
        <v>-30990.428408565396</v>
      </c>
      <c r="AR67" s="43">
        <f t="shared" si="23"/>
        <v>-30990.428408565396</v>
      </c>
      <c r="AT67" s="43">
        <f t="shared" si="24"/>
        <v>-313.90641032344456</v>
      </c>
      <c r="AU67" s="43">
        <f t="shared" si="5"/>
        <v>-332.03513333244416</v>
      </c>
      <c r="AV67" s="43">
        <f t="shared" si="5"/>
        <v>-357.16355222304361</v>
      </c>
      <c r="AW67" s="43">
        <f t="shared" si="5"/>
        <v>-365.69547515854771</v>
      </c>
      <c r="AX67" s="43">
        <f t="shared" si="5"/>
        <v>-370.42464904329796</v>
      </c>
      <c r="AZ67" s="47">
        <f t="shared" si="25"/>
        <v>-1367.580976214668</v>
      </c>
      <c r="BA67" s="47">
        <f>(AI67+AO67*K$16+AU67)*IF($K67=1,$F$25,1)</f>
        <v>-1354.7192708151024</v>
      </c>
      <c r="BB67" s="47">
        <f t="shared" si="27"/>
        <v>-1534.7998317485285</v>
      </c>
      <c r="BC67" s="47">
        <f t="shared" si="28"/>
        <v>-1543.3317546840326</v>
      </c>
      <c r="BD67" s="47">
        <f t="shared" si="29"/>
        <v>-1548.0609285687829</v>
      </c>
    </row>
    <row r="68" spans="2:56">
      <c r="B68" s="37">
        <f>'3. Input (des)investeringen '!B93</f>
        <v>1536</v>
      </c>
      <c r="C68" s="48"/>
      <c r="D68" s="48"/>
      <c r="E68" s="48"/>
      <c r="F68" s="42">
        <f>'3. Input (des)investeringen '!D93</f>
        <v>429610.71824132768</v>
      </c>
      <c r="G68" s="48"/>
      <c r="H68" s="37">
        <f>'3. Input (des)investeringen '!F93</f>
        <v>2020</v>
      </c>
      <c r="I68" s="42" t="str">
        <f>'3. Input (des)investeringen '!G93</f>
        <v>nvt</v>
      </c>
      <c r="J68" s="42">
        <f>'3. Input (des)investeringen '!H93</f>
        <v>5</v>
      </c>
      <c r="K68" s="42">
        <f>'3. Input (des)investeringen '!I93</f>
        <v>0</v>
      </c>
      <c r="M68" s="43">
        <f t="shared" si="7"/>
        <v>42961.07182413277</v>
      </c>
      <c r="N68" s="43">
        <f t="shared" si="8"/>
        <v>87296.897946637793</v>
      </c>
      <c r="P68" s="138">
        <f t="shared" si="30"/>
        <v>386649.64641719492</v>
      </c>
      <c r="Q68" s="138">
        <f t="shared" si="9"/>
        <v>305539.14281323226</v>
      </c>
      <c r="S68" s="43">
        <f t="shared" si="10"/>
        <v>305539.14281323226</v>
      </c>
      <c r="T68" s="38">
        <f t="shared" si="11"/>
        <v>3.5</v>
      </c>
      <c r="V68" s="43">
        <f t="shared" si="12"/>
        <v>102137.37059756623</v>
      </c>
      <c r="W68" s="43">
        <f t="shared" si="12"/>
        <v>69139.143173737131</v>
      </c>
      <c r="X68" s="43">
        <f t="shared" si="0"/>
        <v>69139.143173737131</v>
      </c>
      <c r="Y68" s="43">
        <f t="shared" si="0"/>
        <v>34569.571586868566</v>
      </c>
      <c r="Z68" s="43">
        <f t="shared" si="0"/>
        <v>0</v>
      </c>
      <c r="AB68" s="43">
        <f t="shared" si="13"/>
        <v>8729.68979466378</v>
      </c>
      <c r="AC68" s="43">
        <f t="shared" si="13"/>
        <v>8729.68979466378</v>
      </c>
      <c r="AD68" s="43">
        <f t="shared" si="1"/>
        <v>8729.68979466378</v>
      </c>
      <c r="AE68" s="43">
        <f t="shared" si="1"/>
        <v>4364.84489733189</v>
      </c>
      <c r="AF68" s="43">
        <f t="shared" si="1"/>
        <v>0</v>
      </c>
      <c r="AH68" s="43">
        <f t="shared" si="14"/>
        <v>110867.06039223001</v>
      </c>
      <c r="AI68" s="43">
        <f t="shared" si="15"/>
        <v>77868.832968400908</v>
      </c>
      <c r="AJ68" s="43">
        <f t="shared" si="16"/>
        <v>77868.832968400908</v>
      </c>
      <c r="AK68" s="43">
        <f t="shared" si="17"/>
        <v>38934.416484200454</v>
      </c>
      <c r="AL68" s="43">
        <f t="shared" si="18"/>
        <v>0</v>
      </c>
      <c r="AN68" s="43">
        <f t="shared" si="19"/>
        <v>194672.08242100227</v>
      </c>
      <c r="AO68" s="43">
        <f t="shared" si="20"/>
        <v>116803.24945260136</v>
      </c>
      <c r="AP68" s="43">
        <f t="shared" si="21"/>
        <v>38934.416484200454</v>
      </c>
      <c r="AQ68" s="43">
        <f t="shared" si="22"/>
        <v>0</v>
      </c>
      <c r="AR68" s="43">
        <f t="shared" si="23"/>
        <v>0</v>
      </c>
      <c r="AT68" s="43">
        <f t="shared" si="24"/>
        <v>4421.2128186048667</v>
      </c>
      <c r="AU68" s="43">
        <f t="shared" si="5"/>
        <v>4676.5467013049347</v>
      </c>
      <c r="AV68" s="43">
        <f t="shared" si="5"/>
        <v>5030.4677556596935</v>
      </c>
      <c r="AW68" s="43">
        <f t="shared" si="5"/>
        <v>5150.6355694068916</v>
      </c>
      <c r="AX68" s="43">
        <f t="shared" si="5"/>
        <v>5217.2435885904606</v>
      </c>
      <c r="AZ68" s="47">
        <f t="shared" si="25"/>
        <v>121907.12401314895</v>
      </c>
      <c r="BA68" s="47">
        <f t="shared" si="26"/>
        <v>86399.886901641687</v>
      </c>
      <c r="BB68" s="47">
        <f t="shared" si="27"/>
        <v>84378.808550460206</v>
      </c>
      <c r="BC68" s="47">
        <f t="shared" si="28"/>
        <v>44085.052053607345</v>
      </c>
      <c r="BD68" s="47">
        <f t="shared" si="29"/>
        <v>5217.2435885904606</v>
      </c>
    </row>
    <row r="69" spans="2:56">
      <c r="B69" s="37">
        <f>'3. Input (des)investeringen '!B94</f>
        <v>1537</v>
      </c>
      <c r="C69" s="48"/>
      <c r="D69" s="48"/>
      <c r="E69" s="48"/>
      <c r="F69" s="42">
        <f>'3. Input (des)investeringen '!D94</f>
        <v>1540614.7503467209</v>
      </c>
      <c r="G69" s="48"/>
      <c r="H69" s="37">
        <f>'3. Input (des)investeringen '!F94</f>
        <v>2020</v>
      </c>
      <c r="I69" s="42" t="str">
        <f>'3. Input (des)investeringen '!G94</f>
        <v>nvt</v>
      </c>
      <c r="J69" s="42">
        <f>'3. Input (des)investeringen '!H94</f>
        <v>10</v>
      </c>
      <c r="K69" s="42">
        <f>'3. Input (des)investeringen '!I94</f>
        <v>0</v>
      </c>
      <c r="M69" s="43">
        <f t="shared" si="7"/>
        <v>77030.737517336049</v>
      </c>
      <c r="N69" s="43">
        <f t="shared" si="8"/>
        <v>156526.45863522682</v>
      </c>
      <c r="P69" s="138">
        <f t="shared" si="30"/>
        <v>1463584.0128293848</v>
      </c>
      <c r="Q69" s="138">
        <f t="shared" si="9"/>
        <v>1330474.8983994282</v>
      </c>
      <c r="S69" s="43">
        <f t="shared" si="10"/>
        <v>1330474.8983994282</v>
      </c>
      <c r="T69" s="38">
        <f t="shared" si="11"/>
        <v>8.5</v>
      </c>
      <c r="V69" s="43">
        <f t="shared" si="12"/>
        <v>183135.95660321543</v>
      </c>
      <c r="W69" s="43">
        <f t="shared" si="12"/>
        <v>155126.92794625307</v>
      </c>
      <c r="X69" s="43">
        <f t="shared" si="0"/>
        <v>132179.15754000258</v>
      </c>
      <c r="Y69" s="43">
        <f t="shared" si="0"/>
        <v>132179.15754000258</v>
      </c>
      <c r="Z69" s="43">
        <f t="shared" si="0"/>
        <v>132179.15754000258</v>
      </c>
      <c r="AB69" s="43">
        <f t="shared" si="13"/>
        <v>15652.645863522686</v>
      </c>
      <c r="AC69" s="43">
        <f t="shared" si="13"/>
        <v>15652.645863522686</v>
      </c>
      <c r="AD69" s="43">
        <f t="shared" si="1"/>
        <v>15652.645863522686</v>
      </c>
      <c r="AE69" s="43">
        <f t="shared" si="1"/>
        <v>15652.645863522686</v>
      </c>
      <c r="AF69" s="43">
        <f t="shared" si="1"/>
        <v>15652.645863522686</v>
      </c>
      <c r="AH69" s="43">
        <f t="shared" si="14"/>
        <v>198788.60246673811</v>
      </c>
      <c r="AI69" s="43">
        <f t="shared" si="15"/>
        <v>170779.57380977576</v>
      </c>
      <c r="AJ69" s="43">
        <f t="shared" si="16"/>
        <v>147831.80340352526</v>
      </c>
      <c r="AK69" s="43">
        <f t="shared" si="17"/>
        <v>147831.80340352526</v>
      </c>
      <c r="AL69" s="43">
        <f t="shared" si="18"/>
        <v>147831.80340352526</v>
      </c>
      <c r="AN69" s="43">
        <f t="shared" si="19"/>
        <v>1131686.2959326901</v>
      </c>
      <c r="AO69" s="43">
        <f t="shared" si="20"/>
        <v>960906.72212291439</v>
      </c>
      <c r="AP69" s="43">
        <f t="shared" si="21"/>
        <v>813074.91871938913</v>
      </c>
      <c r="AQ69" s="43">
        <f t="shared" si="22"/>
        <v>665243.11531586386</v>
      </c>
      <c r="AR69" s="43">
        <f t="shared" si="23"/>
        <v>517411.3119123386</v>
      </c>
      <c r="AT69" s="43">
        <f t="shared" si="24"/>
        <v>15854.785259194721</v>
      </c>
      <c r="AU69" s="43">
        <f t="shared" si="5"/>
        <v>16770.430817483735</v>
      </c>
      <c r="AV69" s="43">
        <f t="shared" si="5"/>
        <v>18039.617021750906</v>
      </c>
      <c r="AW69" s="43">
        <f t="shared" si="5"/>
        <v>18470.547393166493</v>
      </c>
      <c r="AX69" s="43">
        <f t="shared" si="5"/>
        <v>18709.408512054921</v>
      </c>
      <c r="AZ69" s="47">
        <f t="shared" si="25"/>
        <v>253120.72178764432</v>
      </c>
      <c r="BA69" s="47">
        <f t="shared" si="26"/>
        <v>219259.92645731568</v>
      </c>
      <c r="BB69" s="47">
        <f t="shared" si="27"/>
        <v>196768.26733661297</v>
      </c>
      <c r="BC69" s="47">
        <f t="shared" si="28"/>
        <v>191581.58917869459</v>
      </c>
      <c r="BD69" s="47">
        <f t="shared" si="29"/>
        <v>186202.84176824905</v>
      </c>
    </row>
    <row r="70" spans="2:56">
      <c r="B70" s="37">
        <f>'3. Input (des)investeringen '!B95</f>
        <v>1538</v>
      </c>
      <c r="C70" s="48"/>
      <c r="D70" s="48"/>
      <c r="E70" s="48"/>
      <c r="F70" s="42">
        <f>'3. Input (des)investeringen '!D95</f>
        <v>4629744.6502016177</v>
      </c>
      <c r="G70" s="48"/>
      <c r="H70" s="37">
        <f>'3. Input (des)investeringen '!F95</f>
        <v>2020</v>
      </c>
      <c r="I70" s="42" t="str">
        <f>'3. Input (des)investeringen '!G95</f>
        <v>nvt</v>
      </c>
      <c r="J70" s="42">
        <f>'3. Input (des)investeringen '!H95</f>
        <v>15</v>
      </c>
      <c r="K70" s="42">
        <f>'3. Input (des)investeringen '!I95</f>
        <v>0</v>
      </c>
      <c r="M70" s="43">
        <f t="shared" si="7"/>
        <v>154324.82167338725</v>
      </c>
      <c r="N70" s="43">
        <f t="shared" si="8"/>
        <v>313588.03764032293</v>
      </c>
      <c r="P70" s="138">
        <f t="shared" si="30"/>
        <v>4475419.8285282301</v>
      </c>
      <c r="Q70" s="138">
        <f t="shared" si="9"/>
        <v>4233438.5081443591</v>
      </c>
      <c r="S70" s="43">
        <f t="shared" si="10"/>
        <v>4233438.5081443591</v>
      </c>
      <c r="T70" s="38">
        <f t="shared" si="11"/>
        <v>13.5</v>
      </c>
      <c r="V70" s="43">
        <f t="shared" si="12"/>
        <v>366898.00403917785</v>
      </c>
      <c r="W70" s="43">
        <f t="shared" si="12"/>
        <v>331567.08513170143</v>
      </c>
      <c r="X70" s="43">
        <f t="shared" si="0"/>
        <v>299638.40285975981</v>
      </c>
      <c r="Y70" s="43">
        <f t="shared" si="0"/>
        <v>270784.33443622739</v>
      </c>
      <c r="Z70" s="43">
        <f t="shared" si="0"/>
        <v>267495.45588032174</v>
      </c>
      <c r="AB70" s="43">
        <f t="shared" si="13"/>
        <v>31358.803764032291</v>
      </c>
      <c r="AC70" s="43">
        <f t="shared" si="13"/>
        <v>31358.803764032291</v>
      </c>
      <c r="AD70" s="43">
        <f t="shared" si="1"/>
        <v>31358.803764032291</v>
      </c>
      <c r="AE70" s="43">
        <f t="shared" si="1"/>
        <v>31358.803764032291</v>
      </c>
      <c r="AF70" s="43">
        <f t="shared" si="1"/>
        <v>31358.803764032291</v>
      </c>
      <c r="AH70" s="43">
        <f t="shared" si="14"/>
        <v>398256.80780321016</v>
      </c>
      <c r="AI70" s="43">
        <f t="shared" si="15"/>
        <v>362925.88889573375</v>
      </c>
      <c r="AJ70" s="43">
        <f t="shared" si="16"/>
        <v>330997.20662379212</v>
      </c>
      <c r="AK70" s="43">
        <f t="shared" si="17"/>
        <v>302143.13820025971</v>
      </c>
      <c r="AL70" s="43">
        <f t="shared" si="18"/>
        <v>298854.25964435405</v>
      </c>
      <c r="AN70" s="43">
        <f t="shared" si="19"/>
        <v>3835181.7003411488</v>
      </c>
      <c r="AO70" s="43">
        <f t="shared" si="20"/>
        <v>3472255.811445415</v>
      </c>
      <c r="AP70" s="43">
        <f t="shared" si="21"/>
        <v>3141258.6048216228</v>
      </c>
      <c r="AQ70" s="43">
        <f t="shared" si="22"/>
        <v>2839115.4666213631</v>
      </c>
      <c r="AR70" s="43">
        <f t="shared" si="23"/>
        <v>2540261.2069770088</v>
      </c>
      <c r="AT70" s="43">
        <f t="shared" si="24"/>
        <v>47645.660420512315</v>
      </c>
      <c r="AU70" s="43">
        <f t="shared" si="5"/>
        <v>50397.292601117748</v>
      </c>
      <c r="AV70" s="43">
        <f t="shared" si="5"/>
        <v>54211.359705170347</v>
      </c>
      <c r="AW70" s="43">
        <f t="shared" si="5"/>
        <v>55506.360665807457</v>
      </c>
      <c r="AX70" s="43">
        <f t="shared" si="5"/>
        <v>56224.168921937671</v>
      </c>
      <c r="AZ70" s="47">
        <f t="shared" si="25"/>
        <v>576298.64603532152</v>
      </c>
      <c r="BA70" s="47">
        <f t="shared" si="26"/>
        <v>527907.62327455019</v>
      </c>
      <c r="BB70" s="47">
        <f t="shared" si="27"/>
        <v>504576.39331218408</v>
      </c>
      <c r="BC70" s="47">
        <f t="shared" si="28"/>
        <v>465535.88659767894</v>
      </c>
      <c r="BD70" s="47">
        <f t="shared" si="29"/>
        <v>451608.35443141812</v>
      </c>
    </row>
    <row r="71" spans="2:56">
      <c r="B71" s="37">
        <f>'3. Input (des)investeringen '!B96</f>
        <v>1539</v>
      </c>
      <c r="C71" s="48"/>
      <c r="D71" s="48"/>
      <c r="E71" s="48"/>
      <c r="F71" s="42">
        <f>'3. Input (des)investeringen '!D96</f>
        <v>26259145.971940324</v>
      </c>
      <c r="G71" s="48"/>
      <c r="H71" s="37">
        <f>'3. Input (des)investeringen '!F96</f>
        <v>2020</v>
      </c>
      <c r="I71" s="42" t="str">
        <f>'3. Input (des)investeringen '!G96</f>
        <v>nvt</v>
      </c>
      <c r="J71" s="42">
        <f>'3. Input (des)investeringen '!H96</f>
        <v>30</v>
      </c>
      <c r="K71" s="42">
        <f>'3. Input (des)investeringen '!I96</f>
        <v>0</v>
      </c>
      <c r="M71" s="43">
        <f t="shared" si="7"/>
        <v>437652.43286567205</v>
      </c>
      <c r="N71" s="43">
        <f t="shared" si="8"/>
        <v>889309.74358304567</v>
      </c>
      <c r="P71" s="138">
        <f t="shared" si="30"/>
        <v>25821493.539074652</v>
      </c>
      <c r="Q71" s="138">
        <f t="shared" si="9"/>
        <v>25345327.692116801</v>
      </c>
      <c r="S71" s="43">
        <f t="shared" si="10"/>
        <v>25345327.692116801</v>
      </c>
      <c r="T71" s="38">
        <f t="shared" si="11"/>
        <v>28.5</v>
      </c>
      <c r="V71" s="43">
        <f t="shared" si="12"/>
        <v>1040492.3999921635</v>
      </c>
      <c r="W71" s="43">
        <f t="shared" si="12"/>
        <v>993031.34315041569</v>
      </c>
      <c r="X71" s="43">
        <f t="shared" si="0"/>
        <v>947735.17662074766</v>
      </c>
      <c r="Y71" s="43">
        <f t="shared" si="0"/>
        <v>904505.1510205029</v>
      </c>
      <c r="Z71" s="43">
        <f t="shared" si="0"/>
        <v>863247.02132483083</v>
      </c>
      <c r="AB71" s="43">
        <f t="shared" si="13"/>
        <v>88930.974358304564</v>
      </c>
      <c r="AC71" s="43">
        <f t="shared" si="13"/>
        <v>88930.974358304578</v>
      </c>
      <c r="AD71" s="43">
        <f t="shared" si="1"/>
        <v>88930.974358304578</v>
      </c>
      <c r="AE71" s="43">
        <f t="shared" si="1"/>
        <v>88930.974358304578</v>
      </c>
      <c r="AF71" s="43">
        <f t="shared" si="1"/>
        <v>88930.974358304578</v>
      </c>
      <c r="AH71" s="43">
        <f t="shared" si="14"/>
        <v>1129423.3743504682</v>
      </c>
      <c r="AI71" s="43">
        <f t="shared" si="15"/>
        <v>1081962.3175087203</v>
      </c>
      <c r="AJ71" s="43">
        <f t="shared" si="16"/>
        <v>1036666.1509790523</v>
      </c>
      <c r="AK71" s="43">
        <f t="shared" si="17"/>
        <v>993436.12537880754</v>
      </c>
      <c r="AL71" s="43">
        <f t="shared" si="18"/>
        <v>952177.99568313546</v>
      </c>
      <c r="AN71" s="43">
        <f t="shared" si="19"/>
        <v>24215904.317766331</v>
      </c>
      <c r="AO71" s="43">
        <f t="shared" si="20"/>
        <v>23133942.000257611</v>
      </c>
      <c r="AP71" s="43">
        <f t="shared" si="21"/>
        <v>22097275.849278558</v>
      </c>
      <c r="AQ71" s="43">
        <f t="shared" si="22"/>
        <v>21103839.723899752</v>
      </c>
      <c r="AR71" s="43">
        <f t="shared" si="23"/>
        <v>20151661.728216618</v>
      </c>
      <c r="AT71" s="43">
        <f t="shared" si="24"/>
        <v>270238.30609259364</v>
      </c>
      <c r="AU71" s="43">
        <f t="shared" si="5"/>
        <v>285845.10874605313</v>
      </c>
      <c r="AV71" s="43">
        <f t="shared" si="5"/>
        <v>307477.86657595442</v>
      </c>
      <c r="AW71" s="43">
        <f t="shared" si="5"/>
        <v>314822.89785272087</v>
      </c>
      <c r="AX71" s="43">
        <f t="shared" si="5"/>
        <v>318894.1875677522</v>
      </c>
      <c r="AZ71" s="47">
        <f t="shared" si="25"/>
        <v>2223002.4272471173</v>
      </c>
      <c r="BA71" s="47">
        <f t="shared" si="26"/>
        <v>2131227.5122632748</v>
      </c>
      <c r="BB71" s="47">
        <f t="shared" si="27"/>
        <v>2183840.4998275917</v>
      </c>
      <c r="BC71" s="47">
        <f t="shared" si="28"/>
        <v>2110204.9327397188</v>
      </c>
      <c r="BD71" s="47">
        <f t="shared" si="29"/>
        <v>2036835.3289231192</v>
      </c>
    </row>
    <row r="72" spans="2:56">
      <c r="B72" s="37">
        <f>'3. Input (des)investeringen '!B97</f>
        <v>1540</v>
      </c>
      <c r="C72" s="48"/>
      <c r="D72" s="48"/>
      <c r="E72" s="48"/>
      <c r="F72" s="42">
        <f>'3. Input (des)investeringen '!D97</f>
        <v>37094.77163904941</v>
      </c>
      <c r="G72" s="48"/>
      <c r="H72" s="37">
        <f>'3. Input (des)investeringen '!F97</f>
        <v>2020</v>
      </c>
      <c r="I72" s="42" t="str">
        <f>'3. Input (des)investeringen '!G97</f>
        <v>nvt</v>
      </c>
      <c r="J72" s="42">
        <f>'3. Input (des)investeringen '!H97</f>
        <v>55</v>
      </c>
      <c r="K72" s="42">
        <f>'3. Input (des)investeringen '!I97</f>
        <v>0</v>
      </c>
      <c r="M72" s="43">
        <f t="shared" si="7"/>
        <v>337.22519671863103</v>
      </c>
      <c r="N72" s="43">
        <f t="shared" si="8"/>
        <v>685.24159973225824</v>
      </c>
      <c r="P72" s="138">
        <f t="shared" si="30"/>
        <v>36757.546442330779</v>
      </c>
      <c r="Q72" s="138">
        <f t="shared" si="9"/>
        <v>36660.42558567581</v>
      </c>
      <c r="S72" s="43">
        <f t="shared" si="10"/>
        <v>36660.42558567581</v>
      </c>
      <c r="T72" s="38">
        <f t="shared" si="11"/>
        <v>53.5</v>
      </c>
      <c r="V72" s="43">
        <f t="shared" si="12"/>
        <v>801.73267168674215</v>
      </c>
      <c r="W72" s="43">
        <f t="shared" si="12"/>
        <v>782.25131704762498</v>
      </c>
      <c r="X72" s="43">
        <f t="shared" si="0"/>
        <v>763.24334111936491</v>
      </c>
      <c r="Y72" s="43">
        <f t="shared" si="0"/>
        <v>744.69724124169818</v>
      </c>
      <c r="Z72" s="43">
        <f t="shared" si="0"/>
        <v>726.60179425825504</v>
      </c>
      <c r="AB72" s="43">
        <f t="shared" si="13"/>
        <v>68.524159973225821</v>
      </c>
      <c r="AC72" s="43">
        <f t="shared" si="13"/>
        <v>68.524159973225821</v>
      </c>
      <c r="AD72" s="43">
        <f t="shared" si="1"/>
        <v>68.524159973225821</v>
      </c>
      <c r="AE72" s="43">
        <f t="shared" si="1"/>
        <v>68.524159973225821</v>
      </c>
      <c r="AF72" s="43">
        <f t="shared" si="1"/>
        <v>68.524159973225821</v>
      </c>
      <c r="AH72" s="43">
        <f t="shared" si="14"/>
        <v>870.25683165996793</v>
      </c>
      <c r="AI72" s="43">
        <f t="shared" si="15"/>
        <v>850.77547702085076</v>
      </c>
      <c r="AJ72" s="43">
        <f t="shared" si="16"/>
        <v>831.76750109259069</v>
      </c>
      <c r="AK72" s="43">
        <f t="shared" si="17"/>
        <v>813.22140121492396</v>
      </c>
      <c r="AL72" s="43">
        <f t="shared" si="18"/>
        <v>795.12595423148082</v>
      </c>
      <c r="AN72" s="43">
        <f t="shared" si="19"/>
        <v>35790.168754015845</v>
      </c>
      <c r="AO72" s="43">
        <f t="shared" si="20"/>
        <v>34939.393276994997</v>
      </c>
      <c r="AP72" s="43">
        <f t="shared" si="21"/>
        <v>34107.625775902408</v>
      </c>
      <c r="AQ72" s="43">
        <f t="shared" si="22"/>
        <v>33294.404374687481</v>
      </c>
      <c r="AR72" s="43">
        <f t="shared" si="23"/>
        <v>32499.278420456001</v>
      </c>
      <c r="AT72" s="43">
        <f t="shared" si="24"/>
        <v>381.74997249872774</v>
      </c>
      <c r="AU72" s="43">
        <f t="shared" si="5"/>
        <v>403.79679691047426</v>
      </c>
      <c r="AV72" s="43">
        <f t="shared" si="5"/>
        <v>434.35613850065903</v>
      </c>
      <c r="AW72" s="43">
        <f t="shared" si="5"/>
        <v>444.73203793716266</v>
      </c>
      <c r="AX72" s="43">
        <f t="shared" si="5"/>
        <v>450.48331265176608</v>
      </c>
      <c r="AZ72" s="47">
        <f t="shared" si="25"/>
        <v>2468.8725417952346</v>
      </c>
      <c r="BA72" s="47">
        <f t="shared" si="26"/>
        <v>2407.5722520721597</v>
      </c>
      <c r="BB72" s="47">
        <f t="shared" si="27"/>
        <v>2562.2134190775414</v>
      </c>
      <c r="BC72" s="47">
        <f t="shared" si="28"/>
        <v>2523.140805390211</v>
      </c>
      <c r="BD72" s="47">
        <f t="shared" si="29"/>
        <v>2480.5818468605748</v>
      </c>
    </row>
    <row r="73" spans="2:56">
      <c r="B73" s="37">
        <f>'3. Input (des)investeringen '!B98</f>
        <v>1541</v>
      </c>
      <c r="C73" s="48"/>
      <c r="D73" s="48"/>
      <c r="E73" s="48"/>
      <c r="F73" s="42">
        <f>'3. Input (des)investeringen '!D98</f>
        <v>0</v>
      </c>
      <c r="G73" s="48"/>
      <c r="H73" s="37">
        <f>'3. Input (des)investeringen '!F98</f>
        <v>2020</v>
      </c>
      <c r="I73" s="42" t="str">
        <f>'3. Input (des)investeringen '!G98</f>
        <v>nvt</v>
      </c>
      <c r="J73" s="42">
        <f>'3. Input (des)investeringen '!H98</f>
        <v>0</v>
      </c>
      <c r="K73" s="42">
        <f>'3. Input (des)investeringen '!I98</f>
        <v>0</v>
      </c>
      <c r="M73" s="43">
        <f t="shared" si="7"/>
        <v>0</v>
      </c>
      <c r="N73" s="43">
        <f t="shared" si="8"/>
        <v>0</v>
      </c>
      <c r="P73" s="138">
        <f t="shared" si="30"/>
        <v>0</v>
      </c>
      <c r="Q73" s="138">
        <f t="shared" si="9"/>
        <v>0</v>
      </c>
      <c r="S73" s="43">
        <f t="shared" si="10"/>
        <v>0</v>
      </c>
      <c r="T73" s="38">
        <f t="shared" si="11"/>
        <v>0</v>
      </c>
      <c r="V73" s="43">
        <f t="shared" si="12"/>
        <v>0</v>
      </c>
      <c r="W73" s="43">
        <f t="shared" si="12"/>
        <v>0</v>
      </c>
      <c r="X73" s="43">
        <f t="shared" si="0"/>
        <v>0</v>
      </c>
      <c r="Y73" s="43">
        <f t="shared" si="0"/>
        <v>0</v>
      </c>
      <c r="Z73" s="43">
        <f t="shared" si="0"/>
        <v>0</v>
      </c>
      <c r="AB73" s="43">
        <f t="shared" si="13"/>
        <v>0</v>
      </c>
      <c r="AC73" s="43">
        <f t="shared" si="13"/>
        <v>0</v>
      </c>
      <c r="AD73" s="43">
        <f t="shared" si="1"/>
        <v>0</v>
      </c>
      <c r="AE73" s="43">
        <f t="shared" si="1"/>
        <v>0</v>
      </c>
      <c r="AF73" s="43">
        <f t="shared" si="1"/>
        <v>0</v>
      </c>
      <c r="AH73" s="43">
        <f t="shared" si="14"/>
        <v>0</v>
      </c>
      <c r="AI73" s="43">
        <f t="shared" si="15"/>
        <v>0</v>
      </c>
      <c r="AJ73" s="43">
        <f t="shared" si="16"/>
        <v>0</v>
      </c>
      <c r="AK73" s="43">
        <f t="shared" si="17"/>
        <v>0</v>
      </c>
      <c r="AL73" s="43">
        <f t="shared" si="18"/>
        <v>0</v>
      </c>
      <c r="AN73" s="43">
        <f t="shared" si="19"/>
        <v>0</v>
      </c>
      <c r="AO73" s="43">
        <f t="shared" si="20"/>
        <v>0</v>
      </c>
      <c r="AP73" s="43">
        <f t="shared" si="21"/>
        <v>0</v>
      </c>
      <c r="AQ73" s="43">
        <f t="shared" si="22"/>
        <v>0</v>
      </c>
      <c r="AR73" s="43">
        <f t="shared" si="23"/>
        <v>0</v>
      </c>
      <c r="AT73" s="43">
        <f t="shared" si="24"/>
        <v>0</v>
      </c>
      <c r="AU73" s="43">
        <f t="shared" si="5"/>
        <v>0</v>
      </c>
      <c r="AV73" s="43">
        <f t="shared" si="5"/>
        <v>0</v>
      </c>
      <c r="AW73" s="43">
        <f t="shared" si="5"/>
        <v>0</v>
      </c>
      <c r="AX73" s="43">
        <f t="shared" si="5"/>
        <v>0</v>
      </c>
      <c r="AZ73" s="47">
        <f t="shared" si="25"/>
        <v>0</v>
      </c>
      <c r="BA73" s="47">
        <f t="shared" si="26"/>
        <v>0</v>
      </c>
      <c r="BB73" s="47">
        <f t="shared" si="27"/>
        <v>0</v>
      </c>
      <c r="BC73" s="47">
        <f t="shared" si="28"/>
        <v>0</v>
      </c>
      <c r="BD73" s="47">
        <f t="shared" si="29"/>
        <v>0</v>
      </c>
    </row>
    <row r="74" spans="2:56">
      <c r="B74" s="37">
        <f>'3. Input (des)investeringen '!B99</f>
        <v>1542</v>
      </c>
      <c r="C74" s="48"/>
      <c r="D74" s="48"/>
      <c r="E74" s="48"/>
      <c r="F74" s="42">
        <f>'3. Input (des)investeringen '!D99</f>
        <v>617395.17786534363</v>
      </c>
      <c r="G74" s="48"/>
      <c r="H74" s="37">
        <f>'3. Input (des)investeringen '!F99</f>
        <v>2020</v>
      </c>
      <c r="I74" s="42" t="str">
        <f>'3. Input (des)investeringen '!G99</f>
        <v>nvt</v>
      </c>
      <c r="J74" s="42">
        <f>'3. Input (des)investeringen '!H99</f>
        <v>5</v>
      </c>
      <c r="K74" s="42">
        <f>'3. Input (des)investeringen '!I99</f>
        <v>0</v>
      </c>
      <c r="M74" s="43">
        <f t="shared" si="7"/>
        <v>61739.517786534365</v>
      </c>
      <c r="N74" s="43">
        <f t="shared" si="8"/>
        <v>125454.70014223782</v>
      </c>
      <c r="P74" s="138">
        <f t="shared" si="30"/>
        <v>555655.66007880925</v>
      </c>
      <c r="Q74" s="138">
        <f t="shared" si="9"/>
        <v>439091.45049783238</v>
      </c>
      <c r="S74" s="43">
        <f t="shared" si="10"/>
        <v>439091.45049783238</v>
      </c>
      <c r="T74" s="38">
        <f t="shared" si="11"/>
        <v>3.5</v>
      </c>
      <c r="V74" s="43">
        <f t="shared" si="12"/>
        <v>146781.99916641827</v>
      </c>
      <c r="W74" s="43">
        <f t="shared" si="12"/>
        <v>99360.12251265235</v>
      </c>
      <c r="X74" s="43">
        <f t="shared" si="0"/>
        <v>99360.12251265235</v>
      </c>
      <c r="Y74" s="43">
        <f t="shared" si="0"/>
        <v>49680.061256326175</v>
      </c>
      <c r="Z74" s="43">
        <f t="shared" si="0"/>
        <v>0</v>
      </c>
      <c r="AB74" s="43">
        <f t="shared" si="13"/>
        <v>12545.470014223783</v>
      </c>
      <c r="AC74" s="43">
        <f t="shared" si="13"/>
        <v>12545.470014223783</v>
      </c>
      <c r="AD74" s="43">
        <f t="shared" si="1"/>
        <v>12545.470014223783</v>
      </c>
      <c r="AE74" s="43">
        <f t="shared" si="1"/>
        <v>6272.7350071118917</v>
      </c>
      <c r="AF74" s="43">
        <f t="shared" si="1"/>
        <v>0</v>
      </c>
      <c r="AH74" s="43">
        <f t="shared" si="14"/>
        <v>159327.46918064205</v>
      </c>
      <c r="AI74" s="43">
        <f t="shared" si="15"/>
        <v>111905.59252687613</v>
      </c>
      <c r="AJ74" s="43">
        <f t="shared" si="16"/>
        <v>111905.59252687613</v>
      </c>
      <c r="AK74" s="43">
        <f t="shared" si="17"/>
        <v>55952.796263438067</v>
      </c>
      <c r="AL74" s="43">
        <f t="shared" si="18"/>
        <v>0</v>
      </c>
      <c r="AN74" s="43">
        <f t="shared" si="19"/>
        <v>279763.98131719034</v>
      </c>
      <c r="AO74" s="43">
        <f t="shared" si="20"/>
        <v>167858.3887903142</v>
      </c>
      <c r="AP74" s="43">
        <f t="shared" si="21"/>
        <v>55952.796263438067</v>
      </c>
      <c r="AQ74" s="43">
        <f t="shared" si="22"/>
        <v>0</v>
      </c>
      <c r="AR74" s="43">
        <f t="shared" si="23"/>
        <v>0</v>
      </c>
      <c r="AT74" s="43">
        <f t="shared" si="24"/>
        <v>6353.7415586306552</v>
      </c>
      <c r="AU74" s="43">
        <f t="shared" si="5"/>
        <v>6720.6828411246934</v>
      </c>
      <c r="AV74" s="43">
        <f t="shared" si="5"/>
        <v>7229.3041185410102</v>
      </c>
      <c r="AW74" s="43">
        <f t="shared" si="5"/>
        <v>7401.9977353247186</v>
      </c>
      <c r="AX74" s="43">
        <f t="shared" si="5"/>
        <v>7497.7203700379378</v>
      </c>
      <c r="AZ74" s="47">
        <f t="shared" si="25"/>
        <v>175193.18610405718</v>
      </c>
      <c r="BA74" s="47">
        <f t="shared" si="26"/>
        <v>124165.60219808121</v>
      </c>
      <c r="BB74" s="47">
        <f t="shared" si="27"/>
        <v>121261.10290342779</v>
      </c>
      <c r="BC74" s="47">
        <f t="shared" si="28"/>
        <v>63354.793998762783</v>
      </c>
      <c r="BD74" s="47">
        <f t="shared" si="29"/>
        <v>7497.7203700379378</v>
      </c>
    </row>
    <row r="75" spans="2:56">
      <c r="B75" s="37">
        <f>'3. Input (des)investeringen '!B100</f>
        <v>1543</v>
      </c>
      <c r="C75" s="48"/>
      <c r="D75" s="48"/>
      <c r="E75" s="48"/>
      <c r="F75" s="42">
        <f>'3. Input (des)investeringen '!D100</f>
        <v>4570297.1729062358</v>
      </c>
      <c r="G75" s="48"/>
      <c r="H75" s="37">
        <f>'3. Input (des)investeringen '!F100</f>
        <v>2020</v>
      </c>
      <c r="I75" s="42" t="str">
        <f>'3. Input (des)investeringen '!G100</f>
        <v>nvt</v>
      </c>
      <c r="J75" s="42">
        <f>'3. Input (des)investeringen '!H100</f>
        <v>10</v>
      </c>
      <c r="K75" s="42">
        <f>'3. Input (des)investeringen '!I100</f>
        <v>0</v>
      </c>
      <c r="M75" s="43">
        <f t="shared" si="7"/>
        <v>228514.85864531179</v>
      </c>
      <c r="N75" s="43">
        <f t="shared" si="8"/>
        <v>464342.19276727358</v>
      </c>
      <c r="P75" s="138">
        <f t="shared" si="30"/>
        <v>4341782.3142609242</v>
      </c>
      <c r="Q75" s="138">
        <f t="shared" si="9"/>
        <v>3946908.6385218259</v>
      </c>
      <c r="S75" s="43">
        <f t="shared" si="10"/>
        <v>3946908.6385218259</v>
      </c>
      <c r="T75" s="38">
        <f t="shared" si="11"/>
        <v>8.5</v>
      </c>
      <c r="V75" s="43">
        <f t="shared" si="12"/>
        <v>543280.36553771026</v>
      </c>
      <c r="W75" s="43">
        <f t="shared" si="12"/>
        <v>460190.42727900157</v>
      </c>
      <c r="X75" s="43">
        <f t="shared" si="0"/>
        <v>392114.92028506636</v>
      </c>
      <c r="Y75" s="43">
        <f t="shared" si="0"/>
        <v>392114.92028506636</v>
      </c>
      <c r="Z75" s="43">
        <f t="shared" si="0"/>
        <v>392114.92028506636</v>
      </c>
      <c r="AB75" s="43">
        <f t="shared" si="13"/>
        <v>46434.219276727366</v>
      </c>
      <c r="AC75" s="43">
        <f t="shared" si="13"/>
        <v>46434.219276727374</v>
      </c>
      <c r="AD75" s="43">
        <f t="shared" si="1"/>
        <v>46434.219276727374</v>
      </c>
      <c r="AE75" s="43">
        <f t="shared" si="1"/>
        <v>46434.219276727374</v>
      </c>
      <c r="AF75" s="43">
        <f t="shared" si="1"/>
        <v>46434.219276727374</v>
      </c>
      <c r="AH75" s="43">
        <f t="shared" si="14"/>
        <v>589714.58481443767</v>
      </c>
      <c r="AI75" s="43">
        <f t="shared" si="15"/>
        <v>506624.64655572892</v>
      </c>
      <c r="AJ75" s="43">
        <f t="shared" si="16"/>
        <v>438549.13956179371</v>
      </c>
      <c r="AK75" s="43">
        <f t="shared" si="17"/>
        <v>438549.13956179371</v>
      </c>
      <c r="AL75" s="43">
        <f t="shared" si="18"/>
        <v>438549.13956179371</v>
      </c>
      <c r="AN75" s="43">
        <f t="shared" si="19"/>
        <v>3357194.0537073882</v>
      </c>
      <c r="AO75" s="43">
        <f t="shared" si="20"/>
        <v>2850569.4071516595</v>
      </c>
      <c r="AP75" s="43">
        <f t="shared" si="21"/>
        <v>2412020.2675898657</v>
      </c>
      <c r="AQ75" s="43">
        <f t="shared" si="22"/>
        <v>1973471.128028072</v>
      </c>
      <c r="AR75" s="43">
        <f t="shared" si="23"/>
        <v>1534921.9884662782</v>
      </c>
      <c r="AT75" s="43">
        <f t="shared" si="24"/>
        <v>47033.8741277308</v>
      </c>
      <c r="AU75" s="43">
        <f t="shared" si="5"/>
        <v>49750.174426355523</v>
      </c>
      <c r="AV75" s="43">
        <f t="shared" si="5"/>
        <v>53515.267626942106</v>
      </c>
      <c r="AW75" s="43">
        <f t="shared" si="5"/>
        <v>54793.640340014514</v>
      </c>
      <c r="AX75" s="43">
        <f t="shared" si="5"/>
        <v>55502.231696891562</v>
      </c>
      <c r="AZ75" s="47">
        <f t="shared" si="25"/>
        <v>750893.05676821969</v>
      </c>
      <c r="BA75" s="47">
        <f t="shared" si="26"/>
        <v>650443.61141808925</v>
      </c>
      <c r="BB75" s="47">
        <f t="shared" si="27"/>
        <v>583721.17735715071</v>
      </c>
      <c r="BC75" s="47">
        <f t="shared" si="28"/>
        <v>568334.6827668749</v>
      </c>
      <c r="BD75" s="47">
        <f t="shared" si="29"/>
        <v>552378.40682040388</v>
      </c>
    </row>
    <row r="76" spans="2:56">
      <c r="B76" s="37">
        <f>'3. Input (des)investeringen '!B101</f>
        <v>1544</v>
      </c>
      <c r="C76" s="48"/>
      <c r="D76" s="48"/>
      <c r="E76" s="48"/>
      <c r="F76" s="42">
        <f>'3. Input (des)investeringen '!D101</f>
        <v>7478818.3856429011</v>
      </c>
      <c r="G76" s="48"/>
      <c r="H76" s="37">
        <f>'3. Input (des)investeringen '!F101</f>
        <v>2020</v>
      </c>
      <c r="I76" s="42" t="str">
        <f>'3. Input (des)investeringen '!G101</f>
        <v>nvt</v>
      </c>
      <c r="J76" s="42">
        <f>'3. Input (des)investeringen '!H101</f>
        <v>15</v>
      </c>
      <c r="K76" s="42">
        <f>'3. Input (des)investeringen '!I101</f>
        <v>0</v>
      </c>
      <c r="M76" s="43">
        <f t="shared" si="7"/>
        <v>249293.94618809671</v>
      </c>
      <c r="N76" s="43">
        <f t="shared" si="8"/>
        <v>506565.29865421256</v>
      </c>
      <c r="P76" s="138">
        <f t="shared" si="30"/>
        <v>7229524.4394548042</v>
      </c>
      <c r="Q76" s="138">
        <f t="shared" si="9"/>
        <v>6838631.5318318689</v>
      </c>
      <c r="S76" s="43">
        <f t="shared" si="10"/>
        <v>6838631.5318318689</v>
      </c>
      <c r="T76" s="38">
        <f t="shared" si="11"/>
        <v>13.5</v>
      </c>
      <c r="V76" s="43">
        <f t="shared" si="12"/>
        <v>592681.39942542871</v>
      </c>
      <c r="W76" s="43">
        <f t="shared" si="12"/>
        <v>535608.37577705411</v>
      </c>
      <c r="X76" s="43">
        <f t="shared" si="0"/>
        <v>484031.27292444895</v>
      </c>
      <c r="Y76" s="43">
        <f t="shared" si="0"/>
        <v>437420.85405024269</v>
      </c>
      <c r="Z76" s="43">
        <f t="shared" si="0"/>
        <v>432108.05015489564</v>
      </c>
      <c r="AB76" s="43">
        <f t="shared" si="13"/>
        <v>50656.529865421253</v>
      </c>
      <c r="AC76" s="43">
        <f t="shared" si="13"/>
        <v>50656.529865421253</v>
      </c>
      <c r="AD76" s="43">
        <f t="shared" si="1"/>
        <v>50656.529865421253</v>
      </c>
      <c r="AE76" s="43">
        <f t="shared" si="1"/>
        <v>50656.529865421253</v>
      </c>
      <c r="AF76" s="43">
        <f t="shared" si="1"/>
        <v>50656.529865421253</v>
      </c>
      <c r="AH76" s="43">
        <f t="shared" si="14"/>
        <v>643337.92929084995</v>
      </c>
      <c r="AI76" s="43">
        <f t="shared" si="15"/>
        <v>586264.90564247535</v>
      </c>
      <c r="AJ76" s="43">
        <f t="shared" si="16"/>
        <v>534687.80278987018</v>
      </c>
      <c r="AK76" s="43">
        <f t="shared" si="17"/>
        <v>488077.38391566393</v>
      </c>
      <c r="AL76" s="43">
        <f t="shared" si="18"/>
        <v>482764.58002031688</v>
      </c>
      <c r="AN76" s="43">
        <f t="shared" si="19"/>
        <v>6195293.6025410192</v>
      </c>
      <c r="AO76" s="43">
        <f t="shared" si="20"/>
        <v>5609028.6968985442</v>
      </c>
      <c r="AP76" s="43">
        <f t="shared" si="21"/>
        <v>5074340.8941086736</v>
      </c>
      <c r="AQ76" s="43">
        <f t="shared" si="22"/>
        <v>4586263.5101930099</v>
      </c>
      <c r="AR76" s="43">
        <f t="shared" si="23"/>
        <v>4103498.930172693</v>
      </c>
      <c r="AT76" s="43">
        <f t="shared" si="24"/>
        <v>76966.067909060177</v>
      </c>
      <c r="AU76" s="43">
        <f t="shared" si="5"/>
        <v>81411.012262944234</v>
      </c>
      <c r="AV76" s="43">
        <f t="shared" si="5"/>
        <v>87572.197671003858</v>
      </c>
      <c r="AW76" s="43">
        <f t="shared" si="5"/>
        <v>89664.122328968791</v>
      </c>
      <c r="AX76" s="43">
        <f t="shared" si="5"/>
        <v>90823.658758927006</v>
      </c>
      <c r="AZ76" s="47">
        <f t="shared" si="25"/>
        <v>930943.97968630481</v>
      </c>
      <c r="BA76" s="47">
        <f t="shared" si="26"/>
        <v>852773.86490307155</v>
      </c>
      <c r="BB76" s="47">
        <f t="shared" si="27"/>
        <v>815084.9544370037</v>
      </c>
      <c r="BC76" s="47">
        <f t="shared" si="28"/>
        <v>752019.51963196706</v>
      </c>
      <c r="BD76" s="47">
        <f t="shared" si="29"/>
        <v>729521.19812580629</v>
      </c>
    </row>
    <row r="77" spans="2:56">
      <c r="B77" s="37">
        <f>'3. Input (des)investeringen '!B102</f>
        <v>1545</v>
      </c>
      <c r="C77" s="48"/>
      <c r="D77" s="48"/>
      <c r="E77" s="48"/>
      <c r="F77" s="42">
        <f>'3. Input (des)investeringen '!D102</f>
        <v>7420552.1500870837</v>
      </c>
      <c r="G77" s="48"/>
      <c r="H77" s="37">
        <f>'3. Input (des)investeringen '!F102</f>
        <v>2020</v>
      </c>
      <c r="I77" s="42" t="str">
        <f>'3. Input (des)investeringen '!G102</f>
        <v>nvt</v>
      </c>
      <c r="J77" s="42">
        <f>'3. Input (des)investeringen '!H102</f>
        <v>30</v>
      </c>
      <c r="K77" s="42">
        <f>'3. Input (des)investeringen '!I102</f>
        <v>0</v>
      </c>
      <c r="M77" s="43">
        <f t="shared" si="7"/>
        <v>123675.86916811806</v>
      </c>
      <c r="N77" s="43">
        <f t="shared" si="8"/>
        <v>251309.3661496159</v>
      </c>
      <c r="P77" s="138">
        <f t="shared" si="30"/>
        <v>7296876.280918966</v>
      </c>
      <c r="Q77" s="138">
        <f t="shared" si="9"/>
        <v>7162316.9352640538</v>
      </c>
      <c r="S77" s="43">
        <f t="shared" si="10"/>
        <v>7162316.9352640538</v>
      </c>
      <c r="T77" s="38">
        <f t="shared" si="11"/>
        <v>28.5</v>
      </c>
      <c r="V77" s="43">
        <f t="shared" si="12"/>
        <v>294031.95839505066</v>
      </c>
      <c r="W77" s="43">
        <f t="shared" si="12"/>
        <v>280619.97432790801</v>
      </c>
      <c r="X77" s="43">
        <f t="shared" si="12"/>
        <v>267819.76497259992</v>
      </c>
      <c r="Y77" s="43">
        <f t="shared" si="12"/>
        <v>255603.42481595499</v>
      </c>
      <c r="Z77" s="43">
        <f t="shared" si="12"/>
        <v>243944.32122785883</v>
      </c>
      <c r="AB77" s="43">
        <f t="shared" si="13"/>
        <v>25130.936614961593</v>
      </c>
      <c r="AC77" s="43">
        <f t="shared" si="13"/>
        <v>25130.936614961593</v>
      </c>
      <c r="AD77" s="43">
        <f t="shared" si="13"/>
        <v>25130.936614961593</v>
      </c>
      <c r="AE77" s="43">
        <f t="shared" si="13"/>
        <v>25130.936614961593</v>
      </c>
      <c r="AF77" s="43">
        <f t="shared" si="13"/>
        <v>25130.936614961593</v>
      </c>
      <c r="AH77" s="43">
        <f t="shared" si="14"/>
        <v>319162.89501001226</v>
      </c>
      <c r="AI77" s="43">
        <f t="shared" si="15"/>
        <v>305750.91094286961</v>
      </c>
      <c r="AJ77" s="43">
        <f t="shared" si="16"/>
        <v>292950.70158756152</v>
      </c>
      <c r="AK77" s="43">
        <f t="shared" si="17"/>
        <v>280734.36143091659</v>
      </c>
      <c r="AL77" s="43">
        <f t="shared" si="18"/>
        <v>269075.25784282043</v>
      </c>
      <c r="AN77" s="43">
        <f t="shared" si="19"/>
        <v>6843154.0402540416</v>
      </c>
      <c r="AO77" s="43">
        <f t="shared" si="20"/>
        <v>6537403.1293111723</v>
      </c>
      <c r="AP77" s="43">
        <f t="shared" si="21"/>
        <v>6244452.4277236108</v>
      </c>
      <c r="AQ77" s="43">
        <f t="shared" si="22"/>
        <v>5963718.0662926938</v>
      </c>
      <c r="AR77" s="43">
        <f t="shared" si="23"/>
        <v>5694642.8084498737</v>
      </c>
      <c r="AT77" s="43">
        <f t="shared" si="24"/>
        <v>76366.438019503941</v>
      </c>
      <c r="AU77" s="43">
        <f t="shared" si="24"/>
        <v>80776.75254800632</v>
      </c>
      <c r="AV77" s="43">
        <f t="shared" si="24"/>
        <v>86889.937180839464</v>
      </c>
      <c r="AW77" s="43">
        <f t="shared" si="24"/>
        <v>88965.564000215352</v>
      </c>
      <c r="AX77" s="43">
        <f t="shared" si="24"/>
        <v>90116.066673866124</v>
      </c>
      <c r="AZ77" s="47">
        <f t="shared" si="25"/>
        <v>628196.57039815362</v>
      </c>
      <c r="BA77" s="47">
        <f t="shared" si="26"/>
        <v>602261.96675814467</v>
      </c>
      <c r="BB77" s="47">
        <f t="shared" si="27"/>
        <v>617129.83102189819</v>
      </c>
      <c r="BC77" s="47">
        <f t="shared" si="28"/>
        <v>596321.21195025428</v>
      </c>
      <c r="BD77" s="47">
        <f t="shared" si="29"/>
        <v>575587.75123778172</v>
      </c>
    </row>
    <row r="78" spans="2:56">
      <c r="B78" s="37">
        <f>'3. Input (des)investeringen '!B103</f>
        <v>1546</v>
      </c>
      <c r="C78" s="48"/>
      <c r="D78" s="48"/>
      <c r="E78" s="48"/>
      <c r="F78" s="42">
        <f>'3. Input (des)investeringen '!D103</f>
        <v>0</v>
      </c>
      <c r="G78" s="48"/>
      <c r="H78" s="37">
        <f>'3. Input (des)investeringen '!F103</f>
        <v>2020</v>
      </c>
      <c r="I78" s="42" t="str">
        <f>'3. Input (des)investeringen '!G103</f>
        <v>nvt</v>
      </c>
      <c r="J78" s="42">
        <f>'3. Input (des)investeringen '!H103</f>
        <v>55</v>
      </c>
      <c r="K78" s="42">
        <f>'3. Input (des)investeringen '!I103</f>
        <v>0</v>
      </c>
      <c r="M78" s="43">
        <f t="shared" si="7"/>
        <v>0</v>
      </c>
      <c r="N78" s="43">
        <f t="shared" si="8"/>
        <v>0</v>
      </c>
      <c r="P78" s="138">
        <f t="shared" si="30"/>
        <v>0</v>
      </c>
      <c r="Q78" s="138">
        <f t="shared" si="9"/>
        <v>0</v>
      </c>
      <c r="S78" s="43">
        <f t="shared" si="10"/>
        <v>0</v>
      </c>
      <c r="T78" s="38">
        <f t="shared" si="11"/>
        <v>53.5</v>
      </c>
      <c r="V78" s="43">
        <f t="shared" si="12"/>
        <v>0</v>
      </c>
      <c r="W78" s="43">
        <f t="shared" si="12"/>
        <v>0</v>
      </c>
      <c r="X78" s="43">
        <f t="shared" si="12"/>
        <v>0</v>
      </c>
      <c r="Y78" s="43">
        <f t="shared" si="12"/>
        <v>0</v>
      </c>
      <c r="Z78" s="43">
        <f t="shared" si="12"/>
        <v>0</v>
      </c>
      <c r="AB78" s="43">
        <f t="shared" si="13"/>
        <v>0</v>
      </c>
      <c r="AC78" s="43">
        <f t="shared" si="13"/>
        <v>0</v>
      </c>
      <c r="AD78" s="43">
        <f t="shared" si="13"/>
        <v>0</v>
      </c>
      <c r="AE78" s="43">
        <f t="shared" si="13"/>
        <v>0</v>
      </c>
      <c r="AF78" s="43">
        <f t="shared" si="13"/>
        <v>0</v>
      </c>
      <c r="AH78" s="43">
        <f t="shared" si="14"/>
        <v>0</v>
      </c>
      <c r="AI78" s="43">
        <f t="shared" si="15"/>
        <v>0</v>
      </c>
      <c r="AJ78" s="43">
        <f t="shared" si="16"/>
        <v>0</v>
      </c>
      <c r="AK78" s="43">
        <f t="shared" si="17"/>
        <v>0</v>
      </c>
      <c r="AL78" s="43">
        <f t="shared" si="18"/>
        <v>0</v>
      </c>
      <c r="AN78" s="43">
        <f t="shared" si="19"/>
        <v>0</v>
      </c>
      <c r="AO78" s="43">
        <f t="shared" si="20"/>
        <v>0</v>
      </c>
      <c r="AP78" s="43">
        <f t="shared" si="21"/>
        <v>0</v>
      </c>
      <c r="AQ78" s="43">
        <f t="shared" si="22"/>
        <v>0</v>
      </c>
      <c r="AR78" s="43">
        <f t="shared" si="23"/>
        <v>0</v>
      </c>
      <c r="AT78" s="43">
        <f t="shared" si="24"/>
        <v>0</v>
      </c>
      <c r="AU78" s="43">
        <f t="shared" si="24"/>
        <v>0</v>
      </c>
      <c r="AV78" s="43">
        <f t="shared" si="24"/>
        <v>0</v>
      </c>
      <c r="AW78" s="43">
        <f t="shared" si="24"/>
        <v>0</v>
      </c>
      <c r="AX78" s="43">
        <f t="shared" si="24"/>
        <v>0</v>
      </c>
      <c r="AZ78" s="47">
        <f t="shared" si="25"/>
        <v>0</v>
      </c>
      <c r="BA78" s="47">
        <f t="shared" si="26"/>
        <v>0</v>
      </c>
      <c r="BB78" s="47">
        <f t="shared" si="27"/>
        <v>0</v>
      </c>
      <c r="BC78" s="47">
        <f t="shared" si="28"/>
        <v>0</v>
      </c>
      <c r="BD78" s="47">
        <f t="shared" si="29"/>
        <v>0</v>
      </c>
    </row>
    <row r="79" spans="2:56">
      <c r="B79" s="37">
        <f>'3. Input (des)investeringen '!B104</f>
        <v>1547</v>
      </c>
      <c r="C79" s="48"/>
      <c r="D79" s="48"/>
      <c r="E79" s="48"/>
      <c r="F79" s="42">
        <f>'3. Input (des)investeringen '!D104</f>
        <v>0</v>
      </c>
      <c r="G79" s="48"/>
      <c r="H79" s="37">
        <f>'3. Input (des)investeringen '!F104</f>
        <v>2021</v>
      </c>
      <c r="I79" s="42" t="str">
        <f>'3. Input (des)investeringen '!G104</f>
        <v>nvt</v>
      </c>
      <c r="J79" s="42">
        <f>'3. Input (des)investeringen '!H104</f>
        <v>0</v>
      </c>
      <c r="K79" s="42">
        <f>'3. Input (des)investeringen '!I104</f>
        <v>1</v>
      </c>
      <c r="M79" s="43">
        <f t="shared" si="7"/>
        <v>0</v>
      </c>
      <c r="N79" s="43">
        <f t="shared" si="8"/>
        <v>0</v>
      </c>
      <c r="P79" s="138">
        <f t="shared" si="30"/>
        <v>0</v>
      </c>
      <c r="Q79" s="138">
        <f t="shared" si="9"/>
        <v>0</v>
      </c>
      <c r="S79" s="43">
        <f t="shared" si="10"/>
        <v>0</v>
      </c>
      <c r="T79" s="38">
        <f t="shared" si="11"/>
        <v>0</v>
      </c>
      <c r="V79" s="43">
        <f t="shared" si="12"/>
        <v>0</v>
      </c>
      <c r="W79" s="43">
        <f t="shared" si="12"/>
        <v>0</v>
      </c>
      <c r="X79" s="43">
        <f t="shared" si="12"/>
        <v>0</v>
      </c>
      <c r="Y79" s="43">
        <f t="shared" si="12"/>
        <v>0</v>
      </c>
      <c r="Z79" s="43">
        <f t="shared" si="12"/>
        <v>0</v>
      </c>
      <c r="AB79" s="43">
        <f t="shared" si="13"/>
        <v>0</v>
      </c>
      <c r="AC79" s="43">
        <f t="shared" si="13"/>
        <v>0</v>
      </c>
      <c r="AD79" s="43">
        <f t="shared" si="13"/>
        <v>0</v>
      </c>
      <c r="AE79" s="43">
        <f t="shared" si="13"/>
        <v>0</v>
      </c>
      <c r="AF79" s="43">
        <f t="shared" si="13"/>
        <v>0</v>
      </c>
      <c r="AH79" s="43">
        <f t="shared" si="14"/>
        <v>0</v>
      </c>
      <c r="AI79" s="43">
        <f t="shared" si="15"/>
        <v>0</v>
      </c>
      <c r="AJ79" s="43">
        <f t="shared" si="16"/>
        <v>0</v>
      </c>
      <c r="AK79" s="43">
        <f t="shared" si="17"/>
        <v>0</v>
      </c>
      <c r="AL79" s="43">
        <f t="shared" si="18"/>
        <v>0</v>
      </c>
      <c r="AN79" s="43">
        <f t="shared" si="19"/>
        <v>0</v>
      </c>
      <c r="AO79" s="43">
        <f t="shared" si="20"/>
        <v>0</v>
      </c>
      <c r="AP79" s="43">
        <f t="shared" si="21"/>
        <v>0</v>
      </c>
      <c r="AQ79" s="43">
        <f t="shared" si="22"/>
        <v>0</v>
      </c>
      <c r="AR79" s="43">
        <f t="shared" si="23"/>
        <v>0</v>
      </c>
      <c r="AT79" s="43">
        <f t="shared" si="24"/>
        <v>0</v>
      </c>
      <c r="AU79" s="43">
        <f t="shared" si="24"/>
        <v>0</v>
      </c>
      <c r="AV79" s="43">
        <f t="shared" si="24"/>
        <v>0</v>
      </c>
      <c r="AW79" s="43">
        <f t="shared" si="24"/>
        <v>0</v>
      </c>
      <c r="AX79" s="43">
        <f t="shared" si="24"/>
        <v>0</v>
      </c>
      <c r="AZ79" s="47">
        <f t="shared" si="25"/>
        <v>0</v>
      </c>
      <c r="BA79" s="47">
        <f t="shared" si="26"/>
        <v>0</v>
      </c>
      <c r="BB79" s="47">
        <f t="shared" si="27"/>
        <v>0</v>
      </c>
      <c r="BC79" s="47">
        <f t="shared" si="28"/>
        <v>0</v>
      </c>
      <c r="BD79" s="47">
        <f t="shared" si="29"/>
        <v>0</v>
      </c>
    </row>
    <row r="80" spans="2:56">
      <c r="B80" s="37">
        <f>'3. Input (des)investeringen '!B105</f>
        <v>1548</v>
      </c>
      <c r="C80" s="48"/>
      <c r="D80" s="48"/>
      <c r="E80" s="48"/>
      <c r="F80" s="42">
        <f>'3. Input (des)investeringen '!D105</f>
        <v>16674534.307636745</v>
      </c>
      <c r="G80" s="48"/>
      <c r="H80" s="37">
        <f>'3. Input (des)investeringen '!F105</f>
        <v>2021</v>
      </c>
      <c r="I80" s="42" t="str">
        <f>'3. Input (des)investeringen '!G105</f>
        <v>nvt</v>
      </c>
      <c r="J80" s="42">
        <f>'3. Input (des)investeringen '!H105</f>
        <v>5</v>
      </c>
      <c r="K80" s="42">
        <f>'3. Input (des)investeringen '!I105</f>
        <v>1</v>
      </c>
      <c r="M80" s="43">
        <f t="shared" si="7"/>
        <v>0</v>
      </c>
      <c r="N80" s="43">
        <f t="shared" si="8"/>
        <v>1667453.4307636747</v>
      </c>
      <c r="P80" s="138">
        <f t="shared" si="30"/>
        <v>0</v>
      </c>
      <c r="Q80" s="138">
        <f t="shared" si="9"/>
        <v>15007080.87687307</v>
      </c>
      <c r="S80" s="43">
        <f t="shared" si="10"/>
        <v>15007080.87687307</v>
      </c>
      <c r="T80" s="38">
        <f t="shared" si="11"/>
        <v>4.5</v>
      </c>
      <c r="V80" s="43">
        <f t="shared" si="12"/>
        <v>3901841.0279869991</v>
      </c>
      <c r="W80" s="43">
        <f t="shared" si="12"/>
        <v>2774642.5087907547</v>
      </c>
      <c r="X80" s="43">
        <f t="shared" si="12"/>
        <v>2731955.7009632038</v>
      </c>
      <c r="Y80" s="43">
        <f t="shared" si="12"/>
        <v>2731955.7009632038</v>
      </c>
      <c r="Z80" s="43">
        <f t="shared" si="12"/>
        <v>1365977.8504816019</v>
      </c>
      <c r="AB80" s="43">
        <f t="shared" si="13"/>
        <v>333490.68615273491</v>
      </c>
      <c r="AC80" s="43">
        <f t="shared" si="13"/>
        <v>333490.68615273491</v>
      </c>
      <c r="AD80" s="43">
        <f t="shared" si="13"/>
        <v>333490.68615273491</v>
      </c>
      <c r="AE80" s="43">
        <f t="shared" si="13"/>
        <v>333490.68615273491</v>
      </c>
      <c r="AF80" s="43">
        <f t="shared" si="13"/>
        <v>166745.34307636746</v>
      </c>
      <c r="AH80" s="43">
        <f t="shared" si="14"/>
        <v>4235331.7141397344</v>
      </c>
      <c r="AI80" s="43">
        <f t="shared" si="15"/>
        <v>3108133.1949434895</v>
      </c>
      <c r="AJ80" s="43">
        <f t="shared" si="16"/>
        <v>3065446.3871159386</v>
      </c>
      <c r="AK80" s="43">
        <f t="shared" si="17"/>
        <v>3065446.3871159386</v>
      </c>
      <c r="AL80" s="43">
        <f t="shared" si="18"/>
        <v>1532723.1935579693</v>
      </c>
      <c r="AN80" s="43">
        <f t="shared" si="19"/>
        <v>10771749.162733335</v>
      </c>
      <c r="AO80" s="43">
        <f t="shared" si="20"/>
        <v>7663615.9677898455</v>
      </c>
      <c r="AP80" s="43">
        <f t="shared" si="21"/>
        <v>4598169.580673907</v>
      </c>
      <c r="AQ80" s="43">
        <f t="shared" si="22"/>
        <v>1532723.1935579684</v>
      </c>
      <c r="AR80" s="43">
        <f t="shared" si="23"/>
        <v>0</v>
      </c>
      <c r="AT80" s="43">
        <f t="shared" si="24"/>
        <v>169067.77221473513</v>
      </c>
      <c r="AU80" s="43">
        <f t="shared" si="24"/>
        <v>178831.77419568048</v>
      </c>
      <c r="AV80" s="43">
        <f t="shared" si="24"/>
        <v>192365.76286680959</v>
      </c>
      <c r="AW80" s="43">
        <f t="shared" si="24"/>
        <v>196960.99621017193</v>
      </c>
      <c r="AX80" s="43">
        <f t="shared" si="24"/>
        <v>199508.09581316184</v>
      </c>
      <c r="AZ80" s="47">
        <f t="shared" si="25"/>
        <v>4770638.9578874027</v>
      </c>
      <c r="BA80" s="47">
        <f t="shared" si="26"/>
        <v>3539864.2960762349</v>
      </c>
      <c r="BB80" s="47">
        <f t="shared" si="27"/>
        <v>3432542.5940483566</v>
      </c>
      <c r="BC80" s="47">
        <f t="shared" si="28"/>
        <v>3320650.8646813133</v>
      </c>
      <c r="BD80" s="47">
        <f t="shared" si="29"/>
        <v>1732231.2893711312</v>
      </c>
    </row>
    <row r="81" spans="2:56">
      <c r="B81" s="37">
        <f>'3. Input (des)investeringen '!B106</f>
        <v>1549</v>
      </c>
      <c r="C81" s="48"/>
      <c r="D81" s="48"/>
      <c r="E81" s="48"/>
      <c r="F81" s="42">
        <f>'3. Input (des)investeringen '!D106</f>
        <v>5057746.3074202398</v>
      </c>
      <c r="G81" s="48"/>
      <c r="H81" s="37">
        <f>'3. Input (des)investeringen '!F106</f>
        <v>2021</v>
      </c>
      <c r="I81" s="42" t="str">
        <f>'3. Input (des)investeringen '!G106</f>
        <v>nvt</v>
      </c>
      <c r="J81" s="42">
        <f>'3. Input (des)investeringen '!H106</f>
        <v>10</v>
      </c>
      <c r="K81" s="42">
        <f>'3. Input (des)investeringen '!I106</f>
        <v>1</v>
      </c>
      <c r="M81" s="43">
        <f t="shared" si="7"/>
        <v>0</v>
      </c>
      <c r="N81" s="43">
        <f t="shared" si="8"/>
        <v>252887.315371012</v>
      </c>
      <c r="P81" s="138">
        <f t="shared" si="30"/>
        <v>0</v>
      </c>
      <c r="Q81" s="138">
        <f t="shared" si="9"/>
        <v>4804858.9920492275</v>
      </c>
      <c r="S81" s="43">
        <f t="shared" si="10"/>
        <v>4804858.9920492275</v>
      </c>
      <c r="T81" s="38">
        <f t="shared" si="11"/>
        <v>9.5</v>
      </c>
      <c r="V81" s="43">
        <f t="shared" si="12"/>
        <v>591756.31796816806</v>
      </c>
      <c r="W81" s="43">
        <f t="shared" si="12"/>
        <v>510779.13761462923</v>
      </c>
      <c r="X81" s="43">
        <f t="shared" si="12"/>
        <v>440883.04509894311</v>
      </c>
      <c r="Y81" s="43">
        <f t="shared" si="12"/>
        <v>427839.16802500986</v>
      </c>
      <c r="Z81" s="43">
        <f t="shared" si="12"/>
        <v>427839.16802500986</v>
      </c>
      <c r="AB81" s="43">
        <f t="shared" si="13"/>
        <v>50577.463074202395</v>
      </c>
      <c r="AC81" s="43">
        <f t="shared" si="13"/>
        <v>50577.463074202395</v>
      </c>
      <c r="AD81" s="43">
        <f t="shared" si="13"/>
        <v>50577.463074202395</v>
      </c>
      <c r="AE81" s="43">
        <f t="shared" si="13"/>
        <v>50577.463074202395</v>
      </c>
      <c r="AF81" s="43">
        <f t="shared" si="13"/>
        <v>50577.463074202395</v>
      </c>
      <c r="AH81" s="43">
        <f t="shared" si="14"/>
        <v>642333.78104237048</v>
      </c>
      <c r="AI81" s="43">
        <f t="shared" si="15"/>
        <v>561356.60068883165</v>
      </c>
      <c r="AJ81" s="43">
        <f t="shared" si="16"/>
        <v>491460.50817314553</v>
      </c>
      <c r="AK81" s="43">
        <f t="shared" si="17"/>
        <v>478416.63109921227</v>
      </c>
      <c r="AL81" s="43">
        <f t="shared" si="18"/>
        <v>478416.63109921227</v>
      </c>
      <c r="AN81" s="43">
        <f t="shared" si="19"/>
        <v>4162525.211006857</v>
      </c>
      <c r="AO81" s="43">
        <f t="shared" si="20"/>
        <v>3601168.6103180256</v>
      </c>
      <c r="AP81" s="43">
        <f t="shared" si="21"/>
        <v>3109708.1021448802</v>
      </c>
      <c r="AQ81" s="43">
        <f t="shared" si="22"/>
        <v>2631291.4710456678</v>
      </c>
      <c r="AR81" s="43">
        <f t="shared" si="23"/>
        <v>2152874.8399464553</v>
      </c>
      <c r="AT81" s="43">
        <f t="shared" si="24"/>
        <v>51281.905979899886</v>
      </c>
      <c r="AU81" s="43">
        <f t="shared" si="24"/>
        <v>54243.538614051075</v>
      </c>
      <c r="AV81" s="43">
        <f t="shared" si="24"/>
        <v>58348.689616362455</v>
      </c>
      <c r="AW81" s="43">
        <f t="shared" si="24"/>
        <v>59742.52311391812</v>
      </c>
      <c r="AX81" s="43">
        <f t="shared" si="24"/>
        <v>60515.1134228273</v>
      </c>
      <c r="AZ81" s="47">
        <f t="shared" si="25"/>
        <v>835141.54419650359</v>
      </c>
      <c r="BA81" s="47">
        <f t="shared" si="26"/>
        <v>734438.70344337763</v>
      </c>
      <c r="BB81" s="47">
        <f t="shared" si="27"/>
        <v>667978.10567101347</v>
      </c>
      <c r="BC81" s="47">
        <f t="shared" si="28"/>
        <v>638148.2301128658</v>
      </c>
      <c r="BD81" s="47">
        <f t="shared" si="29"/>
        <v>620740.98844000488</v>
      </c>
    </row>
    <row r="82" spans="2:56">
      <c r="B82" s="37">
        <f>'3. Input (des)investeringen '!B107</f>
        <v>1550</v>
      </c>
      <c r="C82" s="48"/>
      <c r="D82" s="48"/>
      <c r="E82" s="48"/>
      <c r="F82" s="42">
        <f>'3. Input (des)investeringen '!D107</f>
        <v>23857053.29424395</v>
      </c>
      <c r="G82" s="48"/>
      <c r="H82" s="37">
        <f>'3. Input (des)investeringen '!F107</f>
        <v>2021</v>
      </c>
      <c r="I82" s="42" t="str">
        <f>'3. Input (des)investeringen '!G107</f>
        <v>nvt</v>
      </c>
      <c r="J82" s="42">
        <f>'3. Input (des)investeringen '!H107</f>
        <v>15</v>
      </c>
      <c r="K82" s="42">
        <f>'3. Input (des)investeringen '!I107</f>
        <v>1</v>
      </c>
      <c r="M82" s="43">
        <f t="shared" si="7"/>
        <v>0</v>
      </c>
      <c r="N82" s="43">
        <f t="shared" si="8"/>
        <v>795235.1098081317</v>
      </c>
      <c r="P82" s="138">
        <f t="shared" si="30"/>
        <v>0</v>
      </c>
      <c r="Q82" s="138">
        <f t="shared" si="9"/>
        <v>23061818.184435818</v>
      </c>
      <c r="S82" s="43">
        <f t="shared" si="10"/>
        <v>23061818.184435818</v>
      </c>
      <c r="T82" s="38">
        <f t="shared" si="11"/>
        <v>14.5</v>
      </c>
      <c r="V82" s="43">
        <f t="shared" si="12"/>
        <v>1860850.1569510282</v>
      </c>
      <c r="W82" s="43">
        <f t="shared" si="12"/>
        <v>1694015.3152933496</v>
      </c>
      <c r="X82" s="43">
        <f t="shared" si="12"/>
        <v>1542138.0801291184</v>
      </c>
      <c r="Y82" s="43">
        <f t="shared" si="12"/>
        <v>1403877.4246692664</v>
      </c>
      <c r="Z82" s="43">
        <f t="shared" si="12"/>
        <v>1357595.7513285214</v>
      </c>
      <c r="AB82" s="43">
        <f t="shared" si="13"/>
        <v>159047.02196162633</v>
      </c>
      <c r="AC82" s="43">
        <f t="shared" si="13"/>
        <v>159047.02196162636</v>
      </c>
      <c r="AD82" s="43">
        <f t="shared" si="13"/>
        <v>159047.02196162636</v>
      </c>
      <c r="AE82" s="43">
        <f t="shared" si="13"/>
        <v>159047.02196162636</v>
      </c>
      <c r="AF82" s="43">
        <f t="shared" si="13"/>
        <v>159047.02196162636</v>
      </c>
      <c r="AH82" s="43">
        <f t="shared" si="14"/>
        <v>2019897.1789126545</v>
      </c>
      <c r="AI82" s="43">
        <f t="shared" si="15"/>
        <v>1853062.3372549759</v>
      </c>
      <c r="AJ82" s="43">
        <f t="shared" si="16"/>
        <v>1701185.1020907448</v>
      </c>
      <c r="AK82" s="43">
        <f t="shared" si="17"/>
        <v>1562924.4466308928</v>
      </c>
      <c r="AL82" s="43">
        <f t="shared" si="18"/>
        <v>1516642.7732901478</v>
      </c>
      <c r="AN82" s="43">
        <f t="shared" si="19"/>
        <v>21041921.005523164</v>
      </c>
      <c r="AO82" s="43">
        <f t="shared" si="20"/>
        <v>19188858.668268189</v>
      </c>
      <c r="AP82" s="43">
        <f t="shared" si="21"/>
        <v>17487673.566177443</v>
      </c>
      <c r="AQ82" s="43">
        <f t="shared" si="22"/>
        <v>15924749.119546549</v>
      </c>
      <c r="AR82" s="43">
        <f t="shared" si="23"/>
        <v>14408106.346256401</v>
      </c>
      <c r="AT82" s="43">
        <f t="shared" si="24"/>
        <v>241893.34332526181</v>
      </c>
      <c r="AU82" s="43">
        <f t="shared" si="24"/>
        <v>255863.1676889823</v>
      </c>
      <c r="AV82" s="43">
        <f t="shared" si="24"/>
        <v>275226.89221968449</v>
      </c>
      <c r="AW82" s="43">
        <f t="shared" si="24"/>
        <v>281801.51222102839</v>
      </c>
      <c r="AX82" s="43">
        <f t="shared" si="24"/>
        <v>285445.76937707065</v>
      </c>
      <c r="AZ82" s="47">
        <f t="shared" si="25"/>
        <v>2977215.836425704</v>
      </c>
      <c r="BA82" s="47">
        <f t="shared" si="26"/>
        <v>2742157.8409968084</v>
      </c>
      <c r="BB82" s="47">
        <f t="shared" si="27"/>
        <v>2640943.589825172</v>
      </c>
      <c r="BC82" s="47">
        <f t="shared" si="28"/>
        <v>2449866.4253946901</v>
      </c>
      <c r="BD82" s="47">
        <f t="shared" si="29"/>
        <v>2349596.5838249614</v>
      </c>
    </row>
    <row r="83" spans="2:56">
      <c r="B83" s="37">
        <f>'3. Input (des)investeringen '!B108</f>
        <v>1551</v>
      </c>
      <c r="C83" s="48"/>
      <c r="D83" s="48"/>
      <c r="E83" s="48"/>
      <c r="F83" s="42">
        <f>'3. Input (des)investeringen '!D108</f>
        <v>29301462.7172231</v>
      </c>
      <c r="G83" s="48"/>
      <c r="H83" s="37">
        <f>'3. Input (des)investeringen '!F108</f>
        <v>2021</v>
      </c>
      <c r="I83" s="42" t="str">
        <f>'3. Input (des)investeringen '!G108</f>
        <v>nvt</v>
      </c>
      <c r="J83" s="42">
        <f>'3. Input (des)investeringen '!H108</f>
        <v>30</v>
      </c>
      <c r="K83" s="42">
        <f>'3. Input (des)investeringen '!I108</f>
        <v>1</v>
      </c>
      <c r="M83" s="43">
        <f t="shared" si="7"/>
        <v>0</v>
      </c>
      <c r="N83" s="43">
        <f t="shared" si="8"/>
        <v>488357.71195371833</v>
      </c>
      <c r="P83" s="138">
        <f t="shared" si="30"/>
        <v>0</v>
      </c>
      <c r="Q83" s="138">
        <f t="shared" si="9"/>
        <v>28813105.005269382</v>
      </c>
      <c r="S83" s="43">
        <f t="shared" si="10"/>
        <v>28813105.005269382</v>
      </c>
      <c r="T83" s="38">
        <f t="shared" si="11"/>
        <v>29.5</v>
      </c>
      <c r="V83" s="43">
        <f t="shared" si="12"/>
        <v>1142757.0459717009</v>
      </c>
      <c r="W83" s="43">
        <f t="shared" si="12"/>
        <v>1092398.2608949819</v>
      </c>
      <c r="X83" s="43">
        <f t="shared" si="12"/>
        <v>1044258.6765165591</v>
      </c>
      <c r="Y83" s="43">
        <f t="shared" si="12"/>
        <v>998240.49755142257</v>
      </c>
      <c r="Z83" s="43">
        <f t="shared" si="12"/>
        <v>954250.2383372921</v>
      </c>
      <c r="AB83" s="43">
        <f t="shared" si="13"/>
        <v>97671.542390743678</v>
      </c>
      <c r="AC83" s="43">
        <f t="shared" si="13"/>
        <v>97671.542390743678</v>
      </c>
      <c r="AD83" s="43">
        <f t="shared" si="13"/>
        <v>97671.542390743678</v>
      </c>
      <c r="AE83" s="43">
        <f t="shared" si="13"/>
        <v>97671.542390743678</v>
      </c>
      <c r="AF83" s="43">
        <f t="shared" si="13"/>
        <v>97671.542390743678</v>
      </c>
      <c r="AH83" s="43">
        <f t="shared" si="14"/>
        <v>1240428.5883624447</v>
      </c>
      <c r="AI83" s="43">
        <f t="shared" si="15"/>
        <v>1190069.8032857256</v>
      </c>
      <c r="AJ83" s="43">
        <f t="shared" si="16"/>
        <v>1141930.2189073027</v>
      </c>
      <c r="AK83" s="43">
        <f t="shared" si="17"/>
        <v>1095912.0399421663</v>
      </c>
      <c r="AL83" s="43">
        <f t="shared" si="18"/>
        <v>1051921.7807280358</v>
      </c>
      <c r="AN83" s="43">
        <f t="shared" si="19"/>
        <v>27572676.416906938</v>
      </c>
      <c r="AO83" s="43">
        <f t="shared" si="20"/>
        <v>26382606.613621213</v>
      </c>
      <c r="AP83" s="43">
        <f t="shared" si="21"/>
        <v>25240676.394713908</v>
      </c>
      <c r="AQ83" s="43">
        <f t="shared" si="22"/>
        <v>24144764.354771741</v>
      </c>
      <c r="AR83" s="43">
        <f t="shared" si="23"/>
        <v>23092842.574043706</v>
      </c>
      <c r="AT83" s="43">
        <f t="shared" si="24"/>
        <v>297095.73489948583</v>
      </c>
      <c r="AU83" s="43">
        <f t="shared" si="24"/>
        <v>314253.60778140096</v>
      </c>
      <c r="AV83" s="43">
        <f t="shared" si="24"/>
        <v>338036.32081829745</v>
      </c>
      <c r="AW83" s="43">
        <f t="shared" si="24"/>
        <v>346111.33245000488</v>
      </c>
      <c r="AX83" s="43">
        <f t="shared" si="24"/>
        <v>350587.24420124828</v>
      </c>
      <c r="AZ83" s="47">
        <f t="shared" si="25"/>
        <v>2474995.3214367665</v>
      </c>
      <c r="BA83" s="47">
        <f t="shared" si="26"/>
        <v>2374949.4293166269</v>
      </c>
      <c r="BB83" s="47">
        <f t="shared" si="27"/>
        <v>2439112.2427247288</v>
      </c>
      <c r="BC83" s="47">
        <f t="shared" si="28"/>
        <v>2359524.4178734971</v>
      </c>
      <c r="BD83" s="47">
        <f t="shared" si="29"/>
        <v>2280037.0427429453</v>
      </c>
    </row>
    <row r="84" spans="2:56">
      <c r="B84" s="37">
        <f>'3. Input (des)investeringen '!B109</f>
        <v>1552</v>
      </c>
      <c r="C84" s="48"/>
      <c r="D84" s="48"/>
      <c r="E84" s="48"/>
      <c r="F84" s="42">
        <f>'3. Input (des)investeringen '!D109</f>
        <v>81110584.954272762</v>
      </c>
      <c r="G84" s="48"/>
      <c r="H84" s="37">
        <f>'3. Input (des)investeringen '!F109</f>
        <v>2021</v>
      </c>
      <c r="I84" s="42" t="str">
        <f>'3. Input (des)investeringen '!G109</f>
        <v>nvt</v>
      </c>
      <c r="J84" s="42">
        <f>'3. Input (des)investeringen '!H109</f>
        <v>55</v>
      </c>
      <c r="K84" s="42">
        <f>'3. Input (des)investeringen '!I109</f>
        <v>1</v>
      </c>
      <c r="M84" s="43">
        <f t="shared" si="7"/>
        <v>0</v>
      </c>
      <c r="N84" s="43">
        <f t="shared" si="8"/>
        <v>737368.95412975235</v>
      </c>
      <c r="P84" s="138">
        <f t="shared" si="30"/>
        <v>0</v>
      </c>
      <c r="Q84" s="138">
        <f t="shared" si="9"/>
        <v>80373216.000143006</v>
      </c>
      <c r="S84" s="43">
        <f t="shared" si="10"/>
        <v>80373216.000143006</v>
      </c>
      <c r="T84" s="38">
        <f t="shared" si="11"/>
        <v>54.5</v>
      </c>
      <c r="V84" s="43">
        <f t="shared" si="12"/>
        <v>1725443.3526636206</v>
      </c>
      <c r="W84" s="43">
        <f t="shared" si="12"/>
        <v>1684285.9882881581</v>
      </c>
      <c r="X84" s="43">
        <f t="shared" si="12"/>
        <v>1644110.3592097249</v>
      </c>
      <c r="Y84" s="43">
        <f t="shared" si="12"/>
        <v>1604893.0478891258</v>
      </c>
      <c r="Z84" s="43">
        <f t="shared" si="12"/>
        <v>1566611.1953706695</v>
      </c>
      <c r="AB84" s="43">
        <f t="shared" si="13"/>
        <v>147473.79082595048</v>
      </c>
      <c r="AC84" s="43">
        <f t="shared" si="13"/>
        <v>147473.79082595048</v>
      </c>
      <c r="AD84" s="43">
        <f t="shared" si="13"/>
        <v>147473.79082595048</v>
      </c>
      <c r="AE84" s="43">
        <f t="shared" si="13"/>
        <v>147473.79082595048</v>
      </c>
      <c r="AF84" s="43">
        <f t="shared" si="13"/>
        <v>147473.79082595048</v>
      </c>
      <c r="AH84" s="43">
        <f t="shared" si="14"/>
        <v>1872917.1434895711</v>
      </c>
      <c r="AI84" s="43">
        <f t="shared" si="15"/>
        <v>1831759.7791141085</v>
      </c>
      <c r="AJ84" s="43">
        <f t="shared" si="16"/>
        <v>1791584.1500356754</v>
      </c>
      <c r="AK84" s="43">
        <f t="shared" si="17"/>
        <v>1752366.8387150762</v>
      </c>
      <c r="AL84" s="43">
        <f t="shared" si="18"/>
        <v>1714084.9861966199</v>
      </c>
      <c r="AN84" s="43">
        <f t="shared" si="19"/>
        <v>78500298.856653437</v>
      </c>
      <c r="AO84" s="43">
        <f t="shared" si="20"/>
        <v>76668539.077539325</v>
      </c>
      <c r="AP84" s="43">
        <f t="shared" si="21"/>
        <v>74876954.927503645</v>
      </c>
      <c r="AQ84" s="43">
        <f t="shared" si="22"/>
        <v>73124588.088788569</v>
      </c>
      <c r="AR84" s="43">
        <f t="shared" si="23"/>
        <v>71410503.102591947</v>
      </c>
      <c r="AT84" s="43">
        <f t="shared" si="24"/>
        <v>822402.93181515869</v>
      </c>
      <c r="AU84" s="43">
        <f t="shared" si="24"/>
        <v>869898.34593334782</v>
      </c>
      <c r="AV84" s="43">
        <f t="shared" si="24"/>
        <v>935732.25275358371</v>
      </c>
      <c r="AW84" s="43">
        <f t="shared" si="24"/>
        <v>958085.02480736119</v>
      </c>
      <c r="AX84" s="43">
        <f t="shared" si="24"/>
        <v>970474.9803481698</v>
      </c>
      <c r="AZ84" s="47">
        <f t="shared" si="25"/>
        <v>5364330.2364309467</v>
      </c>
      <c r="BA84" s="47">
        <f t="shared" si="26"/>
        <v>5231719.9146062545</v>
      </c>
      <c r="BB84" s="47">
        <f t="shared" si="27"/>
        <v>5572640.6900343979</v>
      </c>
      <c r="BC84" s="47">
        <f t="shared" si="28"/>
        <v>5489186.2108964026</v>
      </c>
      <c r="BD84" s="47">
        <f t="shared" si="29"/>
        <v>5398159.0844432842</v>
      </c>
    </row>
    <row r="85" spans="2:56">
      <c r="B85" s="37">
        <f>'3. Input (des)investeringen '!B110</f>
        <v>1553</v>
      </c>
      <c r="C85" s="48"/>
      <c r="D85" s="48"/>
      <c r="E85" s="48"/>
      <c r="F85" s="42">
        <f>'3. Input (des)investeringen '!D110</f>
        <v>-30959.437980156832</v>
      </c>
      <c r="G85" s="48"/>
      <c r="H85" s="37">
        <f>'3. Input (des)investeringen '!F110</f>
        <v>2021</v>
      </c>
      <c r="I85" s="42" t="str">
        <f>'3. Input (des)investeringen '!G110</f>
        <v>nvt</v>
      </c>
      <c r="J85" s="42">
        <f>'3. Input (des)investeringen '!H110</f>
        <v>0</v>
      </c>
      <c r="K85" s="42">
        <f>'3. Input (des)investeringen '!I110</f>
        <v>0</v>
      </c>
      <c r="M85" s="43">
        <f t="shared" si="7"/>
        <v>0</v>
      </c>
      <c r="N85" s="43">
        <f t="shared" si="8"/>
        <v>0</v>
      </c>
      <c r="P85" s="138">
        <f t="shared" si="30"/>
        <v>0</v>
      </c>
      <c r="Q85" s="138">
        <f t="shared" si="9"/>
        <v>-30959.437980156832</v>
      </c>
      <c r="S85" s="43">
        <f t="shared" si="10"/>
        <v>-30959.437980156832</v>
      </c>
      <c r="T85" s="38">
        <f t="shared" si="11"/>
        <v>0</v>
      </c>
      <c r="V85" s="43">
        <f t="shared" si="12"/>
        <v>0</v>
      </c>
      <c r="W85" s="43">
        <f t="shared" si="12"/>
        <v>0</v>
      </c>
      <c r="X85" s="43">
        <f t="shared" si="12"/>
        <v>0</v>
      </c>
      <c r="Y85" s="43">
        <f t="shared" si="12"/>
        <v>0</v>
      </c>
      <c r="Z85" s="43">
        <f t="shared" si="12"/>
        <v>0</v>
      </c>
      <c r="AB85" s="43">
        <f t="shared" si="13"/>
        <v>0</v>
      </c>
      <c r="AC85" s="43">
        <f t="shared" si="13"/>
        <v>0</v>
      </c>
      <c r="AD85" s="43">
        <f t="shared" si="13"/>
        <v>0</v>
      </c>
      <c r="AE85" s="43">
        <f t="shared" si="13"/>
        <v>0</v>
      </c>
      <c r="AF85" s="43">
        <f t="shared" si="13"/>
        <v>0</v>
      </c>
      <c r="AH85" s="43">
        <f t="shared" si="14"/>
        <v>0</v>
      </c>
      <c r="AI85" s="43">
        <f t="shared" si="15"/>
        <v>0</v>
      </c>
      <c r="AJ85" s="43">
        <f t="shared" si="16"/>
        <v>0</v>
      </c>
      <c r="AK85" s="43">
        <f t="shared" si="17"/>
        <v>0</v>
      </c>
      <c r="AL85" s="43">
        <f t="shared" si="18"/>
        <v>0</v>
      </c>
      <c r="AN85" s="43">
        <f t="shared" si="19"/>
        <v>-30959.437980156832</v>
      </c>
      <c r="AO85" s="43">
        <f t="shared" si="20"/>
        <v>-30959.437980156832</v>
      </c>
      <c r="AP85" s="43">
        <f t="shared" si="21"/>
        <v>-30959.437980156832</v>
      </c>
      <c r="AQ85" s="43">
        <f t="shared" si="22"/>
        <v>-30959.437980156832</v>
      </c>
      <c r="AR85" s="43">
        <f t="shared" si="23"/>
        <v>-30959.437980156832</v>
      </c>
      <c r="AT85" s="43">
        <f t="shared" si="24"/>
        <v>-313.90641032344456</v>
      </c>
      <c r="AU85" s="43">
        <f t="shared" si="24"/>
        <v>-332.03513333244416</v>
      </c>
      <c r="AV85" s="43">
        <f t="shared" si="24"/>
        <v>-357.1635522230435</v>
      </c>
      <c r="AW85" s="43">
        <f t="shared" si="24"/>
        <v>-365.69547515854759</v>
      </c>
      <c r="AX85" s="43">
        <f t="shared" si="24"/>
        <v>-370.42464904329785</v>
      </c>
      <c r="AZ85" s="47">
        <f t="shared" si="25"/>
        <v>-1366.527301648777</v>
      </c>
      <c r="BA85" s="47">
        <f t="shared" si="26"/>
        <v>-1353.6965866776195</v>
      </c>
      <c r="BB85" s="47">
        <f t="shared" si="27"/>
        <v>-1533.6221954690031</v>
      </c>
      <c r="BC85" s="47">
        <f t="shared" si="28"/>
        <v>-1542.1541184045072</v>
      </c>
      <c r="BD85" s="47">
        <f t="shared" si="29"/>
        <v>-1546.8832922892575</v>
      </c>
    </row>
    <row r="86" spans="2:56">
      <c r="B86" s="37">
        <f>'3. Input (des)investeringen '!B111</f>
        <v>1554</v>
      </c>
      <c r="C86" s="48"/>
      <c r="D86" s="48"/>
      <c r="E86" s="48"/>
      <c r="F86" s="42">
        <f>'3. Input (des)investeringen '!D111</f>
        <v>436048.00524345576</v>
      </c>
      <c r="G86" s="48"/>
      <c r="H86" s="37">
        <f>'3. Input (des)investeringen '!F111</f>
        <v>2021</v>
      </c>
      <c r="I86" s="42" t="str">
        <f>'3. Input (des)investeringen '!G111</f>
        <v>nvt</v>
      </c>
      <c r="J86" s="42">
        <f>'3. Input (des)investeringen '!H111</f>
        <v>5</v>
      </c>
      <c r="K86" s="42">
        <f>'3. Input (des)investeringen '!I111</f>
        <v>0</v>
      </c>
      <c r="M86" s="43">
        <f t="shared" si="7"/>
        <v>0</v>
      </c>
      <c r="N86" s="43">
        <f t="shared" si="8"/>
        <v>43604.800524345577</v>
      </c>
      <c r="P86" s="138">
        <f t="shared" si="30"/>
        <v>0</v>
      </c>
      <c r="Q86" s="138">
        <f t="shared" si="9"/>
        <v>392443.20471911016</v>
      </c>
      <c r="S86" s="43">
        <f t="shared" si="10"/>
        <v>392443.20471911016</v>
      </c>
      <c r="T86" s="38">
        <f t="shared" si="11"/>
        <v>4.5</v>
      </c>
      <c r="V86" s="43">
        <f t="shared" si="12"/>
        <v>102035.23322696866</v>
      </c>
      <c r="W86" s="43">
        <f t="shared" si="12"/>
        <v>72558.388072511036</v>
      </c>
      <c r="X86" s="43">
        <f t="shared" si="12"/>
        <v>71442.105179087783</v>
      </c>
      <c r="Y86" s="43">
        <f t="shared" si="12"/>
        <v>71442.105179087783</v>
      </c>
      <c r="Z86" s="43">
        <f t="shared" si="12"/>
        <v>35721.052589543891</v>
      </c>
      <c r="AB86" s="43">
        <f t="shared" si="13"/>
        <v>8720.9601048691147</v>
      </c>
      <c r="AC86" s="43">
        <f t="shared" si="13"/>
        <v>8720.9601048691147</v>
      </c>
      <c r="AD86" s="43">
        <f t="shared" si="13"/>
        <v>8720.9601048691147</v>
      </c>
      <c r="AE86" s="43">
        <f t="shared" si="13"/>
        <v>8720.9601048691147</v>
      </c>
      <c r="AF86" s="43">
        <f t="shared" si="13"/>
        <v>4360.4800524345574</v>
      </c>
      <c r="AH86" s="43">
        <f t="shared" si="14"/>
        <v>110756.19333183777</v>
      </c>
      <c r="AI86" s="43">
        <f t="shared" si="15"/>
        <v>81279.348177380147</v>
      </c>
      <c r="AJ86" s="43">
        <f t="shared" si="16"/>
        <v>80163.065283956894</v>
      </c>
      <c r="AK86" s="43">
        <f t="shared" si="17"/>
        <v>80163.065283956894</v>
      </c>
      <c r="AL86" s="43">
        <f t="shared" si="18"/>
        <v>40081.532641978447</v>
      </c>
      <c r="AN86" s="43">
        <f t="shared" si="19"/>
        <v>281687.01138727239</v>
      </c>
      <c r="AO86" s="43">
        <f t="shared" si="20"/>
        <v>200407.66320989223</v>
      </c>
      <c r="AP86" s="43">
        <f t="shared" si="21"/>
        <v>120244.59792593533</v>
      </c>
      <c r="AQ86" s="43">
        <f t="shared" si="22"/>
        <v>40081.53264197844</v>
      </c>
      <c r="AR86" s="43">
        <f t="shared" si="23"/>
        <v>0</v>
      </c>
      <c r="AT86" s="43">
        <f t="shared" si="24"/>
        <v>4421.2128186048658</v>
      </c>
      <c r="AU86" s="43">
        <f t="shared" si="24"/>
        <v>4676.5467013049338</v>
      </c>
      <c r="AV86" s="43">
        <f t="shared" si="24"/>
        <v>5030.4677556596916</v>
      </c>
      <c r="AW86" s="43">
        <f t="shared" si="24"/>
        <v>5150.6355694068907</v>
      </c>
      <c r="AX86" s="43">
        <f t="shared" si="24"/>
        <v>5217.2435885904597</v>
      </c>
      <c r="AZ86" s="47">
        <f t="shared" si="25"/>
        <v>124754.7645376099</v>
      </c>
      <c r="BA86" s="47">
        <f t="shared" si="26"/>
        <v>92569.347764611521</v>
      </c>
      <c r="BB86" s="47">
        <f t="shared" si="27"/>
        <v>89762.827760802116</v>
      </c>
      <c r="BC86" s="47">
        <f t="shared" si="28"/>
        <v>86836.799093758964</v>
      </c>
      <c r="BD86" s="47">
        <f t="shared" si="29"/>
        <v>45298.77623056891</v>
      </c>
    </row>
    <row r="87" spans="2:56">
      <c r="B87" s="37">
        <f>'3. Input (des)investeringen '!B112</f>
        <v>1555</v>
      </c>
      <c r="C87" s="48"/>
      <c r="D87" s="48"/>
      <c r="E87" s="48"/>
      <c r="F87" s="42">
        <f>'3. Input (des)investeringen '!D112</f>
        <v>1563699.3217659162</v>
      </c>
      <c r="G87" s="48"/>
      <c r="H87" s="37">
        <f>'3. Input (des)investeringen '!F112</f>
        <v>2021</v>
      </c>
      <c r="I87" s="42" t="str">
        <f>'3. Input (des)investeringen '!G112</f>
        <v>nvt</v>
      </c>
      <c r="J87" s="42">
        <f>'3. Input (des)investeringen '!H112</f>
        <v>10</v>
      </c>
      <c r="K87" s="42">
        <f>'3. Input (des)investeringen '!I112</f>
        <v>0</v>
      </c>
      <c r="M87" s="43">
        <f t="shared" si="7"/>
        <v>0</v>
      </c>
      <c r="N87" s="43">
        <f t="shared" si="8"/>
        <v>78184.966088295812</v>
      </c>
      <c r="P87" s="138">
        <f t="shared" si="30"/>
        <v>0</v>
      </c>
      <c r="Q87" s="138">
        <f t="shared" si="9"/>
        <v>1485514.3556776203</v>
      </c>
      <c r="S87" s="43">
        <f t="shared" si="10"/>
        <v>1485514.3556776203</v>
      </c>
      <c r="T87" s="38">
        <f t="shared" si="11"/>
        <v>9.5</v>
      </c>
      <c r="V87" s="43">
        <f t="shared" si="12"/>
        <v>182952.82064661221</v>
      </c>
      <c r="W87" s="43">
        <f t="shared" si="12"/>
        <v>157917.17150549684</v>
      </c>
      <c r="X87" s="43">
        <f t="shared" si="12"/>
        <v>136307.45329948148</v>
      </c>
      <c r="Y87" s="43">
        <f t="shared" si="12"/>
        <v>132274.68840896428</v>
      </c>
      <c r="Z87" s="43">
        <f t="shared" si="12"/>
        <v>132274.68840896428</v>
      </c>
      <c r="AB87" s="43">
        <f t="shared" si="13"/>
        <v>15636.993217659161</v>
      </c>
      <c r="AC87" s="43">
        <f t="shared" si="13"/>
        <v>15636.993217659163</v>
      </c>
      <c r="AD87" s="43">
        <f t="shared" si="13"/>
        <v>15636.993217659163</v>
      </c>
      <c r="AE87" s="43">
        <f t="shared" si="13"/>
        <v>15636.993217659163</v>
      </c>
      <c r="AF87" s="43">
        <f t="shared" si="13"/>
        <v>15636.993217659163</v>
      </c>
      <c r="AH87" s="43">
        <f t="shared" si="14"/>
        <v>198589.81386427136</v>
      </c>
      <c r="AI87" s="43">
        <f t="shared" si="15"/>
        <v>173554.16472315599</v>
      </c>
      <c r="AJ87" s="43">
        <f t="shared" si="16"/>
        <v>151944.44651714063</v>
      </c>
      <c r="AK87" s="43">
        <f t="shared" si="17"/>
        <v>147911.68162662344</v>
      </c>
      <c r="AL87" s="43">
        <f t="shared" si="18"/>
        <v>147911.68162662344</v>
      </c>
      <c r="AN87" s="43">
        <f t="shared" si="19"/>
        <v>1286924.5418133489</v>
      </c>
      <c r="AO87" s="43">
        <f t="shared" si="20"/>
        <v>1113370.3770901929</v>
      </c>
      <c r="AP87" s="43">
        <f t="shared" si="21"/>
        <v>961425.93057305226</v>
      </c>
      <c r="AQ87" s="43">
        <f t="shared" si="22"/>
        <v>813514.24894642876</v>
      </c>
      <c r="AR87" s="43">
        <f t="shared" si="23"/>
        <v>665602.56731980527</v>
      </c>
      <c r="AT87" s="43">
        <f t="shared" si="24"/>
        <v>15854.785259194719</v>
      </c>
      <c r="AU87" s="43">
        <f t="shared" si="24"/>
        <v>16770.430817483732</v>
      </c>
      <c r="AV87" s="43">
        <f t="shared" si="24"/>
        <v>18039.617021750902</v>
      </c>
      <c r="AW87" s="43">
        <f t="shared" si="24"/>
        <v>18470.547393166489</v>
      </c>
      <c r="AX87" s="43">
        <f t="shared" si="24"/>
        <v>18709.408512054913</v>
      </c>
      <c r="AZ87" s="47">
        <f t="shared" si="25"/>
        <v>258200.03354511995</v>
      </c>
      <c r="BA87" s="47">
        <f t="shared" si="26"/>
        <v>227065.81798461606</v>
      </c>
      <c r="BB87" s="47">
        <f t="shared" si="27"/>
        <v>206518.2489006675</v>
      </c>
      <c r="BC87" s="47">
        <f t="shared" si="28"/>
        <v>197295.77047975422</v>
      </c>
      <c r="BD87" s="47">
        <f t="shared" si="29"/>
        <v>191913.98769683094</v>
      </c>
    </row>
    <row r="88" spans="2:56">
      <c r="B88" s="37">
        <f>'3. Input (des)investeringen '!B113</f>
        <v>1556</v>
      </c>
      <c r="C88" s="48"/>
      <c r="D88" s="48"/>
      <c r="E88" s="48"/>
      <c r="F88" s="42">
        <f>'3. Input (des)investeringen '!D113</f>
        <v>4699116.7440402387</v>
      </c>
      <c r="G88" s="48"/>
      <c r="H88" s="37">
        <f>'3. Input (des)investeringen '!F113</f>
        <v>2021</v>
      </c>
      <c r="I88" s="42" t="str">
        <f>'3. Input (des)investeringen '!G113</f>
        <v>nvt</v>
      </c>
      <c r="J88" s="42">
        <f>'3. Input (des)investeringen '!H113</f>
        <v>15</v>
      </c>
      <c r="K88" s="42">
        <f>'3. Input (des)investeringen '!I113</f>
        <v>0</v>
      </c>
      <c r="M88" s="43">
        <f t="shared" si="7"/>
        <v>0</v>
      </c>
      <c r="N88" s="43">
        <f t="shared" si="8"/>
        <v>156637.22480134128</v>
      </c>
      <c r="P88" s="138">
        <f t="shared" si="30"/>
        <v>0</v>
      </c>
      <c r="Q88" s="138">
        <f t="shared" si="9"/>
        <v>4542479.5192388976</v>
      </c>
      <c r="S88" s="43">
        <f t="shared" si="10"/>
        <v>4542479.5192388976</v>
      </c>
      <c r="T88" s="38">
        <f t="shared" si="11"/>
        <v>14.5</v>
      </c>
      <c r="V88" s="43">
        <f t="shared" si="12"/>
        <v>366531.10603513865</v>
      </c>
      <c r="W88" s="43">
        <f t="shared" si="12"/>
        <v>333669.69652854005</v>
      </c>
      <c r="X88" s="43">
        <f t="shared" si="12"/>
        <v>303754.48235701578</v>
      </c>
      <c r="Y88" s="43">
        <f t="shared" si="12"/>
        <v>276521.32186983502</v>
      </c>
      <c r="Z88" s="43">
        <f t="shared" si="12"/>
        <v>267405.23433566466</v>
      </c>
      <c r="AB88" s="43">
        <f t="shared" si="13"/>
        <v>31327.444960268262</v>
      </c>
      <c r="AC88" s="43">
        <f t="shared" si="13"/>
        <v>31327.444960268262</v>
      </c>
      <c r="AD88" s="43">
        <f t="shared" si="13"/>
        <v>31327.444960268262</v>
      </c>
      <c r="AE88" s="43">
        <f t="shared" si="13"/>
        <v>31327.444960268262</v>
      </c>
      <c r="AF88" s="43">
        <f t="shared" si="13"/>
        <v>31327.444960268262</v>
      </c>
      <c r="AH88" s="43">
        <f t="shared" si="14"/>
        <v>397858.55099540693</v>
      </c>
      <c r="AI88" s="43">
        <f t="shared" si="15"/>
        <v>364997.14148880832</v>
      </c>
      <c r="AJ88" s="43">
        <f t="shared" si="16"/>
        <v>335081.92731728405</v>
      </c>
      <c r="AK88" s="43">
        <f t="shared" si="17"/>
        <v>307848.7668301033</v>
      </c>
      <c r="AL88" s="43">
        <f t="shared" si="18"/>
        <v>298732.67929593293</v>
      </c>
      <c r="AN88" s="43">
        <f t="shared" si="19"/>
        <v>4144620.9682434909</v>
      </c>
      <c r="AO88" s="43">
        <f t="shared" si="20"/>
        <v>3779623.8267546827</v>
      </c>
      <c r="AP88" s="43">
        <f t="shared" si="21"/>
        <v>3444541.8994373986</v>
      </c>
      <c r="AQ88" s="43">
        <f t="shared" si="22"/>
        <v>3136693.1326072952</v>
      </c>
      <c r="AR88" s="43">
        <f t="shared" si="23"/>
        <v>2837960.4533113623</v>
      </c>
      <c r="AT88" s="43">
        <f t="shared" si="24"/>
        <v>47645.660420512315</v>
      </c>
      <c r="AU88" s="43">
        <f t="shared" si="24"/>
        <v>50397.292601117748</v>
      </c>
      <c r="AV88" s="43">
        <f t="shared" si="24"/>
        <v>54211.359705170325</v>
      </c>
      <c r="AW88" s="43">
        <f t="shared" si="24"/>
        <v>55506.360665807435</v>
      </c>
      <c r="AX88" s="43">
        <f t="shared" si="24"/>
        <v>56224.168921937657</v>
      </c>
      <c r="AZ88" s="47">
        <f t="shared" si="25"/>
        <v>586421.32433619793</v>
      </c>
      <c r="BA88" s="47">
        <f t="shared" si="26"/>
        <v>540122.02037283056</v>
      </c>
      <c r="BB88" s="47">
        <f t="shared" si="27"/>
        <v>520185.87920107553</v>
      </c>
      <c r="BC88" s="47">
        <f t="shared" si="28"/>
        <v>482549.46653498797</v>
      </c>
      <c r="BD88" s="47">
        <f t="shared" si="29"/>
        <v>462799.34544370236</v>
      </c>
    </row>
    <row r="89" spans="2:56">
      <c r="B89" s="37">
        <f>'3. Input (des)investeringen '!B114</f>
        <v>1557</v>
      </c>
      <c r="C89" s="48"/>
      <c r="D89" s="48"/>
      <c r="E89" s="48"/>
      <c r="F89" s="42">
        <f>'3. Input (des)investeringen '!D114</f>
        <v>26652613.015183877</v>
      </c>
      <c r="G89" s="48"/>
      <c r="H89" s="37">
        <f>'3. Input (des)investeringen '!F114</f>
        <v>2021</v>
      </c>
      <c r="I89" s="42" t="str">
        <f>'3. Input (des)investeringen '!G114</f>
        <v>nvt</v>
      </c>
      <c r="J89" s="42">
        <f>'3. Input (des)investeringen '!H114</f>
        <v>30</v>
      </c>
      <c r="K89" s="42">
        <f>'3. Input (des)investeringen '!I114</f>
        <v>0</v>
      </c>
      <c r="M89" s="43">
        <f t="shared" si="7"/>
        <v>0</v>
      </c>
      <c r="N89" s="43">
        <f t="shared" si="8"/>
        <v>444210.21691973129</v>
      </c>
      <c r="P89" s="138">
        <f t="shared" si="30"/>
        <v>0</v>
      </c>
      <c r="Q89" s="138">
        <f t="shared" si="9"/>
        <v>26208402.798264146</v>
      </c>
      <c r="S89" s="43">
        <f t="shared" si="10"/>
        <v>26208402.798264146</v>
      </c>
      <c r="T89" s="38">
        <f t="shared" si="11"/>
        <v>29.5</v>
      </c>
      <c r="V89" s="43">
        <f t="shared" si="12"/>
        <v>1039451.9075921712</v>
      </c>
      <c r="W89" s="43">
        <f t="shared" si="12"/>
        <v>993645.55234234675</v>
      </c>
      <c r="X89" s="43">
        <f t="shared" si="12"/>
        <v>949857.78223912464</v>
      </c>
      <c r="Y89" s="43">
        <f t="shared" si="12"/>
        <v>907999.64268282428</v>
      </c>
      <c r="Z89" s="43">
        <f t="shared" si="12"/>
        <v>867986.09910697106</v>
      </c>
      <c r="AB89" s="43">
        <f t="shared" si="13"/>
        <v>88842.043383946264</v>
      </c>
      <c r="AC89" s="43">
        <f t="shared" si="13"/>
        <v>88842.043383946264</v>
      </c>
      <c r="AD89" s="43">
        <f t="shared" si="13"/>
        <v>88842.043383946264</v>
      </c>
      <c r="AE89" s="43">
        <f t="shared" si="13"/>
        <v>88842.043383946264</v>
      </c>
      <c r="AF89" s="43">
        <f t="shared" si="13"/>
        <v>88842.043383946264</v>
      </c>
      <c r="AH89" s="43">
        <f t="shared" si="14"/>
        <v>1128293.9509761175</v>
      </c>
      <c r="AI89" s="43">
        <f t="shared" si="15"/>
        <v>1082487.595726293</v>
      </c>
      <c r="AJ89" s="43">
        <f t="shared" si="16"/>
        <v>1038699.8256230709</v>
      </c>
      <c r="AK89" s="43">
        <f t="shared" si="17"/>
        <v>996841.68606677058</v>
      </c>
      <c r="AL89" s="43">
        <f t="shared" si="18"/>
        <v>956828.14249091735</v>
      </c>
      <c r="AN89" s="43">
        <f t="shared" si="19"/>
        <v>25080108.847288027</v>
      </c>
      <c r="AO89" s="43">
        <f t="shared" si="20"/>
        <v>23997621.251561735</v>
      </c>
      <c r="AP89" s="43">
        <f t="shared" si="21"/>
        <v>22958921.425938662</v>
      </c>
      <c r="AQ89" s="43">
        <f t="shared" si="22"/>
        <v>21962079.739871893</v>
      </c>
      <c r="AR89" s="43">
        <f t="shared" si="23"/>
        <v>21005251.597380977</v>
      </c>
      <c r="AT89" s="43">
        <f t="shared" si="24"/>
        <v>270238.30609259359</v>
      </c>
      <c r="AU89" s="43">
        <f t="shared" si="24"/>
        <v>285845.10874605307</v>
      </c>
      <c r="AV89" s="43">
        <f t="shared" si="24"/>
        <v>307477.86657595437</v>
      </c>
      <c r="AW89" s="43">
        <f t="shared" si="24"/>
        <v>314822.89785272075</v>
      </c>
      <c r="AX89" s="43">
        <f t="shared" si="24"/>
        <v>318894.18756775209</v>
      </c>
      <c r="AZ89" s="47">
        <f t="shared" si="25"/>
        <v>2251255.9578765044</v>
      </c>
      <c r="BA89" s="47">
        <f t="shared" si="26"/>
        <v>2160254.2057738835</v>
      </c>
      <c r="BB89" s="47">
        <f t="shared" si="27"/>
        <v>2218616.7063846947</v>
      </c>
      <c r="BC89" s="47">
        <f t="shared" si="28"/>
        <v>2146223.6140346234</v>
      </c>
      <c r="BD89" s="47">
        <f t="shared" si="29"/>
        <v>2073921.8907591465</v>
      </c>
    </row>
    <row r="90" spans="2:56">
      <c r="B90" s="37">
        <f>'3. Input (des)investeringen '!B115</f>
        <v>1558</v>
      </c>
      <c r="C90" s="48"/>
      <c r="D90" s="48"/>
      <c r="E90" s="48"/>
      <c r="F90" s="42">
        <f>'3. Input (des)investeringen '!D115</f>
        <v>37650.599697288933</v>
      </c>
      <c r="G90" s="48"/>
      <c r="H90" s="37">
        <f>'3. Input (des)investeringen '!F115</f>
        <v>2021</v>
      </c>
      <c r="I90" s="42" t="str">
        <f>'3. Input (des)investeringen '!G115</f>
        <v>nvt</v>
      </c>
      <c r="J90" s="42">
        <f>'3. Input (des)investeringen '!H115</f>
        <v>55</v>
      </c>
      <c r="K90" s="42">
        <f>'3. Input (des)investeringen '!I115</f>
        <v>0</v>
      </c>
      <c r="M90" s="43">
        <f t="shared" si="7"/>
        <v>0</v>
      </c>
      <c r="N90" s="43">
        <f t="shared" si="8"/>
        <v>342.27817906626302</v>
      </c>
      <c r="P90" s="138">
        <f t="shared" si="30"/>
        <v>0</v>
      </c>
      <c r="Q90" s="138">
        <f t="shared" si="9"/>
        <v>37308.32151822267</v>
      </c>
      <c r="S90" s="43">
        <f t="shared" si="10"/>
        <v>37308.32151822267</v>
      </c>
      <c r="T90" s="38">
        <f t="shared" si="11"/>
        <v>54.5</v>
      </c>
      <c r="V90" s="43">
        <f t="shared" si="12"/>
        <v>800.93093901505563</v>
      </c>
      <c r="W90" s="43">
        <f t="shared" si="12"/>
        <v>781.82616432295322</v>
      </c>
      <c r="X90" s="43">
        <f t="shared" si="12"/>
        <v>763.17709985286444</v>
      </c>
      <c r="Y90" s="43">
        <f t="shared" si="12"/>
        <v>744.97287545270444</v>
      </c>
      <c r="Z90" s="43">
        <f t="shared" si="12"/>
        <v>727.20288025841967</v>
      </c>
      <c r="AB90" s="43">
        <f t="shared" si="13"/>
        <v>68.455635813252613</v>
      </c>
      <c r="AC90" s="43">
        <f t="shared" si="13"/>
        <v>68.455635813252613</v>
      </c>
      <c r="AD90" s="43">
        <f t="shared" si="13"/>
        <v>68.455635813252613</v>
      </c>
      <c r="AE90" s="43">
        <f t="shared" si="13"/>
        <v>68.455635813252613</v>
      </c>
      <c r="AF90" s="43">
        <f t="shared" si="13"/>
        <v>68.455635813252613</v>
      </c>
      <c r="AH90" s="43">
        <f t="shared" si="14"/>
        <v>869.3865748283082</v>
      </c>
      <c r="AI90" s="43">
        <f t="shared" si="15"/>
        <v>850.28180013620579</v>
      </c>
      <c r="AJ90" s="43">
        <f t="shared" si="16"/>
        <v>831.63273566611701</v>
      </c>
      <c r="AK90" s="43">
        <f t="shared" si="17"/>
        <v>813.42851126595701</v>
      </c>
      <c r="AL90" s="43">
        <f t="shared" si="18"/>
        <v>795.65851607167224</v>
      </c>
      <c r="AN90" s="43">
        <f t="shared" si="19"/>
        <v>36438.934943394364</v>
      </c>
      <c r="AO90" s="43">
        <f t="shared" si="20"/>
        <v>35588.653143258161</v>
      </c>
      <c r="AP90" s="43">
        <f t="shared" si="21"/>
        <v>34757.020407592041</v>
      </c>
      <c r="AQ90" s="43">
        <f t="shared" si="22"/>
        <v>33943.591896326085</v>
      </c>
      <c r="AR90" s="43">
        <f t="shared" si="23"/>
        <v>33147.933380254413</v>
      </c>
      <c r="AT90" s="43">
        <f t="shared" si="24"/>
        <v>381.74997249872774</v>
      </c>
      <c r="AU90" s="43">
        <f t="shared" si="24"/>
        <v>403.79679691047426</v>
      </c>
      <c r="AV90" s="43">
        <f t="shared" si="24"/>
        <v>434.35613850065903</v>
      </c>
      <c r="AW90" s="43">
        <f t="shared" si="24"/>
        <v>444.73203793716266</v>
      </c>
      <c r="AX90" s="43">
        <f t="shared" si="24"/>
        <v>450.48331265176603</v>
      </c>
      <c r="AZ90" s="47">
        <f t="shared" si="25"/>
        <v>2490.0603354024447</v>
      </c>
      <c r="BA90" s="47">
        <f t="shared" si="26"/>
        <v>2428.5041507741994</v>
      </c>
      <c r="BB90" s="47">
        <f t="shared" si="27"/>
        <v>2586.7556496552738</v>
      </c>
      <c r="BC90" s="47">
        <f t="shared" si="28"/>
        <v>2548.0170412635111</v>
      </c>
      <c r="BD90" s="47">
        <f t="shared" si="29"/>
        <v>2505.7632971731059</v>
      </c>
    </row>
    <row r="91" spans="2:56">
      <c r="B91" s="37">
        <f>'3. Input (des)investeringen '!B116</f>
        <v>1559</v>
      </c>
      <c r="C91" s="48"/>
      <c r="D91" s="48"/>
      <c r="E91" s="48"/>
      <c r="F91" s="42">
        <f>'3. Input (des)investeringen '!D116</f>
        <v>0</v>
      </c>
      <c r="G91" s="48"/>
      <c r="H91" s="37">
        <f>'3. Input (des)investeringen '!F116</f>
        <v>2021</v>
      </c>
      <c r="I91" s="42" t="str">
        <f>'3. Input (des)investeringen '!G116</f>
        <v>nvt</v>
      </c>
      <c r="J91" s="42">
        <f>'3. Input (des)investeringen '!H116</f>
        <v>0</v>
      </c>
      <c r="K91" s="42">
        <f>'3. Input (des)investeringen '!I116</f>
        <v>0</v>
      </c>
      <c r="M91" s="43">
        <f t="shared" si="7"/>
        <v>0</v>
      </c>
      <c r="N91" s="43">
        <f t="shared" si="8"/>
        <v>0</v>
      </c>
      <c r="P91" s="138">
        <f t="shared" si="30"/>
        <v>0</v>
      </c>
      <c r="Q91" s="138">
        <f t="shared" si="9"/>
        <v>0</v>
      </c>
      <c r="S91" s="43">
        <f t="shared" si="10"/>
        <v>0</v>
      </c>
      <c r="T91" s="38">
        <f t="shared" si="11"/>
        <v>0</v>
      </c>
      <c r="V91" s="43">
        <f t="shared" si="12"/>
        <v>0</v>
      </c>
      <c r="W91" s="43">
        <f t="shared" si="12"/>
        <v>0</v>
      </c>
      <c r="X91" s="43">
        <f t="shared" si="12"/>
        <v>0</v>
      </c>
      <c r="Y91" s="43">
        <f t="shared" si="12"/>
        <v>0</v>
      </c>
      <c r="Z91" s="43">
        <f t="shared" si="12"/>
        <v>0</v>
      </c>
      <c r="AB91" s="43">
        <f t="shared" si="13"/>
        <v>0</v>
      </c>
      <c r="AC91" s="43">
        <f t="shared" si="13"/>
        <v>0</v>
      </c>
      <c r="AD91" s="43">
        <f t="shared" si="13"/>
        <v>0</v>
      </c>
      <c r="AE91" s="43">
        <f t="shared" si="13"/>
        <v>0</v>
      </c>
      <c r="AF91" s="43">
        <f t="shared" si="13"/>
        <v>0</v>
      </c>
      <c r="AH91" s="43">
        <f t="shared" si="14"/>
        <v>0</v>
      </c>
      <c r="AI91" s="43">
        <f t="shared" si="15"/>
        <v>0</v>
      </c>
      <c r="AJ91" s="43">
        <f t="shared" si="16"/>
        <v>0</v>
      </c>
      <c r="AK91" s="43">
        <f t="shared" si="17"/>
        <v>0</v>
      </c>
      <c r="AL91" s="43">
        <f t="shared" si="18"/>
        <v>0</v>
      </c>
      <c r="AN91" s="43">
        <f t="shared" si="19"/>
        <v>0</v>
      </c>
      <c r="AO91" s="43">
        <f t="shared" si="20"/>
        <v>0</v>
      </c>
      <c r="AP91" s="43">
        <f t="shared" si="21"/>
        <v>0</v>
      </c>
      <c r="AQ91" s="43">
        <f t="shared" si="22"/>
        <v>0</v>
      </c>
      <c r="AR91" s="43">
        <f t="shared" si="23"/>
        <v>0</v>
      </c>
      <c r="AT91" s="43">
        <f t="shared" si="24"/>
        <v>0</v>
      </c>
      <c r="AU91" s="43">
        <f t="shared" si="24"/>
        <v>0</v>
      </c>
      <c r="AV91" s="43">
        <f t="shared" si="24"/>
        <v>0</v>
      </c>
      <c r="AW91" s="43">
        <f t="shared" si="24"/>
        <v>0</v>
      </c>
      <c r="AX91" s="43">
        <f t="shared" si="24"/>
        <v>0</v>
      </c>
      <c r="AZ91" s="47">
        <f t="shared" si="25"/>
        <v>0</v>
      </c>
      <c r="BA91" s="47">
        <f t="shared" si="26"/>
        <v>0</v>
      </c>
      <c r="BB91" s="47">
        <f t="shared" si="27"/>
        <v>0</v>
      </c>
      <c r="BC91" s="47">
        <f t="shared" si="28"/>
        <v>0</v>
      </c>
      <c r="BD91" s="47">
        <f t="shared" si="29"/>
        <v>0</v>
      </c>
    </row>
    <row r="92" spans="2:56">
      <c r="B92" s="37">
        <f>'3. Input (des)investeringen '!B117</f>
        <v>1560</v>
      </c>
      <c r="C92" s="48"/>
      <c r="D92" s="48"/>
      <c r="E92" s="48"/>
      <c r="F92" s="42">
        <f>'3. Input (des)investeringen '!D117</f>
        <v>626646.22721047793</v>
      </c>
      <c r="G92" s="48"/>
      <c r="H92" s="37">
        <f>'3. Input (des)investeringen '!F117</f>
        <v>2021</v>
      </c>
      <c r="I92" s="42" t="str">
        <f>'3. Input (des)investeringen '!G117</f>
        <v>nvt</v>
      </c>
      <c r="J92" s="42">
        <f>'3. Input (des)investeringen '!H117</f>
        <v>5</v>
      </c>
      <c r="K92" s="42">
        <f>'3. Input (des)investeringen '!I117</f>
        <v>0</v>
      </c>
      <c r="M92" s="43">
        <f t="shared" si="7"/>
        <v>0</v>
      </c>
      <c r="N92" s="43">
        <f t="shared" si="8"/>
        <v>62664.622721047795</v>
      </c>
      <c r="P92" s="138">
        <f t="shared" si="30"/>
        <v>0</v>
      </c>
      <c r="Q92" s="138">
        <f t="shared" si="9"/>
        <v>563981.60448943009</v>
      </c>
      <c r="S92" s="43">
        <f t="shared" si="10"/>
        <v>563981.60448943009</v>
      </c>
      <c r="T92" s="38">
        <f t="shared" si="11"/>
        <v>4.5</v>
      </c>
      <c r="V92" s="43">
        <f t="shared" si="12"/>
        <v>146635.21716725186</v>
      </c>
      <c r="W92" s="43">
        <f t="shared" si="12"/>
        <v>104273.93220782353</v>
      </c>
      <c r="X92" s="43">
        <f t="shared" si="12"/>
        <v>102669.71786616469</v>
      </c>
      <c r="Y92" s="43">
        <f t="shared" si="12"/>
        <v>102669.71786616469</v>
      </c>
      <c r="Z92" s="43">
        <f t="shared" si="12"/>
        <v>51334.858933082345</v>
      </c>
      <c r="AB92" s="43">
        <f t="shared" si="13"/>
        <v>12532.924544209558</v>
      </c>
      <c r="AC92" s="43">
        <f t="shared" si="13"/>
        <v>12532.924544209558</v>
      </c>
      <c r="AD92" s="43">
        <f t="shared" si="13"/>
        <v>12532.924544209558</v>
      </c>
      <c r="AE92" s="43">
        <f t="shared" si="13"/>
        <v>12532.924544209558</v>
      </c>
      <c r="AF92" s="43">
        <f t="shared" si="13"/>
        <v>6266.462272104779</v>
      </c>
      <c r="AH92" s="43">
        <f t="shared" si="14"/>
        <v>159168.14171146142</v>
      </c>
      <c r="AI92" s="43">
        <f t="shared" si="15"/>
        <v>116806.85675203308</v>
      </c>
      <c r="AJ92" s="43">
        <f t="shared" si="16"/>
        <v>115202.64241037425</v>
      </c>
      <c r="AK92" s="43">
        <f t="shared" si="17"/>
        <v>115202.64241037425</v>
      </c>
      <c r="AL92" s="43">
        <f t="shared" si="18"/>
        <v>57601.321205187123</v>
      </c>
      <c r="AN92" s="43">
        <f t="shared" si="19"/>
        <v>404813.46277796867</v>
      </c>
      <c r="AO92" s="43">
        <f t="shared" si="20"/>
        <v>288006.60602593562</v>
      </c>
      <c r="AP92" s="43">
        <f t="shared" si="21"/>
        <v>172803.96361556137</v>
      </c>
      <c r="AQ92" s="43">
        <f t="shared" si="22"/>
        <v>57601.321205187123</v>
      </c>
      <c r="AR92" s="43">
        <f t="shared" si="23"/>
        <v>0</v>
      </c>
      <c r="AT92" s="43">
        <f t="shared" si="24"/>
        <v>6353.7415586306543</v>
      </c>
      <c r="AU92" s="43">
        <f t="shared" si="24"/>
        <v>6720.6828411246934</v>
      </c>
      <c r="AV92" s="43">
        <f t="shared" si="24"/>
        <v>7229.3041185410093</v>
      </c>
      <c r="AW92" s="43">
        <f t="shared" si="24"/>
        <v>7401.9977353247177</v>
      </c>
      <c r="AX92" s="43">
        <f t="shared" si="24"/>
        <v>7497.720370037935</v>
      </c>
      <c r="AZ92" s="47">
        <f t="shared" si="25"/>
        <v>179285.54100454302</v>
      </c>
      <c r="BA92" s="47">
        <f t="shared" si="26"/>
        <v>133031.75759201366</v>
      </c>
      <c r="BB92" s="47">
        <f t="shared" si="27"/>
        <v>128998.49714630659</v>
      </c>
      <c r="BC92" s="47">
        <f t="shared" si="28"/>
        <v>124793.49035149608</v>
      </c>
      <c r="BD92" s="47">
        <f t="shared" si="29"/>
        <v>65099.041575225056</v>
      </c>
    </row>
    <row r="93" spans="2:56">
      <c r="B93" s="37">
        <f>'3. Input (des)investeringen '!B118</f>
        <v>1561</v>
      </c>
      <c r="C93" s="48"/>
      <c r="D93" s="48"/>
      <c r="E93" s="48"/>
      <c r="F93" s="42">
        <f>'3. Input (des)investeringen '!D118</f>
        <v>4638778.5057450626</v>
      </c>
      <c r="G93" s="48"/>
      <c r="H93" s="37">
        <f>'3. Input (des)investeringen '!F118</f>
        <v>2021</v>
      </c>
      <c r="I93" s="42" t="str">
        <f>'3. Input (des)investeringen '!G118</f>
        <v>nvt</v>
      </c>
      <c r="J93" s="42">
        <f>'3. Input (des)investeringen '!H118</f>
        <v>10</v>
      </c>
      <c r="K93" s="42">
        <f>'3. Input (des)investeringen '!I118</f>
        <v>0</v>
      </c>
      <c r="M93" s="43">
        <f t="shared" si="7"/>
        <v>0</v>
      </c>
      <c r="N93" s="43">
        <f t="shared" si="8"/>
        <v>231938.92528725314</v>
      </c>
      <c r="P93" s="138">
        <f t="shared" si="30"/>
        <v>0</v>
      </c>
      <c r="Q93" s="138">
        <f t="shared" si="9"/>
        <v>4406839.5804578094</v>
      </c>
      <c r="S93" s="43">
        <f t="shared" si="10"/>
        <v>4406839.5804578094</v>
      </c>
      <c r="T93" s="38">
        <f t="shared" si="11"/>
        <v>9.5</v>
      </c>
      <c r="V93" s="43">
        <f t="shared" si="12"/>
        <v>542737.0851721724</v>
      </c>
      <c r="W93" s="43">
        <f t="shared" si="12"/>
        <v>468467.79983282246</v>
      </c>
      <c r="X93" s="43">
        <f t="shared" si="12"/>
        <v>404361.67985569936</v>
      </c>
      <c r="Y93" s="43">
        <f t="shared" si="12"/>
        <v>392398.31654635916</v>
      </c>
      <c r="Z93" s="43">
        <f t="shared" si="12"/>
        <v>392398.31654635916</v>
      </c>
      <c r="AB93" s="43">
        <f t="shared" si="13"/>
        <v>46387.785057450623</v>
      </c>
      <c r="AC93" s="43">
        <f t="shared" si="13"/>
        <v>46387.785057450623</v>
      </c>
      <c r="AD93" s="43">
        <f t="shared" si="13"/>
        <v>46387.785057450623</v>
      </c>
      <c r="AE93" s="43">
        <f t="shared" si="13"/>
        <v>46387.785057450623</v>
      </c>
      <c r="AF93" s="43">
        <f t="shared" si="13"/>
        <v>46387.785057450623</v>
      </c>
      <c r="AH93" s="43">
        <f t="shared" si="14"/>
        <v>589124.87022962305</v>
      </c>
      <c r="AI93" s="43">
        <f t="shared" si="15"/>
        <v>514855.58489027311</v>
      </c>
      <c r="AJ93" s="43">
        <f t="shared" si="16"/>
        <v>450749.46491315</v>
      </c>
      <c r="AK93" s="43">
        <f t="shared" si="17"/>
        <v>438786.1016038098</v>
      </c>
      <c r="AL93" s="43">
        <f t="shared" si="18"/>
        <v>438786.1016038098</v>
      </c>
      <c r="AN93" s="43">
        <f t="shared" si="19"/>
        <v>3817714.7102281861</v>
      </c>
      <c r="AO93" s="43">
        <f t="shared" si="20"/>
        <v>3302859.1253379132</v>
      </c>
      <c r="AP93" s="43">
        <f t="shared" si="21"/>
        <v>2852109.6604247633</v>
      </c>
      <c r="AQ93" s="43">
        <f t="shared" si="22"/>
        <v>2413323.5588209536</v>
      </c>
      <c r="AR93" s="43">
        <f t="shared" si="23"/>
        <v>1974537.4572171438</v>
      </c>
      <c r="AT93" s="43">
        <f t="shared" si="24"/>
        <v>47033.8741277308</v>
      </c>
      <c r="AU93" s="43">
        <f t="shared" si="24"/>
        <v>49750.174426355516</v>
      </c>
      <c r="AV93" s="43">
        <f t="shared" si="24"/>
        <v>53515.267626942092</v>
      </c>
      <c r="AW93" s="43">
        <f t="shared" si="24"/>
        <v>54793.640340014492</v>
      </c>
      <c r="AX93" s="43">
        <f t="shared" si="24"/>
        <v>55502.23169689154</v>
      </c>
      <c r="AZ93" s="47">
        <f t="shared" si="25"/>
        <v>765961.04450511222</v>
      </c>
      <c r="BA93" s="47">
        <f t="shared" si="26"/>
        <v>673600.1104527798</v>
      </c>
      <c r="BB93" s="47">
        <f t="shared" si="27"/>
        <v>612644.89963623311</v>
      </c>
      <c r="BC93" s="47">
        <f t="shared" si="28"/>
        <v>585286.03717902047</v>
      </c>
      <c r="BD93" s="47">
        <f t="shared" si="29"/>
        <v>569320.75667495281</v>
      </c>
    </row>
    <row r="94" spans="2:56">
      <c r="B94" s="37">
        <f>'3. Input (des)investeringen '!B119</f>
        <v>1562</v>
      </c>
      <c r="C94" s="48"/>
      <c r="D94" s="48"/>
      <c r="E94" s="48"/>
      <c r="F94" s="42">
        <f>'3. Input (des)investeringen '!D119</f>
        <v>7590881.0003333744</v>
      </c>
      <c r="G94" s="48"/>
      <c r="H94" s="37">
        <f>'3. Input (des)investeringen '!F119</f>
        <v>2021</v>
      </c>
      <c r="I94" s="42" t="str">
        <f>'3. Input (des)investeringen '!G119</f>
        <v>nvt</v>
      </c>
      <c r="J94" s="42">
        <f>'3. Input (des)investeringen '!H119</f>
        <v>15</v>
      </c>
      <c r="K94" s="42">
        <f>'3. Input (des)investeringen '!I119</f>
        <v>0</v>
      </c>
      <c r="M94" s="43">
        <f t="shared" si="7"/>
        <v>0</v>
      </c>
      <c r="N94" s="43">
        <f t="shared" si="8"/>
        <v>253029.36667777915</v>
      </c>
      <c r="P94" s="138">
        <f t="shared" si="30"/>
        <v>0</v>
      </c>
      <c r="Q94" s="138">
        <f t="shared" si="9"/>
        <v>7337851.6336555956</v>
      </c>
      <c r="S94" s="43">
        <f t="shared" si="10"/>
        <v>7337851.6336555956</v>
      </c>
      <c r="T94" s="38">
        <f t="shared" si="11"/>
        <v>14.5</v>
      </c>
      <c r="V94" s="43">
        <f t="shared" ref="V94:Z138" si="31">IF($J94=0, 0, IF(OR($H94&gt;V$59,$H94+$J94&lt;V$59),0,
IF(OR($H94=2020,$H94=2021),VDB($S94*(1-$F$28),0,$T94,V$59-2022,MIN($T94,V$59-2021),$F$22,FALSE),
VDB($S94*(1-$F$28),0,$T94,MAX(0,V$59-$H94-0.5),MIN($T94,V$59-$H94+0.5),$F$22,FALSE))))</f>
        <v>592088.71802600322</v>
      </c>
      <c r="W94" s="43">
        <f t="shared" si="31"/>
        <v>539004.90192712017</v>
      </c>
      <c r="X94" s="43">
        <f t="shared" si="31"/>
        <v>490680.32451296458</v>
      </c>
      <c r="Y94" s="43">
        <f t="shared" si="31"/>
        <v>446688.29541869886</v>
      </c>
      <c r="Z94" s="43">
        <f t="shared" si="31"/>
        <v>431962.30765764281</v>
      </c>
      <c r="AB94" s="43">
        <f t="shared" ref="AB94:AF138" si="32">IF($J94=0, 0, IF(OR($H94&gt;AB$59,$H94+$J94&lt;AB$59),0,
IF(OR($H94=2020,$H94=2021),VDB($S94*$F$28,0,$T94,AB$59-2022,MIN($T94,AB$59-2021),1),
VDB($S94*$F$28,0,$T94,MAX(0,AB$59-$H94-0.5),MIN($T94,AB$59-$H94+0.5),1))))</f>
        <v>50605.873335555836</v>
      </c>
      <c r="AC94" s="43">
        <f t="shared" si="32"/>
        <v>50605.873335555836</v>
      </c>
      <c r="AD94" s="43">
        <f t="shared" si="32"/>
        <v>50605.873335555836</v>
      </c>
      <c r="AE94" s="43">
        <f t="shared" si="32"/>
        <v>50605.873335555836</v>
      </c>
      <c r="AF94" s="43">
        <f t="shared" si="32"/>
        <v>50605.873335555836</v>
      </c>
      <c r="AH94" s="43">
        <f t="shared" si="14"/>
        <v>642694.591361559</v>
      </c>
      <c r="AI94" s="43">
        <f t="shared" si="15"/>
        <v>589610.77526267595</v>
      </c>
      <c r="AJ94" s="43">
        <f t="shared" si="16"/>
        <v>541286.19784852047</v>
      </c>
      <c r="AK94" s="43">
        <f t="shared" si="17"/>
        <v>497294.1687542547</v>
      </c>
      <c r="AL94" s="43">
        <f t="shared" si="18"/>
        <v>482568.18099319865</v>
      </c>
      <c r="AN94" s="43">
        <f t="shared" si="19"/>
        <v>6695157.0422940366</v>
      </c>
      <c r="AO94" s="43">
        <f t="shared" si="20"/>
        <v>6105546.2670313604</v>
      </c>
      <c r="AP94" s="43">
        <f t="shared" si="21"/>
        <v>5564260.0691828402</v>
      </c>
      <c r="AQ94" s="43">
        <f t="shared" si="22"/>
        <v>5066965.9004285857</v>
      </c>
      <c r="AR94" s="43">
        <f t="shared" si="23"/>
        <v>4584397.7194353873</v>
      </c>
      <c r="AT94" s="43">
        <f t="shared" ref="AT94:AX125" si="33">IF($H94&lt;=AT$59,$F94*INDEX($H$40:$N$46,$H94-2019,AT$59-2019)*INDEX($H$49:$N$55,$H94-2019,AT$59-2019)*$F$19,0)</f>
        <v>76966.067909060177</v>
      </c>
      <c r="AU94" s="43">
        <f t="shared" si="33"/>
        <v>81411.012262944219</v>
      </c>
      <c r="AV94" s="43">
        <f t="shared" si="33"/>
        <v>87572.197671003829</v>
      </c>
      <c r="AW94" s="43">
        <f t="shared" si="33"/>
        <v>89664.122328968777</v>
      </c>
      <c r="AX94" s="43">
        <f t="shared" si="33"/>
        <v>90823.658758926991</v>
      </c>
      <c r="AZ94" s="47">
        <f t="shared" si="25"/>
        <v>947295.99870861636</v>
      </c>
      <c r="BA94" s="47">
        <f t="shared" si="26"/>
        <v>872504.81433765509</v>
      </c>
      <c r="BB94" s="47">
        <f t="shared" si="27"/>
        <v>840300.27814847231</v>
      </c>
      <c r="BC94" s="47">
        <f t="shared" si="28"/>
        <v>779502.99529950973</v>
      </c>
      <c r="BD94" s="47">
        <f t="shared" si="29"/>
        <v>747598.9530906704</v>
      </c>
    </row>
    <row r="95" spans="2:56">
      <c r="B95" s="37">
        <f>'3. Input (des)investeringen '!B120</f>
        <v>1563</v>
      </c>
      <c r="C95" s="48"/>
      <c r="D95" s="48"/>
      <c r="E95" s="48"/>
      <c r="F95" s="42">
        <f>'3. Input (des)investeringen '!D120</f>
        <v>7531741.7035039887</v>
      </c>
      <c r="G95" s="48"/>
      <c r="H95" s="37">
        <f>'3. Input (des)investeringen '!F120</f>
        <v>2021</v>
      </c>
      <c r="I95" s="42" t="str">
        <f>'3. Input (des)investeringen '!G120</f>
        <v>nvt</v>
      </c>
      <c r="J95" s="42">
        <f>'3. Input (des)investeringen '!H120</f>
        <v>30</v>
      </c>
      <c r="K95" s="42">
        <f>'3. Input (des)investeringen '!I120</f>
        <v>0</v>
      </c>
      <c r="M95" s="43">
        <f t="shared" si="7"/>
        <v>0</v>
      </c>
      <c r="N95" s="43">
        <f t="shared" si="8"/>
        <v>125529.02839173314</v>
      </c>
      <c r="P95" s="138">
        <f t="shared" si="30"/>
        <v>0</v>
      </c>
      <c r="Q95" s="138">
        <f t="shared" si="9"/>
        <v>7406212.6751122558</v>
      </c>
      <c r="S95" s="43">
        <f t="shared" si="10"/>
        <v>7406212.6751122558</v>
      </c>
      <c r="T95" s="38">
        <f t="shared" si="11"/>
        <v>29.5</v>
      </c>
      <c r="V95" s="43">
        <f t="shared" si="31"/>
        <v>293737.92643665557</v>
      </c>
      <c r="W95" s="43">
        <f t="shared" si="31"/>
        <v>280793.54323775211</v>
      </c>
      <c r="X95" s="43">
        <f t="shared" si="31"/>
        <v>268419.59048490203</v>
      </c>
      <c r="Y95" s="43">
        <f t="shared" si="31"/>
        <v>256590.93056522837</v>
      </c>
      <c r="Z95" s="43">
        <f t="shared" si="31"/>
        <v>245283.53362506576</v>
      </c>
      <c r="AB95" s="43">
        <f t="shared" si="32"/>
        <v>25105.805678346631</v>
      </c>
      <c r="AC95" s="43">
        <f t="shared" si="32"/>
        <v>25105.805678346631</v>
      </c>
      <c r="AD95" s="43">
        <f t="shared" si="32"/>
        <v>25105.805678346631</v>
      </c>
      <c r="AE95" s="43">
        <f t="shared" si="32"/>
        <v>25105.805678346631</v>
      </c>
      <c r="AF95" s="43">
        <f t="shared" si="32"/>
        <v>25105.805678346631</v>
      </c>
      <c r="AH95" s="43">
        <f t="shared" si="14"/>
        <v>318843.73211500223</v>
      </c>
      <c r="AI95" s="43">
        <f t="shared" si="15"/>
        <v>305899.34891609871</v>
      </c>
      <c r="AJ95" s="43">
        <f t="shared" si="16"/>
        <v>293525.39616324869</v>
      </c>
      <c r="AK95" s="43">
        <f t="shared" si="17"/>
        <v>281696.736243575</v>
      </c>
      <c r="AL95" s="43">
        <f t="shared" si="18"/>
        <v>270389.33930341236</v>
      </c>
      <c r="AN95" s="43">
        <f t="shared" si="19"/>
        <v>7087368.9429972535</v>
      </c>
      <c r="AO95" s="43">
        <f t="shared" si="20"/>
        <v>6781469.594081155</v>
      </c>
      <c r="AP95" s="43">
        <f t="shared" si="21"/>
        <v>6487944.1979179066</v>
      </c>
      <c r="AQ95" s="43">
        <f t="shared" si="22"/>
        <v>6206247.4616743317</v>
      </c>
      <c r="AR95" s="43">
        <f t="shared" si="23"/>
        <v>5935858.1223709192</v>
      </c>
      <c r="AT95" s="43">
        <f t="shared" si="33"/>
        <v>76366.438019503927</v>
      </c>
      <c r="AU95" s="43">
        <f t="shared" si="33"/>
        <v>80776.75254800632</v>
      </c>
      <c r="AV95" s="43">
        <f t="shared" si="33"/>
        <v>86889.93718083945</v>
      </c>
      <c r="AW95" s="43">
        <f t="shared" si="33"/>
        <v>88965.564000215323</v>
      </c>
      <c r="AX95" s="43">
        <f t="shared" si="33"/>
        <v>90116.066673866109</v>
      </c>
      <c r="AZ95" s="47">
        <f t="shared" si="25"/>
        <v>636180.71419641282</v>
      </c>
      <c r="BA95" s="47">
        <f t="shared" si="26"/>
        <v>610464.59806878318</v>
      </c>
      <c r="BB95" s="47">
        <f t="shared" si="27"/>
        <v>626957.21286496858</v>
      </c>
      <c r="BC95" s="47">
        <f t="shared" si="28"/>
        <v>606499.70378741482</v>
      </c>
      <c r="BD95" s="47">
        <f t="shared" si="29"/>
        <v>586068.01462737343</v>
      </c>
    </row>
    <row r="96" spans="2:56">
      <c r="B96" s="37">
        <f>'3. Input (des)investeringen '!B121</f>
        <v>1564</v>
      </c>
      <c r="C96" s="48"/>
      <c r="D96" s="48"/>
      <c r="E96" s="48"/>
      <c r="F96" s="42">
        <f>'3. Input (des)investeringen '!D121</f>
        <v>0</v>
      </c>
      <c r="G96" s="48"/>
      <c r="H96" s="37">
        <f>'3. Input (des)investeringen '!F121</f>
        <v>2021</v>
      </c>
      <c r="I96" s="42" t="str">
        <f>'3. Input (des)investeringen '!G121</f>
        <v>nvt</v>
      </c>
      <c r="J96" s="42">
        <f>'3. Input (des)investeringen '!H121</f>
        <v>55</v>
      </c>
      <c r="K96" s="42">
        <f>'3. Input (des)investeringen '!I121</f>
        <v>0</v>
      </c>
      <c r="M96" s="43">
        <f t="shared" si="7"/>
        <v>0</v>
      </c>
      <c r="N96" s="43">
        <f t="shared" si="8"/>
        <v>0</v>
      </c>
      <c r="P96" s="138">
        <f t="shared" si="30"/>
        <v>0</v>
      </c>
      <c r="Q96" s="138">
        <f t="shared" si="9"/>
        <v>0</v>
      </c>
      <c r="S96" s="43">
        <f t="shared" si="10"/>
        <v>0</v>
      </c>
      <c r="T96" s="38">
        <f t="shared" si="11"/>
        <v>54.5</v>
      </c>
      <c r="V96" s="43">
        <f t="shared" si="31"/>
        <v>0</v>
      </c>
      <c r="W96" s="43">
        <f t="shared" si="31"/>
        <v>0</v>
      </c>
      <c r="X96" s="43">
        <f t="shared" si="31"/>
        <v>0</v>
      </c>
      <c r="Y96" s="43">
        <f t="shared" si="31"/>
        <v>0</v>
      </c>
      <c r="Z96" s="43">
        <f t="shared" si="31"/>
        <v>0</v>
      </c>
      <c r="AB96" s="43">
        <f t="shared" si="32"/>
        <v>0</v>
      </c>
      <c r="AC96" s="43">
        <f t="shared" si="32"/>
        <v>0</v>
      </c>
      <c r="AD96" s="43">
        <f t="shared" si="32"/>
        <v>0</v>
      </c>
      <c r="AE96" s="43">
        <f t="shared" si="32"/>
        <v>0</v>
      </c>
      <c r="AF96" s="43">
        <f t="shared" si="32"/>
        <v>0</v>
      </c>
      <c r="AH96" s="43">
        <f t="shared" si="14"/>
        <v>0</v>
      </c>
      <c r="AI96" s="43">
        <f t="shared" si="15"/>
        <v>0</v>
      </c>
      <c r="AJ96" s="43">
        <f t="shared" si="16"/>
        <v>0</v>
      </c>
      <c r="AK96" s="43">
        <f t="shared" si="17"/>
        <v>0</v>
      </c>
      <c r="AL96" s="43">
        <f t="shared" si="18"/>
        <v>0</v>
      </c>
      <c r="AN96" s="43">
        <f t="shared" si="19"/>
        <v>0</v>
      </c>
      <c r="AO96" s="43">
        <f t="shared" si="20"/>
        <v>0</v>
      </c>
      <c r="AP96" s="43">
        <f t="shared" si="21"/>
        <v>0</v>
      </c>
      <c r="AQ96" s="43">
        <f t="shared" si="22"/>
        <v>0</v>
      </c>
      <c r="AR96" s="43">
        <f t="shared" si="23"/>
        <v>0</v>
      </c>
      <c r="AT96" s="43">
        <f t="shared" si="33"/>
        <v>0</v>
      </c>
      <c r="AU96" s="43">
        <f t="shared" si="33"/>
        <v>0</v>
      </c>
      <c r="AV96" s="43">
        <f t="shared" si="33"/>
        <v>0</v>
      </c>
      <c r="AW96" s="43">
        <f t="shared" si="33"/>
        <v>0</v>
      </c>
      <c r="AX96" s="43">
        <f t="shared" si="33"/>
        <v>0</v>
      </c>
      <c r="AZ96" s="47">
        <f t="shared" si="25"/>
        <v>0</v>
      </c>
      <c r="BA96" s="47">
        <f t="shared" si="26"/>
        <v>0</v>
      </c>
      <c r="BB96" s="47">
        <f t="shared" si="27"/>
        <v>0</v>
      </c>
      <c r="BC96" s="47">
        <f t="shared" si="28"/>
        <v>0</v>
      </c>
      <c r="BD96" s="47">
        <f t="shared" si="29"/>
        <v>0</v>
      </c>
    </row>
    <row r="97" spans="2:56">
      <c r="B97" s="37">
        <f>'3. Input (des)investeringen '!B122</f>
        <v>1565</v>
      </c>
      <c r="C97" s="48"/>
      <c r="D97" s="48"/>
      <c r="E97" s="48"/>
      <c r="F97" s="42">
        <f>'3. Input (des)investeringen '!D122</f>
        <v>0</v>
      </c>
      <c r="G97" s="48"/>
      <c r="H97" s="37">
        <f>'3. Input (des)investeringen '!F122</f>
        <v>2022</v>
      </c>
      <c r="I97" s="42" t="str">
        <f>'3. Input (des)investeringen '!G122</f>
        <v>nvt</v>
      </c>
      <c r="J97" s="42">
        <f>'3. Input (des)investeringen '!H122</f>
        <v>0</v>
      </c>
      <c r="K97" s="42">
        <f>'3. Input (des)investeringen '!I122</f>
        <v>1</v>
      </c>
      <c r="M97" s="43">
        <f t="shared" si="7"/>
        <v>0</v>
      </c>
      <c r="N97" s="43">
        <f t="shared" si="8"/>
        <v>0</v>
      </c>
      <c r="P97" s="138">
        <f t="shared" si="30"/>
        <v>0</v>
      </c>
      <c r="Q97" s="138">
        <f t="shared" si="9"/>
        <v>0</v>
      </c>
      <c r="S97" s="43">
        <f t="shared" si="10"/>
        <v>0</v>
      </c>
      <c r="T97" s="38">
        <f t="shared" si="11"/>
        <v>0</v>
      </c>
      <c r="V97" s="43">
        <f t="shared" si="31"/>
        <v>0</v>
      </c>
      <c r="W97" s="43">
        <f t="shared" si="31"/>
        <v>0</v>
      </c>
      <c r="X97" s="43">
        <f t="shared" si="31"/>
        <v>0</v>
      </c>
      <c r="Y97" s="43">
        <f t="shared" si="31"/>
        <v>0</v>
      </c>
      <c r="Z97" s="43">
        <f t="shared" si="31"/>
        <v>0</v>
      </c>
      <c r="AB97" s="43">
        <f t="shared" si="32"/>
        <v>0</v>
      </c>
      <c r="AC97" s="43">
        <f t="shared" si="32"/>
        <v>0</v>
      </c>
      <c r="AD97" s="43">
        <f t="shared" si="32"/>
        <v>0</v>
      </c>
      <c r="AE97" s="43">
        <f t="shared" si="32"/>
        <v>0</v>
      </c>
      <c r="AF97" s="43">
        <f t="shared" si="32"/>
        <v>0</v>
      </c>
      <c r="AH97" s="43">
        <f t="shared" si="14"/>
        <v>0</v>
      </c>
      <c r="AI97" s="43">
        <f t="shared" si="15"/>
        <v>0</v>
      </c>
      <c r="AJ97" s="43">
        <f t="shared" si="16"/>
        <v>0</v>
      </c>
      <c r="AK97" s="43">
        <f t="shared" si="17"/>
        <v>0</v>
      </c>
      <c r="AL97" s="43">
        <f t="shared" si="18"/>
        <v>0</v>
      </c>
      <c r="AN97" s="43">
        <f t="shared" si="19"/>
        <v>0</v>
      </c>
      <c r="AO97" s="43">
        <f t="shared" si="20"/>
        <v>0</v>
      </c>
      <c r="AP97" s="43">
        <f t="shared" si="21"/>
        <v>0</v>
      </c>
      <c r="AQ97" s="43">
        <f t="shared" si="22"/>
        <v>0</v>
      </c>
      <c r="AR97" s="43">
        <f t="shared" si="23"/>
        <v>0</v>
      </c>
      <c r="AT97" s="43">
        <f t="shared" si="33"/>
        <v>0</v>
      </c>
      <c r="AU97" s="43">
        <f t="shared" si="33"/>
        <v>0</v>
      </c>
      <c r="AV97" s="43">
        <f t="shared" si="33"/>
        <v>0</v>
      </c>
      <c r="AW97" s="43">
        <f t="shared" si="33"/>
        <v>0</v>
      </c>
      <c r="AX97" s="43">
        <f t="shared" si="33"/>
        <v>0</v>
      </c>
      <c r="AZ97" s="47">
        <f t="shared" si="25"/>
        <v>0</v>
      </c>
      <c r="BA97" s="47">
        <f t="shared" si="26"/>
        <v>0</v>
      </c>
      <c r="BB97" s="47">
        <f t="shared" si="27"/>
        <v>0</v>
      </c>
      <c r="BC97" s="47">
        <f t="shared" si="28"/>
        <v>0</v>
      </c>
      <c r="BD97" s="47">
        <f t="shared" si="29"/>
        <v>0</v>
      </c>
    </row>
    <row r="98" spans="2:56">
      <c r="B98" s="37">
        <f>'3. Input (des)investeringen '!B123</f>
        <v>1566</v>
      </c>
      <c r="C98" s="48"/>
      <c r="D98" s="48"/>
      <c r="E98" s="48"/>
      <c r="F98" s="42">
        <f>'3. Input (des)investeringen '!D123</f>
        <v>16890169.385303106</v>
      </c>
      <c r="G98" s="48"/>
      <c r="H98" s="37">
        <f>'3. Input (des)investeringen '!F123</f>
        <v>2022</v>
      </c>
      <c r="I98" s="42" t="str">
        <f>'3. Input (des)investeringen '!G123</f>
        <v>nvt</v>
      </c>
      <c r="J98" s="42">
        <f>'3. Input (des)investeringen '!H123</f>
        <v>5</v>
      </c>
      <c r="K98" s="42">
        <f>'3. Input (des)investeringen '!I123</f>
        <v>1</v>
      </c>
      <c r="M98" s="43">
        <f t="shared" si="7"/>
        <v>0</v>
      </c>
      <c r="N98" s="43">
        <f t="shared" si="8"/>
        <v>0</v>
      </c>
      <c r="P98" s="138">
        <f t="shared" si="30"/>
        <v>0</v>
      </c>
      <c r="Q98" s="138">
        <f t="shared" si="9"/>
        <v>0</v>
      </c>
      <c r="S98" s="43">
        <f t="shared" si="10"/>
        <v>16890169.385303106</v>
      </c>
      <c r="T98" s="38">
        <f t="shared" si="11"/>
        <v>5</v>
      </c>
      <c r="V98" s="43">
        <f t="shared" si="31"/>
        <v>1976149.8180804634</v>
      </c>
      <c r="W98" s="43">
        <f t="shared" si="31"/>
        <v>3438500.6834600065</v>
      </c>
      <c r="X98" s="43">
        <f t="shared" si="31"/>
        <v>2796143.4129235218</v>
      </c>
      <c r="Y98" s="43">
        <f t="shared" si="31"/>
        <v>2796143.4129235218</v>
      </c>
      <c r="Z98" s="43">
        <f t="shared" si="31"/>
        <v>2796143.4129235218</v>
      </c>
      <c r="AB98" s="43">
        <f t="shared" si="32"/>
        <v>168901.69385303109</v>
      </c>
      <c r="AC98" s="43">
        <f t="shared" si="32"/>
        <v>337803.38770606212</v>
      </c>
      <c r="AD98" s="43">
        <f t="shared" si="32"/>
        <v>337803.38770606212</v>
      </c>
      <c r="AE98" s="43">
        <f t="shared" si="32"/>
        <v>337803.38770606212</v>
      </c>
      <c r="AF98" s="43">
        <f t="shared" si="32"/>
        <v>337803.38770606212</v>
      </c>
      <c r="AH98" s="43">
        <f t="shared" si="14"/>
        <v>2145051.5119334944</v>
      </c>
      <c r="AI98" s="43">
        <f t="shared" si="15"/>
        <v>3776304.0711660688</v>
      </c>
      <c r="AJ98" s="43">
        <f t="shared" si="16"/>
        <v>3133946.8006295841</v>
      </c>
      <c r="AK98" s="43">
        <f t="shared" si="17"/>
        <v>3133946.8006295841</v>
      </c>
      <c r="AL98" s="43">
        <f t="shared" si="18"/>
        <v>3133946.8006295841</v>
      </c>
      <c r="AN98" s="43">
        <f t="shared" si="19"/>
        <v>14745117.873369612</v>
      </c>
      <c r="AO98" s="43">
        <f t="shared" si="20"/>
        <v>10968813.802203543</v>
      </c>
      <c r="AP98" s="43">
        <f t="shared" si="21"/>
        <v>7834867.0015739594</v>
      </c>
      <c r="AQ98" s="43">
        <f t="shared" si="22"/>
        <v>4700920.2009443752</v>
      </c>
      <c r="AR98" s="43">
        <f t="shared" si="23"/>
        <v>1566973.4003147911</v>
      </c>
      <c r="AT98" s="43">
        <f t="shared" si="33"/>
        <v>168901.69385303106</v>
      </c>
      <c r="AU98" s="43">
        <f t="shared" si="33"/>
        <v>178656.10447643133</v>
      </c>
      <c r="AV98" s="43">
        <f t="shared" si="33"/>
        <v>192176.79846320767</v>
      </c>
      <c r="AW98" s="43">
        <f t="shared" si="33"/>
        <v>196767.51782489676</v>
      </c>
      <c r="AX98" s="43">
        <f t="shared" si="33"/>
        <v>199312.11536540833</v>
      </c>
      <c r="AZ98" s="47">
        <f t="shared" si="25"/>
        <v>2815287.2134810919</v>
      </c>
      <c r="BA98" s="47">
        <f t="shared" si="26"/>
        <v>4316931.0311152171</v>
      </c>
      <c r="BB98" s="47">
        <f t="shared" si="27"/>
        <v>3623848.5451526023</v>
      </c>
      <c r="BC98" s="47">
        <f t="shared" si="28"/>
        <v>3509349.286090367</v>
      </c>
      <c r="BD98" s="47">
        <f t="shared" si="29"/>
        <v>3392803.9052069546</v>
      </c>
    </row>
    <row r="99" spans="2:56">
      <c r="B99" s="37">
        <f>'3. Input (des)investeringen '!B124</f>
        <v>1567</v>
      </c>
      <c r="C99" s="48"/>
      <c r="D99" s="48"/>
      <c r="E99" s="48"/>
      <c r="F99" s="42">
        <f>'3. Input (des)investeringen '!D124</f>
        <v>5123153.0826677978</v>
      </c>
      <c r="G99" s="48"/>
      <c r="H99" s="37">
        <f>'3. Input (des)investeringen '!F124</f>
        <v>2022</v>
      </c>
      <c r="I99" s="42" t="str">
        <f>'3. Input (des)investeringen '!G124</f>
        <v>nvt</v>
      </c>
      <c r="J99" s="42">
        <f>'3. Input (des)investeringen '!H124</f>
        <v>10</v>
      </c>
      <c r="K99" s="42">
        <f>'3. Input (des)investeringen '!I124</f>
        <v>1</v>
      </c>
      <c r="M99" s="43">
        <f t="shared" si="7"/>
        <v>0</v>
      </c>
      <c r="N99" s="43">
        <f t="shared" si="8"/>
        <v>0</v>
      </c>
      <c r="P99" s="138">
        <f t="shared" si="30"/>
        <v>0</v>
      </c>
      <c r="Q99" s="138">
        <f t="shared" si="9"/>
        <v>0</v>
      </c>
      <c r="S99" s="43">
        <f t="shared" si="10"/>
        <v>5123153.0826677978</v>
      </c>
      <c r="T99" s="38">
        <f t="shared" si="11"/>
        <v>10</v>
      </c>
      <c r="V99" s="43">
        <f t="shared" si="31"/>
        <v>299704.4553360662</v>
      </c>
      <c r="W99" s="43">
        <f t="shared" si="31"/>
        <v>560447.33147844381</v>
      </c>
      <c r="X99" s="43">
        <f t="shared" si="31"/>
        <v>487589.17838624615</v>
      </c>
      <c r="Y99" s="43">
        <f t="shared" si="31"/>
        <v>435079.57456003496</v>
      </c>
      <c r="Z99" s="43">
        <f t="shared" si="31"/>
        <v>435079.57456003496</v>
      </c>
      <c r="AB99" s="43">
        <f t="shared" si="32"/>
        <v>25615.765413338991</v>
      </c>
      <c r="AC99" s="43">
        <f t="shared" si="32"/>
        <v>51231.530826677976</v>
      </c>
      <c r="AD99" s="43">
        <f t="shared" si="32"/>
        <v>51231.530826677976</v>
      </c>
      <c r="AE99" s="43">
        <f t="shared" si="32"/>
        <v>51231.530826677976</v>
      </c>
      <c r="AF99" s="43">
        <f t="shared" si="32"/>
        <v>51231.530826677976</v>
      </c>
      <c r="AH99" s="43">
        <f t="shared" si="14"/>
        <v>325320.22074940521</v>
      </c>
      <c r="AI99" s="43">
        <f t="shared" si="15"/>
        <v>611678.86230512173</v>
      </c>
      <c r="AJ99" s="43">
        <f t="shared" si="16"/>
        <v>538820.70921292412</v>
      </c>
      <c r="AK99" s="43">
        <f t="shared" si="17"/>
        <v>486311.10538671294</v>
      </c>
      <c r="AL99" s="43">
        <f t="shared" si="18"/>
        <v>486311.10538671294</v>
      </c>
      <c r="AN99" s="43">
        <f t="shared" si="19"/>
        <v>4797832.8619183926</v>
      </c>
      <c r="AO99" s="43">
        <f t="shared" si="20"/>
        <v>4186153.9996132711</v>
      </c>
      <c r="AP99" s="43">
        <f t="shared" si="21"/>
        <v>3647333.2904003467</v>
      </c>
      <c r="AQ99" s="43">
        <f t="shared" si="22"/>
        <v>3161022.1850136337</v>
      </c>
      <c r="AR99" s="43">
        <f t="shared" si="23"/>
        <v>2674711.0796269206</v>
      </c>
      <c r="AT99" s="43">
        <f t="shared" si="33"/>
        <v>51231.530826677976</v>
      </c>
      <c r="AU99" s="43">
        <f t="shared" si="33"/>
        <v>54190.254194980291</v>
      </c>
      <c r="AV99" s="43">
        <f t="shared" si="33"/>
        <v>58291.372632456405</v>
      </c>
      <c r="AW99" s="43">
        <f t="shared" si="33"/>
        <v>59683.836941900525</v>
      </c>
      <c r="AX99" s="43">
        <f t="shared" si="33"/>
        <v>60455.66832123317</v>
      </c>
      <c r="AZ99" s="47">
        <f t="shared" si="25"/>
        <v>539678.06888130854</v>
      </c>
      <c r="BA99" s="47">
        <f t="shared" si="26"/>
        <v>804012.19848734001</v>
      </c>
      <c r="BB99" s="47">
        <f t="shared" si="27"/>
        <v>735710.74688059359</v>
      </c>
      <c r="BC99" s="47">
        <f t="shared" si="28"/>
        <v>666113.78535913152</v>
      </c>
      <c r="BD99" s="47">
        <f t="shared" si="29"/>
        <v>648405.79473376903</v>
      </c>
    </row>
    <row r="100" spans="2:56">
      <c r="B100" s="37">
        <f>'3. Input (des)investeringen '!B125</f>
        <v>1568</v>
      </c>
      <c r="C100" s="48"/>
      <c r="D100" s="48"/>
      <c r="E100" s="48"/>
      <c r="F100" s="42">
        <f>'3. Input (des)investeringen '!D125</f>
        <v>24165572.707445111</v>
      </c>
      <c r="G100" s="48"/>
      <c r="H100" s="37">
        <f>'3. Input (des)investeringen '!F125</f>
        <v>2022</v>
      </c>
      <c r="I100" s="42" t="str">
        <f>'3. Input (des)investeringen '!G125</f>
        <v>nvt</v>
      </c>
      <c r="J100" s="42">
        <f>'3. Input (des)investeringen '!H125</f>
        <v>15</v>
      </c>
      <c r="K100" s="42">
        <f>'3. Input (des)investeringen '!I125</f>
        <v>1</v>
      </c>
      <c r="M100" s="43">
        <f t="shared" si="7"/>
        <v>0</v>
      </c>
      <c r="N100" s="43">
        <f t="shared" si="8"/>
        <v>0</v>
      </c>
      <c r="P100" s="138">
        <f t="shared" si="30"/>
        <v>0</v>
      </c>
      <c r="Q100" s="138">
        <f t="shared" si="9"/>
        <v>0</v>
      </c>
      <c r="S100" s="43">
        <f t="shared" si="10"/>
        <v>24165572.707445111</v>
      </c>
      <c r="T100" s="38">
        <f t="shared" si="11"/>
        <v>15</v>
      </c>
      <c r="V100" s="43">
        <f t="shared" si="31"/>
        <v>942457.33559035941</v>
      </c>
      <c r="W100" s="43">
        <f t="shared" si="31"/>
        <v>1803235.0354295543</v>
      </c>
      <c r="X100" s="43">
        <f t="shared" si="31"/>
        <v>1646954.6656923261</v>
      </c>
      <c r="Y100" s="43">
        <f t="shared" si="31"/>
        <v>1504218.594665658</v>
      </c>
      <c r="Z100" s="43">
        <f t="shared" si="31"/>
        <v>1378447.8091584959</v>
      </c>
      <c r="AB100" s="43">
        <f t="shared" si="32"/>
        <v>80551.90902481704</v>
      </c>
      <c r="AC100" s="43">
        <f t="shared" si="32"/>
        <v>161103.81804963411</v>
      </c>
      <c r="AD100" s="43">
        <f t="shared" si="32"/>
        <v>161103.81804963411</v>
      </c>
      <c r="AE100" s="43">
        <f t="shared" si="32"/>
        <v>161103.81804963411</v>
      </c>
      <c r="AF100" s="43">
        <f t="shared" si="32"/>
        <v>161103.81804963411</v>
      </c>
      <c r="AH100" s="43">
        <f t="shared" si="14"/>
        <v>1023009.2446151765</v>
      </c>
      <c r="AI100" s="43">
        <f t="shared" si="15"/>
        <v>1964338.8534791884</v>
      </c>
      <c r="AJ100" s="43">
        <f t="shared" si="16"/>
        <v>1808058.4837419603</v>
      </c>
      <c r="AK100" s="43">
        <f t="shared" si="17"/>
        <v>1665322.4127152921</v>
      </c>
      <c r="AL100" s="43">
        <f t="shared" si="18"/>
        <v>1539551.62720813</v>
      </c>
      <c r="AN100" s="43">
        <f t="shared" si="19"/>
        <v>23142563.462829936</v>
      </c>
      <c r="AO100" s="43">
        <f t="shared" si="20"/>
        <v>21178224.609350748</v>
      </c>
      <c r="AP100" s="43">
        <f t="shared" si="21"/>
        <v>19370166.125608787</v>
      </c>
      <c r="AQ100" s="43">
        <f t="shared" si="22"/>
        <v>17704843.712893493</v>
      </c>
      <c r="AR100" s="43">
        <f t="shared" si="23"/>
        <v>16165292.085685363</v>
      </c>
      <c r="AT100" s="43">
        <f t="shared" si="33"/>
        <v>241655.7270744511</v>
      </c>
      <c r="AU100" s="43">
        <f t="shared" si="33"/>
        <v>255611.82862445485</v>
      </c>
      <c r="AV100" s="43">
        <f t="shared" si="33"/>
        <v>274956.5318147536</v>
      </c>
      <c r="AW100" s="43">
        <f t="shared" si="33"/>
        <v>281524.69344674441</v>
      </c>
      <c r="AX100" s="43">
        <f t="shared" si="33"/>
        <v>285165.37078239769</v>
      </c>
      <c r="AZ100" s="47">
        <f t="shared" si="25"/>
        <v>2051512.1294258453</v>
      </c>
      <c r="BA100" s="47">
        <f t="shared" si="26"/>
        <v>2918832.0942122177</v>
      </c>
      <c r="BB100" s="47">
        <f t="shared" si="27"/>
        <v>2819081.3283298477</v>
      </c>
      <c r="BC100" s="47">
        <f t="shared" si="28"/>
        <v>2619631.1672519892</v>
      </c>
      <c r="BD100" s="47">
        <f t="shared" si="29"/>
        <v>2438998.0972465714</v>
      </c>
    </row>
    <row r="101" spans="2:56">
      <c r="B101" s="37">
        <f>'3. Input (des)investeringen '!B126</f>
        <v>1569</v>
      </c>
      <c r="C101" s="48"/>
      <c r="D101" s="48"/>
      <c r="E101" s="48"/>
      <c r="F101" s="42">
        <f>'3. Input (des)investeringen '!D126</f>
        <v>29680389.233082227</v>
      </c>
      <c r="G101" s="48"/>
      <c r="H101" s="37">
        <f>'3. Input (des)investeringen '!F126</f>
        <v>2022</v>
      </c>
      <c r="I101" s="42" t="str">
        <f>'3. Input (des)investeringen '!G126</f>
        <v>nvt</v>
      </c>
      <c r="J101" s="42">
        <f>'3. Input (des)investeringen '!H126</f>
        <v>30</v>
      </c>
      <c r="K101" s="42">
        <f>'3. Input (des)investeringen '!I126</f>
        <v>1</v>
      </c>
      <c r="M101" s="43">
        <f t="shared" si="7"/>
        <v>0</v>
      </c>
      <c r="N101" s="43">
        <f t="shared" si="8"/>
        <v>0</v>
      </c>
      <c r="P101" s="138">
        <f t="shared" si="30"/>
        <v>0</v>
      </c>
      <c r="Q101" s="138">
        <f t="shared" si="9"/>
        <v>0</v>
      </c>
      <c r="S101" s="43">
        <f t="shared" si="10"/>
        <v>29680389.233082227</v>
      </c>
      <c r="T101" s="38">
        <f t="shared" si="11"/>
        <v>30</v>
      </c>
      <c r="V101" s="43">
        <f t="shared" si="31"/>
        <v>578767.59004510345</v>
      </c>
      <c r="W101" s="43">
        <f t="shared" si="31"/>
        <v>1132455.2511882524</v>
      </c>
      <c r="X101" s="43">
        <f t="shared" si="31"/>
        <v>1083382.1903034281</v>
      </c>
      <c r="Y101" s="43">
        <f t="shared" si="31"/>
        <v>1036435.6287236131</v>
      </c>
      <c r="Z101" s="43">
        <f t="shared" si="31"/>
        <v>991523.41814558976</v>
      </c>
      <c r="AB101" s="43">
        <f t="shared" si="32"/>
        <v>49467.315388470386</v>
      </c>
      <c r="AC101" s="43">
        <f t="shared" si="32"/>
        <v>98934.630776940772</v>
      </c>
      <c r="AD101" s="43">
        <f t="shared" si="32"/>
        <v>98934.630776940772</v>
      </c>
      <c r="AE101" s="43">
        <f t="shared" si="32"/>
        <v>98934.630776940772</v>
      </c>
      <c r="AF101" s="43">
        <f t="shared" si="32"/>
        <v>98934.630776940772</v>
      </c>
      <c r="AH101" s="43">
        <f t="shared" si="14"/>
        <v>628234.90543357388</v>
      </c>
      <c r="AI101" s="43">
        <f t="shared" si="15"/>
        <v>1231389.8819651932</v>
      </c>
      <c r="AJ101" s="43">
        <f t="shared" si="16"/>
        <v>1182316.8210803689</v>
      </c>
      <c r="AK101" s="43">
        <f t="shared" si="17"/>
        <v>1135370.2595005538</v>
      </c>
      <c r="AL101" s="43">
        <f t="shared" si="18"/>
        <v>1090458.0489225306</v>
      </c>
      <c r="AN101" s="43">
        <f t="shared" si="19"/>
        <v>29052154.327648655</v>
      </c>
      <c r="AO101" s="43">
        <f t="shared" si="20"/>
        <v>27820764.445683461</v>
      </c>
      <c r="AP101" s="43">
        <f t="shared" si="21"/>
        <v>26638447.624603093</v>
      </c>
      <c r="AQ101" s="43">
        <f t="shared" si="22"/>
        <v>25503077.365102537</v>
      </c>
      <c r="AR101" s="43">
        <f t="shared" si="23"/>
        <v>24412619.316180006</v>
      </c>
      <c r="AT101" s="43">
        <f t="shared" si="33"/>
        <v>296803.8923308223</v>
      </c>
      <c r="AU101" s="43">
        <f t="shared" si="33"/>
        <v>313944.91072071192</v>
      </c>
      <c r="AV101" s="43">
        <f t="shared" si="33"/>
        <v>337704.26156405546</v>
      </c>
      <c r="AW101" s="43">
        <f t="shared" si="33"/>
        <v>345771.34096429759</v>
      </c>
      <c r="AX101" s="43">
        <f t="shared" si="33"/>
        <v>350242.85594564787</v>
      </c>
      <c r="AZ101" s="47">
        <f t="shared" si="25"/>
        <v>1912812.0449044507</v>
      </c>
      <c r="BA101" s="47">
        <f t="shared" si="26"/>
        <v>2463420.0193934594</v>
      </c>
      <c r="BB101" s="47">
        <f t="shared" si="27"/>
        <v>2532282.0923793418</v>
      </c>
      <c r="BC101" s="47">
        <f t="shared" si="28"/>
        <v>2450258.5403387481</v>
      </c>
      <c r="BD101" s="47">
        <f t="shared" si="29"/>
        <v>2368380.4388830187</v>
      </c>
    </row>
    <row r="102" spans="2:56">
      <c r="B102" s="37">
        <f>'3. Input (des)investeringen '!B127</f>
        <v>1570</v>
      </c>
      <c r="C102" s="48"/>
      <c r="D102" s="48"/>
      <c r="E102" s="48"/>
      <c r="F102" s="42">
        <f>'3. Input (des)investeringen '!D127</f>
        <v>82159507.038901418</v>
      </c>
      <c r="G102" s="48"/>
      <c r="H102" s="37">
        <f>'3. Input (des)investeringen '!F127</f>
        <v>2022</v>
      </c>
      <c r="I102" s="42" t="str">
        <f>'3. Input (des)investeringen '!G127</f>
        <v>nvt</v>
      </c>
      <c r="J102" s="42">
        <f>'3. Input (des)investeringen '!H127</f>
        <v>55</v>
      </c>
      <c r="K102" s="42">
        <f>'3. Input (des)investeringen '!I127</f>
        <v>1</v>
      </c>
      <c r="M102" s="43">
        <f t="shared" si="7"/>
        <v>0</v>
      </c>
      <c r="N102" s="43">
        <f t="shared" si="8"/>
        <v>0</v>
      </c>
      <c r="P102" s="138">
        <f t="shared" si="30"/>
        <v>0</v>
      </c>
      <c r="Q102" s="138">
        <f t="shared" si="9"/>
        <v>0</v>
      </c>
      <c r="S102" s="43">
        <f t="shared" si="10"/>
        <v>82159507.038901418</v>
      </c>
      <c r="T102" s="38">
        <f t="shared" si="11"/>
        <v>55</v>
      </c>
      <c r="V102" s="43">
        <f t="shared" si="31"/>
        <v>873878.39305013325</v>
      </c>
      <c r="W102" s="43">
        <f t="shared" si="31"/>
        <v>1727101.4786281723</v>
      </c>
      <c r="X102" s="43">
        <f t="shared" si="31"/>
        <v>1686279.0800424155</v>
      </c>
      <c r="Y102" s="43">
        <f t="shared" si="31"/>
        <v>1646421.5745141401</v>
      </c>
      <c r="Z102" s="43">
        <f t="shared" si="31"/>
        <v>1607506.1554801697</v>
      </c>
      <c r="AB102" s="43">
        <f t="shared" si="32"/>
        <v>74690.46094445583</v>
      </c>
      <c r="AC102" s="43">
        <f t="shared" si="32"/>
        <v>149380.92188891166</v>
      </c>
      <c r="AD102" s="43">
        <f t="shared" si="32"/>
        <v>149380.92188891166</v>
      </c>
      <c r="AE102" s="43">
        <f t="shared" si="32"/>
        <v>149380.92188891166</v>
      </c>
      <c r="AF102" s="43">
        <f t="shared" si="32"/>
        <v>149380.92188891166</v>
      </c>
      <c r="AH102" s="43">
        <f t="shared" si="14"/>
        <v>948568.85399458907</v>
      </c>
      <c r="AI102" s="43">
        <f t="shared" si="15"/>
        <v>1876482.4005170839</v>
      </c>
      <c r="AJ102" s="43">
        <f t="shared" si="16"/>
        <v>1835660.0019313272</v>
      </c>
      <c r="AK102" s="43">
        <f t="shared" si="17"/>
        <v>1795802.4964030518</v>
      </c>
      <c r="AL102" s="43">
        <f t="shared" si="18"/>
        <v>1756887.0773690813</v>
      </c>
      <c r="AN102" s="43">
        <f t="shared" si="19"/>
        <v>81210938.184906825</v>
      </c>
      <c r="AO102" s="43">
        <f t="shared" si="20"/>
        <v>79334455.784389734</v>
      </c>
      <c r="AP102" s="43">
        <f t="shared" si="21"/>
        <v>77498795.78245841</v>
      </c>
      <c r="AQ102" s="43">
        <f t="shared" si="22"/>
        <v>75702993.286055356</v>
      </c>
      <c r="AR102" s="43">
        <f t="shared" si="23"/>
        <v>73946106.208686277</v>
      </c>
      <c r="AT102" s="43">
        <f t="shared" si="33"/>
        <v>821595.0703890142</v>
      </c>
      <c r="AU102" s="43">
        <f t="shared" si="33"/>
        <v>869043.82889412052</v>
      </c>
      <c r="AV102" s="43">
        <f t="shared" si="33"/>
        <v>934813.06586482783</v>
      </c>
      <c r="AW102" s="43">
        <f t="shared" si="33"/>
        <v>957143.88038220676</v>
      </c>
      <c r="AX102" s="43">
        <f t="shared" si="33"/>
        <v>969521.66504330933</v>
      </c>
      <c r="AZ102" s="47">
        <f t="shared" si="25"/>
        <v>4531335.8226704355</v>
      </c>
      <c r="BA102" s="47">
        <f t="shared" si="26"/>
        <v>5363563.2702960661</v>
      </c>
      <c r="BB102" s="47">
        <f t="shared" si="27"/>
        <v>5715427.3075295743</v>
      </c>
      <c r="BC102" s="47">
        <f t="shared" si="28"/>
        <v>5629660.1216553617</v>
      </c>
      <c r="BD102" s="47">
        <f t="shared" si="29"/>
        <v>5536360.7783424687</v>
      </c>
    </row>
    <row r="103" spans="2:56">
      <c r="B103" s="37">
        <f>'3. Input (des)investeringen '!B128</f>
        <v>1571</v>
      </c>
      <c r="C103" s="48"/>
      <c r="D103" s="48"/>
      <c r="E103" s="48"/>
      <c r="F103" s="42">
        <f>'3. Input (des)investeringen '!D128</f>
        <v>-31359.805432116216</v>
      </c>
      <c r="G103" s="48"/>
      <c r="H103" s="37">
        <f>'3. Input (des)investeringen '!F128</f>
        <v>2022</v>
      </c>
      <c r="I103" s="42" t="str">
        <f>'3. Input (des)investeringen '!G128</f>
        <v>nvt</v>
      </c>
      <c r="J103" s="42">
        <f>'3. Input (des)investeringen '!H128</f>
        <v>0</v>
      </c>
      <c r="K103" s="42">
        <f>'3. Input (des)investeringen '!I128</f>
        <v>0</v>
      </c>
      <c r="M103" s="43">
        <f t="shared" si="7"/>
        <v>0</v>
      </c>
      <c r="N103" s="43">
        <f t="shared" si="8"/>
        <v>0</v>
      </c>
      <c r="P103" s="138">
        <f t="shared" si="30"/>
        <v>0</v>
      </c>
      <c r="Q103" s="138">
        <f t="shared" si="9"/>
        <v>0</v>
      </c>
      <c r="S103" s="43">
        <f t="shared" si="10"/>
        <v>-31359.805432116216</v>
      </c>
      <c r="T103" s="38">
        <f t="shared" si="11"/>
        <v>0</v>
      </c>
      <c r="V103" s="43">
        <f t="shared" si="31"/>
        <v>0</v>
      </c>
      <c r="W103" s="43">
        <f t="shared" si="31"/>
        <v>0</v>
      </c>
      <c r="X103" s="43">
        <f t="shared" si="31"/>
        <v>0</v>
      </c>
      <c r="Y103" s="43">
        <f t="shared" si="31"/>
        <v>0</v>
      </c>
      <c r="Z103" s="43">
        <f t="shared" si="31"/>
        <v>0</v>
      </c>
      <c r="AB103" s="43">
        <f t="shared" si="32"/>
        <v>0</v>
      </c>
      <c r="AC103" s="43">
        <f t="shared" si="32"/>
        <v>0</v>
      </c>
      <c r="AD103" s="43">
        <f t="shared" si="32"/>
        <v>0</v>
      </c>
      <c r="AE103" s="43">
        <f t="shared" si="32"/>
        <v>0</v>
      </c>
      <c r="AF103" s="43">
        <f t="shared" si="32"/>
        <v>0</v>
      </c>
      <c r="AH103" s="43">
        <f t="shared" si="14"/>
        <v>0</v>
      </c>
      <c r="AI103" s="43">
        <f t="shared" si="15"/>
        <v>0</v>
      </c>
      <c r="AJ103" s="43">
        <f t="shared" si="16"/>
        <v>0</v>
      </c>
      <c r="AK103" s="43">
        <f t="shared" si="17"/>
        <v>0</v>
      </c>
      <c r="AL103" s="43">
        <f t="shared" si="18"/>
        <v>0</v>
      </c>
      <c r="AN103" s="43">
        <f t="shared" si="19"/>
        <v>-31359.805432116216</v>
      </c>
      <c r="AO103" s="43">
        <f t="shared" si="20"/>
        <v>-31359.805432116216</v>
      </c>
      <c r="AP103" s="43">
        <f t="shared" si="21"/>
        <v>-31359.805432116216</v>
      </c>
      <c r="AQ103" s="43">
        <f t="shared" si="22"/>
        <v>-31359.805432116216</v>
      </c>
      <c r="AR103" s="43">
        <f t="shared" si="23"/>
        <v>-31359.805432116216</v>
      </c>
      <c r="AT103" s="43">
        <f t="shared" si="33"/>
        <v>-313.59805432116218</v>
      </c>
      <c r="AU103" s="43">
        <f t="shared" si="33"/>
        <v>-331.70896915431797</v>
      </c>
      <c r="AV103" s="43">
        <f t="shared" si="33"/>
        <v>-356.81270393991684</v>
      </c>
      <c r="AW103" s="43">
        <f t="shared" si="33"/>
        <v>-365.33624581163343</v>
      </c>
      <c r="AX103" s="43">
        <f t="shared" si="33"/>
        <v>-370.06077414246948</v>
      </c>
      <c r="AZ103" s="47">
        <f t="shared" si="25"/>
        <v>-1379.8314390131136</v>
      </c>
      <c r="BA103" s="47">
        <f t="shared" si="26"/>
        <v>-1366.5825484141533</v>
      </c>
      <c r="BB103" s="47">
        <f t="shared" si="27"/>
        <v>-1548.4853103603332</v>
      </c>
      <c r="BC103" s="47">
        <f t="shared" si="28"/>
        <v>-1557.0088522320498</v>
      </c>
      <c r="BD103" s="47">
        <f t="shared" si="29"/>
        <v>-1561.7333805628857</v>
      </c>
    </row>
    <row r="104" spans="2:56">
      <c r="B104" s="37">
        <f>'3. Input (des)investeringen '!B129</f>
        <v>1572</v>
      </c>
      <c r="C104" s="48"/>
      <c r="D104" s="48"/>
      <c r="E104" s="48"/>
      <c r="F104" s="42">
        <f>'3. Input (des)investeringen '!D129</f>
        <v>441686.97804726404</v>
      </c>
      <c r="G104" s="48"/>
      <c r="H104" s="37">
        <f>'3. Input (des)investeringen '!F129</f>
        <v>2022</v>
      </c>
      <c r="I104" s="42" t="str">
        <f>'3. Input (des)investeringen '!G129</f>
        <v>nvt</v>
      </c>
      <c r="J104" s="42">
        <f>'3. Input (des)investeringen '!H129</f>
        <v>5</v>
      </c>
      <c r="K104" s="42">
        <f>'3. Input (des)investeringen '!I129</f>
        <v>0</v>
      </c>
      <c r="M104" s="43">
        <f t="shared" si="7"/>
        <v>0</v>
      </c>
      <c r="N104" s="43">
        <f t="shared" si="8"/>
        <v>0</v>
      </c>
      <c r="P104" s="138">
        <f t="shared" si="30"/>
        <v>0</v>
      </c>
      <c r="Q104" s="138">
        <f t="shared" si="9"/>
        <v>0</v>
      </c>
      <c r="S104" s="43">
        <f t="shared" si="10"/>
        <v>441686.97804726404</v>
      </c>
      <c r="T104" s="38">
        <f t="shared" si="11"/>
        <v>5</v>
      </c>
      <c r="V104" s="43">
        <f t="shared" si="31"/>
        <v>51677.376431529898</v>
      </c>
      <c r="W104" s="43">
        <f t="shared" si="31"/>
        <v>89918.634990862032</v>
      </c>
      <c r="X104" s="43">
        <f t="shared" si="31"/>
        <v>73120.648234327353</v>
      </c>
      <c r="Y104" s="43">
        <f t="shared" si="31"/>
        <v>73120.648234327353</v>
      </c>
      <c r="Z104" s="43">
        <f t="shared" si="31"/>
        <v>73120.648234327353</v>
      </c>
      <c r="AB104" s="43">
        <f t="shared" si="32"/>
        <v>4416.8697804726407</v>
      </c>
      <c r="AC104" s="43">
        <f t="shared" si="32"/>
        <v>8833.7395609452815</v>
      </c>
      <c r="AD104" s="43">
        <f t="shared" si="32"/>
        <v>8833.7395609452815</v>
      </c>
      <c r="AE104" s="43">
        <f t="shared" si="32"/>
        <v>8833.7395609452815</v>
      </c>
      <c r="AF104" s="43">
        <f t="shared" si="32"/>
        <v>8833.7395609452815</v>
      </c>
      <c r="AH104" s="43">
        <f t="shared" si="14"/>
        <v>56094.246212002538</v>
      </c>
      <c r="AI104" s="43">
        <f t="shared" si="15"/>
        <v>98752.374551807312</v>
      </c>
      <c r="AJ104" s="43">
        <f t="shared" si="16"/>
        <v>81954.387795272633</v>
      </c>
      <c r="AK104" s="43">
        <f t="shared" si="17"/>
        <v>81954.387795272633</v>
      </c>
      <c r="AL104" s="43">
        <f t="shared" si="18"/>
        <v>81954.387795272633</v>
      </c>
      <c r="AN104" s="43">
        <f t="shared" si="19"/>
        <v>385592.73183526151</v>
      </c>
      <c r="AO104" s="43">
        <f t="shared" si="20"/>
        <v>286840.35728345421</v>
      </c>
      <c r="AP104" s="43">
        <f t="shared" si="21"/>
        <v>204885.96948818158</v>
      </c>
      <c r="AQ104" s="43">
        <f t="shared" si="22"/>
        <v>122931.58169290895</v>
      </c>
      <c r="AR104" s="43">
        <f t="shared" si="23"/>
        <v>40977.193897636316</v>
      </c>
      <c r="AT104" s="43">
        <f t="shared" si="33"/>
        <v>4416.8697804726407</v>
      </c>
      <c r="AU104" s="43">
        <f t="shared" si="33"/>
        <v>4671.9528440344966</v>
      </c>
      <c r="AV104" s="43">
        <f t="shared" si="33"/>
        <v>5025.5262352710279</v>
      </c>
      <c r="AW104" s="43">
        <f t="shared" si="33"/>
        <v>5145.5760059791819</v>
      </c>
      <c r="AX104" s="43">
        <f t="shared" si="33"/>
        <v>5212.118594888505</v>
      </c>
      <c r="AZ104" s="47">
        <f t="shared" si="25"/>
        <v>73621.268874874062</v>
      </c>
      <c r="BA104" s="47">
        <f t="shared" si="26"/>
        <v>112890.05918619581</v>
      </c>
      <c r="BB104" s="47">
        <f t="shared" si="27"/>
        <v>94765.580871094557</v>
      </c>
      <c r="BC104" s="47">
        <f t="shared" si="28"/>
        <v>91771.363905582344</v>
      </c>
      <c r="BD104" s="47">
        <f t="shared" si="29"/>
        <v>88723.639758271325</v>
      </c>
    </row>
    <row r="105" spans="2:56">
      <c r="B105" s="37">
        <f>'3. Input (des)investeringen '!B130</f>
        <v>1573</v>
      </c>
      <c r="C105" s="48"/>
      <c r="D105" s="48"/>
      <c r="E105" s="48"/>
      <c r="F105" s="42">
        <f>'3. Input (des)investeringen '!D130</f>
        <v>1583921.081394993</v>
      </c>
      <c r="G105" s="48"/>
      <c r="H105" s="37">
        <f>'3. Input (des)investeringen '!F130</f>
        <v>2022</v>
      </c>
      <c r="I105" s="42" t="str">
        <f>'3. Input (des)investeringen '!G130</f>
        <v>nvt</v>
      </c>
      <c r="J105" s="42">
        <f>'3. Input (des)investeringen '!H130</f>
        <v>10</v>
      </c>
      <c r="K105" s="42">
        <f>'3. Input (des)investeringen '!I130</f>
        <v>0</v>
      </c>
      <c r="M105" s="43">
        <f t="shared" si="7"/>
        <v>0</v>
      </c>
      <c r="N105" s="43">
        <f t="shared" si="8"/>
        <v>0</v>
      </c>
      <c r="P105" s="138">
        <f t="shared" si="30"/>
        <v>0</v>
      </c>
      <c r="Q105" s="138">
        <f t="shared" si="9"/>
        <v>0</v>
      </c>
      <c r="S105" s="43">
        <f t="shared" si="10"/>
        <v>1583921.081394993</v>
      </c>
      <c r="T105" s="38">
        <f t="shared" si="11"/>
        <v>10</v>
      </c>
      <c r="V105" s="43">
        <f t="shared" si="31"/>
        <v>92659.383261607087</v>
      </c>
      <c r="W105" s="43">
        <f t="shared" si="31"/>
        <v>173273.04669920527</v>
      </c>
      <c r="X105" s="43">
        <f t="shared" si="31"/>
        <v>150747.55062830859</v>
      </c>
      <c r="Y105" s="43">
        <f t="shared" si="31"/>
        <v>134513.19902218305</v>
      </c>
      <c r="Z105" s="43">
        <f t="shared" si="31"/>
        <v>134513.19902218305</v>
      </c>
      <c r="AB105" s="43">
        <f t="shared" si="32"/>
        <v>7919.6054069749662</v>
      </c>
      <c r="AC105" s="43">
        <f t="shared" si="32"/>
        <v>15839.210813949932</v>
      </c>
      <c r="AD105" s="43">
        <f t="shared" si="32"/>
        <v>15839.210813949932</v>
      </c>
      <c r="AE105" s="43">
        <f t="shared" si="32"/>
        <v>15839.210813949932</v>
      </c>
      <c r="AF105" s="43">
        <f t="shared" si="32"/>
        <v>15839.210813949932</v>
      </c>
      <c r="AH105" s="43">
        <f t="shared" si="14"/>
        <v>100578.98866858205</v>
      </c>
      <c r="AI105" s="43">
        <f t="shared" si="15"/>
        <v>189112.2575131552</v>
      </c>
      <c r="AJ105" s="43">
        <f t="shared" si="16"/>
        <v>166586.76144225852</v>
      </c>
      <c r="AK105" s="43">
        <f t="shared" si="17"/>
        <v>150352.40983613298</v>
      </c>
      <c r="AL105" s="43">
        <f t="shared" si="18"/>
        <v>150352.40983613298</v>
      </c>
      <c r="AN105" s="43">
        <f t="shared" si="19"/>
        <v>1483342.0927264108</v>
      </c>
      <c r="AO105" s="43">
        <f t="shared" si="20"/>
        <v>1294229.8352132556</v>
      </c>
      <c r="AP105" s="43">
        <f t="shared" si="21"/>
        <v>1127643.0737709971</v>
      </c>
      <c r="AQ105" s="43">
        <f t="shared" si="22"/>
        <v>977290.6639348641</v>
      </c>
      <c r="AR105" s="43">
        <f t="shared" si="23"/>
        <v>826938.25409873109</v>
      </c>
      <c r="AT105" s="43">
        <f t="shared" si="33"/>
        <v>15839.210813949931</v>
      </c>
      <c r="AU105" s="43">
        <f t="shared" si="33"/>
        <v>16753.956916877167</v>
      </c>
      <c r="AV105" s="43">
        <f t="shared" si="33"/>
        <v>18021.896376346434</v>
      </c>
      <c r="AW105" s="43">
        <f t="shared" si="33"/>
        <v>18452.403436984598</v>
      </c>
      <c r="AX105" s="43">
        <f t="shared" si="33"/>
        <v>18691.029918231681</v>
      </c>
      <c r="AZ105" s="47">
        <f t="shared" si="25"/>
        <v>166851.83063522994</v>
      </c>
      <c r="BA105" s="47">
        <f t="shared" si="26"/>
        <v>248575.79899206979</v>
      </c>
      <c r="BB105" s="47">
        <f t="shared" si="27"/>
        <v>227459.09462190286</v>
      </c>
      <c r="BC105" s="47">
        <f t="shared" si="28"/>
        <v>205941.85850264243</v>
      </c>
      <c r="BD105" s="47">
        <f t="shared" si="29"/>
        <v>200467.09341011645</v>
      </c>
    </row>
    <row r="106" spans="2:56">
      <c r="B106" s="37">
        <f>'3. Input (des)investeringen '!B131</f>
        <v>1574</v>
      </c>
      <c r="C106" s="48"/>
      <c r="D106" s="48"/>
      <c r="E106" s="48"/>
      <c r="F106" s="42">
        <f>'3. Input (des)investeringen '!D131</f>
        <v>4759885.7217741664</v>
      </c>
      <c r="G106" s="48"/>
      <c r="H106" s="37">
        <f>'3. Input (des)investeringen '!F131</f>
        <v>2022</v>
      </c>
      <c r="I106" s="42" t="str">
        <f>'3. Input (des)investeringen '!G131</f>
        <v>nvt</v>
      </c>
      <c r="J106" s="42">
        <f>'3. Input (des)investeringen '!H131</f>
        <v>15</v>
      </c>
      <c r="K106" s="42">
        <f>'3. Input (des)investeringen '!I131</f>
        <v>0</v>
      </c>
      <c r="M106" s="43">
        <f t="shared" si="7"/>
        <v>0</v>
      </c>
      <c r="N106" s="43">
        <f t="shared" si="8"/>
        <v>0</v>
      </c>
      <c r="P106" s="138">
        <f t="shared" si="30"/>
        <v>0</v>
      </c>
      <c r="Q106" s="138">
        <f t="shared" si="9"/>
        <v>0</v>
      </c>
      <c r="S106" s="43">
        <f t="shared" si="10"/>
        <v>4759885.7217741664</v>
      </c>
      <c r="T106" s="38">
        <f t="shared" si="11"/>
        <v>15</v>
      </c>
      <c r="V106" s="43">
        <f t="shared" si="31"/>
        <v>185635.5431491925</v>
      </c>
      <c r="W106" s="43">
        <f t="shared" si="31"/>
        <v>355182.67255878833</v>
      </c>
      <c r="X106" s="43">
        <f t="shared" si="31"/>
        <v>324400.17427036003</v>
      </c>
      <c r="Y106" s="43">
        <f t="shared" si="31"/>
        <v>296285.4925002621</v>
      </c>
      <c r="Z106" s="43">
        <f t="shared" si="31"/>
        <v>271512.45801027364</v>
      </c>
      <c r="AB106" s="43">
        <f t="shared" si="32"/>
        <v>15866.285739247221</v>
      </c>
      <c r="AC106" s="43">
        <f t="shared" si="32"/>
        <v>31732.571478494443</v>
      </c>
      <c r="AD106" s="43">
        <f t="shared" si="32"/>
        <v>31732.571478494443</v>
      </c>
      <c r="AE106" s="43">
        <f t="shared" si="32"/>
        <v>31732.571478494443</v>
      </c>
      <c r="AF106" s="43">
        <f t="shared" si="32"/>
        <v>31732.571478494443</v>
      </c>
      <c r="AH106" s="43">
        <f t="shared" si="14"/>
        <v>201501.82888843972</v>
      </c>
      <c r="AI106" s="43">
        <f t="shared" si="15"/>
        <v>386915.24403728277</v>
      </c>
      <c r="AJ106" s="43">
        <f t="shared" si="16"/>
        <v>356132.74574885448</v>
      </c>
      <c r="AK106" s="43">
        <f t="shared" si="17"/>
        <v>328018.06397875655</v>
      </c>
      <c r="AL106" s="43">
        <f t="shared" si="18"/>
        <v>303245.02948876808</v>
      </c>
      <c r="AN106" s="43">
        <f t="shared" si="19"/>
        <v>4558383.8928857269</v>
      </c>
      <c r="AO106" s="43">
        <f t="shared" si="20"/>
        <v>4171468.6488484442</v>
      </c>
      <c r="AP106" s="43">
        <f t="shared" si="21"/>
        <v>3815335.90309959</v>
      </c>
      <c r="AQ106" s="43">
        <f t="shared" si="22"/>
        <v>3487317.8391208332</v>
      </c>
      <c r="AR106" s="43">
        <f t="shared" si="23"/>
        <v>3184072.8096320652</v>
      </c>
      <c r="AT106" s="43">
        <f t="shared" si="33"/>
        <v>47598.857217741664</v>
      </c>
      <c r="AU106" s="43">
        <f t="shared" si="33"/>
        <v>50347.786419780685</v>
      </c>
      <c r="AV106" s="43">
        <f t="shared" si="33"/>
        <v>54158.106896029691</v>
      </c>
      <c r="AW106" s="43">
        <f t="shared" si="33"/>
        <v>55451.835753562053</v>
      </c>
      <c r="AX106" s="43">
        <f t="shared" si="33"/>
        <v>56168.938893527113</v>
      </c>
      <c r="AZ106" s="47">
        <f t="shared" si="25"/>
        <v>404085.7384642961</v>
      </c>
      <c r="BA106" s="47">
        <f t="shared" si="26"/>
        <v>574921.49586906214</v>
      </c>
      <c r="BB106" s="47">
        <f t="shared" si="27"/>
        <v>555273.6169626686</v>
      </c>
      <c r="BC106" s="47">
        <f t="shared" si="28"/>
        <v>515987.97761891026</v>
      </c>
      <c r="BD106" s="47">
        <f t="shared" si="29"/>
        <v>480408.73514831369</v>
      </c>
    </row>
    <row r="107" spans="2:56">
      <c r="B107" s="37">
        <f>'3. Input (des)investeringen '!B132</f>
        <v>1575</v>
      </c>
      <c r="C107" s="48"/>
      <c r="D107" s="48"/>
      <c r="E107" s="48"/>
      <c r="F107" s="42">
        <f>'3. Input (des)investeringen '!D132</f>
        <v>26997284.606696233</v>
      </c>
      <c r="G107" s="48"/>
      <c r="H107" s="37">
        <f>'3. Input (des)investeringen '!F132</f>
        <v>2022</v>
      </c>
      <c r="I107" s="42" t="str">
        <f>'3. Input (des)investeringen '!G132</f>
        <v>nvt</v>
      </c>
      <c r="J107" s="42">
        <f>'3. Input (des)investeringen '!H132</f>
        <v>30</v>
      </c>
      <c r="K107" s="42">
        <f>'3. Input (des)investeringen '!I132</f>
        <v>0</v>
      </c>
      <c r="M107" s="43">
        <f t="shared" si="7"/>
        <v>0</v>
      </c>
      <c r="N107" s="43">
        <f t="shared" si="8"/>
        <v>0</v>
      </c>
      <c r="P107" s="138">
        <f t="shared" si="30"/>
        <v>0</v>
      </c>
      <c r="Q107" s="138">
        <f t="shared" si="9"/>
        <v>0</v>
      </c>
      <c r="S107" s="43">
        <f t="shared" si="10"/>
        <v>26997284.606696233</v>
      </c>
      <c r="T107" s="38">
        <f t="shared" si="11"/>
        <v>30</v>
      </c>
      <c r="V107" s="43">
        <f t="shared" si="31"/>
        <v>526447.04983057664</v>
      </c>
      <c r="W107" s="43">
        <f t="shared" si="31"/>
        <v>1030081.3941684949</v>
      </c>
      <c r="X107" s="43">
        <f t="shared" si="31"/>
        <v>985444.53375452664</v>
      </c>
      <c r="Y107" s="43">
        <f t="shared" si="31"/>
        <v>942741.93729183043</v>
      </c>
      <c r="Z107" s="43">
        <f t="shared" si="31"/>
        <v>901889.78667585109</v>
      </c>
      <c r="AB107" s="43">
        <f t="shared" si="32"/>
        <v>44995.474344493727</v>
      </c>
      <c r="AC107" s="43">
        <f t="shared" si="32"/>
        <v>89990.948688987453</v>
      </c>
      <c r="AD107" s="43">
        <f t="shared" si="32"/>
        <v>89990.948688987453</v>
      </c>
      <c r="AE107" s="43">
        <f t="shared" si="32"/>
        <v>89990.948688987453</v>
      </c>
      <c r="AF107" s="43">
        <f t="shared" si="32"/>
        <v>89990.948688987453</v>
      </c>
      <c r="AH107" s="43">
        <f t="shared" si="14"/>
        <v>571442.52417507034</v>
      </c>
      <c r="AI107" s="43">
        <f t="shared" si="15"/>
        <v>1120072.3428574824</v>
      </c>
      <c r="AJ107" s="43">
        <f t="shared" si="16"/>
        <v>1075435.482443514</v>
      </c>
      <c r="AK107" s="43">
        <f t="shared" si="17"/>
        <v>1032732.8859808178</v>
      </c>
      <c r="AL107" s="43">
        <f t="shared" si="18"/>
        <v>991880.7353648385</v>
      </c>
      <c r="AN107" s="43">
        <f t="shared" si="19"/>
        <v>26425842.082521163</v>
      </c>
      <c r="AO107" s="43">
        <f t="shared" si="20"/>
        <v>25305769.739663679</v>
      </c>
      <c r="AP107" s="43">
        <f t="shared" si="21"/>
        <v>24230334.257220164</v>
      </c>
      <c r="AQ107" s="43">
        <f t="shared" si="22"/>
        <v>23197601.371239346</v>
      </c>
      <c r="AR107" s="43">
        <f t="shared" si="23"/>
        <v>22205720.635874506</v>
      </c>
      <c r="AT107" s="43">
        <f t="shared" si="33"/>
        <v>269972.84606696235</v>
      </c>
      <c r="AU107" s="43">
        <f t="shared" si="33"/>
        <v>285564.31787302153</v>
      </c>
      <c r="AV107" s="43">
        <f t="shared" si="33"/>
        <v>307175.82544965192</v>
      </c>
      <c r="AW107" s="43">
        <f t="shared" si="33"/>
        <v>314513.64156799315</v>
      </c>
      <c r="AX107" s="43">
        <f t="shared" si="33"/>
        <v>318580.93198075041</v>
      </c>
      <c r="AZ107" s="47">
        <f t="shared" si="25"/>
        <v>1739894.0010477523</v>
      </c>
      <c r="BA107" s="47">
        <f t="shared" si="26"/>
        <v>2240727.0621394054</v>
      </c>
      <c r="BB107" s="47">
        <f t="shared" si="27"/>
        <v>2303364.0096675321</v>
      </c>
      <c r="BC107" s="47">
        <f t="shared" si="28"/>
        <v>2228755.379655906</v>
      </c>
      <c r="BD107" s="47">
        <f t="shared" si="29"/>
        <v>2154279.0515088202</v>
      </c>
    </row>
    <row r="108" spans="2:56">
      <c r="B108" s="37">
        <f>'3. Input (des)investeringen '!B133</f>
        <v>1576</v>
      </c>
      <c r="C108" s="48"/>
      <c r="D108" s="48"/>
      <c r="E108" s="48"/>
      <c r="F108" s="42">
        <f>'3. Input (des)investeringen '!D133</f>
        <v>38137.497252574271</v>
      </c>
      <c r="G108" s="48"/>
      <c r="H108" s="37">
        <f>'3. Input (des)investeringen '!F133</f>
        <v>2022</v>
      </c>
      <c r="I108" s="42" t="str">
        <f>'3. Input (des)investeringen '!G133</f>
        <v>nvt</v>
      </c>
      <c r="J108" s="42">
        <f>'3. Input (des)investeringen '!H133</f>
        <v>55</v>
      </c>
      <c r="K108" s="42">
        <f>'3. Input (des)investeringen '!I133</f>
        <v>0</v>
      </c>
      <c r="M108" s="43">
        <f t="shared" si="7"/>
        <v>0</v>
      </c>
      <c r="N108" s="43">
        <f t="shared" si="8"/>
        <v>0</v>
      </c>
      <c r="P108" s="138">
        <f t="shared" si="30"/>
        <v>0</v>
      </c>
      <c r="Q108" s="138">
        <f t="shared" si="9"/>
        <v>0</v>
      </c>
      <c r="S108" s="43">
        <f t="shared" si="10"/>
        <v>38137.497252574271</v>
      </c>
      <c r="T108" s="38">
        <f t="shared" si="11"/>
        <v>55</v>
      </c>
      <c r="V108" s="43">
        <f t="shared" si="31"/>
        <v>405.64428895919906</v>
      </c>
      <c r="W108" s="43">
        <f t="shared" si="31"/>
        <v>801.70062199754432</v>
      </c>
      <c r="X108" s="43">
        <f t="shared" si="31"/>
        <v>782.75133456851142</v>
      </c>
      <c r="Y108" s="43">
        <f t="shared" si="31"/>
        <v>764.24993938780119</v>
      </c>
      <c r="Z108" s="43">
        <f t="shared" si="31"/>
        <v>746.1858499113622</v>
      </c>
      <c r="AB108" s="43">
        <f t="shared" si="32"/>
        <v>34.67045204779479</v>
      </c>
      <c r="AC108" s="43">
        <f t="shared" si="32"/>
        <v>69.340904095589593</v>
      </c>
      <c r="AD108" s="43">
        <f t="shared" si="32"/>
        <v>69.340904095589593</v>
      </c>
      <c r="AE108" s="43">
        <f t="shared" si="32"/>
        <v>69.340904095589593</v>
      </c>
      <c r="AF108" s="43">
        <f t="shared" si="32"/>
        <v>69.340904095589593</v>
      </c>
      <c r="AH108" s="43">
        <f t="shared" si="14"/>
        <v>440.31474100699387</v>
      </c>
      <c r="AI108" s="43">
        <f t="shared" si="15"/>
        <v>871.04152609313394</v>
      </c>
      <c r="AJ108" s="43">
        <f t="shared" si="16"/>
        <v>852.09223866410105</v>
      </c>
      <c r="AK108" s="43">
        <f t="shared" si="17"/>
        <v>833.59084348339081</v>
      </c>
      <c r="AL108" s="43">
        <f t="shared" si="18"/>
        <v>815.52675400695182</v>
      </c>
      <c r="AN108" s="43">
        <f t="shared" si="19"/>
        <v>37697.182511567276</v>
      </c>
      <c r="AO108" s="43">
        <f t="shared" si="20"/>
        <v>36826.140985474143</v>
      </c>
      <c r="AP108" s="43">
        <f t="shared" si="21"/>
        <v>35974.04874681004</v>
      </c>
      <c r="AQ108" s="43">
        <f t="shared" si="22"/>
        <v>35140.457903326649</v>
      </c>
      <c r="AR108" s="43">
        <f t="shared" si="23"/>
        <v>34324.931149319695</v>
      </c>
      <c r="AT108" s="43">
        <f t="shared" si="33"/>
        <v>381.37497252574269</v>
      </c>
      <c r="AU108" s="43">
        <f t="shared" si="33"/>
        <v>403.40013993904944</v>
      </c>
      <c r="AV108" s="43">
        <f t="shared" si="33"/>
        <v>433.92946252963674</v>
      </c>
      <c r="AW108" s="43">
        <f t="shared" si="33"/>
        <v>444.29516953054468</v>
      </c>
      <c r="AX108" s="43">
        <f t="shared" si="33"/>
        <v>450.04079466291364</v>
      </c>
      <c r="AZ108" s="47">
        <f t="shared" si="25"/>
        <v>2103.3939189260241</v>
      </c>
      <c r="BA108" s="47">
        <f t="shared" si="26"/>
        <v>2489.70431855283</v>
      </c>
      <c r="BB108" s="47">
        <f t="shared" si="27"/>
        <v>2653.0355535725189</v>
      </c>
      <c r="BC108" s="47">
        <f t="shared" si="28"/>
        <v>2613.2234133403481</v>
      </c>
      <c r="BD108" s="47">
        <f t="shared" si="29"/>
        <v>2569.9149323440142</v>
      </c>
    </row>
    <row r="109" spans="2:56">
      <c r="B109" s="37">
        <f>'3. Input (des)investeringen '!B134</f>
        <v>1577</v>
      </c>
      <c r="C109" s="48"/>
      <c r="D109" s="48"/>
      <c r="E109" s="48"/>
      <c r="F109" s="42">
        <f>'3. Input (des)investeringen '!D134</f>
        <v>0</v>
      </c>
      <c r="G109" s="48"/>
      <c r="H109" s="37">
        <f>'3. Input (des)investeringen '!F134</f>
        <v>2022</v>
      </c>
      <c r="I109" s="42" t="str">
        <f>'3. Input (des)investeringen '!G134</f>
        <v>nvt</v>
      </c>
      <c r="J109" s="42">
        <f>'3. Input (des)investeringen '!H134</f>
        <v>0</v>
      </c>
      <c r="K109" s="42">
        <f>'3. Input (des)investeringen '!I134</f>
        <v>0</v>
      </c>
      <c r="M109" s="43">
        <f t="shared" si="7"/>
        <v>0</v>
      </c>
      <c r="N109" s="43">
        <f t="shared" si="8"/>
        <v>0</v>
      </c>
      <c r="P109" s="138">
        <f t="shared" si="30"/>
        <v>0</v>
      </c>
      <c r="Q109" s="138">
        <f t="shared" si="9"/>
        <v>0</v>
      </c>
      <c r="S109" s="43">
        <f t="shared" si="10"/>
        <v>0</v>
      </c>
      <c r="T109" s="38">
        <f t="shared" si="11"/>
        <v>0</v>
      </c>
      <c r="V109" s="43">
        <f t="shared" si="31"/>
        <v>0</v>
      </c>
      <c r="W109" s="43">
        <f t="shared" si="31"/>
        <v>0</v>
      </c>
      <c r="X109" s="43">
        <f t="shared" si="31"/>
        <v>0</v>
      </c>
      <c r="Y109" s="43">
        <f t="shared" si="31"/>
        <v>0</v>
      </c>
      <c r="Z109" s="43">
        <f t="shared" si="31"/>
        <v>0</v>
      </c>
      <c r="AB109" s="43">
        <f t="shared" si="32"/>
        <v>0</v>
      </c>
      <c r="AC109" s="43">
        <f t="shared" si="32"/>
        <v>0</v>
      </c>
      <c r="AD109" s="43">
        <f t="shared" si="32"/>
        <v>0</v>
      </c>
      <c r="AE109" s="43">
        <f t="shared" si="32"/>
        <v>0</v>
      </c>
      <c r="AF109" s="43">
        <f t="shared" si="32"/>
        <v>0</v>
      </c>
      <c r="AH109" s="43">
        <f t="shared" si="14"/>
        <v>0</v>
      </c>
      <c r="AI109" s="43">
        <f t="shared" si="15"/>
        <v>0</v>
      </c>
      <c r="AJ109" s="43">
        <f t="shared" si="16"/>
        <v>0</v>
      </c>
      <c r="AK109" s="43">
        <f t="shared" si="17"/>
        <v>0</v>
      </c>
      <c r="AL109" s="43">
        <f t="shared" si="18"/>
        <v>0</v>
      </c>
      <c r="AN109" s="43">
        <f t="shared" si="19"/>
        <v>0</v>
      </c>
      <c r="AO109" s="43">
        <f t="shared" si="20"/>
        <v>0</v>
      </c>
      <c r="AP109" s="43">
        <f t="shared" si="21"/>
        <v>0</v>
      </c>
      <c r="AQ109" s="43">
        <f t="shared" si="22"/>
        <v>0</v>
      </c>
      <c r="AR109" s="43">
        <f t="shared" si="23"/>
        <v>0</v>
      </c>
      <c r="AT109" s="43">
        <f t="shared" si="33"/>
        <v>0</v>
      </c>
      <c r="AU109" s="43">
        <f t="shared" si="33"/>
        <v>0</v>
      </c>
      <c r="AV109" s="43">
        <f t="shared" si="33"/>
        <v>0</v>
      </c>
      <c r="AW109" s="43">
        <f t="shared" si="33"/>
        <v>0</v>
      </c>
      <c r="AX109" s="43">
        <f t="shared" si="33"/>
        <v>0</v>
      </c>
      <c r="AZ109" s="47">
        <f t="shared" si="25"/>
        <v>0</v>
      </c>
      <c r="BA109" s="47">
        <f t="shared" si="26"/>
        <v>0</v>
      </c>
      <c r="BB109" s="47">
        <f t="shared" si="27"/>
        <v>0</v>
      </c>
      <c r="BC109" s="47">
        <f t="shared" si="28"/>
        <v>0</v>
      </c>
      <c r="BD109" s="47">
        <f t="shared" si="29"/>
        <v>0</v>
      </c>
    </row>
    <row r="110" spans="2:56">
      <c r="B110" s="37">
        <f>'3. Input (des)investeringen '!B135</f>
        <v>1578</v>
      </c>
      <c r="C110" s="48"/>
      <c r="D110" s="48"/>
      <c r="E110" s="48"/>
      <c r="F110" s="42">
        <f>'3. Input (des)investeringen '!D135</f>
        <v>634750.01622076391</v>
      </c>
      <c r="G110" s="48"/>
      <c r="H110" s="37">
        <f>'3. Input (des)investeringen '!F135</f>
        <v>2022</v>
      </c>
      <c r="I110" s="42" t="str">
        <f>'3. Input (des)investeringen '!G135</f>
        <v>nvt</v>
      </c>
      <c r="J110" s="42">
        <f>'3. Input (des)investeringen '!H135</f>
        <v>5</v>
      </c>
      <c r="K110" s="42">
        <f>'3. Input (des)investeringen '!I135</f>
        <v>0</v>
      </c>
      <c r="M110" s="43">
        <f t="shared" si="7"/>
        <v>0</v>
      </c>
      <c r="N110" s="43">
        <f t="shared" si="8"/>
        <v>0</v>
      </c>
      <c r="P110" s="138">
        <f t="shared" si="30"/>
        <v>0</v>
      </c>
      <c r="Q110" s="138">
        <f t="shared" si="9"/>
        <v>0</v>
      </c>
      <c r="S110" s="43">
        <f t="shared" si="10"/>
        <v>634750.01622076391</v>
      </c>
      <c r="T110" s="38">
        <f t="shared" si="11"/>
        <v>5</v>
      </c>
      <c r="V110" s="43">
        <f t="shared" si="31"/>
        <v>74265.751897829381</v>
      </c>
      <c r="W110" s="43">
        <f t="shared" si="31"/>
        <v>129222.40830222314</v>
      </c>
      <c r="X110" s="43">
        <f t="shared" si="31"/>
        <v>105081.95839961001</v>
      </c>
      <c r="Y110" s="43">
        <f t="shared" si="31"/>
        <v>105081.95839961001</v>
      </c>
      <c r="Z110" s="43">
        <f t="shared" si="31"/>
        <v>105081.95839961001</v>
      </c>
      <c r="AB110" s="43">
        <f t="shared" si="32"/>
        <v>6347.5001622076397</v>
      </c>
      <c r="AC110" s="43">
        <f t="shared" si="32"/>
        <v>12695.000324415279</v>
      </c>
      <c r="AD110" s="43">
        <f t="shared" si="32"/>
        <v>12695.000324415279</v>
      </c>
      <c r="AE110" s="43">
        <f t="shared" si="32"/>
        <v>12695.000324415279</v>
      </c>
      <c r="AF110" s="43">
        <f t="shared" si="32"/>
        <v>12695.000324415279</v>
      </c>
      <c r="AH110" s="43">
        <f t="shared" si="14"/>
        <v>80613.252060037019</v>
      </c>
      <c r="AI110" s="43">
        <f t="shared" si="15"/>
        <v>141917.40862663841</v>
      </c>
      <c r="AJ110" s="43">
        <f t="shared" si="16"/>
        <v>117776.95872402529</v>
      </c>
      <c r="AK110" s="43">
        <f t="shared" si="17"/>
        <v>117776.95872402529</v>
      </c>
      <c r="AL110" s="43">
        <f t="shared" si="18"/>
        <v>117776.95872402529</v>
      </c>
      <c r="AN110" s="43">
        <f t="shared" si="19"/>
        <v>554136.76416072692</v>
      </c>
      <c r="AO110" s="43">
        <f t="shared" si="20"/>
        <v>412219.35553408851</v>
      </c>
      <c r="AP110" s="43">
        <f t="shared" si="21"/>
        <v>294442.39681006322</v>
      </c>
      <c r="AQ110" s="43">
        <f t="shared" si="22"/>
        <v>176665.43808603793</v>
      </c>
      <c r="AR110" s="43">
        <f t="shared" si="23"/>
        <v>58888.479362012644</v>
      </c>
      <c r="AT110" s="43">
        <f t="shared" si="33"/>
        <v>6347.5001622076388</v>
      </c>
      <c r="AU110" s="43">
        <f t="shared" si="33"/>
        <v>6714.0809915754553</v>
      </c>
      <c r="AV110" s="43">
        <f t="shared" si="33"/>
        <v>7222.2026410178869</v>
      </c>
      <c r="AW110" s="43">
        <f t="shared" si="33"/>
        <v>7394.7266177065221</v>
      </c>
      <c r="AX110" s="43">
        <f t="shared" si="33"/>
        <v>7490.3552223267025</v>
      </c>
      <c r="AZ110" s="47">
        <f t="shared" si="25"/>
        <v>105801.40220370938</v>
      </c>
      <c r="BA110" s="47">
        <f t="shared" si="26"/>
        <v>162234.72835083879</v>
      </c>
      <c r="BB110" s="47">
        <f t="shared" si="27"/>
        <v>136187.97244382557</v>
      </c>
      <c r="BC110" s="47">
        <f t="shared" si="28"/>
        <v>131884.97198900126</v>
      </c>
      <c r="BD110" s="47">
        <f t="shared" si="29"/>
        <v>127505.07616210847</v>
      </c>
    </row>
    <row r="111" spans="2:56">
      <c r="B111" s="37">
        <f>'3. Input (des)investeringen '!B136</f>
        <v>1579</v>
      </c>
      <c r="C111" s="48"/>
      <c r="D111" s="48"/>
      <c r="E111" s="48"/>
      <c r="F111" s="42">
        <f>'3. Input (des)investeringen '!D136</f>
        <v>4698767.1893813582</v>
      </c>
      <c r="G111" s="48"/>
      <c r="H111" s="37">
        <f>'3. Input (des)investeringen '!F136</f>
        <v>2022</v>
      </c>
      <c r="I111" s="42" t="str">
        <f>'3. Input (des)investeringen '!G136</f>
        <v>nvt</v>
      </c>
      <c r="J111" s="42">
        <f>'3. Input (des)investeringen '!H136</f>
        <v>10</v>
      </c>
      <c r="K111" s="42">
        <f>'3. Input (des)investeringen '!I136</f>
        <v>0</v>
      </c>
      <c r="M111" s="43">
        <f t="shared" si="7"/>
        <v>0</v>
      </c>
      <c r="N111" s="43">
        <f t="shared" si="8"/>
        <v>0</v>
      </c>
      <c r="P111" s="138">
        <f t="shared" si="30"/>
        <v>0</v>
      </c>
      <c r="Q111" s="138">
        <f t="shared" si="9"/>
        <v>0</v>
      </c>
      <c r="S111" s="43">
        <f t="shared" si="10"/>
        <v>4698767.1893813582</v>
      </c>
      <c r="T111" s="38">
        <f t="shared" si="11"/>
        <v>10</v>
      </c>
      <c r="V111" s="43">
        <f t="shared" si="31"/>
        <v>274877.88057880948</v>
      </c>
      <c r="W111" s="43">
        <f t="shared" si="31"/>
        <v>514021.63668237376</v>
      </c>
      <c r="X111" s="43">
        <f t="shared" si="31"/>
        <v>447198.82391366514</v>
      </c>
      <c r="Y111" s="43">
        <f t="shared" si="31"/>
        <v>399038.95056911657</v>
      </c>
      <c r="Z111" s="43">
        <f t="shared" si="31"/>
        <v>399038.95056911657</v>
      </c>
      <c r="AB111" s="43">
        <f t="shared" si="32"/>
        <v>23493.835946906795</v>
      </c>
      <c r="AC111" s="43">
        <f t="shared" si="32"/>
        <v>46987.671893813589</v>
      </c>
      <c r="AD111" s="43">
        <f t="shared" si="32"/>
        <v>46987.671893813589</v>
      </c>
      <c r="AE111" s="43">
        <f t="shared" si="32"/>
        <v>46987.671893813589</v>
      </c>
      <c r="AF111" s="43">
        <f t="shared" si="32"/>
        <v>46987.671893813589</v>
      </c>
      <c r="AH111" s="43">
        <f t="shared" si="14"/>
        <v>298371.71652571624</v>
      </c>
      <c r="AI111" s="43">
        <f t="shared" si="15"/>
        <v>561009.30857618735</v>
      </c>
      <c r="AJ111" s="43">
        <f t="shared" si="16"/>
        <v>494186.49580747873</v>
      </c>
      <c r="AK111" s="43">
        <f t="shared" si="17"/>
        <v>446026.62246293016</v>
      </c>
      <c r="AL111" s="43">
        <f t="shared" si="18"/>
        <v>446026.62246293016</v>
      </c>
      <c r="AN111" s="43">
        <f t="shared" si="19"/>
        <v>4400395.4728556424</v>
      </c>
      <c r="AO111" s="43">
        <f t="shared" si="20"/>
        <v>3839386.1642794553</v>
      </c>
      <c r="AP111" s="43">
        <f t="shared" si="21"/>
        <v>3345199.6684719766</v>
      </c>
      <c r="AQ111" s="43">
        <f t="shared" si="22"/>
        <v>2899173.0460090465</v>
      </c>
      <c r="AR111" s="43">
        <f t="shared" si="23"/>
        <v>2453146.4235461163</v>
      </c>
      <c r="AT111" s="43">
        <f t="shared" si="33"/>
        <v>46987.671893813582</v>
      </c>
      <c r="AU111" s="43">
        <f t="shared" si="33"/>
        <v>49701.303921025108</v>
      </c>
      <c r="AV111" s="43">
        <f t="shared" si="33"/>
        <v>53462.698601768294</v>
      </c>
      <c r="AW111" s="43">
        <f t="shared" si="33"/>
        <v>54739.815545967322</v>
      </c>
      <c r="AX111" s="43">
        <f t="shared" si="33"/>
        <v>55447.710840607782</v>
      </c>
      <c r="AZ111" s="47">
        <f t="shared" si="25"/>
        <v>494972.83449662168</v>
      </c>
      <c r="BA111" s="47">
        <f t="shared" si="26"/>
        <v>737410.35591843456</v>
      </c>
      <c r="BB111" s="47">
        <f t="shared" si="27"/>
        <v>674766.78181118215</v>
      </c>
      <c r="BC111" s="47">
        <f t="shared" si="28"/>
        <v>610935.01375724119</v>
      </c>
      <c r="BD111" s="47">
        <f t="shared" si="29"/>
        <v>594693.89739829034</v>
      </c>
    </row>
    <row r="112" spans="2:56">
      <c r="B112" s="37">
        <f>'3. Input (des)investeringen '!B137</f>
        <v>1580</v>
      </c>
      <c r="C112" s="48"/>
      <c r="D112" s="48"/>
      <c r="E112" s="48"/>
      <c r="F112" s="42">
        <f>'3. Input (des)investeringen '!D137</f>
        <v>7689046.2734296853</v>
      </c>
      <c r="G112" s="48"/>
      <c r="H112" s="37">
        <f>'3. Input (des)investeringen '!F137</f>
        <v>2022</v>
      </c>
      <c r="I112" s="42" t="str">
        <f>'3. Input (des)investeringen '!G137</f>
        <v>nvt</v>
      </c>
      <c r="J112" s="42">
        <f>'3. Input (des)investeringen '!H137</f>
        <v>15</v>
      </c>
      <c r="K112" s="42">
        <f>'3. Input (des)investeringen '!I137</f>
        <v>0</v>
      </c>
      <c r="M112" s="43">
        <f t="shared" si="7"/>
        <v>0</v>
      </c>
      <c r="N112" s="43">
        <f t="shared" si="8"/>
        <v>0</v>
      </c>
      <c r="P112" s="138">
        <f t="shared" si="30"/>
        <v>0</v>
      </c>
      <c r="Q112" s="138">
        <f t="shared" si="9"/>
        <v>0</v>
      </c>
      <c r="S112" s="43">
        <f t="shared" si="10"/>
        <v>7689046.2734296853</v>
      </c>
      <c r="T112" s="38">
        <f t="shared" si="11"/>
        <v>15</v>
      </c>
      <c r="V112" s="43">
        <f t="shared" si="31"/>
        <v>299872.80466375774</v>
      </c>
      <c r="W112" s="43">
        <f t="shared" si="31"/>
        <v>573756.6329233232</v>
      </c>
      <c r="X112" s="43">
        <f t="shared" si="31"/>
        <v>524031.05806996854</v>
      </c>
      <c r="Y112" s="43">
        <f t="shared" si="31"/>
        <v>478615.03303723788</v>
      </c>
      <c r="Z112" s="43">
        <f t="shared" si="31"/>
        <v>438597.05368629826</v>
      </c>
      <c r="AB112" s="43">
        <f t="shared" si="32"/>
        <v>25630.154244765621</v>
      </c>
      <c r="AC112" s="43">
        <f t="shared" si="32"/>
        <v>51260.308489531235</v>
      </c>
      <c r="AD112" s="43">
        <f t="shared" si="32"/>
        <v>51260.308489531235</v>
      </c>
      <c r="AE112" s="43">
        <f t="shared" si="32"/>
        <v>51260.308489531235</v>
      </c>
      <c r="AF112" s="43">
        <f t="shared" si="32"/>
        <v>51260.308489531235</v>
      </c>
      <c r="AH112" s="43">
        <f t="shared" si="14"/>
        <v>325502.95890852337</v>
      </c>
      <c r="AI112" s="43">
        <f t="shared" si="15"/>
        <v>625016.94141285447</v>
      </c>
      <c r="AJ112" s="43">
        <f t="shared" si="16"/>
        <v>575291.36655949976</v>
      </c>
      <c r="AK112" s="43">
        <f t="shared" si="17"/>
        <v>529875.3415267691</v>
      </c>
      <c r="AL112" s="43">
        <f t="shared" si="18"/>
        <v>489857.36217582948</v>
      </c>
      <c r="AN112" s="43">
        <f t="shared" si="19"/>
        <v>7363543.3145211618</v>
      </c>
      <c r="AO112" s="43">
        <f t="shared" si="20"/>
        <v>6738526.3731083069</v>
      </c>
      <c r="AP112" s="43">
        <f t="shared" si="21"/>
        <v>6163235.006548807</v>
      </c>
      <c r="AQ112" s="43">
        <f t="shared" si="22"/>
        <v>5633359.6650220379</v>
      </c>
      <c r="AR112" s="43">
        <f t="shared" si="23"/>
        <v>5143502.3028462082</v>
      </c>
      <c r="AT112" s="43">
        <f t="shared" si="33"/>
        <v>76890.46273429686</v>
      </c>
      <c r="AU112" s="43">
        <f t="shared" si="33"/>
        <v>81331.04073812798</v>
      </c>
      <c r="AV112" s="43">
        <f t="shared" si="33"/>
        <v>87486.173901189512</v>
      </c>
      <c r="AW112" s="43">
        <f t="shared" si="33"/>
        <v>89576.043623341116</v>
      </c>
      <c r="AX112" s="43">
        <f t="shared" si="33"/>
        <v>90734.441019478138</v>
      </c>
      <c r="AZ112" s="47">
        <f t="shared" si="25"/>
        <v>652753.89433653979</v>
      </c>
      <c r="BA112" s="47">
        <f t="shared" si="26"/>
        <v>928719.35246355657</v>
      </c>
      <c r="BB112" s="47">
        <f t="shared" si="27"/>
        <v>896980.47070954391</v>
      </c>
      <c r="BC112" s="47">
        <f t="shared" si="28"/>
        <v>833519.0524209477</v>
      </c>
      <c r="BD112" s="47">
        <f t="shared" si="29"/>
        <v>776044.89070346358</v>
      </c>
    </row>
    <row r="113" spans="2:56">
      <c r="B113" s="37">
        <f>'3. Input (des)investeringen '!B138</f>
        <v>1581</v>
      </c>
      <c r="C113" s="48"/>
      <c r="D113" s="48"/>
      <c r="E113" s="48"/>
      <c r="F113" s="42">
        <f>'3. Input (des)investeringen '!D138</f>
        <v>7629142.1872137021</v>
      </c>
      <c r="G113" s="48"/>
      <c r="H113" s="37">
        <f>'3. Input (des)investeringen '!F138</f>
        <v>2022</v>
      </c>
      <c r="I113" s="42" t="str">
        <f>'3. Input (des)investeringen '!G138</f>
        <v>nvt</v>
      </c>
      <c r="J113" s="42">
        <f>'3. Input (des)investeringen '!H138</f>
        <v>30</v>
      </c>
      <c r="K113" s="42">
        <f>'3. Input (des)investeringen '!I138</f>
        <v>0</v>
      </c>
      <c r="M113" s="43">
        <f t="shared" si="7"/>
        <v>0</v>
      </c>
      <c r="N113" s="43">
        <f t="shared" si="8"/>
        <v>0</v>
      </c>
      <c r="P113" s="138">
        <f t="shared" si="30"/>
        <v>0</v>
      </c>
      <c r="Q113" s="138">
        <f t="shared" si="9"/>
        <v>0</v>
      </c>
      <c r="S113" s="43">
        <f t="shared" si="10"/>
        <v>7629142.1872137021</v>
      </c>
      <c r="T113" s="38">
        <f t="shared" si="11"/>
        <v>30</v>
      </c>
      <c r="V113" s="43">
        <f>IF($J113=0, 0, IF(OR($H113&gt;V$59,$H113+$J113&lt;V$59),0,
IF(OR($H113=2020,$H113=2021),VDB($S113*(1-$F$28),0,$T113,V$59-2022,MIN($T113,V$59-2021),$F$22,FALSE),
VDB($S113*(1-$F$28),0,$T113,MAX(0,V$59-$H113-0.5),MIN($T113,V$59-$H113+0.5),$F$22,FALSE))))</f>
        <v>148768.2726506672</v>
      </c>
      <c r="W113" s="43">
        <f t="shared" si="31"/>
        <v>291089.92015313881</v>
      </c>
      <c r="X113" s="43">
        <f t="shared" si="31"/>
        <v>278476.02361316944</v>
      </c>
      <c r="Y113" s="43">
        <f t="shared" si="31"/>
        <v>266408.72925659874</v>
      </c>
      <c r="Z113" s="43">
        <f t="shared" si="31"/>
        <v>254864.35098881283</v>
      </c>
      <c r="AB113" s="43">
        <f t="shared" si="32"/>
        <v>12715.236978689503</v>
      </c>
      <c r="AC113" s="43">
        <f t="shared" si="32"/>
        <v>25430.473957379007</v>
      </c>
      <c r="AD113" s="43">
        <f t="shared" si="32"/>
        <v>25430.473957379007</v>
      </c>
      <c r="AE113" s="43">
        <f t="shared" si="32"/>
        <v>25430.473957379007</v>
      </c>
      <c r="AF113" s="43">
        <f t="shared" si="32"/>
        <v>25430.473957379007</v>
      </c>
      <c r="AH113" s="43">
        <f t="shared" si="14"/>
        <v>161483.5096293567</v>
      </c>
      <c r="AI113" s="43">
        <f t="shared" si="15"/>
        <v>316520.39411051781</v>
      </c>
      <c r="AJ113" s="43">
        <f t="shared" si="16"/>
        <v>303906.49757054844</v>
      </c>
      <c r="AK113" s="43">
        <f t="shared" si="17"/>
        <v>291839.20321397774</v>
      </c>
      <c r="AL113" s="43">
        <f t="shared" si="18"/>
        <v>280294.82494619186</v>
      </c>
      <c r="AN113" s="43">
        <f t="shared" si="19"/>
        <v>7467658.6775843455</v>
      </c>
      <c r="AO113" s="43">
        <f t="shared" si="20"/>
        <v>7151138.2834738279</v>
      </c>
      <c r="AP113" s="43">
        <f t="shared" si="21"/>
        <v>6847231.7859032797</v>
      </c>
      <c r="AQ113" s="43">
        <f t="shared" si="22"/>
        <v>6555392.582689302</v>
      </c>
      <c r="AR113" s="43">
        <f t="shared" si="23"/>
        <v>6275097.7577431099</v>
      </c>
      <c r="AT113" s="43">
        <f t="shared" si="33"/>
        <v>76291.421872137027</v>
      </c>
      <c r="AU113" s="43">
        <f t="shared" si="33"/>
        <v>80697.404068096686</v>
      </c>
      <c r="AV113" s="43">
        <f t="shared" si="33"/>
        <v>86804.583607970257</v>
      </c>
      <c r="AW113" s="43">
        <f t="shared" si="33"/>
        <v>88878.171501197445</v>
      </c>
      <c r="AX113" s="43">
        <f t="shared" si="33"/>
        <v>90027.544015050924</v>
      </c>
      <c r="AZ113" s="47">
        <f t="shared" si="25"/>
        <v>491675.3265393615</v>
      </c>
      <c r="BA113" s="47">
        <f t="shared" si="26"/>
        <v>633205.36153325078</v>
      </c>
      <c r="BB113" s="47">
        <f t="shared" si="27"/>
        <v>650905.88904284337</v>
      </c>
      <c r="BC113" s="47">
        <f t="shared" si="28"/>
        <v>629822.29285736871</v>
      </c>
      <c r="BD113" s="47">
        <f t="shared" si="29"/>
        <v>608776.08375548106</v>
      </c>
    </row>
    <row r="114" spans="2:56">
      <c r="B114" s="37">
        <f>'3. Input (des)investeringen '!B139</f>
        <v>1582</v>
      </c>
      <c r="C114" s="48"/>
      <c r="D114" s="48"/>
      <c r="E114" s="48"/>
      <c r="F114" s="42">
        <f>'3. Input (des)investeringen '!D139</f>
        <v>0</v>
      </c>
      <c r="G114" s="48"/>
      <c r="H114" s="37">
        <f>'3. Input (des)investeringen '!F139</f>
        <v>2022</v>
      </c>
      <c r="I114" s="42" t="str">
        <f>'3. Input (des)investeringen '!G139</f>
        <v>nvt</v>
      </c>
      <c r="J114" s="42">
        <f>'3. Input (des)investeringen '!H139</f>
        <v>55</v>
      </c>
      <c r="K114" s="42">
        <f>'3. Input (des)investeringen '!I139</f>
        <v>0</v>
      </c>
      <c r="M114" s="43">
        <f t="shared" si="7"/>
        <v>0</v>
      </c>
      <c r="N114" s="43">
        <f t="shared" si="8"/>
        <v>0</v>
      </c>
      <c r="P114" s="138">
        <f t="shared" si="30"/>
        <v>0</v>
      </c>
      <c r="Q114" s="138">
        <f t="shared" si="9"/>
        <v>0</v>
      </c>
      <c r="S114" s="43">
        <f t="shared" si="10"/>
        <v>0</v>
      </c>
      <c r="T114" s="38">
        <f>IF($J114=0, 0, IF(H114&lt;2022,J114-2021+H114-0.5,J114))</f>
        <v>55</v>
      </c>
      <c r="V114" s="43">
        <f>IF($J114=0, 0, IF(OR($H114&gt;V$59,$H114+$J114&lt;V$59),0,
IF(OR($H114=2020,$H114=2021),VDB($S114*(1-$F$28),0,$T114,V$59-2022,MIN($T114,V$59-2021),$F$22,FALSE),
VDB($S114*(1-$F$28),0,$T114,MAX(0,V$59-$H114-0.5),MIN($T114,V$59-$H114+0.5),$F$22,FALSE))))</f>
        <v>0</v>
      </c>
      <c r="W114" s="43">
        <f t="shared" si="31"/>
        <v>0</v>
      </c>
      <c r="X114" s="43">
        <f t="shared" si="31"/>
        <v>0</v>
      </c>
      <c r="Y114" s="43">
        <f t="shared" si="31"/>
        <v>0</v>
      </c>
      <c r="Z114" s="43">
        <f t="shared" si="31"/>
        <v>0</v>
      </c>
      <c r="AB114" s="43">
        <f>IF($J114=0, 0, IF(OR($H114&gt;AB$59,$H114+$J114&lt;AB$59),0,
IF(OR($H114=2020,$H114=2021),VDB($S114*$F$28,0,$T114,AB$59-2022,MIN($T114,AB$59-2021),1),
VDB($S114*$F$28,0,$T114,MAX(0,AB$59-$H114-0.5),MIN($T114,AB$59-$H114+0.5),1))))</f>
        <v>0</v>
      </c>
      <c r="AC114" s="43">
        <f t="shared" si="32"/>
        <v>0</v>
      </c>
      <c r="AD114" s="43">
        <f t="shared" si="32"/>
        <v>0</v>
      </c>
      <c r="AE114" s="43">
        <f t="shared" si="32"/>
        <v>0</v>
      </c>
      <c r="AF114" s="43">
        <f t="shared" si="32"/>
        <v>0</v>
      </c>
      <c r="AH114" s="43">
        <f t="shared" si="14"/>
        <v>0</v>
      </c>
      <c r="AI114" s="43">
        <f t="shared" si="15"/>
        <v>0</v>
      </c>
      <c r="AJ114" s="43">
        <f t="shared" si="16"/>
        <v>0</v>
      </c>
      <c r="AK114" s="43">
        <f t="shared" si="17"/>
        <v>0</v>
      </c>
      <c r="AL114" s="43">
        <f t="shared" si="18"/>
        <v>0</v>
      </c>
      <c r="AN114" s="43">
        <f t="shared" si="19"/>
        <v>0</v>
      </c>
      <c r="AO114" s="43">
        <f t="shared" si="20"/>
        <v>0</v>
      </c>
      <c r="AP114" s="43">
        <f t="shared" si="21"/>
        <v>0</v>
      </c>
      <c r="AQ114" s="43">
        <f t="shared" si="22"/>
        <v>0</v>
      </c>
      <c r="AR114" s="43">
        <f t="shared" si="23"/>
        <v>0</v>
      </c>
      <c r="AT114" s="43">
        <f t="shared" si="33"/>
        <v>0</v>
      </c>
      <c r="AU114" s="43">
        <f t="shared" si="33"/>
        <v>0</v>
      </c>
      <c r="AV114" s="43">
        <f t="shared" si="33"/>
        <v>0</v>
      </c>
      <c r="AW114" s="43">
        <f t="shared" si="33"/>
        <v>0</v>
      </c>
      <c r="AX114" s="43">
        <f t="shared" si="33"/>
        <v>0</v>
      </c>
      <c r="AZ114" s="47">
        <f t="shared" si="25"/>
        <v>0</v>
      </c>
      <c r="BA114" s="47">
        <f t="shared" si="26"/>
        <v>0</v>
      </c>
      <c r="BB114" s="47">
        <f t="shared" si="27"/>
        <v>0</v>
      </c>
      <c r="BC114" s="47">
        <f t="shared" si="28"/>
        <v>0</v>
      </c>
      <c r="BD114" s="47">
        <f t="shared" si="29"/>
        <v>0</v>
      </c>
    </row>
    <row r="115" spans="2:56">
      <c r="B115" s="37">
        <f>'3. Input (des)investeringen '!B140</f>
        <v>1583</v>
      </c>
      <c r="C115" s="48"/>
      <c r="D115" s="48"/>
      <c r="E115" s="48"/>
      <c r="F115" s="42">
        <f>'3. Input (des)investeringen '!D140</f>
        <v>0</v>
      </c>
      <c r="G115" s="48"/>
      <c r="H115" s="37">
        <f>'3. Input (des)investeringen '!F140</f>
        <v>2023</v>
      </c>
      <c r="I115" s="42" t="str">
        <f>'3. Input (des)investeringen '!G140</f>
        <v>nvt</v>
      </c>
      <c r="J115" s="42">
        <f>'3. Input (des)investeringen '!H140</f>
        <v>0</v>
      </c>
      <c r="K115" s="42">
        <f>'3. Input (des)investeringen '!I140</f>
        <v>1</v>
      </c>
      <c r="M115" s="43">
        <f t="shared" si="7"/>
        <v>0</v>
      </c>
      <c r="N115" s="43">
        <f t="shared" si="8"/>
        <v>0</v>
      </c>
      <c r="P115" s="138">
        <f t="shared" si="30"/>
        <v>0</v>
      </c>
      <c r="Q115" s="138">
        <f t="shared" si="9"/>
        <v>0</v>
      </c>
      <c r="S115" s="43">
        <f t="shared" si="10"/>
        <v>0</v>
      </c>
      <c r="T115" s="38">
        <f t="shared" si="11"/>
        <v>0</v>
      </c>
      <c r="V115" s="43">
        <f t="shared" si="31"/>
        <v>0</v>
      </c>
      <c r="W115" s="43">
        <f t="shared" si="31"/>
        <v>0</v>
      </c>
      <c r="X115" s="43">
        <f t="shared" si="31"/>
        <v>0</v>
      </c>
      <c r="Y115" s="43">
        <f t="shared" si="31"/>
        <v>0</v>
      </c>
      <c r="Z115" s="43">
        <f t="shared" si="31"/>
        <v>0</v>
      </c>
      <c r="AB115" s="43">
        <f t="shared" si="32"/>
        <v>0</v>
      </c>
      <c r="AC115" s="43">
        <f t="shared" si="32"/>
        <v>0</v>
      </c>
      <c r="AD115" s="43">
        <f t="shared" si="32"/>
        <v>0</v>
      </c>
      <c r="AE115" s="43">
        <f t="shared" si="32"/>
        <v>0</v>
      </c>
      <c r="AF115" s="43">
        <f t="shared" si="32"/>
        <v>0</v>
      </c>
      <c r="AH115" s="43">
        <f t="shared" si="14"/>
        <v>0</v>
      </c>
      <c r="AI115" s="43">
        <f t="shared" si="15"/>
        <v>0</v>
      </c>
      <c r="AJ115" s="43">
        <f t="shared" si="16"/>
        <v>0</v>
      </c>
      <c r="AK115" s="43">
        <f t="shared" si="17"/>
        <v>0</v>
      </c>
      <c r="AL115" s="43">
        <f t="shared" si="18"/>
        <v>0</v>
      </c>
      <c r="AN115" s="43">
        <f t="shared" si="19"/>
        <v>0</v>
      </c>
      <c r="AO115" s="43">
        <f t="shared" si="20"/>
        <v>0</v>
      </c>
      <c r="AP115" s="43">
        <f t="shared" si="21"/>
        <v>0</v>
      </c>
      <c r="AQ115" s="43">
        <f t="shared" si="22"/>
        <v>0</v>
      </c>
      <c r="AR115" s="43">
        <f t="shared" si="23"/>
        <v>0</v>
      </c>
      <c r="AT115" s="43">
        <f t="shared" si="33"/>
        <v>0</v>
      </c>
      <c r="AU115" s="43">
        <f t="shared" si="33"/>
        <v>0</v>
      </c>
      <c r="AV115" s="43">
        <f t="shared" si="33"/>
        <v>0</v>
      </c>
      <c r="AW115" s="43">
        <f t="shared" si="33"/>
        <v>0</v>
      </c>
      <c r="AX115" s="43">
        <f t="shared" si="33"/>
        <v>0</v>
      </c>
      <c r="AZ115" s="47">
        <f t="shared" si="25"/>
        <v>0</v>
      </c>
      <c r="BA115" s="47">
        <f t="shared" si="26"/>
        <v>0</v>
      </c>
      <c r="BB115" s="47">
        <f t="shared" si="27"/>
        <v>0</v>
      </c>
      <c r="BC115" s="47">
        <f t="shared" si="28"/>
        <v>0</v>
      </c>
      <c r="BD115" s="47">
        <f t="shared" si="29"/>
        <v>0</v>
      </c>
    </row>
    <row r="116" spans="2:56">
      <c r="B116" s="37">
        <f>'3. Input (des)investeringen '!B141</f>
        <v>1584</v>
      </c>
      <c r="C116" s="48"/>
      <c r="D116" s="48"/>
      <c r="E116" s="48"/>
      <c r="F116" s="42">
        <f>'3. Input (des)investeringen '!D141</f>
        <v>17108593.055793844</v>
      </c>
      <c r="G116" s="48"/>
      <c r="H116" s="37">
        <f>'3. Input (des)investeringen '!F141</f>
        <v>2023</v>
      </c>
      <c r="I116" s="42" t="str">
        <f>'3. Input (des)investeringen '!G141</f>
        <v>nvt</v>
      </c>
      <c r="J116" s="42">
        <f>'3. Input (des)investeringen '!H141</f>
        <v>5</v>
      </c>
      <c r="K116" s="42">
        <f>'3. Input (des)investeringen '!I141</f>
        <v>1</v>
      </c>
      <c r="M116" s="43">
        <f t="shared" si="7"/>
        <v>0</v>
      </c>
      <c r="N116" s="43">
        <f t="shared" si="8"/>
        <v>0</v>
      </c>
      <c r="P116" s="138">
        <f t="shared" si="30"/>
        <v>0</v>
      </c>
      <c r="Q116" s="138">
        <f t="shared" si="9"/>
        <v>0</v>
      </c>
      <c r="S116" s="43">
        <f t="shared" si="10"/>
        <v>17108593.055793844</v>
      </c>
      <c r="T116" s="38">
        <f t="shared" si="11"/>
        <v>5</v>
      </c>
      <c r="V116" s="43">
        <f t="shared" si="31"/>
        <v>0</v>
      </c>
      <c r="W116" s="43">
        <f t="shared" si="31"/>
        <v>2001705.3875278798</v>
      </c>
      <c r="X116" s="43">
        <f t="shared" si="31"/>
        <v>3482967.3742985111</v>
      </c>
      <c r="Y116" s="43">
        <f t="shared" si="31"/>
        <v>2832303.1395394481</v>
      </c>
      <c r="Z116" s="43">
        <f t="shared" si="31"/>
        <v>2832303.1395394481</v>
      </c>
      <c r="AB116" s="43">
        <f t="shared" si="32"/>
        <v>0</v>
      </c>
      <c r="AC116" s="43">
        <f t="shared" si="32"/>
        <v>171085.93055793847</v>
      </c>
      <c r="AD116" s="43">
        <f t="shared" si="32"/>
        <v>342171.86111587688</v>
      </c>
      <c r="AE116" s="43">
        <f t="shared" si="32"/>
        <v>342171.86111587688</v>
      </c>
      <c r="AF116" s="43">
        <f t="shared" si="32"/>
        <v>342171.86111587688</v>
      </c>
      <c r="AH116" s="43">
        <f t="shared" si="14"/>
        <v>0</v>
      </c>
      <c r="AI116" s="43">
        <f t="shared" si="15"/>
        <v>2172791.3180858181</v>
      </c>
      <c r="AJ116" s="43">
        <f t="shared" si="16"/>
        <v>3825139.2354143881</v>
      </c>
      <c r="AK116" s="43">
        <f t="shared" si="17"/>
        <v>3174475.0006553251</v>
      </c>
      <c r="AL116" s="43">
        <f t="shared" si="18"/>
        <v>3174475.0006553251</v>
      </c>
      <c r="AN116" s="43">
        <f t="shared" si="19"/>
        <v>0</v>
      </c>
      <c r="AO116" s="43">
        <f t="shared" si="20"/>
        <v>14935801.737708027</v>
      </c>
      <c r="AP116" s="43">
        <f t="shared" si="21"/>
        <v>11110662.502293639</v>
      </c>
      <c r="AQ116" s="43">
        <f t="shared" si="22"/>
        <v>7936187.5016383138</v>
      </c>
      <c r="AR116" s="43">
        <f t="shared" si="23"/>
        <v>4761712.5009829886</v>
      </c>
      <c r="AT116" s="43">
        <f t="shared" si="33"/>
        <v>0</v>
      </c>
      <c r="AU116" s="43">
        <f t="shared" si="33"/>
        <v>171085.93055793844</v>
      </c>
      <c r="AV116" s="43">
        <f t="shared" si="33"/>
        <v>184033.71378256325</v>
      </c>
      <c r="AW116" s="43">
        <f t="shared" si="33"/>
        <v>188429.91113740113</v>
      </c>
      <c r="AX116" s="43">
        <f t="shared" si="33"/>
        <v>190866.68674822993</v>
      </c>
      <c r="AZ116" s="47">
        <f t="shared" si="25"/>
        <v>0</v>
      </c>
      <c r="BA116" s="47">
        <f t="shared" si="26"/>
        <v>2836758.7059881212</v>
      </c>
      <c r="BB116" s="47">
        <f t="shared" si="27"/>
        <v>4431378.1242841091</v>
      </c>
      <c r="BC116" s="47">
        <f t="shared" si="28"/>
        <v>3664480.0368549824</v>
      </c>
      <c r="BD116" s="47">
        <f t="shared" si="29"/>
        <v>3546286.7624409087</v>
      </c>
    </row>
    <row r="117" spans="2:56">
      <c r="B117" s="37">
        <f>'3. Input (des)investeringen '!B142</f>
        <v>1585</v>
      </c>
      <c r="C117" s="48"/>
      <c r="D117" s="48"/>
      <c r="E117" s="48"/>
      <c r="F117" s="42">
        <f>'3. Input (des)investeringen '!D142</f>
        <v>5189405.6983328583</v>
      </c>
      <c r="G117" s="48"/>
      <c r="H117" s="37">
        <f>'3. Input (des)investeringen '!F142</f>
        <v>2023</v>
      </c>
      <c r="I117" s="42" t="str">
        <f>'3. Input (des)investeringen '!G142</f>
        <v>nvt</v>
      </c>
      <c r="J117" s="42">
        <f>'3. Input (des)investeringen '!H142</f>
        <v>10</v>
      </c>
      <c r="K117" s="42">
        <f>'3. Input (des)investeringen '!I142</f>
        <v>1</v>
      </c>
      <c r="M117" s="43">
        <f t="shared" si="7"/>
        <v>0</v>
      </c>
      <c r="N117" s="43">
        <f t="shared" si="8"/>
        <v>0</v>
      </c>
      <c r="P117" s="138">
        <f t="shared" si="30"/>
        <v>0</v>
      </c>
      <c r="Q117" s="138">
        <f t="shared" si="9"/>
        <v>0</v>
      </c>
      <c r="S117" s="43">
        <f t="shared" si="10"/>
        <v>5189405.6983328583</v>
      </c>
      <c r="T117" s="38">
        <f t="shared" si="11"/>
        <v>10</v>
      </c>
      <c r="V117" s="43">
        <f t="shared" si="31"/>
        <v>0</v>
      </c>
      <c r="W117" s="43">
        <f t="shared" si="31"/>
        <v>303580.23335247219</v>
      </c>
      <c r="X117" s="43">
        <f t="shared" si="31"/>
        <v>567695.03636912303</v>
      </c>
      <c r="Y117" s="43">
        <f t="shared" si="31"/>
        <v>493894.68164113705</v>
      </c>
      <c r="Z117" s="43">
        <f t="shared" si="31"/>
        <v>440706.02361824532</v>
      </c>
      <c r="AB117" s="43">
        <f t="shared" si="32"/>
        <v>0</v>
      </c>
      <c r="AC117" s="43">
        <f t="shared" si="32"/>
        <v>25947.028491664296</v>
      </c>
      <c r="AD117" s="43">
        <f t="shared" si="32"/>
        <v>51894.056983328592</v>
      </c>
      <c r="AE117" s="43">
        <f t="shared" si="32"/>
        <v>51894.056983328592</v>
      </c>
      <c r="AF117" s="43">
        <f t="shared" si="32"/>
        <v>51894.056983328592</v>
      </c>
      <c r="AH117" s="43">
        <f t="shared" si="14"/>
        <v>0</v>
      </c>
      <c r="AI117" s="43">
        <f t="shared" si="15"/>
        <v>329527.26184413646</v>
      </c>
      <c r="AJ117" s="43">
        <f t="shared" si="16"/>
        <v>619589.09335245157</v>
      </c>
      <c r="AK117" s="43">
        <f t="shared" si="17"/>
        <v>545788.73862446565</v>
      </c>
      <c r="AL117" s="43">
        <f t="shared" si="18"/>
        <v>492600.08060157392</v>
      </c>
      <c r="AN117" s="43">
        <f t="shared" si="19"/>
        <v>0</v>
      </c>
      <c r="AO117" s="43">
        <f t="shared" si="20"/>
        <v>4859878.4364887215</v>
      </c>
      <c r="AP117" s="43">
        <f t="shared" si="21"/>
        <v>4240289.3431362696</v>
      </c>
      <c r="AQ117" s="43">
        <f t="shared" si="22"/>
        <v>3694500.6045118039</v>
      </c>
      <c r="AR117" s="43">
        <f t="shared" si="23"/>
        <v>3201900.52391023</v>
      </c>
      <c r="AT117" s="43">
        <f t="shared" si="33"/>
        <v>0</v>
      </c>
      <c r="AU117" s="43">
        <f t="shared" si="33"/>
        <v>51894.056983328584</v>
      </c>
      <c r="AV117" s="43">
        <f t="shared" si="33"/>
        <v>55821.399215826896</v>
      </c>
      <c r="AW117" s="43">
        <f t="shared" si="33"/>
        <v>57154.860800294569</v>
      </c>
      <c r="AX117" s="43">
        <f t="shared" si="33"/>
        <v>57893.98746016396</v>
      </c>
      <c r="AZ117" s="47">
        <f t="shared" si="25"/>
        <v>0</v>
      </c>
      <c r="BA117" s="47">
        <f t="shared" si="26"/>
        <v>541797.30723159283</v>
      </c>
      <c r="BB117" s="47">
        <f t="shared" si="27"/>
        <v>836541.48760745663</v>
      </c>
      <c r="BC117" s="47">
        <f t="shared" si="28"/>
        <v>743334.6223962087</v>
      </c>
      <c r="BD117" s="47">
        <f t="shared" si="29"/>
        <v>672166.28797032672</v>
      </c>
    </row>
    <row r="118" spans="2:56">
      <c r="B118" s="37">
        <f>'3. Input (des)investeringen '!B143</f>
        <v>1586</v>
      </c>
      <c r="C118" s="48"/>
      <c r="D118" s="48"/>
      <c r="E118" s="48"/>
      <c r="F118" s="42">
        <f>'3. Input (des)investeringen '!D143</f>
        <v>24478081.893697795</v>
      </c>
      <c r="G118" s="48"/>
      <c r="H118" s="37">
        <f>'3. Input (des)investeringen '!F143</f>
        <v>2023</v>
      </c>
      <c r="I118" s="42" t="str">
        <f>'3. Input (des)investeringen '!G143</f>
        <v>nvt</v>
      </c>
      <c r="J118" s="42">
        <f>'3. Input (des)investeringen '!H143</f>
        <v>15</v>
      </c>
      <c r="K118" s="42">
        <f>'3. Input (des)investeringen '!I143</f>
        <v>1</v>
      </c>
      <c r="M118" s="43">
        <f t="shared" si="7"/>
        <v>0</v>
      </c>
      <c r="N118" s="43">
        <f t="shared" si="8"/>
        <v>0</v>
      </c>
      <c r="P118" s="138">
        <f t="shared" si="30"/>
        <v>0</v>
      </c>
      <c r="Q118" s="138">
        <f t="shared" si="9"/>
        <v>0</v>
      </c>
      <c r="S118" s="43">
        <f t="shared" si="10"/>
        <v>24478081.893697795</v>
      </c>
      <c r="T118" s="38">
        <f t="shared" si="11"/>
        <v>15</v>
      </c>
      <c r="V118" s="43">
        <f t="shared" si="31"/>
        <v>0</v>
      </c>
      <c r="W118" s="43">
        <f t="shared" si="31"/>
        <v>954645.19385421404</v>
      </c>
      <c r="X118" s="43">
        <f t="shared" si="31"/>
        <v>1826554.4709077296</v>
      </c>
      <c r="Y118" s="43">
        <f t="shared" si="31"/>
        <v>1668253.0834290597</v>
      </c>
      <c r="Z118" s="43">
        <f t="shared" si="31"/>
        <v>1523671.1495318746</v>
      </c>
      <c r="AB118" s="43">
        <f t="shared" si="32"/>
        <v>0</v>
      </c>
      <c r="AC118" s="43">
        <f t="shared" si="32"/>
        <v>81593.606312325981</v>
      </c>
      <c r="AD118" s="43">
        <f t="shared" si="32"/>
        <v>163187.21262465196</v>
      </c>
      <c r="AE118" s="43">
        <f t="shared" si="32"/>
        <v>163187.21262465196</v>
      </c>
      <c r="AF118" s="43">
        <f t="shared" si="32"/>
        <v>163187.21262465196</v>
      </c>
      <c r="AH118" s="43">
        <f t="shared" si="14"/>
        <v>0</v>
      </c>
      <c r="AI118" s="43">
        <f t="shared" si="15"/>
        <v>1036238.8001665401</v>
      </c>
      <c r="AJ118" s="43">
        <f t="shared" si="16"/>
        <v>1989741.6835323814</v>
      </c>
      <c r="AK118" s="43">
        <f t="shared" si="17"/>
        <v>1831440.2960537118</v>
      </c>
      <c r="AL118" s="43">
        <f t="shared" si="18"/>
        <v>1686858.3621565267</v>
      </c>
      <c r="AN118" s="43">
        <f t="shared" si="19"/>
        <v>0</v>
      </c>
      <c r="AO118" s="43">
        <f t="shared" si="20"/>
        <v>23441843.093531255</v>
      </c>
      <c r="AP118" s="43">
        <f t="shared" si="21"/>
        <v>21452101.409998871</v>
      </c>
      <c r="AQ118" s="43">
        <f t="shared" si="22"/>
        <v>19620661.11394516</v>
      </c>
      <c r="AR118" s="43">
        <f t="shared" si="23"/>
        <v>17933802.751788635</v>
      </c>
      <c r="AT118" s="43">
        <f t="shared" si="33"/>
        <v>0</v>
      </c>
      <c r="AU118" s="43">
        <f t="shared" si="33"/>
        <v>244780.81893697794</v>
      </c>
      <c r="AV118" s="43">
        <f t="shared" si="33"/>
        <v>263305.83131412847</v>
      </c>
      <c r="AW118" s="43">
        <f t="shared" si="33"/>
        <v>269595.68101256038</v>
      </c>
      <c r="AX118" s="43">
        <f t="shared" si="33"/>
        <v>273082.09235941473</v>
      </c>
      <c r="AZ118" s="47">
        <f t="shared" si="25"/>
        <v>0</v>
      </c>
      <c r="BA118" s="47">
        <f t="shared" si="26"/>
        <v>2054600.4411900495</v>
      </c>
      <c r="BB118" s="47">
        <f t="shared" si="27"/>
        <v>3068227.3684264668</v>
      </c>
      <c r="BC118" s="47">
        <f t="shared" si="28"/>
        <v>2846621.0993961887</v>
      </c>
      <c r="BD118" s="47">
        <f t="shared" si="29"/>
        <v>2641424.9590839096</v>
      </c>
    </row>
    <row r="119" spans="2:56">
      <c r="B119" s="37">
        <f>'3. Input (des)investeringen '!B144</f>
        <v>1587</v>
      </c>
      <c r="C119" s="48"/>
      <c r="D119" s="48"/>
      <c r="E119" s="48"/>
      <c r="F119" s="42">
        <f>'3. Input (des)investeringen '!D144</f>
        <v>30064216.026644446</v>
      </c>
      <c r="G119" s="48"/>
      <c r="H119" s="37">
        <f>'3. Input (des)investeringen '!F144</f>
        <v>2023</v>
      </c>
      <c r="I119" s="42" t="str">
        <f>'3. Input (des)investeringen '!G144</f>
        <v>nvt</v>
      </c>
      <c r="J119" s="42">
        <f>'3. Input (des)investeringen '!H144</f>
        <v>30</v>
      </c>
      <c r="K119" s="42">
        <f>'3. Input (des)investeringen '!I144</f>
        <v>1</v>
      </c>
      <c r="M119" s="43">
        <f t="shared" si="7"/>
        <v>0</v>
      </c>
      <c r="N119" s="43">
        <f t="shared" si="8"/>
        <v>0</v>
      </c>
      <c r="P119" s="138">
        <f t="shared" si="30"/>
        <v>0</v>
      </c>
      <c r="Q119" s="138">
        <f t="shared" si="9"/>
        <v>0</v>
      </c>
      <c r="S119" s="43">
        <f t="shared" si="10"/>
        <v>30064216.026644446</v>
      </c>
      <c r="T119" s="38">
        <f t="shared" si="11"/>
        <v>30</v>
      </c>
      <c r="V119" s="43">
        <f t="shared" si="31"/>
        <v>0</v>
      </c>
      <c r="W119" s="43">
        <f t="shared" si="31"/>
        <v>586252.21251956676</v>
      </c>
      <c r="X119" s="43">
        <f t="shared" si="31"/>
        <v>1147100.1624966189</v>
      </c>
      <c r="Y119" s="43">
        <f t="shared" si="31"/>
        <v>1097392.488788432</v>
      </c>
      <c r="Z119" s="43">
        <f t="shared" si="31"/>
        <v>1049838.8142742666</v>
      </c>
      <c r="AB119" s="43">
        <f t="shared" si="32"/>
        <v>0</v>
      </c>
      <c r="AC119" s="43">
        <f t="shared" si="32"/>
        <v>50107.026711074075</v>
      </c>
      <c r="AD119" s="43">
        <f t="shared" si="32"/>
        <v>100214.05342214815</v>
      </c>
      <c r="AE119" s="43">
        <f t="shared" si="32"/>
        <v>100214.05342214815</v>
      </c>
      <c r="AF119" s="43">
        <f t="shared" si="32"/>
        <v>100214.05342214815</v>
      </c>
      <c r="AH119" s="43">
        <f t="shared" si="14"/>
        <v>0</v>
      </c>
      <c r="AI119" s="43">
        <f t="shared" si="15"/>
        <v>636359.23923064081</v>
      </c>
      <c r="AJ119" s="43">
        <f t="shared" si="16"/>
        <v>1247314.215918767</v>
      </c>
      <c r="AK119" s="43">
        <f t="shared" si="17"/>
        <v>1197606.5422105801</v>
      </c>
      <c r="AL119" s="43">
        <f t="shared" si="18"/>
        <v>1150052.8676964147</v>
      </c>
      <c r="AN119" s="43">
        <f t="shared" si="19"/>
        <v>0</v>
      </c>
      <c r="AO119" s="43">
        <f t="shared" si="20"/>
        <v>29427856.787413806</v>
      </c>
      <c r="AP119" s="43">
        <f t="shared" si="21"/>
        <v>28180542.571495038</v>
      </c>
      <c r="AQ119" s="43">
        <f t="shared" si="22"/>
        <v>26982936.029284459</v>
      </c>
      <c r="AR119" s="43">
        <f t="shared" si="23"/>
        <v>25832883.161588043</v>
      </c>
      <c r="AT119" s="43">
        <f t="shared" si="33"/>
        <v>0</v>
      </c>
      <c r="AU119" s="43">
        <f t="shared" si="33"/>
        <v>300642.16026644449</v>
      </c>
      <c r="AV119" s="43">
        <f t="shared" si="33"/>
        <v>323394.75895540899</v>
      </c>
      <c r="AW119" s="43">
        <f t="shared" si="33"/>
        <v>331120.01295733586</v>
      </c>
      <c r="AX119" s="43">
        <f t="shared" si="33"/>
        <v>335402.0569649</v>
      </c>
      <c r="AZ119" s="47">
        <f t="shared" si="25"/>
        <v>0</v>
      </c>
      <c r="BA119" s="47">
        <f t="shared" si="26"/>
        <v>1908120.673481741</v>
      </c>
      <c r="BB119" s="47">
        <f t="shared" si="27"/>
        <v>2641569.5925909872</v>
      </c>
      <c r="BC119" s="47">
        <f t="shared" si="28"/>
        <v>2554078.1242807251</v>
      </c>
      <c r="BD119" s="47">
        <f t="shared" si="29"/>
        <v>2467104.4848016603</v>
      </c>
    </row>
    <row r="120" spans="2:56">
      <c r="B120" s="37">
        <f>'3. Input (des)investeringen '!B145</f>
        <v>1588</v>
      </c>
      <c r="C120" s="48"/>
      <c r="D120" s="48"/>
      <c r="E120" s="48"/>
      <c r="F120" s="42">
        <f>'3. Input (des)investeringen '!D145</f>
        <v>83221993.783928484</v>
      </c>
      <c r="G120" s="48"/>
      <c r="H120" s="37">
        <f>'3. Input (des)investeringen '!F145</f>
        <v>2023</v>
      </c>
      <c r="I120" s="42" t="str">
        <f>'3. Input (des)investeringen '!G145</f>
        <v>nvt</v>
      </c>
      <c r="J120" s="42">
        <f>'3. Input (des)investeringen '!H145</f>
        <v>55</v>
      </c>
      <c r="K120" s="42">
        <f>'3. Input (des)investeringen '!I145</f>
        <v>1</v>
      </c>
      <c r="M120" s="43">
        <f t="shared" si="7"/>
        <v>0</v>
      </c>
      <c r="N120" s="43">
        <f t="shared" si="8"/>
        <v>0</v>
      </c>
      <c r="P120" s="138">
        <f t="shared" si="30"/>
        <v>0</v>
      </c>
      <c r="Q120" s="138">
        <f t="shared" si="9"/>
        <v>0</v>
      </c>
      <c r="S120" s="43">
        <f t="shared" si="10"/>
        <v>83221993.783928484</v>
      </c>
      <c r="T120" s="38">
        <f t="shared" si="11"/>
        <v>55</v>
      </c>
      <c r="V120" s="43">
        <f t="shared" si="31"/>
        <v>0</v>
      </c>
      <c r="W120" s="43">
        <f t="shared" si="31"/>
        <v>885179.38842905755</v>
      </c>
      <c r="X120" s="43">
        <f t="shared" si="31"/>
        <v>1749436.3549497919</v>
      </c>
      <c r="Y120" s="43">
        <f t="shared" si="31"/>
        <v>1708086.0411055242</v>
      </c>
      <c r="Z120" s="43">
        <f t="shared" si="31"/>
        <v>1667713.0983157572</v>
      </c>
      <c r="AB120" s="43">
        <f t="shared" si="32"/>
        <v>0</v>
      </c>
      <c r="AC120" s="43">
        <f t="shared" si="32"/>
        <v>75656.357985389535</v>
      </c>
      <c r="AD120" s="43">
        <f t="shared" si="32"/>
        <v>151312.71597077907</v>
      </c>
      <c r="AE120" s="43">
        <f t="shared" si="32"/>
        <v>151312.71597077907</v>
      </c>
      <c r="AF120" s="43">
        <f t="shared" si="32"/>
        <v>151312.71597077907</v>
      </c>
      <c r="AH120" s="43">
        <f t="shared" si="14"/>
        <v>0</v>
      </c>
      <c r="AI120" s="43">
        <f t="shared" si="15"/>
        <v>960835.74641444709</v>
      </c>
      <c r="AJ120" s="43">
        <f t="shared" si="16"/>
        <v>1900749.070920571</v>
      </c>
      <c r="AK120" s="43">
        <f t="shared" si="17"/>
        <v>1859398.7570763032</v>
      </c>
      <c r="AL120" s="43">
        <f t="shared" si="18"/>
        <v>1819025.8142865363</v>
      </c>
      <c r="AN120" s="43">
        <f t="shared" si="19"/>
        <v>0</v>
      </c>
      <c r="AO120" s="43">
        <f t="shared" si="20"/>
        <v>82261158.037514031</v>
      </c>
      <c r="AP120" s="43">
        <f t="shared" si="21"/>
        <v>80360408.966593459</v>
      </c>
      <c r="AQ120" s="43">
        <f t="shared" si="22"/>
        <v>78501010.209517151</v>
      </c>
      <c r="AR120" s="43">
        <f t="shared" si="23"/>
        <v>76681984.395230621</v>
      </c>
      <c r="AT120" s="43">
        <f t="shared" si="33"/>
        <v>0</v>
      </c>
      <c r="AU120" s="43">
        <f t="shared" si="33"/>
        <v>832219.93783928489</v>
      </c>
      <c r="AV120" s="43">
        <f t="shared" si="33"/>
        <v>895202.34273496212</v>
      </c>
      <c r="AW120" s="43">
        <f t="shared" si="33"/>
        <v>916586.93629821483</v>
      </c>
      <c r="AX120" s="43">
        <f t="shared" si="33"/>
        <v>928440.23855842312</v>
      </c>
      <c r="AZ120" s="47">
        <f t="shared" si="25"/>
        <v>0</v>
      </c>
      <c r="BA120" s="47">
        <f t="shared" si="26"/>
        <v>4507673.8994916948</v>
      </c>
      <c r="BB120" s="47">
        <f t="shared" si="27"/>
        <v>5849646.9543860843</v>
      </c>
      <c r="BC120" s="47">
        <f t="shared" si="28"/>
        <v>5759024.0813361695</v>
      </c>
      <c r="BD120" s="47">
        <f t="shared" si="29"/>
        <v>5661381.4598637223</v>
      </c>
    </row>
    <row r="121" spans="2:56">
      <c r="B121" s="37">
        <f>'3. Input (des)investeringen '!B146</f>
        <v>1589</v>
      </c>
      <c r="C121" s="48"/>
      <c r="D121" s="48"/>
      <c r="E121" s="48"/>
      <c r="F121" s="42">
        <f>'3. Input (des)investeringen '!D146</f>
        <v>-31765.350435964345</v>
      </c>
      <c r="G121" s="48"/>
      <c r="H121" s="37">
        <f>'3. Input (des)investeringen '!F146</f>
        <v>2023</v>
      </c>
      <c r="I121" s="42" t="str">
        <f>'3. Input (des)investeringen '!G146</f>
        <v>nvt</v>
      </c>
      <c r="J121" s="42">
        <f>'3. Input (des)investeringen '!H146</f>
        <v>0</v>
      </c>
      <c r="K121" s="42">
        <f>'3. Input (des)investeringen '!I146</f>
        <v>0</v>
      </c>
      <c r="M121" s="43">
        <f t="shared" si="7"/>
        <v>0</v>
      </c>
      <c r="N121" s="43">
        <f t="shared" si="8"/>
        <v>0</v>
      </c>
      <c r="P121" s="138">
        <f t="shared" si="30"/>
        <v>0</v>
      </c>
      <c r="Q121" s="138">
        <f t="shared" si="9"/>
        <v>0</v>
      </c>
      <c r="S121" s="43">
        <f t="shared" si="10"/>
        <v>-31765.350435964345</v>
      </c>
      <c r="T121" s="38">
        <f t="shared" si="11"/>
        <v>0</v>
      </c>
      <c r="V121" s="43">
        <f t="shared" si="31"/>
        <v>0</v>
      </c>
      <c r="W121" s="43">
        <f t="shared" si="31"/>
        <v>0</v>
      </c>
      <c r="X121" s="43">
        <f t="shared" si="31"/>
        <v>0</v>
      </c>
      <c r="Y121" s="43">
        <f t="shared" si="31"/>
        <v>0</v>
      </c>
      <c r="Z121" s="43">
        <f t="shared" si="31"/>
        <v>0</v>
      </c>
      <c r="AB121" s="43">
        <f t="shared" si="32"/>
        <v>0</v>
      </c>
      <c r="AC121" s="43">
        <f t="shared" si="32"/>
        <v>0</v>
      </c>
      <c r="AD121" s="43">
        <f t="shared" si="32"/>
        <v>0</v>
      </c>
      <c r="AE121" s="43">
        <f t="shared" si="32"/>
        <v>0</v>
      </c>
      <c r="AF121" s="43">
        <f t="shared" si="32"/>
        <v>0</v>
      </c>
      <c r="AH121" s="43">
        <f t="shared" si="14"/>
        <v>0</v>
      </c>
      <c r="AI121" s="43">
        <f t="shared" si="15"/>
        <v>0</v>
      </c>
      <c r="AJ121" s="43">
        <f t="shared" si="16"/>
        <v>0</v>
      </c>
      <c r="AK121" s="43">
        <f t="shared" si="17"/>
        <v>0</v>
      </c>
      <c r="AL121" s="43">
        <f t="shared" si="18"/>
        <v>0</v>
      </c>
      <c r="AN121" s="43">
        <f t="shared" si="19"/>
        <v>0</v>
      </c>
      <c r="AO121" s="43">
        <f t="shared" si="20"/>
        <v>-31765.350435964345</v>
      </c>
      <c r="AP121" s="43">
        <f t="shared" si="21"/>
        <v>-31765.350435964345</v>
      </c>
      <c r="AQ121" s="43">
        <f t="shared" si="22"/>
        <v>-31765.350435964345</v>
      </c>
      <c r="AR121" s="43">
        <f t="shared" si="23"/>
        <v>-31765.350435964345</v>
      </c>
      <c r="AT121" s="43">
        <f t="shared" si="33"/>
        <v>0</v>
      </c>
      <c r="AU121" s="43">
        <f t="shared" si="33"/>
        <v>-317.65350435964348</v>
      </c>
      <c r="AV121" s="43">
        <f t="shared" si="33"/>
        <v>-341.69352156958126</v>
      </c>
      <c r="AW121" s="43">
        <f t="shared" si="33"/>
        <v>-349.85589641283542</v>
      </c>
      <c r="AX121" s="43">
        <f t="shared" si="33"/>
        <v>-354.38023286524617</v>
      </c>
      <c r="AZ121" s="47">
        <f t="shared" si="25"/>
        <v>0</v>
      </c>
      <c r="BA121" s="47">
        <f t="shared" si="26"/>
        <v>-1365.9100687464668</v>
      </c>
      <c r="BB121" s="47">
        <f t="shared" si="27"/>
        <v>-1548.7768381362264</v>
      </c>
      <c r="BC121" s="47">
        <f t="shared" si="28"/>
        <v>-1556.9392129794805</v>
      </c>
      <c r="BD121" s="47">
        <f t="shared" si="29"/>
        <v>-1561.4635494318914</v>
      </c>
    </row>
    <row r="122" spans="2:56">
      <c r="B122" s="37">
        <f>'3. Input (des)investeringen '!B147</f>
        <v>1590</v>
      </c>
      <c r="C122" s="48"/>
      <c r="D122" s="48"/>
      <c r="E122" s="48"/>
      <c r="F122" s="42">
        <f>'3. Input (des)investeringen '!D147</f>
        <v>447398.87404737127</v>
      </c>
      <c r="G122" s="48"/>
      <c r="H122" s="37">
        <f>'3. Input (des)investeringen '!F147</f>
        <v>2023</v>
      </c>
      <c r="I122" s="42" t="str">
        <f>'3. Input (des)investeringen '!G147</f>
        <v>nvt</v>
      </c>
      <c r="J122" s="42">
        <f>'3. Input (des)investeringen '!H147</f>
        <v>5</v>
      </c>
      <c r="K122" s="42">
        <f>'3. Input (des)investeringen '!I147</f>
        <v>0</v>
      </c>
      <c r="M122" s="43">
        <f t="shared" si="7"/>
        <v>0</v>
      </c>
      <c r="N122" s="43">
        <f t="shared" si="8"/>
        <v>0</v>
      </c>
      <c r="P122" s="138">
        <f t="shared" si="30"/>
        <v>0</v>
      </c>
      <c r="Q122" s="138">
        <f t="shared" si="9"/>
        <v>0</v>
      </c>
      <c r="S122" s="43">
        <f t="shared" si="10"/>
        <v>447398.87404737127</v>
      </c>
      <c r="T122" s="38">
        <f t="shared" si="11"/>
        <v>5</v>
      </c>
      <c r="V122" s="43">
        <f t="shared" si="31"/>
        <v>0</v>
      </c>
      <c r="W122" s="43">
        <f t="shared" si="31"/>
        <v>52345.668263542444</v>
      </c>
      <c r="X122" s="43">
        <f t="shared" si="31"/>
        <v>91081.462778563844</v>
      </c>
      <c r="Y122" s="43">
        <f t="shared" si="31"/>
        <v>74066.244457293666</v>
      </c>
      <c r="Z122" s="43">
        <f t="shared" si="31"/>
        <v>74066.244457293666</v>
      </c>
      <c r="AB122" s="43">
        <f t="shared" si="32"/>
        <v>0</v>
      </c>
      <c r="AC122" s="43">
        <f t="shared" si="32"/>
        <v>4473.9887404737128</v>
      </c>
      <c r="AD122" s="43">
        <f t="shared" si="32"/>
        <v>8947.9774809474256</v>
      </c>
      <c r="AE122" s="43">
        <f t="shared" si="32"/>
        <v>8947.9774809474256</v>
      </c>
      <c r="AF122" s="43">
        <f t="shared" si="32"/>
        <v>8947.9774809474256</v>
      </c>
      <c r="AH122" s="43">
        <f t="shared" si="14"/>
        <v>0</v>
      </c>
      <c r="AI122" s="43">
        <f t="shared" si="15"/>
        <v>56819.65700401616</v>
      </c>
      <c r="AJ122" s="43">
        <f t="shared" si="16"/>
        <v>100029.44025951126</v>
      </c>
      <c r="AK122" s="43">
        <f t="shared" si="17"/>
        <v>83014.221938241099</v>
      </c>
      <c r="AL122" s="43">
        <f t="shared" si="18"/>
        <v>83014.221938241099</v>
      </c>
      <c r="AN122" s="43">
        <f t="shared" si="19"/>
        <v>0</v>
      </c>
      <c r="AO122" s="43">
        <f t="shared" si="20"/>
        <v>390579.21704335511</v>
      </c>
      <c r="AP122" s="43">
        <f t="shared" si="21"/>
        <v>290549.77678384387</v>
      </c>
      <c r="AQ122" s="43">
        <f t="shared" si="22"/>
        <v>207535.55484560278</v>
      </c>
      <c r="AR122" s="43">
        <f t="shared" si="23"/>
        <v>124521.33290736168</v>
      </c>
      <c r="AT122" s="43">
        <f t="shared" si="33"/>
        <v>0</v>
      </c>
      <c r="AU122" s="43">
        <f t="shared" si="33"/>
        <v>4473.9887404737128</v>
      </c>
      <c r="AV122" s="43">
        <f t="shared" si="33"/>
        <v>4812.5802083527633</v>
      </c>
      <c r="AW122" s="43">
        <f t="shared" si="33"/>
        <v>4927.5431243698949</v>
      </c>
      <c r="AX122" s="43">
        <f t="shared" si="33"/>
        <v>4991.2661120542452</v>
      </c>
      <c r="AZ122" s="47">
        <f t="shared" si="25"/>
        <v>0</v>
      </c>
      <c r="BA122" s="47">
        <f t="shared" si="26"/>
        <v>74182.75990692059</v>
      </c>
      <c r="BB122" s="47">
        <f t="shared" si="27"/>
        <v>115882.91198565009</v>
      </c>
      <c r="BC122" s="47">
        <f t="shared" si="28"/>
        <v>95828.116146743909</v>
      </c>
      <c r="BD122" s="47">
        <f t="shared" si="29"/>
        <v>92737.298700775093</v>
      </c>
    </row>
    <row r="123" spans="2:56">
      <c r="B123" s="37">
        <f>'3. Input (des)investeringen '!B148</f>
        <v>1591</v>
      </c>
      <c r="C123" s="48"/>
      <c r="D123" s="48"/>
      <c r="E123" s="48"/>
      <c r="F123" s="42">
        <f>'3. Input (des)investeringen '!D148</f>
        <v>1604404.348819593</v>
      </c>
      <c r="G123" s="48"/>
      <c r="H123" s="37">
        <f>'3. Input (des)investeringen '!F148</f>
        <v>2023</v>
      </c>
      <c r="I123" s="42" t="str">
        <f>'3. Input (des)investeringen '!G148</f>
        <v>nvt</v>
      </c>
      <c r="J123" s="42">
        <f>'3. Input (des)investeringen '!H148</f>
        <v>10</v>
      </c>
      <c r="K123" s="42">
        <f>'3. Input (des)investeringen '!I148</f>
        <v>0</v>
      </c>
      <c r="M123" s="43">
        <f t="shared" si="7"/>
        <v>0</v>
      </c>
      <c r="N123" s="43">
        <f t="shared" si="8"/>
        <v>0</v>
      </c>
      <c r="P123" s="138">
        <f t="shared" si="30"/>
        <v>0</v>
      </c>
      <c r="Q123" s="138">
        <f t="shared" si="9"/>
        <v>0</v>
      </c>
      <c r="S123" s="43">
        <f t="shared" si="10"/>
        <v>1604404.348819593</v>
      </c>
      <c r="T123" s="38">
        <f t="shared" si="11"/>
        <v>10</v>
      </c>
      <c r="V123" s="43">
        <f t="shared" si="31"/>
        <v>0</v>
      </c>
      <c r="W123" s="43">
        <f t="shared" si="31"/>
        <v>93857.654405946188</v>
      </c>
      <c r="X123" s="43">
        <f t="shared" si="31"/>
        <v>175513.81373911939</v>
      </c>
      <c r="Y123" s="43">
        <f t="shared" si="31"/>
        <v>152697.01795303385</v>
      </c>
      <c r="Z123" s="43">
        <f t="shared" si="31"/>
        <v>136252.72371193793</v>
      </c>
      <c r="AB123" s="43">
        <f t="shared" si="32"/>
        <v>0</v>
      </c>
      <c r="AC123" s="43">
        <f t="shared" si="32"/>
        <v>8022.0217440979659</v>
      </c>
      <c r="AD123" s="43">
        <f t="shared" si="32"/>
        <v>16044.043488195932</v>
      </c>
      <c r="AE123" s="43">
        <f t="shared" si="32"/>
        <v>16044.043488195932</v>
      </c>
      <c r="AF123" s="43">
        <f t="shared" si="32"/>
        <v>16044.043488195932</v>
      </c>
      <c r="AH123" s="43">
        <f t="shared" si="14"/>
        <v>0</v>
      </c>
      <c r="AI123" s="43">
        <f t="shared" si="15"/>
        <v>101879.67615004415</v>
      </c>
      <c r="AJ123" s="43">
        <f t="shared" si="16"/>
        <v>191557.85722731531</v>
      </c>
      <c r="AK123" s="43">
        <f t="shared" si="17"/>
        <v>168741.06144122977</v>
      </c>
      <c r="AL123" s="43">
        <f t="shared" si="18"/>
        <v>152296.76720013385</v>
      </c>
      <c r="AN123" s="43">
        <f t="shared" si="19"/>
        <v>0</v>
      </c>
      <c r="AO123" s="43">
        <f t="shared" si="20"/>
        <v>1502524.6726695488</v>
      </c>
      <c r="AP123" s="43">
        <f t="shared" si="21"/>
        <v>1310966.8154422333</v>
      </c>
      <c r="AQ123" s="43">
        <f t="shared" si="22"/>
        <v>1142225.7540010037</v>
      </c>
      <c r="AR123" s="43">
        <f t="shared" si="23"/>
        <v>989928.98680086981</v>
      </c>
      <c r="AT123" s="43">
        <f t="shared" si="33"/>
        <v>0</v>
      </c>
      <c r="AU123" s="43">
        <f t="shared" si="33"/>
        <v>16044.04348819593</v>
      </c>
      <c r="AV123" s="43">
        <f t="shared" si="33"/>
        <v>17258.2566993826</v>
      </c>
      <c r="AW123" s="43">
        <f t="shared" si="33"/>
        <v>17670.521935417451</v>
      </c>
      <c r="AX123" s="43">
        <f t="shared" si="33"/>
        <v>17899.037125086266</v>
      </c>
      <c r="AZ123" s="47">
        <f t="shared" si="25"/>
        <v>0</v>
      </c>
      <c r="BA123" s="47">
        <f t="shared" si="26"/>
        <v>167507.03383633518</v>
      </c>
      <c r="BB123" s="47">
        <f t="shared" si="27"/>
        <v>258632.85291350275</v>
      </c>
      <c r="BC123" s="47">
        <f t="shared" si="28"/>
        <v>229816.16202868536</v>
      </c>
      <c r="BD123" s="47">
        <f t="shared" si="29"/>
        <v>207813.10582365317</v>
      </c>
    </row>
    <row r="124" spans="2:56">
      <c r="B124" s="37">
        <f>'3. Input (des)investeringen '!B149</f>
        <v>1592</v>
      </c>
      <c r="C124" s="48"/>
      <c r="D124" s="48"/>
      <c r="E124" s="48"/>
      <c r="F124" s="42">
        <f>'3. Input (des)investeringen '!D149</f>
        <v>4821440.5639281506</v>
      </c>
      <c r="G124" s="48"/>
      <c r="H124" s="37">
        <f>'3. Input (des)investeringen '!F149</f>
        <v>2023</v>
      </c>
      <c r="I124" s="42" t="str">
        <f>'3. Input (des)investeringen '!G149</f>
        <v>nvt</v>
      </c>
      <c r="J124" s="42">
        <f>'3. Input (des)investeringen '!H149</f>
        <v>15</v>
      </c>
      <c r="K124" s="42">
        <f>'3. Input (des)investeringen '!I149</f>
        <v>0</v>
      </c>
      <c r="M124" s="43">
        <f t="shared" si="7"/>
        <v>0</v>
      </c>
      <c r="N124" s="43">
        <f t="shared" si="8"/>
        <v>0</v>
      </c>
      <c r="P124" s="138">
        <f t="shared" si="30"/>
        <v>0</v>
      </c>
      <c r="Q124" s="138">
        <f t="shared" si="9"/>
        <v>0</v>
      </c>
      <c r="S124" s="43">
        <f t="shared" si="10"/>
        <v>4821440.5639281506</v>
      </c>
      <c r="T124" s="38">
        <f t="shared" si="11"/>
        <v>15</v>
      </c>
      <c r="V124" s="43">
        <f t="shared" si="31"/>
        <v>0</v>
      </c>
      <c r="W124" s="43">
        <f t="shared" si="31"/>
        <v>188036.18199319788</v>
      </c>
      <c r="X124" s="43">
        <f t="shared" si="31"/>
        <v>359775.89488031861</v>
      </c>
      <c r="Y124" s="43">
        <f t="shared" si="31"/>
        <v>328595.31732402433</v>
      </c>
      <c r="Z124" s="43">
        <f t="shared" si="31"/>
        <v>300117.05648927559</v>
      </c>
      <c r="AB124" s="43">
        <f t="shared" si="32"/>
        <v>0</v>
      </c>
      <c r="AC124" s="43">
        <f t="shared" si="32"/>
        <v>16071.46854642717</v>
      </c>
      <c r="AD124" s="43">
        <f t="shared" si="32"/>
        <v>32142.937092854339</v>
      </c>
      <c r="AE124" s="43">
        <f t="shared" si="32"/>
        <v>32142.937092854339</v>
      </c>
      <c r="AF124" s="43">
        <f t="shared" si="32"/>
        <v>32142.937092854339</v>
      </c>
      <c r="AH124" s="43">
        <f t="shared" si="14"/>
        <v>0</v>
      </c>
      <c r="AI124" s="43">
        <f t="shared" si="15"/>
        <v>204107.65053962506</v>
      </c>
      <c r="AJ124" s="43">
        <f t="shared" si="16"/>
        <v>391918.83197317296</v>
      </c>
      <c r="AK124" s="43">
        <f t="shared" si="17"/>
        <v>360738.25441687868</v>
      </c>
      <c r="AL124" s="43">
        <f t="shared" si="18"/>
        <v>332259.99358212994</v>
      </c>
      <c r="AN124" s="43">
        <f t="shared" si="19"/>
        <v>0</v>
      </c>
      <c r="AO124" s="43">
        <f t="shared" si="20"/>
        <v>4617332.9133885251</v>
      </c>
      <c r="AP124" s="43">
        <f t="shared" si="21"/>
        <v>4225414.0814153524</v>
      </c>
      <c r="AQ124" s="43">
        <f t="shared" si="22"/>
        <v>3864675.8269984736</v>
      </c>
      <c r="AR124" s="43">
        <f t="shared" si="23"/>
        <v>3532415.8334163437</v>
      </c>
      <c r="AT124" s="43">
        <f t="shared" si="33"/>
        <v>0</v>
      </c>
      <c r="AU124" s="43">
        <f t="shared" si="33"/>
        <v>48214.405639281504</v>
      </c>
      <c r="AV124" s="43">
        <f t="shared" si="33"/>
        <v>51863.271858062326</v>
      </c>
      <c r="AW124" s="43">
        <f t="shared" si="33"/>
        <v>53102.181696207728</v>
      </c>
      <c r="AX124" s="43">
        <f t="shared" si="33"/>
        <v>53788.899109903083</v>
      </c>
      <c r="AZ124" s="47">
        <f t="shared" si="25"/>
        <v>0</v>
      </c>
      <c r="BA124" s="47">
        <f t="shared" si="26"/>
        <v>404694.04232072789</v>
      </c>
      <c r="BB124" s="47">
        <f t="shared" si="27"/>
        <v>604347.83892501867</v>
      </c>
      <c r="BC124" s="47">
        <f t="shared" si="28"/>
        <v>560698.1175390284</v>
      </c>
      <c r="BD124" s="47">
        <f t="shared" si="29"/>
        <v>520280.69436185405</v>
      </c>
    </row>
    <row r="125" spans="2:56">
      <c r="B125" s="37">
        <f>'3. Input (des)investeringen '!B150</f>
        <v>1593</v>
      </c>
      <c r="C125" s="48"/>
      <c r="D125" s="48"/>
      <c r="E125" s="48"/>
      <c r="F125" s="42">
        <f>'3. Input (des)investeringen '!D150</f>
        <v>27346413.49123003</v>
      </c>
      <c r="G125" s="48"/>
      <c r="H125" s="37">
        <f>'3. Input (des)investeringen '!F150</f>
        <v>2023</v>
      </c>
      <c r="I125" s="42" t="str">
        <f>'3. Input (des)investeringen '!G150</f>
        <v>nvt</v>
      </c>
      <c r="J125" s="42">
        <f>'3. Input (des)investeringen '!H150</f>
        <v>30</v>
      </c>
      <c r="K125" s="42">
        <f>'3. Input (des)investeringen '!I150</f>
        <v>0</v>
      </c>
      <c r="M125" s="43">
        <f t="shared" si="7"/>
        <v>0</v>
      </c>
      <c r="N125" s="43">
        <f t="shared" si="8"/>
        <v>0</v>
      </c>
      <c r="P125" s="138">
        <f t="shared" si="30"/>
        <v>0</v>
      </c>
      <c r="Q125" s="138">
        <f t="shared" si="9"/>
        <v>0</v>
      </c>
      <c r="S125" s="43">
        <f t="shared" si="10"/>
        <v>27346413.49123003</v>
      </c>
      <c r="T125" s="38">
        <f t="shared" si="11"/>
        <v>30</v>
      </c>
      <c r="V125" s="43">
        <f t="shared" si="31"/>
        <v>0</v>
      </c>
      <c r="W125" s="43">
        <f t="shared" si="31"/>
        <v>533255.06307898567</v>
      </c>
      <c r="X125" s="43">
        <f t="shared" si="31"/>
        <v>1043402.406757882</v>
      </c>
      <c r="Y125" s="43">
        <f t="shared" si="31"/>
        <v>998188.30246504035</v>
      </c>
      <c r="Z125" s="43">
        <f t="shared" si="31"/>
        <v>954933.47602488857</v>
      </c>
      <c r="AB125" s="43">
        <f t="shared" si="32"/>
        <v>0</v>
      </c>
      <c r="AC125" s="43">
        <f t="shared" si="32"/>
        <v>45577.355818716715</v>
      </c>
      <c r="AD125" s="43">
        <f t="shared" si="32"/>
        <v>91154.711637433429</v>
      </c>
      <c r="AE125" s="43">
        <f t="shared" si="32"/>
        <v>91154.711637433429</v>
      </c>
      <c r="AF125" s="43">
        <f t="shared" si="32"/>
        <v>91154.711637433429</v>
      </c>
      <c r="AH125" s="43">
        <f t="shared" si="14"/>
        <v>0</v>
      </c>
      <c r="AI125" s="43">
        <f t="shared" si="15"/>
        <v>578832.41889770236</v>
      </c>
      <c r="AJ125" s="43">
        <f t="shared" si="16"/>
        <v>1134557.1183953155</v>
      </c>
      <c r="AK125" s="43">
        <f t="shared" si="17"/>
        <v>1089343.0141024739</v>
      </c>
      <c r="AL125" s="43">
        <f t="shared" si="18"/>
        <v>1046088.187662322</v>
      </c>
      <c r="AN125" s="43">
        <f t="shared" si="19"/>
        <v>0</v>
      </c>
      <c r="AO125" s="43">
        <f t="shared" si="20"/>
        <v>26767581.072332326</v>
      </c>
      <c r="AP125" s="43">
        <f t="shared" si="21"/>
        <v>25633023.953937009</v>
      </c>
      <c r="AQ125" s="43">
        <f t="shared" si="22"/>
        <v>24543680.939834535</v>
      </c>
      <c r="AR125" s="43">
        <f t="shared" si="23"/>
        <v>23497592.752172213</v>
      </c>
      <c r="AT125" s="43">
        <f t="shared" si="33"/>
        <v>0</v>
      </c>
      <c r="AU125" s="43">
        <f t="shared" si="33"/>
        <v>273464.13491230027</v>
      </c>
      <c r="AV125" s="43">
        <f t="shared" si="33"/>
        <v>294159.90064246318</v>
      </c>
      <c r="AW125" s="43">
        <f t="shared" si="33"/>
        <v>301186.79234901036</v>
      </c>
      <c r="AX125" s="43">
        <f t="shared" si="33"/>
        <v>305081.73994766775</v>
      </c>
      <c r="AZ125" s="47">
        <f t="shared" si="25"/>
        <v>0</v>
      </c>
      <c r="BA125" s="47">
        <f t="shared" si="26"/>
        <v>1735626.7291969694</v>
      </c>
      <c r="BB125" s="47">
        <f t="shared" si="27"/>
        <v>2402771.9292873847</v>
      </c>
      <c r="BC125" s="47">
        <f t="shared" si="28"/>
        <v>2323189.6821651966</v>
      </c>
      <c r="BD125" s="47">
        <f t="shared" si="29"/>
        <v>2244078.4521925338</v>
      </c>
    </row>
    <row r="126" spans="2:56">
      <c r="B126" s="37">
        <f>'3. Input (des)investeringen '!B151</f>
        <v>1594</v>
      </c>
      <c r="C126" s="48"/>
      <c r="D126" s="48"/>
      <c r="E126" s="48"/>
      <c r="F126" s="42">
        <f>'3. Input (des)investeringen '!D151</f>
        <v>38630.691367044557</v>
      </c>
      <c r="G126" s="48"/>
      <c r="H126" s="37">
        <f>'3. Input (des)investeringen '!F151</f>
        <v>2023</v>
      </c>
      <c r="I126" s="42" t="str">
        <f>'3. Input (des)investeringen '!G151</f>
        <v>nvt</v>
      </c>
      <c r="J126" s="42">
        <f>'3. Input (des)investeringen '!H151</f>
        <v>55</v>
      </c>
      <c r="K126" s="42">
        <f>'3. Input (des)investeringen '!I151</f>
        <v>0</v>
      </c>
      <c r="M126" s="43">
        <f t="shared" ref="M126:M137" si="34">IF($J126=0, 0, IF($H126&lt;=M$59,
VDB($F126,0,$J126,MAX(0,M$59-$H126-0.5),MIN($J126,M$59-$H126+0.5),1)*INDEX(H$40:H$46,$H126-2019,1),
0))</f>
        <v>0</v>
      </c>
      <c r="N126" s="43">
        <f t="shared" ref="N126:N137" si="35">IF($J126=0, 0, IF($H126&lt;=N$59,
VDB($F126,0,$J126,MAX(0,N$59-$H126-0.5),MIN($J126,N$59-$H126+0.5),1)*INDEX(I$40:I$46,$H126-2019,1),
0))</f>
        <v>0</v>
      </c>
      <c r="P126" s="138">
        <f t="shared" ref="P126:P158" si="36">IF($J126=0,IF($H126=M$59,$F126,0),IF(OR($H126&gt;P$59,$H126+$J126&lt;=P$59),0,
F126-M126))</f>
        <v>0</v>
      </c>
      <c r="Q126" s="138">
        <f t="shared" ref="Q126:Q158" si="37">IF($J126=0,IF($H126=N$59,$F126,$P126*I$40),IF(OR($H126&gt;Q$59,$H126+$J126&lt;=Q$59),0,
IF($H126=Q$59,F126-N126,P126*I$40-N126)))</f>
        <v>0</v>
      </c>
      <c r="S126" s="43">
        <f t="shared" ref="S126:S189" si="38">IF($P126=0, IF(H126&lt;=2021, $Q126, IF(H126&gt;=2022, $F126,0)), IF(H126&lt;=2021,Q126,F126))</f>
        <v>38630.691367044557</v>
      </c>
      <c r="T126" s="38">
        <f t="shared" ref="T126:T137" si="39">IF($J126=0, 0, IF(H126&lt;2022,J126-2021+H126-0.5,J126))</f>
        <v>55</v>
      </c>
      <c r="V126" s="43">
        <f t="shared" si="31"/>
        <v>0</v>
      </c>
      <c r="W126" s="43">
        <f t="shared" si="31"/>
        <v>410.89008090401938</v>
      </c>
      <c r="X126" s="43">
        <f t="shared" si="31"/>
        <v>812.06821444121647</v>
      </c>
      <c r="Y126" s="43">
        <f t="shared" si="31"/>
        <v>792.87387482715144</v>
      </c>
      <c r="Z126" s="43">
        <f t="shared" si="31"/>
        <v>774.13321960396422</v>
      </c>
      <c r="AB126" s="43">
        <f t="shared" si="32"/>
        <v>0</v>
      </c>
      <c r="AC126" s="43">
        <f t="shared" si="32"/>
        <v>35.118810333676876</v>
      </c>
      <c r="AD126" s="43">
        <f t="shared" si="32"/>
        <v>70.237620667353752</v>
      </c>
      <c r="AE126" s="43">
        <f t="shared" si="32"/>
        <v>70.237620667353752</v>
      </c>
      <c r="AF126" s="43">
        <f t="shared" si="32"/>
        <v>70.237620667353752</v>
      </c>
      <c r="AH126" s="43">
        <f t="shared" ref="AH126:AH137" si="40">V126+AB126</f>
        <v>0</v>
      </c>
      <c r="AI126" s="43">
        <f t="shared" ref="AI126:AI137" si="41">W126+AC126</f>
        <v>446.00889123769628</v>
      </c>
      <c r="AJ126" s="43">
        <f t="shared" ref="AJ126:AJ137" si="42">X126+AD126</f>
        <v>882.30583510857025</v>
      </c>
      <c r="AK126" s="43">
        <f t="shared" ref="AK126:AK137" si="43">Y126+AE126</f>
        <v>863.11149549450522</v>
      </c>
      <c r="AL126" s="43">
        <f t="shared" ref="AL126:AL137" si="44">Z126+AF126</f>
        <v>844.370840271318</v>
      </c>
      <c r="AN126" s="43">
        <f t="shared" ref="AN126:AN189" si="45">IF($J126=0, IF($H126&gt;AN$59,0, $S126), IF(OR($H126&gt;AN$59,$H126+$J126&lt;=AN$59),0,
IF($H126=AN$59,$S126-AH126,
S126-AH126)))</f>
        <v>0</v>
      </c>
      <c r="AO126" s="43">
        <f t="shared" ref="AO126:AO189" si="46">IF($J126=0, IF($H126 &gt; AO$59, 0, IF($H126=AO$59, $F126, AN126)), IF(OR($H126&gt;AO$59,$H126+$J126&lt;=AO$59),0,
IF($H126=AO$59,$S126-AI126,
AN126-AI126)))</f>
        <v>38184.682475806861</v>
      </c>
      <c r="AP126" s="43">
        <f t="shared" ref="AP126:AP189" si="47">IF($J126=0, IF($H126 &gt; AP$59, 0, IF($H126=AP$59, $F126, AO126)), IF(OR($H126&gt;AP$59,$H126+$J126&lt;=AP$59),0,
IF($H126=AP$59,$S126-AJ126,
AO126-AJ126)))</f>
        <v>37302.37664069829</v>
      </c>
      <c r="AQ126" s="43">
        <f t="shared" ref="AQ126:AQ189" si="48">IF($J126=0, IF($H126 &gt; AQ$59, 0, IF($H126=AQ$59, $F126, AP126)), IF(OR($H126&gt;AQ$59,$H126+$J126&lt;=AQ$59),0,
IF($H126=AQ$59,$S126-AK126,
AP126-AK126)))</f>
        <v>36439.265145203783</v>
      </c>
      <c r="AR126" s="43">
        <f t="shared" ref="AR126:AR189" si="49">IF($J126=0, IF($H126 &gt; AR$59, 0, IF($H126=AR$59, $F126, AQ126)), IF(OR($H126&gt;AR$59,$H126+$J126&lt;=AR$59),0,
IF($H126=AR$59,$S126-AL126,
AQ126-AL126)))</f>
        <v>35594.894304932466</v>
      </c>
      <c r="AT126" s="43">
        <f t="shared" ref="AT126:AX157" si="50">IF($H126&lt;=AT$59,$F126*INDEX($H$40:$N$46,$H126-2019,AT$59-2019)*INDEX($H$49:$N$55,$H126-2019,AT$59-2019)*$F$19,0)</f>
        <v>0</v>
      </c>
      <c r="AU126" s="43">
        <f t="shared" si="50"/>
        <v>386.30691367044557</v>
      </c>
      <c r="AV126" s="43">
        <f t="shared" si="50"/>
        <v>415.54262089702496</v>
      </c>
      <c r="AW126" s="43">
        <f t="shared" si="50"/>
        <v>425.46910302501311</v>
      </c>
      <c r="AX126" s="43">
        <f t="shared" si="50"/>
        <v>430.97126946533245</v>
      </c>
      <c r="AZ126" s="47">
        <f t="shared" ref="AZ126:AZ137" si="51">(AH126+AN126*J$16+AT126)*IF($K126=1,$F$25,1)</f>
        <v>0</v>
      </c>
      <c r="BA126" s="47">
        <f t="shared" ref="BA126:BA137" si="52">(AI126+AO126*K$16+AU126)*IF($K126=1,$F$25,1)</f>
        <v>2092.4103266097686</v>
      </c>
      <c r="BB126" s="47">
        <f t="shared" ref="BB126:BB137" si="53">(AJ126+AP126*L$16+AV126)*IF($K126=1,$F$25,1)</f>
        <v>2715.33876835213</v>
      </c>
      <c r="BC126" s="47">
        <f t="shared" ref="BC126:BC137" si="54">(AK126+AQ126*M$16+AW126)*IF($K126=1,$F$25,1)</f>
        <v>2673.2726740372623</v>
      </c>
      <c r="BD126" s="47">
        <f t="shared" ref="BD126:BD137" si="55">(AL126+AR126*N$16+AX126)*IF($K126=1,$F$25,1)</f>
        <v>2627.9480933240843</v>
      </c>
    </row>
    <row r="127" spans="2:56">
      <c r="B127" s="37">
        <f>'3. Input (des)investeringen '!B152</f>
        <v>1595</v>
      </c>
      <c r="C127" s="48"/>
      <c r="D127" s="48"/>
      <c r="E127" s="48"/>
      <c r="F127" s="42">
        <f>'3. Input (des)investeringen '!D152</f>
        <v>0</v>
      </c>
      <c r="G127" s="48"/>
      <c r="H127" s="37">
        <f>'3. Input (des)investeringen '!F152</f>
        <v>2023</v>
      </c>
      <c r="I127" s="42" t="str">
        <f>'3. Input (des)investeringen '!G152</f>
        <v>nvt</v>
      </c>
      <c r="J127" s="42">
        <f>'3. Input (des)investeringen '!H152</f>
        <v>0</v>
      </c>
      <c r="K127" s="42">
        <f>'3. Input (des)investeringen '!I152</f>
        <v>0</v>
      </c>
      <c r="M127" s="43">
        <f t="shared" si="34"/>
        <v>0</v>
      </c>
      <c r="N127" s="43">
        <f t="shared" si="35"/>
        <v>0</v>
      </c>
      <c r="P127" s="138">
        <f t="shared" si="36"/>
        <v>0</v>
      </c>
      <c r="Q127" s="138">
        <f t="shared" si="37"/>
        <v>0</v>
      </c>
      <c r="S127" s="43">
        <f t="shared" si="38"/>
        <v>0</v>
      </c>
      <c r="T127" s="38">
        <f t="shared" si="39"/>
        <v>0</v>
      </c>
      <c r="V127" s="43">
        <f t="shared" si="31"/>
        <v>0</v>
      </c>
      <c r="W127" s="43">
        <f t="shared" si="31"/>
        <v>0</v>
      </c>
      <c r="X127" s="43">
        <f t="shared" si="31"/>
        <v>0</v>
      </c>
      <c r="Y127" s="43">
        <f t="shared" si="31"/>
        <v>0</v>
      </c>
      <c r="Z127" s="43">
        <f t="shared" si="31"/>
        <v>0</v>
      </c>
      <c r="AB127" s="43">
        <f t="shared" si="32"/>
        <v>0</v>
      </c>
      <c r="AC127" s="43">
        <f t="shared" si="32"/>
        <v>0</v>
      </c>
      <c r="AD127" s="43">
        <f t="shared" si="32"/>
        <v>0</v>
      </c>
      <c r="AE127" s="43">
        <f t="shared" si="32"/>
        <v>0</v>
      </c>
      <c r="AF127" s="43">
        <f t="shared" si="32"/>
        <v>0</v>
      </c>
      <c r="AH127" s="43">
        <f t="shared" si="40"/>
        <v>0</v>
      </c>
      <c r="AI127" s="43">
        <f t="shared" si="41"/>
        <v>0</v>
      </c>
      <c r="AJ127" s="43">
        <f t="shared" si="42"/>
        <v>0</v>
      </c>
      <c r="AK127" s="43">
        <f t="shared" si="43"/>
        <v>0</v>
      </c>
      <c r="AL127" s="43">
        <f t="shared" si="44"/>
        <v>0</v>
      </c>
      <c r="AN127" s="43">
        <f t="shared" si="45"/>
        <v>0</v>
      </c>
      <c r="AO127" s="43">
        <f t="shared" si="46"/>
        <v>0</v>
      </c>
      <c r="AP127" s="43">
        <f t="shared" si="47"/>
        <v>0</v>
      </c>
      <c r="AQ127" s="43">
        <f t="shared" si="48"/>
        <v>0</v>
      </c>
      <c r="AR127" s="43">
        <f t="shared" si="49"/>
        <v>0</v>
      </c>
      <c r="AT127" s="43">
        <f t="shared" si="50"/>
        <v>0</v>
      </c>
      <c r="AU127" s="43">
        <f t="shared" si="50"/>
        <v>0</v>
      </c>
      <c r="AV127" s="43">
        <f t="shared" si="50"/>
        <v>0</v>
      </c>
      <c r="AW127" s="43">
        <f t="shared" si="50"/>
        <v>0</v>
      </c>
      <c r="AX127" s="43">
        <f t="shared" si="50"/>
        <v>0</v>
      </c>
      <c r="AZ127" s="47">
        <f t="shared" si="51"/>
        <v>0</v>
      </c>
      <c r="BA127" s="47">
        <f t="shared" si="52"/>
        <v>0</v>
      </c>
      <c r="BB127" s="47">
        <f t="shared" si="53"/>
        <v>0</v>
      </c>
      <c r="BC127" s="47">
        <f t="shared" si="54"/>
        <v>0</v>
      </c>
      <c r="BD127" s="47">
        <f t="shared" si="55"/>
        <v>0</v>
      </c>
    </row>
    <row r="128" spans="2:56">
      <c r="B128" s="37">
        <f>'3. Input (des)investeringen '!B153</f>
        <v>1596</v>
      </c>
      <c r="C128" s="48"/>
      <c r="D128" s="48"/>
      <c r="E128" s="48"/>
      <c r="F128" s="42">
        <f>'3. Input (des)investeringen '!D153</f>
        <v>642958.60343053075</v>
      </c>
      <c r="G128" s="48"/>
      <c r="H128" s="37">
        <f>'3. Input (des)investeringen '!F153</f>
        <v>2023</v>
      </c>
      <c r="I128" s="42" t="str">
        <f>'3. Input (des)investeringen '!G153</f>
        <v>nvt</v>
      </c>
      <c r="J128" s="42">
        <f>'3. Input (des)investeringen '!H153</f>
        <v>5</v>
      </c>
      <c r="K128" s="42">
        <f>'3. Input (des)investeringen '!I153</f>
        <v>0</v>
      </c>
      <c r="M128" s="43">
        <f t="shared" si="34"/>
        <v>0</v>
      </c>
      <c r="N128" s="43">
        <f t="shared" si="35"/>
        <v>0</v>
      </c>
      <c r="P128" s="138">
        <f t="shared" si="36"/>
        <v>0</v>
      </c>
      <c r="Q128" s="138">
        <f t="shared" si="37"/>
        <v>0</v>
      </c>
      <c r="S128" s="43">
        <f t="shared" si="38"/>
        <v>642958.60343053075</v>
      </c>
      <c r="T128" s="38">
        <f t="shared" si="39"/>
        <v>5</v>
      </c>
      <c r="V128" s="43">
        <f t="shared" si="31"/>
        <v>0</v>
      </c>
      <c r="W128" s="43">
        <f t="shared" si="31"/>
        <v>75226.156601372117</v>
      </c>
      <c r="X128" s="43">
        <f t="shared" si="31"/>
        <v>130893.51248638747</v>
      </c>
      <c r="Y128" s="43">
        <f t="shared" si="31"/>
        <v>106440.87828563376</v>
      </c>
      <c r="Z128" s="43">
        <f t="shared" si="31"/>
        <v>106440.87828563376</v>
      </c>
      <c r="AB128" s="43">
        <f t="shared" si="32"/>
        <v>0</v>
      </c>
      <c r="AC128" s="43">
        <f t="shared" si="32"/>
        <v>6429.5860343053082</v>
      </c>
      <c r="AD128" s="43">
        <f t="shared" si="32"/>
        <v>12859.172068610616</v>
      </c>
      <c r="AE128" s="43">
        <f t="shared" si="32"/>
        <v>12859.172068610616</v>
      </c>
      <c r="AF128" s="43">
        <f t="shared" si="32"/>
        <v>12859.172068610616</v>
      </c>
      <c r="AH128" s="43">
        <f t="shared" si="40"/>
        <v>0</v>
      </c>
      <c r="AI128" s="43">
        <f t="shared" si="41"/>
        <v>81655.742635677423</v>
      </c>
      <c r="AJ128" s="43">
        <f t="shared" si="42"/>
        <v>143752.68455499809</v>
      </c>
      <c r="AK128" s="43">
        <f t="shared" si="43"/>
        <v>119300.05035424438</v>
      </c>
      <c r="AL128" s="43">
        <f t="shared" si="44"/>
        <v>119300.05035424438</v>
      </c>
      <c r="AN128" s="43">
        <f t="shared" si="45"/>
        <v>0</v>
      </c>
      <c r="AO128" s="43">
        <f t="shared" si="46"/>
        <v>561302.8607948533</v>
      </c>
      <c r="AP128" s="43">
        <f t="shared" si="47"/>
        <v>417550.17623985524</v>
      </c>
      <c r="AQ128" s="43">
        <f t="shared" si="48"/>
        <v>298250.12588561088</v>
      </c>
      <c r="AR128" s="43">
        <f t="shared" si="49"/>
        <v>178950.07553136651</v>
      </c>
      <c r="AT128" s="43">
        <f t="shared" si="50"/>
        <v>0</v>
      </c>
      <c r="AU128" s="43">
        <f t="shared" si="50"/>
        <v>6429.5860343053073</v>
      </c>
      <c r="AV128" s="43">
        <f t="shared" si="50"/>
        <v>6916.1771053815328</v>
      </c>
      <c r="AW128" s="43">
        <f t="shared" si="50"/>
        <v>7081.3907440748881</v>
      </c>
      <c r="AX128" s="43">
        <f t="shared" si="50"/>
        <v>7172.9672891772634</v>
      </c>
      <c r="AZ128" s="47">
        <f t="shared" si="51"/>
        <v>0</v>
      </c>
      <c r="BA128" s="47">
        <f t="shared" si="52"/>
        <v>106608.3230762129</v>
      </c>
      <c r="BB128" s="47">
        <f t="shared" si="53"/>
        <v>166535.76835749412</v>
      </c>
      <c r="BC128" s="47">
        <f t="shared" si="54"/>
        <v>137714.9458819725</v>
      </c>
      <c r="BD128" s="47">
        <f t="shared" si="55"/>
        <v>133273.12051361357</v>
      </c>
    </row>
    <row r="129" spans="2:56">
      <c r="B129" s="37">
        <f>'3. Input (des)investeringen '!B154</f>
        <v>1597</v>
      </c>
      <c r="C129" s="48"/>
      <c r="D129" s="48"/>
      <c r="E129" s="48"/>
      <c r="F129" s="42">
        <f>'3. Input (des)investeringen '!D154</f>
        <v>4759531.6466744374</v>
      </c>
      <c r="G129" s="48"/>
      <c r="H129" s="37">
        <f>'3. Input (des)investeringen '!F154</f>
        <v>2023</v>
      </c>
      <c r="I129" s="42" t="str">
        <f>'3. Input (des)investeringen '!G154</f>
        <v>nvt</v>
      </c>
      <c r="J129" s="42">
        <f>'3. Input (des)investeringen '!H154</f>
        <v>10</v>
      </c>
      <c r="K129" s="42">
        <f>'3. Input (des)investeringen '!I154</f>
        <v>0</v>
      </c>
      <c r="M129" s="43">
        <f t="shared" si="34"/>
        <v>0</v>
      </c>
      <c r="N129" s="43">
        <f t="shared" si="35"/>
        <v>0</v>
      </c>
      <c r="P129" s="138">
        <f t="shared" si="36"/>
        <v>0</v>
      </c>
      <c r="Q129" s="138">
        <f t="shared" si="37"/>
        <v>0</v>
      </c>
      <c r="S129" s="43">
        <f t="shared" si="38"/>
        <v>4759531.6466744374</v>
      </c>
      <c r="T129" s="38">
        <f t="shared" si="39"/>
        <v>10</v>
      </c>
      <c r="V129" s="43">
        <f t="shared" si="31"/>
        <v>0</v>
      </c>
      <c r="W129" s="43">
        <f t="shared" si="31"/>
        <v>278432.60133045464</v>
      </c>
      <c r="X129" s="43">
        <f t="shared" si="31"/>
        <v>520668.96448795014</v>
      </c>
      <c r="Y129" s="43">
        <f t="shared" si="31"/>
        <v>452981.99910451664</v>
      </c>
      <c r="Z129" s="43">
        <f t="shared" si="31"/>
        <v>404199.32227787637</v>
      </c>
      <c r="AB129" s="43">
        <f t="shared" si="32"/>
        <v>0</v>
      </c>
      <c r="AC129" s="43">
        <f t="shared" si="32"/>
        <v>23797.658233372189</v>
      </c>
      <c r="AD129" s="43">
        <f t="shared" si="32"/>
        <v>47595.316466744378</v>
      </c>
      <c r="AE129" s="43">
        <f t="shared" si="32"/>
        <v>47595.316466744378</v>
      </c>
      <c r="AF129" s="43">
        <f t="shared" si="32"/>
        <v>47595.316466744378</v>
      </c>
      <c r="AH129" s="43">
        <f t="shared" si="40"/>
        <v>0</v>
      </c>
      <c r="AI129" s="43">
        <f t="shared" si="41"/>
        <v>302230.25956382684</v>
      </c>
      <c r="AJ129" s="43">
        <f t="shared" si="42"/>
        <v>568264.28095469449</v>
      </c>
      <c r="AK129" s="43">
        <f t="shared" si="43"/>
        <v>500577.31557126099</v>
      </c>
      <c r="AL129" s="43">
        <f t="shared" si="44"/>
        <v>451794.63874462072</v>
      </c>
      <c r="AN129" s="43">
        <f t="shared" si="45"/>
        <v>0</v>
      </c>
      <c r="AO129" s="43">
        <f t="shared" si="46"/>
        <v>4457301.3871106105</v>
      </c>
      <c r="AP129" s="43">
        <f t="shared" si="47"/>
        <v>3889037.1061559161</v>
      </c>
      <c r="AQ129" s="43">
        <f t="shared" si="48"/>
        <v>3388459.790584655</v>
      </c>
      <c r="AR129" s="43">
        <f t="shared" si="49"/>
        <v>2936665.1518400344</v>
      </c>
      <c r="AT129" s="43">
        <f t="shared" si="50"/>
        <v>0</v>
      </c>
      <c r="AU129" s="43">
        <f t="shared" si="50"/>
        <v>47595.316466744378</v>
      </c>
      <c r="AV129" s="43">
        <f t="shared" si="50"/>
        <v>51197.330016947592</v>
      </c>
      <c r="AW129" s="43">
        <f t="shared" si="50"/>
        <v>52420.331836392441</v>
      </c>
      <c r="AX129" s="43">
        <f t="shared" si="50"/>
        <v>53098.231567700655</v>
      </c>
      <c r="AZ129" s="47">
        <f t="shared" si="51"/>
        <v>0</v>
      </c>
      <c r="BA129" s="47">
        <f t="shared" si="52"/>
        <v>496916.52180522133</v>
      </c>
      <c r="BB129" s="47">
        <f t="shared" si="53"/>
        <v>767245.02100556693</v>
      </c>
      <c r="BC129" s="47">
        <f t="shared" si="54"/>
        <v>681759.11944987031</v>
      </c>
      <c r="BD129" s="47">
        <f t="shared" si="55"/>
        <v>616486.14608224272</v>
      </c>
    </row>
    <row r="130" spans="2:56">
      <c r="B130" s="37">
        <f>'3. Input (des)investeringen '!B155</f>
        <v>1598</v>
      </c>
      <c r="C130" s="48"/>
      <c r="D130" s="48"/>
      <c r="E130" s="48"/>
      <c r="F130" s="42">
        <f>'3. Input (des)investeringen '!D155</f>
        <v>7788481.0198376775</v>
      </c>
      <c r="G130" s="48"/>
      <c r="H130" s="37">
        <f>'3. Input (des)investeringen '!F155</f>
        <v>2023</v>
      </c>
      <c r="I130" s="42" t="str">
        <f>'3. Input (des)investeringen '!G155</f>
        <v>nvt</v>
      </c>
      <c r="J130" s="42">
        <f>'3. Input (des)investeringen '!H155</f>
        <v>15</v>
      </c>
      <c r="K130" s="42">
        <f>'3. Input (des)investeringen '!I155</f>
        <v>0</v>
      </c>
      <c r="M130" s="43">
        <f t="shared" si="34"/>
        <v>0</v>
      </c>
      <c r="N130" s="43">
        <f t="shared" si="35"/>
        <v>0</v>
      </c>
      <c r="P130" s="138">
        <f t="shared" si="36"/>
        <v>0</v>
      </c>
      <c r="Q130" s="138">
        <f t="shared" si="37"/>
        <v>0</v>
      </c>
      <c r="S130" s="43">
        <f t="shared" si="38"/>
        <v>7788481.0198376775</v>
      </c>
      <c r="T130" s="38">
        <f t="shared" si="39"/>
        <v>15</v>
      </c>
      <c r="V130" s="43">
        <f t="shared" si="31"/>
        <v>0</v>
      </c>
      <c r="W130" s="43">
        <f t="shared" si="31"/>
        <v>303750.75977366942</v>
      </c>
      <c r="X130" s="43">
        <f t="shared" si="31"/>
        <v>581176.4537002875</v>
      </c>
      <c r="Y130" s="43">
        <f t="shared" si="31"/>
        <v>530807.82771292923</v>
      </c>
      <c r="Z130" s="43">
        <f t="shared" si="31"/>
        <v>484804.48264447541</v>
      </c>
      <c r="AB130" s="43">
        <f t="shared" si="32"/>
        <v>0</v>
      </c>
      <c r="AC130" s="43">
        <f t="shared" si="32"/>
        <v>25961.603399458927</v>
      </c>
      <c r="AD130" s="43">
        <f t="shared" si="32"/>
        <v>51923.206798917854</v>
      </c>
      <c r="AE130" s="43">
        <f t="shared" si="32"/>
        <v>51923.206798917854</v>
      </c>
      <c r="AF130" s="43">
        <f t="shared" si="32"/>
        <v>51923.206798917854</v>
      </c>
      <c r="AH130" s="43">
        <f t="shared" si="40"/>
        <v>0</v>
      </c>
      <c r="AI130" s="43">
        <f t="shared" si="41"/>
        <v>329712.36317312834</v>
      </c>
      <c r="AJ130" s="43">
        <f t="shared" si="42"/>
        <v>633099.66049920535</v>
      </c>
      <c r="AK130" s="43">
        <f t="shared" si="43"/>
        <v>582731.03451184707</v>
      </c>
      <c r="AL130" s="43">
        <f t="shared" si="44"/>
        <v>536727.68944339326</v>
      </c>
      <c r="AN130" s="43">
        <f t="shared" si="45"/>
        <v>0</v>
      </c>
      <c r="AO130" s="43">
        <f t="shared" si="46"/>
        <v>7458768.6566645494</v>
      </c>
      <c r="AP130" s="43">
        <f t="shared" si="47"/>
        <v>6825668.9961653445</v>
      </c>
      <c r="AQ130" s="43">
        <f t="shared" si="48"/>
        <v>6242937.9616534971</v>
      </c>
      <c r="AR130" s="43">
        <f t="shared" si="49"/>
        <v>5706210.2722101035</v>
      </c>
      <c r="AT130" s="43">
        <f t="shared" si="50"/>
        <v>0</v>
      </c>
      <c r="AU130" s="43">
        <f t="shared" si="50"/>
        <v>77884.81019837677</v>
      </c>
      <c r="AV130" s="43">
        <f t="shared" si="50"/>
        <v>83779.13263418994</v>
      </c>
      <c r="AW130" s="43">
        <f t="shared" si="50"/>
        <v>85780.448554555478</v>
      </c>
      <c r="AX130" s="43">
        <f t="shared" si="50"/>
        <v>86889.761315262978</v>
      </c>
      <c r="AZ130" s="47">
        <f t="shared" si="51"/>
        <v>0</v>
      </c>
      <c r="BA130" s="47">
        <f t="shared" si="52"/>
        <v>653736.53904143523</v>
      </c>
      <c r="BB130" s="47">
        <f t="shared" si="53"/>
        <v>976254.21498767834</v>
      </c>
      <c r="BC130" s="47">
        <f t="shared" si="54"/>
        <v>905743.12560923537</v>
      </c>
      <c r="BD130" s="47">
        <f t="shared" si="55"/>
        <v>840453.44110264012</v>
      </c>
    </row>
    <row r="131" spans="2:56">
      <c r="B131" s="37">
        <f>'3. Input (des)investeringen '!B156</f>
        <v>1599</v>
      </c>
      <c r="C131" s="48"/>
      <c r="D131" s="48"/>
      <c r="E131" s="48"/>
      <c r="F131" s="42">
        <f>'3. Input (des)investeringen '!D156</f>
        <v>7727802.2539787497</v>
      </c>
      <c r="G131" s="48"/>
      <c r="H131" s="37">
        <f>'3. Input (des)investeringen '!F156</f>
        <v>2023</v>
      </c>
      <c r="I131" s="42" t="str">
        <f>'3. Input (des)investeringen '!G156</f>
        <v>nvt</v>
      </c>
      <c r="J131" s="42">
        <f>'3. Input (des)investeringen '!H156</f>
        <v>30</v>
      </c>
      <c r="K131" s="42">
        <f>'3. Input (des)investeringen '!I156</f>
        <v>0</v>
      </c>
      <c r="M131" s="43">
        <f t="shared" si="34"/>
        <v>0</v>
      </c>
      <c r="N131" s="43">
        <f t="shared" si="35"/>
        <v>0</v>
      </c>
      <c r="P131" s="138">
        <f t="shared" si="36"/>
        <v>0</v>
      </c>
      <c r="Q131" s="138">
        <f t="shared" si="37"/>
        <v>0</v>
      </c>
      <c r="S131" s="43">
        <f t="shared" si="38"/>
        <v>7727802.2539787497</v>
      </c>
      <c r="T131" s="38">
        <f t="shared" si="39"/>
        <v>30</v>
      </c>
      <c r="V131" s="43">
        <f t="shared" si="31"/>
        <v>0</v>
      </c>
      <c r="W131" s="43">
        <f t="shared" si="31"/>
        <v>150692.14395258564</v>
      </c>
      <c r="X131" s="43">
        <f t="shared" si="31"/>
        <v>294854.29500055924</v>
      </c>
      <c r="Y131" s="43">
        <f t="shared" si="31"/>
        <v>282077.27555053495</v>
      </c>
      <c r="Z131" s="43">
        <f t="shared" si="31"/>
        <v>269853.92694334511</v>
      </c>
      <c r="AB131" s="43">
        <f t="shared" si="32"/>
        <v>0</v>
      </c>
      <c r="AC131" s="43">
        <f t="shared" si="32"/>
        <v>12879.670423297917</v>
      </c>
      <c r="AD131" s="43">
        <f t="shared" si="32"/>
        <v>25759.340846595835</v>
      </c>
      <c r="AE131" s="43">
        <f t="shared" si="32"/>
        <v>25759.340846595835</v>
      </c>
      <c r="AF131" s="43">
        <f t="shared" si="32"/>
        <v>25759.340846595835</v>
      </c>
      <c r="AH131" s="43">
        <f t="shared" si="40"/>
        <v>0</v>
      </c>
      <c r="AI131" s="43">
        <f t="shared" si="41"/>
        <v>163571.81437588355</v>
      </c>
      <c r="AJ131" s="43">
        <f t="shared" si="42"/>
        <v>320613.63584715506</v>
      </c>
      <c r="AK131" s="43">
        <f t="shared" si="43"/>
        <v>307836.61639713077</v>
      </c>
      <c r="AL131" s="43">
        <f t="shared" si="44"/>
        <v>295613.26778994093</v>
      </c>
      <c r="AN131" s="43">
        <f t="shared" si="45"/>
        <v>0</v>
      </c>
      <c r="AO131" s="43">
        <f t="shared" si="46"/>
        <v>7564230.4396028658</v>
      </c>
      <c r="AP131" s="43">
        <f t="shared" si="47"/>
        <v>7243616.8037557108</v>
      </c>
      <c r="AQ131" s="43">
        <f t="shared" si="48"/>
        <v>6935780.1873585805</v>
      </c>
      <c r="AR131" s="43">
        <f t="shared" si="49"/>
        <v>6640166.9195686392</v>
      </c>
      <c r="AT131" s="43">
        <f t="shared" si="50"/>
        <v>0</v>
      </c>
      <c r="AU131" s="43">
        <f t="shared" si="50"/>
        <v>77278.022539787504</v>
      </c>
      <c r="AV131" s="43">
        <f t="shared" si="50"/>
        <v>83126.423285598619</v>
      </c>
      <c r="AW131" s="43">
        <f t="shared" si="50"/>
        <v>85112.147285044994</v>
      </c>
      <c r="AX131" s="43">
        <f t="shared" si="50"/>
        <v>86212.81757373517</v>
      </c>
      <c r="AZ131" s="47">
        <f t="shared" si="51"/>
        <v>0</v>
      </c>
      <c r="BA131" s="47">
        <f t="shared" si="52"/>
        <v>490469.44142256567</v>
      </c>
      <c r="BB131" s="47">
        <f t="shared" si="53"/>
        <v>678997.49767547077</v>
      </c>
      <c r="BC131" s="47">
        <f t="shared" si="54"/>
        <v>656508.41080180183</v>
      </c>
      <c r="BD131" s="47">
        <f t="shared" si="55"/>
        <v>634152.42830728437</v>
      </c>
    </row>
    <row r="132" spans="2:56">
      <c r="B132" s="37">
        <f>'3. Input (des)investeringen '!B157</f>
        <v>1600</v>
      </c>
      <c r="C132" s="48"/>
      <c r="D132" s="48"/>
      <c r="E132" s="48"/>
      <c r="F132" s="42">
        <f>'3. Input (des)investeringen '!D157</f>
        <v>0</v>
      </c>
      <c r="G132" s="48"/>
      <c r="H132" s="37">
        <f>'3. Input (des)investeringen '!F157</f>
        <v>2023</v>
      </c>
      <c r="I132" s="42" t="str">
        <f>'3. Input (des)investeringen '!G157</f>
        <v>nvt</v>
      </c>
      <c r="J132" s="42">
        <f>'3. Input (des)investeringen '!H157</f>
        <v>55</v>
      </c>
      <c r="K132" s="42">
        <f>'3. Input (des)investeringen '!I157</f>
        <v>0</v>
      </c>
      <c r="M132" s="43">
        <f t="shared" si="34"/>
        <v>0</v>
      </c>
      <c r="N132" s="43">
        <f t="shared" si="35"/>
        <v>0</v>
      </c>
      <c r="P132" s="138">
        <f t="shared" si="36"/>
        <v>0</v>
      </c>
      <c r="Q132" s="138">
        <f t="shared" si="37"/>
        <v>0</v>
      </c>
      <c r="S132" s="43">
        <f t="shared" si="38"/>
        <v>0</v>
      </c>
      <c r="T132" s="38">
        <f t="shared" si="39"/>
        <v>55</v>
      </c>
      <c r="V132" s="43">
        <f t="shared" si="31"/>
        <v>0</v>
      </c>
      <c r="W132" s="43">
        <f t="shared" si="31"/>
        <v>0</v>
      </c>
      <c r="X132" s="43">
        <f t="shared" si="31"/>
        <v>0</v>
      </c>
      <c r="Y132" s="43">
        <f t="shared" si="31"/>
        <v>0</v>
      </c>
      <c r="Z132" s="43">
        <f t="shared" si="31"/>
        <v>0</v>
      </c>
      <c r="AB132" s="43">
        <f t="shared" si="32"/>
        <v>0</v>
      </c>
      <c r="AC132" s="43">
        <f t="shared" si="32"/>
        <v>0</v>
      </c>
      <c r="AD132" s="43">
        <f t="shared" si="32"/>
        <v>0</v>
      </c>
      <c r="AE132" s="43">
        <f t="shared" si="32"/>
        <v>0</v>
      </c>
      <c r="AF132" s="43">
        <f t="shared" si="32"/>
        <v>0</v>
      </c>
      <c r="AH132" s="43">
        <f t="shared" si="40"/>
        <v>0</v>
      </c>
      <c r="AI132" s="43">
        <f t="shared" si="41"/>
        <v>0</v>
      </c>
      <c r="AJ132" s="43">
        <f t="shared" si="42"/>
        <v>0</v>
      </c>
      <c r="AK132" s="43">
        <f t="shared" si="43"/>
        <v>0</v>
      </c>
      <c r="AL132" s="43">
        <f t="shared" si="44"/>
        <v>0</v>
      </c>
      <c r="AN132" s="43">
        <f t="shared" si="45"/>
        <v>0</v>
      </c>
      <c r="AO132" s="43">
        <f t="shared" si="46"/>
        <v>0</v>
      </c>
      <c r="AP132" s="43">
        <f t="shared" si="47"/>
        <v>0</v>
      </c>
      <c r="AQ132" s="43">
        <f t="shared" si="48"/>
        <v>0</v>
      </c>
      <c r="AR132" s="43">
        <f t="shared" si="49"/>
        <v>0</v>
      </c>
      <c r="AT132" s="43">
        <f t="shared" si="50"/>
        <v>0</v>
      </c>
      <c r="AU132" s="43">
        <f t="shared" si="50"/>
        <v>0</v>
      </c>
      <c r="AV132" s="43">
        <f t="shared" si="50"/>
        <v>0</v>
      </c>
      <c r="AW132" s="43">
        <f t="shared" si="50"/>
        <v>0</v>
      </c>
      <c r="AX132" s="43">
        <f t="shared" si="50"/>
        <v>0</v>
      </c>
      <c r="AZ132" s="47">
        <f t="shared" si="51"/>
        <v>0</v>
      </c>
      <c r="BA132" s="47">
        <f t="shared" si="52"/>
        <v>0</v>
      </c>
      <c r="BB132" s="47">
        <f t="shared" si="53"/>
        <v>0</v>
      </c>
      <c r="BC132" s="47">
        <f t="shared" si="54"/>
        <v>0</v>
      </c>
      <c r="BD132" s="47">
        <f t="shared" si="55"/>
        <v>0</v>
      </c>
    </row>
    <row r="133" spans="2:56">
      <c r="B133" s="37">
        <f>'3. Input (des)investeringen '!B158</f>
        <v>1601</v>
      </c>
      <c r="C133" s="48"/>
      <c r="D133" s="48"/>
      <c r="E133" s="48"/>
      <c r="F133" s="42">
        <f>'3. Input (des)investeringen '!D158</f>
        <v>0</v>
      </c>
      <c r="G133" s="48"/>
      <c r="H133" s="37">
        <f>'3. Input (des)investeringen '!F158</f>
        <v>2024</v>
      </c>
      <c r="I133" s="42" t="str">
        <f>'3. Input (des)investeringen '!G158</f>
        <v>nvt</v>
      </c>
      <c r="J133" s="42">
        <f>'3. Input (des)investeringen '!H158</f>
        <v>0</v>
      </c>
      <c r="K133" s="42">
        <f>'3. Input (des)investeringen '!I158</f>
        <v>1</v>
      </c>
      <c r="M133" s="43">
        <f t="shared" si="34"/>
        <v>0</v>
      </c>
      <c r="N133" s="43">
        <f t="shared" si="35"/>
        <v>0</v>
      </c>
      <c r="P133" s="138">
        <f t="shared" si="36"/>
        <v>0</v>
      </c>
      <c r="Q133" s="138">
        <f t="shared" si="37"/>
        <v>0</v>
      </c>
      <c r="S133" s="43">
        <f t="shared" si="38"/>
        <v>0</v>
      </c>
      <c r="T133" s="38">
        <f t="shared" si="39"/>
        <v>0</v>
      </c>
      <c r="V133" s="43">
        <f t="shared" si="31"/>
        <v>0</v>
      </c>
      <c r="W133" s="43">
        <f t="shared" si="31"/>
        <v>0</v>
      </c>
      <c r="X133" s="43">
        <f t="shared" si="31"/>
        <v>0</v>
      </c>
      <c r="Y133" s="43">
        <f t="shared" si="31"/>
        <v>0</v>
      </c>
      <c r="Z133" s="43">
        <f t="shared" si="31"/>
        <v>0</v>
      </c>
      <c r="AB133" s="43">
        <f t="shared" si="32"/>
        <v>0</v>
      </c>
      <c r="AC133" s="43">
        <f t="shared" si="32"/>
        <v>0</v>
      </c>
      <c r="AD133" s="43">
        <f t="shared" si="32"/>
        <v>0</v>
      </c>
      <c r="AE133" s="43">
        <f t="shared" si="32"/>
        <v>0</v>
      </c>
      <c r="AF133" s="43">
        <f t="shared" si="32"/>
        <v>0</v>
      </c>
      <c r="AH133" s="43">
        <f t="shared" si="40"/>
        <v>0</v>
      </c>
      <c r="AI133" s="43">
        <f t="shared" si="41"/>
        <v>0</v>
      </c>
      <c r="AJ133" s="43">
        <f t="shared" si="42"/>
        <v>0</v>
      </c>
      <c r="AK133" s="43">
        <f t="shared" si="43"/>
        <v>0</v>
      </c>
      <c r="AL133" s="43">
        <f t="shared" si="44"/>
        <v>0</v>
      </c>
      <c r="AN133" s="43">
        <f t="shared" si="45"/>
        <v>0</v>
      </c>
      <c r="AO133" s="43">
        <f t="shared" si="46"/>
        <v>0</v>
      </c>
      <c r="AP133" s="43">
        <f t="shared" si="47"/>
        <v>0</v>
      </c>
      <c r="AQ133" s="43">
        <f t="shared" si="48"/>
        <v>0</v>
      </c>
      <c r="AR133" s="43">
        <f t="shared" si="49"/>
        <v>0</v>
      </c>
      <c r="AT133" s="43">
        <f t="shared" si="50"/>
        <v>0</v>
      </c>
      <c r="AU133" s="43">
        <f t="shared" si="50"/>
        <v>0</v>
      </c>
      <c r="AV133" s="43">
        <f t="shared" si="50"/>
        <v>0</v>
      </c>
      <c r="AW133" s="43">
        <f t="shared" si="50"/>
        <v>0</v>
      </c>
      <c r="AX133" s="43">
        <f t="shared" si="50"/>
        <v>0</v>
      </c>
      <c r="AZ133" s="47">
        <f t="shared" si="51"/>
        <v>0</v>
      </c>
      <c r="BA133" s="47">
        <f t="shared" si="52"/>
        <v>0</v>
      </c>
      <c r="BB133" s="47">
        <f t="shared" si="53"/>
        <v>0</v>
      </c>
      <c r="BC133" s="47">
        <f t="shared" si="54"/>
        <v>0</v>
      </c>
      <c r="BD133" s="47">
        <f t="shared" si="55"/>
        <v>0</v>
      </c>
    </row>
    <row r="134" spans="2:56">
      <c r="B134" s="37">
        <f>'3. Input (des)investeringen '!B159</f>
        <v>1602</v>
      </c>
      <c r="C134" s="48"/>
      <c r="D134" s="48"/>
      <c r="E134" s="48"/>
      <c r="F134" s="42">
        <f>'3. Input (des)investeringen '!D159</f>
        <v>17329841.381191369</v>
      </c>
      <c r="G134" s="48"/>
      <c r="H134" s="37">
        <f>'3. Input (des)investeringen '!F159</f>
        <v>2024</v>
      </c>
      <c r="I134" s="42" t="str">
        <f>'3. Input (des)investeringen '!G159</f>
        <v>nvt</v>
      </c>
      <c r="J134" s="42">
        <f>'3. Input (des)investeringen '!H159</f>
        <v>5</v>
      </c>
      <c r="K134" s="42">
        <f>'3. Input (des)investeringen '!I159</f>
        <v>1</v>
      </c>
      <c r="M134" s="43">
        <f t="shared" si="34"/>
        <v>0</v>
      </c>
      <c r="N134" s="43">
        <f t="shared" si="35"/>
        <v>0</v>
      </c>
      <c r="P134" s="138">
        <f t="shared" si="36"/>
        <v>0</v>
      </c>
      <c r="Q134" s="138">
        <f t="shared" si="37"/>
        <v>0</v>
      </c>
      <c r="S134" s="43">
        <f t="shared" si="38"/>
        <v>17329841.381191369</v>
      </c>
      <c r="T134" s="38">
        <f t="shared" si="39"/>
        <v>5</v>
      </c>
      <c r="V134" s="43">
        <f t="shared" si="31"/>
        <v>0</v>
      </c>
      <c r="W134" s="43">
        <f t="shared" si="31"/>
        <v>0</v>
      </c>
      <c r="X134" s="43">
        <f t="shared" si="31"/>
        <v>2027591.4415993902</v>
      </c>
      <c r="Y134" s="43">
        <f t="shared" si="31"/>
        <v>3528009.1083829394</v>
      </c>
      <c r="Z134" s="43">
        <f t="shared" si="31"/>
        <v>2868930.4837399721</v>
      </c>
      <c r="AB134" s="43">
        <f t="shared" si="32"/>
        <v>0</v>
      </c>
      <c r="AC134" s="43">
        <f t="shared" si="32"/>
        <v>0</v>
      </c>
      <c r="AD134" s="43">
        <f t="shared" si="32"/>
        <v>173298.41381191369</v>
      </c>
      <c r="AE134" s="43">
        <f t="shared" si="32"/>
        <v>346596.82762382738</v>
      </c>
      <c r="AF134" s="43">
        <f t="shared" si="32"/>
        <v>346596.82762382738</v>
      </c>
      <c r="AH134" s="43">
        <f t="shared" si="40"/>
        <v>0</v>
      </c>
      <c r="AI134" s="43">
        <f t="shared" si="41"/>
        <v>0</v>
      </c>
      <c r="AJ134" s="43">
        <f t="shared" si="42"/>
        <v>2200889.8554113042</v>
      </c>
      <c r="AK134" s="43">
        <f t="shared" si="43"/>
        <v>3874605.9360067667</v>
      </c>
      <c r="AL134" s="43">
        <f t="shared" si="44"/>
        <v>3215527.3113637995</v>
      </c>
      <c r="AN134" s="43">
        <f t="shared" si="45"/>
        <v>0</v>
      </c>
      <c r="AO134" s="43">
        <f t="shared" si="46"/>
        <v>0</v>
      </c>
      <c r="AP134" s="43">
        <f t="shared" si="47"/>
        <v>15128951.525780065</v>
      </c>
      <c r="AQ134" s="43">
        <f t="shared" si="48"/>
        <v>11254345.589773297</v>
      </c>
      <c r="AR134" s="43">
        <f t="shared" si="49"/>
        <v>8038818.2784094978</v>
      </c>
      <c r="AT134" s="43">
        <f t="shared" si="50"/>
        <v>0</v>
      </c>
      <c r="AU134" s="43">
        <f t="shared" si="50"/>
        <v>0</v>
      </c>
      <c r="AV134" s="43">
        <f t="shared" si="50"/>
        <v>173298.41381191369</v>
      </c>
      <c r="AW134" s="43">
        <f t="shared" si="50"/>
        <v>177438.16632105267</v>
      </c>
      <c r="AX134" s="43">
        <f t="shared" si="50"/>
        <v>179732.79668791653</v>
      </c>
      <c r="AZ134" s="47">
        <f t="shared" si="51"/>
        <v>0</v>
      </c>
      <c r="BA134" s="47">
        <f t="shared" si="52"/>
        <v>0</v>
      </c>
      <c r="BB134" s="47">
        <f t="shared" si="53"/>
        <v>2949088.4272028604</v>
      </c>
      <c r="BC134" s="47">
        <f t="shared" si="54"/>
        <v>4479709.2347392039</v>
      </c>
      <c r="BD134" s="47">
        <f t="shared" si="55"/>
        <v>3700735.2026312766</v>
      </c>
    </row>
    <row r="135" spans="2:56">
      <c r="B135" s="37">
        <f>'3. Input (des)investeringen '!B160</f>
        <v>1603</v>
      </c>
      <c r="C135" s="48"/>
      <c r="D135" s="48"/>
      <c r="E135" s="48"/>
      <c r="F135" s="42">
        <f>'3. Input (des)investeringen '!D160</f>
        <v>5256515.0928236982</v>
      </c>
      <c r="G135" s="48"/>
      <c r="H135" s="37">
        <f>'3. Input (des)investeringen '!F160</f>
        <v>2024</v>
      </c>
      <c r="I135" s="42" t="str">
        <f>'3. Input (des)investeringen '!G160</f>
        <v>nvt</v>
      </c>
      <c r="J135" s="42">
        <f>'3. Input (des)investeringen '!H160</f>
        <v>10</v>
      </c>
      <c r="K135" s="42">
        <f>'3. Input (des)investeringen '!I160</f>
        <v>1</v>
      </c>
      <c r="M135" s="43">
        <f t="shared" si="34"/>
        <v>0</v>
      </c>
      <c r="N135" s="43">
        <f t="shared" si="35"/>
        <v>0</v>
      </c>
      <c r="P135" s="138">
        <f t="shared" si="36"/>
        <v>0</v>
      </c>
      <c r="Q135" s="138">
        <f t="shared" si="37"/>
        <v>0</v>
      </c>
      <c r="S135" s="43">
        <f t="shared" si="38"/>
        <v>5256515.0928236982</v>
      </c>
      <c r="T135" s="38">
        <f t="shared" si="39"/>
        <v>10</v>
      </c>
      <c r="V135" s="43">
        <f t="shared" si="31"/>
        <v>0</v>
      </c>
      <c r="W135" s="43">
        <f t="shared" si="31"/>
        <v>0</v>
      </c>
      <c r="X135" s="43">
        <f t="shared" si="31"/>
        <v>307506.13293018634</v>
      </c>
      <c r="Y135" s="43">
        <f t="shared" si="31"/>
        <v>575036.46857944841</v>
      </c>
      <c r="Z135" s="43">
        <f t="shared" si="31"/>
        <v>500281.72766412015</v>
      </c>
      <c r="AB135" s="43">
        <f t="shared" si="32"/>
        <v>0</v>
      </c>
      <c r="AC135" s="43">
        <f t="shared" si="32"/>
        <v>0</v>
      </c>
      <c r="AD135" s="43">
        <f t="shared" si="32"/>
        <v>26282.575464118494</v>
      </c>
      <c r="AE135" s="43">
        <f t="shared" si="32"/>
        <v>52565.150928236988</v>
      </c>
      <c r="AF135" s="43">
        <f t="shared" si="32"/>
        <v>52565.150928236988</v>
      </c>
      <c r="AH135" s="43">
        <f t="shared" si="40"/>
        <v>0</v>
      </c>
      <c r="AI135" s="43">
        <f t="shared" si="41"/>
        <v>0</v>
      </c>
      <c r="AJ135" s="43">
        <f t="shared" si="42"/>
        <v>333788.70839430485</v>
      </c>
      <c r="AK135" s="43">
        <f t="shared" si="43"/>
        <v>627601.61950768542</v>
      </c>
      <c r="AL135" s="43">
        <f t="shared" si="44"/>
        <v>552846.87859235716</v>
      </c>
      <c r="AN135" s="43">
        <f t="shared" si="45"/>
        <v>0</v>
      </c>
      <c r="AO135" s="43">
        <f t="shared" si="46"/>
        <v>0</v>
      </c>
      <c r="AP135" s="43">
        <f t="shared" si="47"/>
        <v>4922726.3844293933</v>
      </c>
      <c r="AQ135" s="43">
        <f t="shared" si="48"/>
        <v>4295124.764921708</v>
      </c>
      <c r="AR135" s="43">
        <f t="shared" si="49"/>
        <v>3742277.886329351</v>
      </c>
      <c r="AT135" s="43">
        <f t="shared" si="50"/>
        <v>0</v>
      </c>
      <c r="AU135" s="43">
        <f t="shared" si="50"/>
        <v>0</v>
      </c>
      <c r="AV135" s="43">
        <f t="shared" si="50"/>
        <v>52565.150928236981</v>
      </c>
      <c r="AW135" s="43">
        <f t="shared" si="50"/>
        <v>53820.827253610711</v>
      </c>
      <c r="AX135" s="43">
        <f t="shared" si="50"/>
        <v>54516.838191654395</v>
      </c>
      <c r="AZ135" s="47">
        <f t="shared" si="51"/>
        <v>0</v>
      </c>
      <c r="BA135" s="47">
        <f t="shared" si="52"/>
        <v>0</v>
      </c>
      <c r="BB135" s="47">
        <f t="shared" si="53"/>
        <v>573417.46193085879</v>
      </c>
      <c r="BC135" s="47">
        <f t="shared" si="54"/>
        <v>844637.18782832101</v>
      </c>
      <c r="BD135" s="47">
        <f t="shared" si="55"/>
        <v>749570.27646452689</v>
      </c>
    </row>
    <row r="136" spans="2:56">
      <c r="B136" s="37">
        <f>'3. Input (des)investeringen '!B161</f>
        <v>1604</v>
      </c>
      <c r="C136" s="48"/>
      <c r="D136" s="48"/>
      <c r="E136" s="48"/>
      <c r="F136" s="42">
        <f>'3. Input (des)investeringen '!D161</f>
        <v>24794632.448747091</v>
      </c>
      <c r="G136" s="48"/>
      <c r="H136" s="37">
        <f>'3. Input (des)investeringen '!F161</f>
        <v>2024</v>
      </c>
      <c r="I136" s="42" t="str">
        <f>'3. Input (des)investeringen '!G161</f>
        <v>nvt</v>
      </c>
      <c r="J136" s="42">
        <f>'3. Input (des)investeringen '!H161</f>
        <v>15</v>
      </c>
      <c r="K136" s="42">
        <f>'3. Input (des)investeringen '!I161</f>
        <v>1</v>
      </c>
      <c r="M136" s="43">
        <f t="shared" si="34"/>
        <v>0</v>
      </c>
      <c r="N136" s="43">
        <f t="shared" si="35"/>
        <v>0</v>
      </c>
      <c r="P136" s="138">
        <f t="shared" si="36"/>
        <v>0</v>
      </c>
      <c r="Q136" s="138">
        <f t="shared" si="37"/>
        <v>0</v>
      </c>
      <c r="S136" s="43">
        <f t="shared" si="38"/>
        <v>24794632.448747091</v>
      </c>
      <c r="T136" s="38">
        <f t="shared" si="39"/>
        <v>15</v>
      </c>
      <c r="V136" s="43">
        <f t="shared" si="31"/>
        <v>0</v>
      </c>
      <c r="W136" s="43">
        <f t="shared" si="31"/>
        <v>0</v>
      </c>
      <c r="X136" s="43">
        <f t="shared" si="31"/>
        <v>966990.66550113657</v>
      </c>
      <c r="Y136" s="43">
        <f t="shared" si="31"/>
        <v>1850175.4733255082</v>
      </c>
      <c r="Z136" s="43">
        <f t="shared" si="31"/>
        <v>1689826.9323039639</v>
      </c>
      <c r="AB136" s="43">
        <f t="shared" si="32"/>
        <v>0</v>
      </c>
      <c r="AC136" s="43">
        <f t="shared" si="32"/>
        <v>0</v>
      </c>
      <c r="AD136" s="43">
        <f t="shared" si="32"/>
        <v>82648.774829156973</v>
      </c>
      <c r="AE136" s="43">
        <f t="shared" si="32"/>
        <v>165297.54965831395</v>
      </c>
      <c r="AF136" s="43">
        <f t="shared" si="32"/>
        <v>165297.54965831395</v>
      </c>
      <c r="AH136" s="43">
        <f t="shared" si="40"/>
        <v>0</v>
      </c>
      <c r="AI136" s="43">
        <f t="shared" si="41"/>
        <v>0</v>
      </c>
      <c r="AJ136" s="43">
        <f t="shared" si="42"/>
        <v>1049639.4403302935</v>
      </c>
      <c r="AK136" s="43">
        <f t="shared" si="43"/>
        <v>2015473.022983822</v>
      </c>
      <c r="AL136" s="43">
        <f t="shared" si="44"/>
        <v>1855124.4819622778</v>
      </c>
      <c r="AN136" s="43">
        <f t="shared" si="45"/>
        <v>0</v>
      </c>
      <c r="AO136" s="43">
        <f t="shared" si="46"/>
        <v>0</v>
      </c>
      <c r="AP136" s="43">
        <f t="shared" si="47"/>
        <v>23744993.008416798</v>
      </c>
      <c r="AQ136" s="43">
        <f t="shared" si="48"/>
        <v>21729519.985432975</v>
      </c>
      <c r="AR136" s="43">
        <f t="shared" si="49"/>
        <v>19874395.503470697</v>
      </c>
      <c r="AT136" s="43">
        <f t="shared" si="50"/>
        <v>0</v>
      </c>
      <c r="AU136" s="43">
        <f t="shared" si="50"/>
        <v>0</v>
      </c>
      <c r="AV136" s="43">
        <f t="shared" si="50"/>
        <v>247946.32448747091</v>
      </c>
      <c r="AW136" s="43">
        <f t="shared" si="50"/>
        <v>253869.26628682762</v>
      </c>
      <c r="AX136" s="43">
        <f t="shared" si="50"/>
        <v>257152.30363844882</v>
      </c>
      <c r="AZ136" s="47">
        <f t="shared" si="51"/>
        <v>0</v>
      </c>
      <c r="BA136" s="47">
        <f t="shared" si="52"/>
        <v>0</v>
      </c>
      <c r="BB136" s="47">
        <f t="shared" si="53"/>
        <v>2199895.4991376027</v>
      </c>
      <c r="BC136" s="47">
        <f t="shared" si="54"/>
        <v>3095064.048717103</v>
      </c>
      <c r="BD136" s="47">
        <f t="shared" si="55"/>
        <v>2867503.814732613</v>
      </c>
    </row>
    <row r="137" spans="2:56">
      <c r="B137" s="37">
        <f>'3. Input (des)investeringen '!B162</f>
        <v>1605</v>
      </c>
      <c r="C137" s="48"/>
      <c r="D137" s="48"/>
      <c r="E137" s="48"/>
      <c r="F137" s="42">
        <f>'3. Input (des)investeringen '!D162</f>
        <v>30453006.468301013</v>
      </c>
      <c r="G137" s="48"/>
      <c r="H137" s="37">
        <f>'3. Input (des)investeringen '!F162</f>
        <v>2024</v>
      </c>
      <c r="I137" s="42" t="str">
        <f>'3. Input (des)investeringen '!G162</f>
        <v>nvt</v>
      </c>
      <c r="J137" s="42">
        <f>'3. Input (des)investeringen '!H162</f>
        <v>30</v>
      </c>
      <c r="K137" s="42">
        <f>'3. Input (des)investeringen '!I162</f>
        <v>1</v>
      </c>
      <c r="M137" s="43">
        <f t="shared" si="34"/>
        <v>0</v>
      </c>
      <c r="N137" s="43">
        <f t="shared" si="35"/>
        <v>0</v>
      </c>
      <c r="P137" s="138">
        <f t="shared" si="36"/>
        <v>0</v>
      </c>
      <c r="Q137" s="138">
        <f t="shared" si="37"/>
        <v>0</v>
      </c>
      <c r="S137" s="43">
        <f t="shared" si="38"/>
        <v>30453006.468301013</v>
      </c>
      <c r="T137" s="38">
        <f t="shared" si="39"/>
        <v>30</v>
      </c>
      <c r="V137" s="43">
        <f t="shared" si="31"/>
        <v>0</v>
      </c>
      <c r="W137" s="43">
        <f t="shared" si="31"/>
        <v>0</v>
      </c>
      <c r="X137" s="43">
        <f t="shared" si="31"/>
        <v>593833.62613186974</v>
      </c>
      <c r="Y137" s="43">
        <f t="shared" si="31"/>
        <v>1161934.4617980253</v>
      </c>
      <c r="Z137" s="43">
        <f t="shared" si="31"/>
        <v>1111583.9684534443</v>
      </c>
      <c r="AB137" s="43">
        <f t="shared" si="32"/>
        <v>0</v>
      </c>
      <c r="AC137" s="43">
        <f t="shared" si="32"/>
        <v>0</v>
      </c>
      <c r="AD137" s="43">
        <f t="shared" si="32"/>
        <v>50755.010780501689</v>
      </c>
      <c r="AE137" s="43">
        <f t="shared" si="32"/>
        <v>101510.02156100339</v>
      </c>
      <c r="AF137" s="43">
        <f t="shared" si="32"/>
        <v>101510.02156100339</v>
      </c>
      <c r="AH137" s="43">
        <f t="shared" si="40"/>
        <v>0</v>
      </c>
      <c r="AI137" s="43">
        <f t="shared" si="41"/>
        <v>0</v>
      </c>
      <c r="AJ137" s="43">
        <f t="shared" si="42"/>
        <v>644588.63691237138</v>
      </c>
      <c r="AK137" s="43">
        <f t="shared" si="43"/>
        <v>1263444.4833590286</v>
      </c>
      <c r="AL137" s="43">
        <f t="shared" si="44"/>
        <v>1213093.9900144476</v>
      </c>
      <c r="AN137" s="43">
        <f t="shared" si="45"/>
        <v>0</v>
      </c>
      <c r="AO137" s="43">
        <f t="shared" si="46"/>
        <v>0</v>
      </c>
      <c r="AP137" s="43">
        <f t="shared" si="47"/>
        <v>29808417.831388641</v>
      </c>
      <c r="AQ137" s="43">
        <f t="shared" si="48"/>
        <v>28544973.348029613</v>
      </c>
      <c r="AR137" s="43">
        <f t="shared" si="49"/>
        <v>27331879.358015165</v>
      </c>
      <c r="AT137" s="43">
        <f t="shared" si="50"/>
        <v>0</v>
      </c>
      <c r="AU137" s="43">
        <f t="shared" si="50"/>
        <v>0</v>
      </c>
      <c r="AV137" s="43">
        <f t="shared" si="50"/>
        <v>304530.06468301016</v>
      </c>
      <c r="AW137" s="43">
        <f t="shared" si="50"/>
        <v>311804.67886815785</v>
      </c>
      <c r="AX137" s="43">
        <f t="shared" si="50"/>
        <v>315836.93697528087</v>
      </c>
      <c r="AZ137" s="47">
        <f t="shared" si="51"/>
        <v>0</v>
      </c>
      <c r="BA137" s="47">
        <f t="shared" si="52"/>
        <v>0</v>
      </c>
      <c r="BB137" s="47">
        <f t="shared" si="53"/>
        <v>2081838.5791881497</v>
      </c>
      <c r="BC137" s="47">
        <f t="shared" si="54"/>
        <v>2659958.1494523119</v>
      </c>
      <c r="BD137" s="47">
        <f t="shared" si="55"/>
        <v>2567542.3425943046</v>
      </c>
    </row>
    <row r="138" spans="2:56">
      <c r="B138" s="37">
        <f>'3. Input (des)investeringen '!B163</f>
        <v>1606</v>
      </c>
      <c r="C138" s="48"/>
      <c r="D138" s="48"/>
      <c r="E138" s="48"/>
      <c r="F138" s="42">
        <f>'3. Input (des)investeringen '!D163</f>
        <v>84298220.607542247</v>
      </c>
      <c r="G138" s="48"/>
      <c r="H138" s="37">
        <f>'3. Input (des)investeringen '!F163</f>
        <v>2024</v>
      </c>
      <c r="I138" s="42" t="str">
        <f>'3. Input (des)investeringen '!G163</f>
        <v>nvt</v>
      </c>
      <c r="J138" s="42">
        <f>'3. Input (des)investeringen '!H163</f>
        <v>55</v>
      </c>
      <c r="K138" s="42">
        <f>'3. Input (des)investeringen '!I163</f>
        <v>1</v>
      </c>
      <c r="M138" s="43">
        <f t="shared" ref="M138:M158" si="56">IF($J138=0, 0, IF($H138&lt;=M$59,
VDB($F138,0,$J138,MAX(0,M$59-$H138-0.5),MIN($J138,M$59-$H138+0.5),1)*INDEX(H$40:H$46,$H138-2019,1),
0))</f>
        <v>0</v>
      </c>
      <c r="N138" s="43">
        <f t="shared" ref="N138:N158" si="57">IF($J138=0, 0, IF($H138&lt;=N$59,
VDB($F138,0,$J138,MAX(0,N$59-$H138-0.5),MIN($J138,N$59-$H138+0.5),1)*INDEX(I$40:I$46,$H138-2019,1),
0))</f>
        <v>0</v>
      </c>
      <c r="P138" s="138">
        <f t="shared" si="36"/>
        <v>0</v>
      </c>
      <c r="Q138" s="138">
        <f t="shared" si="37"/>
        <v>0</v>
      </c>
      <c r="S138" s="43">
        <f t="shared" si="38"/>
        <v>84298220.607542247</v>
      </c>
      <c r="T138" s="38">
        <f t="shared" ref="T138:T158" si="58">IF($J138=0, 0, IF(H138&lt;2022,J138-2021+H138-0.5,J138))</f>
        <v>55</v>
      </c>
      <c r="V138" s="43">
        <f t="shared" si="31"/>
        <v>0</v>
      </c>
      <c r="W138" s="43">
        <f t="shared" si="31"/>
        <v>0</v>
      </c>
      <c r="X138" s="43">
        <f t="shared" si="31"/>
        <v>896626.52828022209</v>
      </c>
      <c r="Y138" s="43">
        <f t="shared" si="31"/>
        <v>1772060.0658920023</v>
      </c>
      <c r="Z138" s="43">
        <f t="shared" si="31"/>
        <v>1730175.0097891006</v>
      </c>
      <c r="AB138" s="43">
        <f t="shared" si="32"/>
        <v>0</v>
      </c>
      <c r="AC138" s="43">
        <f t="shared" si="32"/>
        <v>0</v>
      </c>
      <c r="AD138" s="43">
        <f t="shared" si="32"/>
        <v>76634.746006856585</v>
      </c>
      <c r="AE138" s="43">
        <f t="shared" si="32"/>
        <v>153269.49201371317</v>
      </c>
      <c r="AF138" s="43">
        <f t="shared" si="32"/>
        <v>153269.49201371317</v>
      </c>
      <c r="AH138" s="43">
        <f t="shared" ref="AH138:AH158" si="59">V138+AB138</f>
        <v>0</v>
      </c>
      <c r="AI138" s="43">
        <f t="shared" ref="AI138:AI158" si="60">W138+AC138</f>
        <v>0</v>
      </c>
      <c r="AJ138" s="43">
        <f t="shared" ref="AJ138:AJ158" si="61">X138+AD138</f>
        <v>973261.27428707865</v>
      </c>
      <c r="AK138" s="43">
        <f t="shared" ref="AK138:AK158" si="62">Y138+AE138</f>
        <v>1925329.5579057154</v>
      </c>
      <c r="AL138" s="43">
        <f t="shared" ref="AL138:AL158" si="63">Z138+AF138</f>
        <v>1883444.5018028137</v>
      </c>
      <c r="AN138" s="43">
        <f t="shared" si="45"/>
        <v>0</v>
      </c>
      <c r="AO138" s="43">
        <f t="shared" si="46"/>
        <v>0</v>
      </c>
      <c r="AP138" s="43">
        <f t="shared" si="47"/>
        <v>83324959.333255172</v>
      </c>
      <c r="AQ138" s="43">
        <f t="shared" si="48"/>
        <v>81399629.775349453</v>
      </c>
      <c r="AR138" s="43">
        <f t="shared" si="49"/>
        <v>79516185.273546636</v>
      </c>
      <c r="AT138" s="43">
        <f t="shared" si="50"/>
        <v>0</v>
      </c>
      <c r="AU138" s="43">
        <f t="shared" si="50"/>
        <v>0</v>
      </c>
      <c r="AV138" s="43">
        <f t="shared" si="50"/>
        <v>842982.20607542247</v>
      </c>
      <c r="AW138" s="43">
        <f t="shared" si="50"/>
        <v>863119.36501415225</v>
      </c>
      <c r="AX138" s="43">
        <f t="shared" si="50"/>
        <v>874281.22464251507</v>
      </c>
      <c r="AZ138" s="47">
        <f t="shared" ref="AZ138:AZ158" si="64">(AH138+AN138*J$16+AT138)*IF($K138=1,$F$25,1)</f>
        <v>0</v>
      </c>
      <c r="BA138" s="47">
        <f t="shared" ref="BA138:BA158" si="65">(AI138+AO138*K$16+AU138)*IF($K138=1,$F$25,1)</f>
        <v>0</v>
      </c>
      <c r="BB138" s="47">
        <f t="shared" ref="BB138:BB158" si="66">(AJ138+AP138*L$16+AV138)*IF($K138=1,$F$25,1)</f>
        <v>4982591.9350261968</v>
      </c>
      <c r="BC138" s="47">
        <f t="shared" ref="BC138:BC158" si="67">(AK138+AQ138*M$16+AW138)*IF($K138=1,$F$25,1)</f>
        <v>5881634.8543831473</v>
      </c>
      <c r="BD138" s="47">
        <f t="shared" ref="BD138:BD158" si="68">(AL138+AR138*N$16+AX138)*IF($K138=1,$F$25,1)</f>
        <v>5779340.7668401012</v>
      </c>
    </row>
    <row r="139" spans="2:56">
      <c r="B139" s="37">
        <f>'3. Input (des)investeringen '!B164</f>
        <v>1607</v>
      </c>
      <c r="C139" s="48"/>
      <c r="D139" s="48"/>
      <c r="E139" s="48"/>
      <c r="F139" s="42">
        <f>'3. Input (des)investeringen '!D164</f>
        <v>-32176.139947802236</v>
      </c>
      <c r="G139" s="48"/>
      <c r="H139" s="37">
        <f>'3. Input (des)investeringen '!F164</f>
        <v>2024</v>
      </c>
      <c r="I139" s="42" t="str">
        <f>'3. Input (des)investeringen '!G164</f>
        <v>nvt</v>
      </c>
      <c r="J139" s="42">
        <f>'3. Input (des)investeringen '!H164</f>
        <v>0</v>
      </c>
      <c r="K139" s="42">
        <f>'3. Input (des)investeringen '!I164</f>
        <v>0</v>
      </c>
      <c r="M139" s="43">
        <f t="shared" si="56"/>
        <v>0</v>
      </c>
      <c r="N139" s="43">
        <f t="shared" si="57"/>
        <v>0</v>
      </c>
      <c r="P139" s="138">
        <f t="shared" si="36"/>
        <v>0</v>
      </c>
      <c r="Q139" s="138">
        <f t="shared" si="37"/>
        <v>0</v>
      </c>
      <c r="S139" s="43">
        <f t="shared" si="38"/>
        <v>-32176.139947802236</v>
      </c>
      <c r="T139" s="38">
        <f t="shared" si="58"/>
        <v>0</v>
      </c>
      <c r="V139" s="43">
        <f t="shared" ref="V139:Z159" si="69">IF($J139=0, 0, IF(OR($H139&gt;V$59,$H139+$J139&lt;V$59),0,
IF(OR($H139=2020,$H139=2021),VDB($S139*(1-$F$28),0,$T139,V$59-2022,MIN($T139,V$59-2021),$F$22,FALSE),
VDB($S139*(1-$F$28),0,$T139,MAX(0,V$59-$H139-0.5),MIN($T139,V$59-$H139+0.5),$F$22,FALSE))))</f>
        <v>0</v>
      </c>
      <c r="W139" s="43">
        <f t="shared" si="69"/>
        <v>0</v>
      </c>
      <c r="X139" s="43">
        <f t="shared" si="69"/>
        <v>0</v>
      </c>
      <c r="Y139" s="43">
        <f t="shared" si="69"/>
        <v>0</v>
      </c>
      <c r="Z139" s="43">
        <f t="shared" si="69"/>
        <v>0</v>
      </c>
      <c r="AB139" s="43">
        <f t="shared" ref="AB139:AF159" si="70">IF($J139=0, 0, IF(OR($H139&gt;AB$59,$H139+$J139&lt;AB$59),0,
IF(OR($H139=2020,$H139=2021),VDB($S139*$F$28,0,$T139,AB$59-2022,MIN($T139,AB$59-2021),1),
VDB($S139*$F$28,0,$T139,MAX(0,AB$59-$H139-0.5),MIN($T139,AB$59-$H139+0.5),1))))</f>
        <v>0</v>
      </c>
      <c r="AC139" s="43">
        <f t="shared" si="70"/>
        <v>0</v>
      </c>
      <c r="AD139" s="43">
        <f t="shared" si="70"/>
        <v>0</v>
      </c>
      <c r="AE139" s="43">
        <f t="shared" si="70"/>
        <v>0</v>
      </c>
      <c r="AF139" s="43">
        <f t="shared" si="70"/>
        <v>0</v>
      </c>
      <c r="AH139" s="43">
        <f t="shared" si="59"/>
        <v>0</v>
      </c>
      <c r="AI139" s="43">
        <f t="shared" si="60"/>
        <v>0</v>
      </c>
      <c r="AJ139" s="43">
        <f t="shared" si="61"/>
        <v>0</v>
      </c>
      <c r="AK139" s="43">
        <f t="shared" si="62"/>
        <v>0</v>
      </c>
      <c r="AL139" s="43">
        <f t="shared" si="63"/>
        <v>0</v>
      </c>
      <c r="AN139" s="43">
        <f t="shared" si="45"/>
        <v>0</v>
      </c>
      <c r="AO139" s="43">
        <f t="shared" si="46"/>
        <v>0</v>
      </c>
      <c r="AP139" s="43">
        <f t="shared" si="47"/>
        <v>-32176.139947802236</v>
      </c>
      <c r="AQ139" s="43">
        <f t="shared" si="48"/>
        <v>-32176.139947802236</v>
      </c>
      <c r="AR139" s="43">
        <f t="shared" si="49"/>
        <v>-32176.139947802236</v>
      </c>
      <c r="AT139" s="43">
        <f t="shared" si="50"/>
        <v>0</v>
      </c>
      <c r="AU139" s="43">
        <f t="shared" si="50"/>
        <v>0</v>
      </c>
      <c r="AV139" s="43">
        <f t="shared" si="50"/>
        <v>-321.76139947802238</v>
      </c>
      <c r="AW139" s="43">
        <f t="shared" si="50"/>
        <v>-329.44763578875342</v>
      </c>
      <c r="AX139" s="43">
        <f t="shared" si="50"/>
        <v>-333.70805261477346</v>
      </c>
      <c r="AZ139" s="47">
        <f t="shared" si="64"/>
        <v>0</v>
      </c>
      <c r="BA139" s="47">
        <f t="shared" si="65"/>
        <v>0</v>
      </c>
      <c r="BB139" s="47">
        <f t="shared" si="66"/>
        <v>-1544.4547174945073</v>
      </c>
      <c r="BC139" s="47">
        <f t="shared" si="67"/>
        <v>-1552.1409538052383</v>
      </c>
      <c r="BD139" s="47">
        <f t="shared" si="68"/>
        <v>-1556.4013706312585</v>
      </c>
    </row>
    <row r="140" spans="2:56">
      <c r="B140" s="37">
        <f>'3. Input (des)investeringen '!B165</f>
        <v>1608</v>
      </c>
      <c r="C140" s="48"/>
      <c r="D140" s="48"/>
      <c r="E140" s="48"/>
      <c r="F140" s="42">
        <f>'3. Input (des)investeringen '!D165</f>
        <v>453184.63628655189</v>
      </c>
      <c r="G140" s="48"/>
      <c r="H140" s="37">
        <f>'3. Input (des)investeringen '!F165</f>
        <v>2024</v>
      </c>
      <c r="I140" s="42" t="str">
        <f>'3. Input (des)investeringen '!G165</f>
        <v>nvt</v>
      </c>
      <c r="J140" s="42">
        <f>'3. Input (des)investeringen '!H165</f>
        <v>5</v>
      </c>
      <c r="K140" s="42">
        <f>'3. Input (des)investeringen '!I165</f>
        <v>0</v>
      </c>
      <c r="M140" s="43">
        <f t="shared" si="56"/>
        <v>0</v>
      </c>
      <c r="N140" s="43">
        <f t="shared" si="57"/>
        <v>0</v>
      </c>
      <c r="P140" s="138">
        <f t="shared" si="36"/>
        <v>0</v>
      </c>
      <c r="Q140" s="138">
        <f t="shared" si="37"/>
        <v>0</v>
      </c>
      <c r="S140" s="43">
        <f t="shared" si="38"/>
        <v>453184.63628655189</v>
      </c>
      <c r="T140" s="38">
        <f t="shared" si="58"/>
        <v>5</v>
      </c>
      <c r="V140" s="43">
        <f t="shared" si="69"/>
        <v>0</v>
      </c>
      <c r="W140" s="43">
        <f t="shared" si="69"/>
        <v>0</v>
      </c>
      <c r="X140" s="43">
        <f t="shared" si="69"/>
        <v>53022.602445526572</v>
      </c>
      <c r="Y140" s="43">
        <f t="shared" si="69"/>
        <v>92259.328255216242</v>
      </c>
      <c r="Z140" s="43">
        <f t="shared" si="69"/>
        <v>75024.069130615404</v>
      </c>
      <c r="AB140" s="43">
        <f t="shared" si="70"/>
        <v>0</v>
      </c>
      <c r="AC140" s="43">
        <f t="shared" si="70"/>
        <v>0</v>
      </c>
      <c r="AD140" s="43">
        <f t="shared" si="70"/>
        <v>4531.846362865519</v>
      </c>
      <c r="AE140" s="43">
        <f t="shared" si="70"/>
        <v>9063.6927257310381</v>
      </c>
      <c r="AF140" s="43">
        <f t="shared" si="70"/>
        <v>9063.6927257310381</v>
      </c>
      <c r="AH140" s="43">
        <f t="shared" si="59"/>
        <v>0</v>
      </c>
      <c r="AI140" s="43">
        <f t="shared" si="60"/>
        <v>0</v>
      </c>
      <c r="AJ140" s="43">
        <f t="shared" si="61"/>
        <v>57554.448808392088</v>
      </c>
      <c r="AK140" s="43">
        <f t="shared" si="62"/>
        <v>101323.02098094727</v>
      </c>
      <c r="AL140" s="43">
        <f t="shared" si="63"/>
        <v>84087.761856346449</v>
      </c>
      <c r="AN140" s="43">
        <f t="shared" si="45"/>
        <v>0</v>
      </c>
      <c r="AO140" s="43">
        <f t="shared" si="46"/>
        <v>0</v>
      </c>
      <c r="AP140" s="43">
        <f t="shared" si="47"/>
        <v>395630.18747815979</v>
      </c>
      <c r="AQ140" s="43">
        <f t="shared" si="48"/>
        <v>294307.16649721249</v>
      </c>
      <c r="AR140" s="43">
        <f t="shared" si="49"/>
        <v>210219.40464086604</v>
      </c>
      <c r="AT140" s="43">
        <f t="shared" si="50"/>
        <v>0</v>
      </c>
      <c r="AU140" s="43">
        <f t="shared" si="50"/>
        <v>0</v>
      </c>
      <c r="AV140" s="43">
        <f t="shared" si="50"/>
        <v>4531.846362865519</v>
      </c>
      <c r="AW140" s="43">
        <f t="shared" si="50"/>
        <v>4640.10310878165</v>
      </c>
      <c r="AX140" s="43">
        <f t="shared" si="50"/>
        <v>4700.108922184414</v>
      </c>
      <c r="AZ140" s="47">
        <f t="shared" si="64"/>
        <v>0</v>
      </c>
      <c r="BA140" s="47">
        <f t="shared" si="65"/>
        <v>0</v>
      </c>
      <c r="BB140" s="47">
        <f t="shared" si="66"/>
        <v>77120.24229542767</v>
      </c>
      <c r="BC140" s="47">
        <f t="shared" si="67"/>
        <v>117146.79641662299</v>
      </c>
      <c r="BD140" s="47">
        <f t="shared" si="68"/>
        <v>96776.208154883774</v>
      </c>
    </row>
    <row r="141" spans="2:56">
      <c r="B141" s="37">
        <f>'3. Input (des)investeringen '!B166</f>
        <v>1609</v>
      </c>
      <c r="C141" s="48"/>
      <c r="D141" s="48"/>
      <c r="E141" s="48"/>
      <c r="F141" s="42">
        <f>'3. Input (des)investeringen '!D166</f>
        <v>1625152.505858528</v>
      </c>
      <c r="G141" s="48"/>
      <c r="H141" s="37">
        <f>'3. Input (des)investeringen '!F166</f>
        <v>2024</v>
      </c>
      <c r="I141" s="42" t="str">
        <f>'3. Input (des)investeringen '!G166</f>
        <v>nvt</v>
      </c>
      <c r="J141" s="42">
        <f>'3. Input (des)investeringen '!H166</f>
        <v>10</v>
      </c>
      <c r="K141" s="42">
        <f>'3. Input (des)investeringen '!I166</f>
        <v>0</v>
      </c>
      <c r="M141" s="43">
        <f t="shared" si="56"/>
        <v>0</v>
      </c>
      <c r="N141" s="43">
        <f t="shared" si="57"/>
        <v>0</v>
      </c>
      <c r="P141" s="138">
        <f t="shared" si="36"/>
        <v>0</v>
      </c>
      <c r="Q141" s="138">
        <f t="shared" si="37"/>
        <v>0</v>
      </c>
      <c r="S141" s="43">
        <f t="shared" si="38"/>
        <v>1625152.505858528</v>
      </c>
      <c r="T141" s="38">
        <f t="shared" si="58"/>
        <v>10</v>
      </c>
      <c r="V141" s="43">
        <f t="shared" si="69"/>
        <v>0</v>
      </c>
      <c r="W141" s="43">
        <f t="shared" si="69"/>
        <v>0</v>
      </c>
      <c r="X141" s="43">
        <f t="shared" si="69"/>
        <v>95071.421592723898</v>
      </c>
      <c r="Y141" s="43">
        <f t="shared" si="69"/>
        <v>177783.5583783937</v>
      </c>
      <c r="Z141" s="43">
        <f t="shared" si="69"/>
        <v>154671.69578920252</v>
      </c>
      <c r="AB141" s="43">
        <f t="shared" si="70"/>
        <v>0</v>
      </c>
      <c r="AC141" s="43">
        <f t="shared" si="70"/>
        <v>0</v>
      </c>
      <c r="AD141" s="43">
        <f t="shared" si="70"/>
        <v>8125.7625292926405</v>
      </c>
      <c r="AE141" s="43">
        <f t="shared" si="70"/>
        <v>16251.525058585281</v>
      </c>
      <c r="AF141" s="43">
        <f t="shared" si="70"/>
        <v>16251.525058585281</v>
      </c>
      <c r="AH141" s="43">
        <f t="shared" si="59"/>
        <v>0</v>
      </c>
      <c r="AI141" s="43">
        <f t="shared" si="60"/>
        <v>0</v>
      </c>
      <c r="AJ141" s="43">
        <f t="shared" si="61"/>
        <v>103197.18412201654</v>
      </c>
      <c r="AK141" s="43">
        <f t="shared" si="62"/>
        <v>194035.08343697898</v>
      </c>
      <c r="AL141" s="43">
        <f t="shared" si="63"/>
        <v>170923.2208477878</v>
      </c>
      <c r="AN141" s="43">
        <f t="shared" si="45"/>
        <v>0</v>
      </c>
      <c r="AO141" s="43">
        <f t="shared" si="46"/>
        <v>0</v>
      </c>
      <c r="AP141" s="43">
        <f t="shared" si="47"/>
        <v>1521955.3217365113</v>
      </c>
      <c r="AQ141" s="43">
        <f t="shared" si="48"/>
        <v>1327920.2382995323</v>
      </c>
      <c r="AR141" s="43">
        <f t="shared" si="49"/>
        <v>1156997.0174517445</v>
      </c>
      <c r="AT141" s="43">
        <f t="shared" si="50"/>
        <v>0</v>
      </c>
      <c r="AU141" s="43">
        <f t="shared" si="50"/>
        <v>0</v>
      </c>
      <c r="AV141" s="43">
        <f t="shared" si="50"/>
        <v>16251.525058585279</v>
      </c>
      <c r="AW141" s="43">
        <f t="shared" si="50"/>
        <v>16639.741489184766</v>
      </c>
      <c r="AX141" s="43">
        <f t="shared" si="50"/>
        <v>16854.926626122899</v>
      </c>
      <c r="AZ141" s="47">
        <f t="shared" si="64"/>
        <v>0</v>
      </c>
      <c r="BA141" s="47">
        <f t="shared" si="65"/>
        <v>0</v>
      </c>
      <c r="BB141" s="47">
        <f t="shared" si="66"/>
        <v>177283.01140658924</v>
      </c>
      <c r="BC141" s="47">
        <f t="shared" si="67"/>
        <v>261135.79398154598</v>
      </c>
      <c r="BD141" s="47">
        <f t="shared" si="68"/>
        <v>231744.03413707699</v>
      </c>
    </row>
    <row r="142" spans="2:56">
      <c r="B142" s="37">
        <f>'3. Input (des)investeringen '!B167</f>
        <v>1610</v>
      </c>
      <c r="C142" s="48"/>
      <c r="D142" s="48"/>
      <c r="E142" s="48"/>
      <c r="F142" s="42">
        <f>'3. Input (des)investeringen '!D167</f>
        <v>4883791.4333008695</v>
      </c>
      <c r="G142" s="48"/>
      <c r="H142" s="37">
        <f>'3. Input (des)investeringen '!F167</f>
        <v>2024</v>
      </c>
      <c r="I142" s="42" t="str">
        <f>'3. Input (des)investeringen '!G167</f>
        <v>nvt</v>
      </c>
      <c r="J142" s="42">
        <f>'3. Input (des)investeringen '!H167</f>
        <v>15</v>
      </c>
      <c r="K142" s="42">
        <f>'3. Input (des)investeringen '!I167</f>
        <v>0</v>
      </c>
      <c r="M142" s="43">
        <f t="shared" si="56"/>
        <v>0</v>
      </c>
      <c r="N142" s="43">
        <f t="shared" si="57"/>
        <v>0</v>
      </c>
      <c r="P142" s="138">
        <f t="shared" si="36"/>
        <v>0</v>
      </c>
      <c r="Q142" s="138">
        <f t="shared" si="37"/>
        <v>0</v>
      </c>
      <c r="S142" s="43">
        <f t="shared" si="38"/>
        <v>4883791.4333008695</v>
      </c>
      <c r="T142" s="38">
        <f t="shared" si="58"/>
        <v>15</v>
      </c>
      <c r="V142" s="43">
        <f t="shared" si="69"/>
        <v>0</v>
      </c>
      <c r="W142" s="43">
        <f t="shared" si="69"/>
        <v>0</v>
      </c>
      <c r="X142" s="43">
        <f t="shared" si="69"/>
        <v>190467.86589873393</v>
      </c>
      <c r="Y142" s="43">
        <f t="shared" si="69"/>
        <v>364428.51675291092</v>
      </c>
      <c r="Z142" s="43">
        <f t="shared" si="69"/>
        <v>332844.7119676586</v>
      </c>
      <c r="AB142" s="43">
        <f t="shared" si="70"/>
        <v>0</v>
      </c>
      <c r="AC142" s="43">
        <f t="shared" si="70"/>
        <v>0</v>
      </c>
      <c r="AD142" s="43">
        <f t="shared" si="70"/>
        <v>16279.304777669566</v>
      </c>
      <c r="AE142" s="43">
        <f t="shared" si="70"/>
        <v>32558.609555339131</v>
      </c>
      <c r="AF142" s="43">
        <f t="shared" si="70"/>
        <v>32558.609555339131</v>
      </c>
      <c r="AH142" s="43">
        <f t="shared" si="59"/>
        <v>0</v>
      </c>
      <c r="AI142" s="43">
        <f t="shared" si="60"/>
        <v>0</v>
      </c>
      <c r="AJ142" s="43">
        <f t="shared" si="61"/>
        <v>206747.1706764035</v>
      </c>
      <c r="AK142" s="43">
        <f t="shared" si="62"/>
        <v>396987.12630825007</v>
      </c>
      <c r="AL142" s="43">
        <f t="shared" si="63"/>
        <v>365403.32152299775</v>
      </c>
      <c r="AN142" s="43">
        <f t="shared" si="45"/>
        <v>0</v>
      </c>
      <c r="AO142" s="43">
        <f t="shared" si="46"/>
        <v>0</v>
      </c>
      <c r="AP142" s="43">
        <f t="shared" si="47"/>
        <v>4677044.2626244659</v>
      </c>
      <c r="AQ142" s="43">
        <f t="shared" si="48"/>
        <v>4280057.1363162156</v>
      </c>
      <c r="AR142" s="43">
        <f t="shared" si="49"/>
        <v>3914653.8147932179</v>
      </c>
      <c r="AT142" s="43">
        <f t="shared" si="50"/>
        <v>0</v>
      </c>
      <c r="AU142" s="43">
        <f t="shared" si="50"/>
        <v>0</v>
      </c>
      <c r="AV142" s="43">
        <f t="shared" si="50"/>
        <v>48837.914333008695</v>
      </c>
      <c r="AW142" s="43">
        <f t="shared" si="50"/>
        <v>50004.554430595606</v>
      </c>
      <c r="AX142" s="43">
        <f t="shared" si="50"/>
        <v>50651.213328492056</v>
      </c>
      <c r="AZ142" s="47">
        <f t="shared" si="64"/>
        <v>0</v>
      </c>
      <c r="BA142" s="47">
        <f t="shared" si="65"/>
        <v>0</v>
      </c>
      <c r="BB142" s="47">
        <f t="shared" si="66"/>
        <v>433312.76698914194</v>
      </c>
      <c r="BC142" s="47">
        <f t="shared" si="67"/>
        <v>609633.85191886185</v>
      </c>
      <c r="BD142" s="47">
        <f t="shared" si="68"/>
        <v>564811.37981363211</v>
      </c>
    </row>
    <row r="143" spans="2:56">
      <c r="B143" s="37">
        <f>'3. Input (des)investeringen '!B168</f>
        <v>1611</v>
      </c>
      <c r="C143" s="48"/>
      <c r="D143" s="48"/>
      <c r="E143" s="48"/>
      <c r="F143" s="42">
        <f>'3. Input (des)investeringen '!D168</f>
        <v>27700057.310498618</v>
      </c>
      <c r="G143" s="48"/>
      <c r="H143" s="37">
        <f>'3. Input (des)investeringen '!F168</f>
        <v>2024</v>
      </c>
      <c r="I143" s="42" t="str">
        <f>'3. Input (des)investeringen '!G168</f>
        <v>nvt</v>
      </c>
      <c r="J143" s="42">
        <f>'3. Input (des)investeringen '!H168</f>
        <v>30</v>
      </c>
      <c r="K143" s="42">
        <f>'3. Input (des)investeringen '!I168</f>
        <v>0</v>
      </c>
      <c r="M143" s="43">
        <f t="shared" si="56"/>
        <v>0</v>
      </c>
      <c r="N143" s="43">
        <f t="shared" si="57"/>
        <v>0</v>
      </c>
      <c r="P143" s="138">
        <f t="shared" si="36"/>
        <v>0</v>
      </c>
      <c r="Q143" s="138">
        <f t="shared" si="37"/>
        <v>0</v>
      </c>
      <c r="S143" s="43">
        <f t="shared" si="38"/>
        <v>27700057.310498618</v>
      </c>
      <c r="T143" s="38">
        <f t="shared" si="58"/>
        <v>30</v>
      </c>
      <c r="V143" s="43">
        <f t="shared" si="69"/>
        <v>0</v>
      </c>
      <c r="W143" s="43">
        <f t="shared" si="69"/>
        <v>0</v>
      </c>
      <c r="X143" s="43">
        <f t="shared" si="69"/>
        <v>540151.11755472305</v>
      </c>
      <c r="Y143" s="43">
        <f t="shared" si="69"/>
        <v>1056895.6866820748</v>
      </c>
      <c r="Z143" s="43">
        <f t="shared" si="69"/>
        <v>1011096.8735925182</v>
      </c>
      <c r="AB143" s="43">
        <f t="shared" si="70"/>
        <v>0</v>
      </c>
      <c r="AC143" s="43">
        <f t="shared" si="70"/>
        <v>0</v>
      </c>
      <c r="AD143" s="43">
        <f t="shared" si="70"/>
        <v>46166.762184164363</v>
      </c>
      <c r="AE143" s="43">
        <f t="shared" si="70"/>
        <v>92333.524368328726</v>
      </c>
      <c r="AF143" s="43">
        <f t="shared" si="70"/>
        <v>92333.524368328726</v>
      </c>
      <c r="AH143" s="43">
        <f t="shared" si="59"/>
        <v>0</v>
      </c>
      <c r="AI143" s="43">
        <f t="shared" si="60"/>
        <v>0</v>
      </c>
      <c r="AJ143" s="43">
        <f t="shared" si="61"/>
        <v>586317.87973888742</v>
      </c>
      <c r="AK143" s="43">
        <f t="shared" si="62"/>
        <v>1149229.2110504035</v>
      </c>
      <c r="AL143" s="43">
        <f t="shared" si="63"/>
        <v>1103430.3979608468</v>
      </c>
      <c r="AN143" s="43">
        <f t="shared" si="45"/>
        <v>0</v>
      </c>
      <c r="AO143" s="43">
        <f t="shared" si="46"/>
        <v>0</v>
      </c>
      <c r="AP143" s="43">
        <f t="shared" si="47"/>
        <v>27113739.430759732</v>
      </c>
      <c r="AQ143" s="43">
        <f t="shared" si="48"/>
        <v>25964510.219709329</v>
      </c>
      <c r="AR143" s="43">
        <f t="shared" si="49"/>
        <v>24861079.821748484</v>
      </c>
      <c r="AT143" s="43">
        <f t="shared" si="50"/>
        <v>0</v>
      </c>
      <c r="AU143" s="43">
        <f t="shared" si="50"/>
        <v>0</v>
      </c>
      <c r="AV143" s="43">
        <f t="shared" si="50"/>
        <v>277000.57310498616</v>
      </c>
      <c r="AW143" s="43">
        <f t="shared" si="50"/>
        <v>283617.56279531808</v>
      </c>
      <c r="AX143" s="43">
        <f t="shared" si="50"/>
        <v>287285.30511738709</v>
      </c>
      <c r="AZ143" s="47">
        <f t="shared" si="64"/>
        <v>0</v>
      </c>
      <c r="BA143" s="47">
        <f t="shared" si="65"/>
        <v>0</v>
      </c>
      <c r="BB143" s="47">
        <f t="shared" si="66"/>
        <v>1893640.5512127434</v>
      </c>
      <c r="BC143" s="47">
        <f t="shared" si="67"/>
        <v>2419498.1621946762</v>
      </c>
      <c r="BD143" s="47">
        <f t="shared" si="68"/>
        <v>2335436.7363046762</v>
      </c>
    </row>
    <row r="144" spans="2:56">
      <c r="B144" s="37">
        <f>'3. Input (des)investeringen '!B169</f>
        <v>1612</v>
      </c>
      <c r="C144" s="48"/>
      <c r="D144" s="48"/>
      <c r="E144" s="48"/>
      <c r="F144" s="42">
        <f>'3. Input (des)investeringen '!D169</f>
        <v>39130.263467803168</v>
      </c>
      <c r="G144" s="48"/>
      <c r="H144" s="37">
        <f>'3. Input (des)investeringen '!F169</f>
        <v>2024</v>
      </c>
      <c r="I144" s="42" t="str">
        <f>'3. Input (des)investeringen '!G169</f>
        <v>nvt</v>
      </c>
      <c r="J144" s="42">
        <f>'3. Input (des)investeringen '!H169</f>
        <v>55</v>
      </c>
      <c r="K144" s="42">
        <f>'3. Input (des)investeringen '!I169</f>
        <v>0</v>
      </c>
      <c r="M144" s="43">
        <f t="shared" si="56"/>
        <v>0</v>
      </c>
      <c r="N144" s="43">
        <f t="shared" si="57"/>
        <v>0</v>
      </c>
      <c r="P144" s="138">
        <f t="shared" si="36"/>
        <v>0</v>
      </c>
      <c r="Q144" s="138">
        <f t="shared" si="37"/>
        <v>0</v>
      </c>
      <c r="S144" s="43">
        <f t="shared" si="38"/>
        <v>39130.263467803168</v>
      </c>
      <c r="T144" s="38">
        <f t="shared" si="58"/>
        <v>55</v>
      </c>
      <c r="V144" s="43">
        <f t="shared" si="69"/>
        <v>0</v>
      </c>
      <c r="W144" s="43">
        <f t="shared" si="69"/>
        <v>0</v>
      </c>
      <c r="X144" s="43">
        <f t="shared" si="69"/>
        <v>416.20371143027006</v>
      </c>
      <c r="Y144" s="43">
        <f t="shared" si="69"/>
        <v>822.56988059037008</v>
      </c>
      <c r="Z144" s="43">
        <f t="shared" si="69"/>
        <v>803.1273197764159</v>
      </c>
      <c r="AB144" s="43">
        <f t="shared" si="70"/>
        <v>0</v>
      </c>
      <c r="AC144" s="43">
        <f t="shared" si="70"/>
        <v>0</v>
      </c>
      <c r="AD144" s="43">
        <f t="shared" si="70"/>
        <v>35.57296678891197</v>
      </c>
      <c r="AE144" s="43">
        <f t="shared" si="70"/>
        <v>71.145933577823953</v>
      </c>
      <c r="AF144" s="43">
        <f t="shared" si="70"/>
        <v>71.145933577823953</v>
      </c>
      <c r="AH144" s="43">
        <f t="shared" si="59"/>
        <v>0</v>
      </c>
      <c r="AI144" s="43">
        <f t="shared" si="60"/>
        <v>0</v>
      </c>
      <c r="AJ144" s="43">
        <f t="shared" si="61"/>
        <v>451.77667821918203</v>
      </c>
      <c r="AK144" s="43">
        <f t="shared" si="62"/>
        <v>893.71581416819402</v>
      </c>
      <c r="AL144" s="43">
        <f t="shared" si="63"/>
        <v>874.27325335423984</v>
      </c>
      <c r="AN144" s="43">
        <f t="shared" si="45"/>
        <v>0</v>
      </c>
      <c r="AO144" s="43">
        <f t="shared" si="46"/>
        <v>0</v>
      </c>
      <c r="AP144" s="43">
        <f t="shared" si="47"/>
        <v>38678.486789583985</v>
      </c>
      <c r="AQ144" s="43">
        <f t="shared" si="48"/>
        <v>37784.770975415791</v>
      </c>
      <c r="AR144" s="43">
        <f t="shared" si="49"/>
        <v>36910.497722061555</v>
      </c>
      <c r="AT144" s="43">
        <f t="shared" si="50"/>
        <v>0</v>
      </c>
      <c r="AU144" s="43">
        <f t="shared" si="50"/>
        <v>0</v>
      </c>
      <c r="AV144" s="43">
        <f t="shared" si="50"/>
        <v>391.30263467803167</v>
      </c>
      <c r="AW144" s="43">
        <f t="shared" si="50"/>
        <v>400.65007201522053</v>
      </c>
      <c r="AX144" s="43">
        <f t="shared" si="50"/>
        <v>405.83127874652126</v>
      </c>
      <c r="AZ144" s="47">
        <f t="shared" si="64"/>
        <v>0</v>
      </c>
      <c r="BA144" s="47">
        <f t="shared" si="65"/>
        <v>0</v>
      </c>
      <c r="BB144" s="47">
        <f t="shared" si="66"/>
        <v>2312.8618109014051</v>
      </c>
      <c r="BC144" s="47">
        <f t="shared" si="67"/>
        <v>2730.1871832492143</v>
      </c>
      <c r="BD144" s="47">
        <f t="shared" si="68"/>
        <v>2682.7034455390999</v>
      </c>
    </row>
    <row r="145" spans="2:56">
      <c r="B145" s="37">
        <f>'3. Input (des)investeringen '!B170</f>
        <v>1613</v>
      </c>
      <c r="C145" s="48"/>
      <c r="D145" s="48"/>
      <c r="E145" s="48"/>
      <c r="F145" s="42">
        <f>'3. Input (des)investeringen '!D170</f>
        <v>0</v>
      </c>
      <c r="G145" s="48"/>
      <c r="H145" s="37">
        <f>'3. Input (des)investeringen '!F170</f>
        <v>2024</v>
      </c>
      <c r="I145" s="42" t="str">
        <f>'3. Input (des)investeringen '!G170</f>
        <v>nvt</v>
      </c>
      <c r="J145" s="42">
        <f>'3. Input (des)investeringen '!H170</f>
        <v>0</v>
      </c>
      <c r="K145" s="42">
        <f>'3. Input (des)investeringen '!I170</f>
        <v>0</v>
      </c>
      <c r="M145" s="43">
        <f t="shared" si="56"/>
        <v>0</v>
      </c>
      <c r="N145" s="43">
        <f t="shared" si="57"/>
        <v>0</v>
      </c>
      <c r="P145" s="138">
        <f t="shared" si="36"/>
        <v>0</v>
      </c>
      <c r="Q145" s="138">
        <f t="shared" si="37"/>
        <v>0</v>
      </c>
      <c r="S145" s="43">
        <f t="shared" si="38"/>
        <v>0</v>
      </c>
      <c r="T145" s="38">
        <f t="shared" si="58"/>
        <v>0</v>
      </c>
      <c r="V145" s="43">
        <f t="shared" si="69"/>
        <v>0</v>
      </c>
      <c r="W145" s="43">
        <f t="shared" si="69"/>
        <v>0</v>
      </c>
      <c r="X145" s="43">
        <f t="shared" si="69"/>
        <v>0</v>
      </c>
      <c r="Y145" s="43">
        <f t="shared" si="69"/>
        <v>0</v>
      </c>
      <c r="Z145" s="43">
        <f t="shared" si="69"/>
        <v>0</v>
      </c>
      <c r="AB145" s="43">
        <f t="shared" si="70"/>
        <v>0</v>
      </c>
      <c r="AC145" s="43">
        <f t="shared" si="70"/>
        <v>0</v>
      </c>
      <c r="AD145" s="43">
        <f t="shared" si="70"/>
        <v>0</v>
      </c>
      <c r="AE145" s="43">
        <f t="shared" si="70"/>
        <v>0</v>
      </c>
      <c r="AF145" s="43">
        <f t="shared" si="70"/>
        <v>0</v>
      </c>
      <c r="AH145" s="43">
        <f t="shared" si="59"/>
        <v>0</v>
      </c>
      <c r="AI145" s="43">
        <f t="shared" si="60"/>
        <v>0</v>
      </c>
      <c r="AJ145" s="43">
        <f t="shared" si="61"/>
        <v>0</v>
      </c>
      <c r="AK145" s="43">
        <f t="shared" si="62"/>
        <v>0</v>
      </c>
      <c r="AL145" s="43">
        <f t="shared" si="63"/>
        <v>0</v>
      </c>
      <c r="AN145" s="43">
        <f t="shared" si="45"/>
        <v>0</v>
      </c>
      <c r="AO145" s="43">
        <f t="shared" si="46"/>
        <v>0</v>
      </c>
      <c r="AP145" s="43">
        <f t="shared" si="47"/>
        <v>0</v>
      </c>
      <c r="AQ145" s="43">
        <f t="shared" si="48"/>
        <v>0</v>
      </c>
      <c r="AR145" s="43">
        <f t="shared" si="49"/>
        <v>0</v>
      </c>
      <c r="AT145" s="43">
        <f t="shared" si="50"/>
        <v>0</v>
      </c>
      <c r="AU145" s="43">
        <f t="shared" si="50"/>
        <v>0</v>
      </c>
      <c r="AV145" s="43">
        <f t="shared" si="50"/>
        <v>0</v>
      </c>
      <c r="AW145" s="43">
        <f t="shared" si="50"/>
        <v>0</v>
      </c>
      <c r="AX145" s="43">
        <f t="shared" si="50"/>
        <v>0</v>
      </c>
      <c r="AZ145" s="47">
        <f t="shared" si="64"/>
        <v>0</v>
      </c>
      <c r="BA145" s="47">
        <f t="shared" si="65"/>
        <v>0</v>
      </c>
      <c r="BB145" s="47">
        <f t="shared" si="66"/>
        <v>0</v>
      </c>
      <c r="BC145" s="47">
        <f t="shared" si="67"/>
        <v>0</v>
      </c>
      <c r="BD145" s="47">
        <f t="shared" si="68"/>
        <v>0</v>
      </c>
    </row>
    <row r="146" spans="2:56">
      <c r="B146" s="37">
        <f>'3. Input (des)investeringen '!B171</f>
        <v>1614</v>
      </c>
      <c r="C146" s="48"/>
      <c r="D146" s="48"/>
      <c r="E146" s="48"/>
      <c r="F146" s="42">
        <f>'3. Input (des)investeringen '!D171</f>
        <v>651273.34409009432</v>
      </c>
      <c r="G146" s="48"/>
      <c r="H146" s="37">
        <f>'3. Input (des)investeringen '!F171</f>
        <v>2024</v>
      </c>
      <c r="I146" s="42" t="str">
        <f>'3. Input (des)investeringen '!G171</f>
        <v>nvt</v>
      </c>
      <c r="J146" s="42">
        <f>'3. Input (des)investeringen '!H171</f>
        <v>5</v>
      </c>
      <c r="K146" s="42">
        <f>'3. Input (des)investeringen '!I171</f>
        <v>0</v>
      </c>
      <c r="M146" s="43">
        <f t="shared" si="56"/>
        <v>0</v>
      </c>
      <c r="N146" s="43">
        <f t="shared" si="57"/>
        <v>0</v>
      </c>
      <c r="P146" s="138">
        <f t="shared" si="36"/>
        <v>0</v>
      </c>
      <c r="Q146" s="138">
        <f t="shared" si="37"/>
        <v>0</v>
      </c>
      <c r="S146" s="43">
        <f t="shared" si="38"/>
        <v>651273.34409009432</v>
      </c>
      <c r="T146" s="38">
        <f t="shared" si="58"/>
        <v>5</v>
      </c>
      <c r="V146" s="43">
        <f t="shared" si="69"/>
        <v>0</v>
      </c>
      <c r="W146" s="43">
        <f t="shared" si="69"/>
        <v>0</v>
      </c>
      <c r="X146" s="43">
        <f t="shared" si="69"/>
        <v>76198.98125854104</v>
      </c>
      <c r="Y146" s="43">
        <f t="shared" si="69"/>
        <v>132586.22738986139</v>
      </c>
      <c r="Z146" s="43">
        <f t="shared" si="69"/>
        <v>107817.37172362355</v>
      </c>
      <c r="AB146" s="43">
        <f t="shared" si="70"/>
        <v>0</v>
      </c>
      <c r="AC146" s="43">
        <f t="shared" si="70"/>
        <v>0</v>
      </c>
      <c r="AD146" s="43">
        <f t="shared" si="70"/>
        <v>6512.7334409009436</v>
      </c>
      <c r="AE146" s="43">
        <f t="shared" si="70"/>
        <v>13025.466881801887</v>
      </c>
      <c r="AF146" s="43">
        <f t="shared" si="70"/>
        <v>13025.466881801887</v>
      </c>
      <c r="AH146" s="43">
        <f t="shared" si="59"/>
        <v>0</v>
      </c>
      <c r="AI146" s="43">
        <f t="shared" si="60"/>
        <v>0</v>
      </c>
      <c r="AJ146" s="43">
        <f t="shared" si="61"/>
        <v>82711.714699441989</v>
      </c>
      <c r="AK146" s="43">
        <f t="shared" si="62"/>
        <v>145611.69427166329</v>
      </c>
      <c r="AL146" s="43">
        <f t="shared" si="63"/>
        <v>120842.83860542544</v>
      </c>
      <c r="AN146" s="43">
        <f t="shared" si="45"/>
        <v>0</v>
      </c>
      <c r="AO146" s="43">
        <f t="shared" si="46"/>
        <v>0</v>
      </c>
      <c r="AP146" s="43">
        <f t="shared" si="47"/>
        <v>568561.62939065229</v>
      </c>
      <c r="AQ146" s="43">
        <f t="shared" si="48"/>
        <v>422949.93511898897</v>
      </c>
      <c r="AR146" s="43">
        <f t="shared" si="49"/>
        <v>302107.09651356353</v>
      </c>
      <c r="AT146" s="43">
        <f t="shared" si="50"/>
        <v>0</v>
      </c>
      <c r="AU146" s="43">
        <f t="shared" si="50"/>
        <v>0</v>
      </c>
      <c r="AV146" s="43">
        <f t="shared" si="50"/>
        <v>6512.7334409009436</v>
      </c>
      <c r="AW146" s="43">
        <f t="shared" si="50"/>
        <v>6668.309617337185</v>
      </c>
      <c r="AX146" s="43">
        <f t="shared" si="50"/>
        <v>6754.544197308589</v>
      </c>
      <c r="AZ146" s="47">
        <f t="shared" si="64"/>
        <v>0</v>
      </c>
      <c r="BA146" s="47">
        <f t="shared" si="65"/>
        <v>0</v>
      </c>
      <c r="BB146" s="47">
        <f t="shared" si="66"/>
        <v>110829.79005718773</v>
      </c>
      <c r="BC146" s="47">
        <f t="shared" si="67"/>
        <v>168352.10142352205</v>
      </c>
      <c r="BD146" s="47">
        <f t="shared" si="68"/>
        <v>139077.45247024944</v>
      </c>
    </row>
    <row r="147" spans="2:56">
      <c r="B147" s="37">
        <f>'3. Input (des)investeringen '!B172</f>
        <v>1615</v>
      </c>
      <c r="C147" s="48"/>
      <c r="D147" s="48"/>
      <c r="E147" s="48"/>
      <c r="F147" s="42">
        <f>'3. Input (des)investeringen '!D172</f>
        <v>4821081.9099292308</v>
      </c>
      <c r="G147" s="48"/>
      <c r="H147" s="37">
        <f>'3. Input (des)investeringen '!F172</f>
        <v>2024</v>
      </c>
      <c r="I147" s="42" t="str">
        <f>'3. Input (des)investeringen '!G172</f>
        <v>nvt</v>
      </c>
      <c r="J147" s="42">
        <f>'3. Input (des)investeringen '!H172</f>
        <v>10</v>
      </c>
      <c r="K147" s="42">
        <f>'3. Input (des)investeringen '!I172</f>
        <v>0</v>
      </c>
      <c r="M147" s="43">
        <f t="shared" si="56"/>
        <v>0</v>
      </c>
      <c r="N147" s="43">
        <f t="shared" si="57"/>
        <v>0</v>
      </c>
      <c r="P147" s="138">
        <f t="shared" si="36"/>
        <v>0</v>
      </c>
      <c r="Q147" s="138">
        <f t="shared" si="37"/>
        <v>0</v>
      </c>
      <c r="S147" s="43">
        <f t="shared" si="38"/>
        <v>4821081.9099292308</v>
      </c>
      <c r="T147" s="38">
        <f t="shared" si="58"/>
        <v>10</v>
      </c>
      <c r="V147" s="43">
        <f t="shared" si="69"/>
        <v>0</v>
      </c>
      <c r="W147" s="43">
        <f t="shared" si="69"/>
        <v>0</v>
      </c>
      <c r="X147" s="43">
        <f t="shared" si="69"/>
        <v>282033.29173086007</v>
      </c>
      <c r="Y147" s="43">
        <f t="shared" si="69"/>
        <v>527402.25553670828</v>
      </c>
      <c r="Z147" s="43">
        <f t="shared" si="69"/>
        <v>458839.96231693623</v>
      </c>
      <c r="AB147" s="43">
        <f t="shared" si="70"/>
        <v>0</v>
      </c>
      <c r="AC147" s="43">
        <f t="shared" si="70"/>
        <v>0</v>
      </c>
      <c r="AD147" s="43">
        <f t="shared" si="70"/>
        <v>24105.409549646156</v>
      </c>
      <c r="AE147" s="43">
        <f t="shared" si="70"/>
        <v>48210.819099292312</v>
      </c>
      <c r="AF147" s="43">
        <f t="shared" si="70"/>
        <v>48210.819099292312</v>
      </c>
      <c r="AH147" s="43">
        <f t="shared" si="59"/>
        <v>0</v>
      </c>
      <c r="AI147" s="43">
        <f t="shared" si="60"/>
        <v>0</v>
      </c>
      <c r="AJ147" s="43">
        <f t="shared" si="61"/>
        <v>306138.70128050621</v>
      </c>
      <c r="AK147" s="43">
        <f t="shared" si="62"/>
        <v>575613.07463600056</v>
      </c>
      <c r="AL147" s="43">
        <f t="shared" si="63"/>
        <v>507050.78141622856</v>
      </c>
      <c r="AN147" s="43">
        <f t="shared" si="45"/>
        <v>0</v>
      </c>
      <c r="AO147" s="43">
        <f t="shared" si="46"/>
        <v>0</v>
      </c>
      <c r="AP147" s="43">
        <f t="shared" si="47"/>
        <v>4514943.2086487245</v>
      </c>
      <c r="AQ147" s="43">
        <f t="shared" si="48"/>
        <v>3939330.1340127238</v>
      </c>
      <c r="AR147" s="43">
        <f t="shared" si="49"/>
        <v>3432279.3525964953</v>
      </c>
      <c r="AT147" s="43">
        <f t="shared" si="50"/>
        <v>0</v>
      </c>
      <c r="AU147" s="43">
        <f t="shared" si="50"/>
        <v>0</v>
      </c>
      <c r="AV147" s="43">
        <f t="shared" si="50"/>
        <v>48210.819099292312</v>
      </c>
      <c r="AW147" s="43">
        <f t="shared" si="50"/>
        <v>49362.479145936202</v>
      </c>
      <c r="AX147" s="43">
        <f t="shared" si="50"/>
        <v>50000.834726251436</v>
      </c>
      <c r="AZ147" s="47">
        <f t="shared" si="64"/>
        <v>0</v>
      </c>
      <c r="BA147" s="47">
        <f t="shared" si="65"/>
        <v>0</v>
      </c>
      <c r="BB147" s="47">
        <f t="shared" si="66"/>
        <v>525917.36230845004</v>
      </c>
      <c r="BC147" s="47">
        <f t="shared" si="67"/>
        <v>774670.09887442028</v>
      </c>
      <c r="BD147" s="47">
        <f t="shared" si="68"/>
        <v>687478.23154114676</v>
      </c>
    </row>
    <row r="148" spans="2:56">
      <c r="B148" s="37">
        <f>'3. Input (des)investeringen '!B173</f>
        <v>1616</v>
      </c>
      <c r="C148" s="48"/>
      <c r="D148" s="48"/>
      <c r="E148" s="48"/>
      <c r="F148" s="42">
        <f>'3. Input (des)investeringen '!D173</f>
        <v>7889201.656386218</v>
      </c>
      <c r="G148" s="48"/>
      <c r="H148" s="37">
        <f>'3. Input (des)investeringen '!F173</f>
        <v>2024</v>
      </c>
      <c r="I148" s="42" t="str">
        <f>'3. Input (des)investeringen '!G173</f>
        <v>nvt</v>
      </c>
      <c r="J148" s="42">
        <f>'3. Input (des)investeringen '!H173</f>
        <v>15</v>
      </c>
      <c r="K148" s="42">
        <f>'3. Input (des)investeringen '!I173</f>
        <v>0</v>
      </c>
      <c r="M148" s="43">
        <f t="shared" si="56"/>
        <v>0</v>
      </c>
      <c r="N148" s="43">
        <f t="shared" si="57"/>
        <v>0</v>
      </c>
      <c r="P148" s="138">
        <f t="shared" si="36"/>
        <v>0</v>
      </c>
      <c r="Q148" s="138">
        <f t="shared" si="37"/>
        <v>0</v>
      </c>
      <c r="S148" s="43">
        <f t="shared" si="38"/>
        <v>7889201.656386218</v>
      </c>
      <c r="T148" s="38">
        <f t="shared" si="58"/>
        <v>15</v>
      </c>
      <c r="V148" s="43">
        <f t="shared" si="69"/>
        <v>0</v>
      </c>
      <c r="W148" s="43">
        <f t="shared" si="69"/>
        <v>0</v>
      </c>
      <c r="X148" s="43">
        <f t="shared" si="69"/>
        <v>307678.86459906254</v>
      </c>
      <c r="Y148" s="43">
        <f t="shared" si="69"/>
        <v>588692.22759953968</v>
      </c>
      <c r="Z148" s="43">
        <f t="shared" si="69"/>
        <v>537672.2345409129</v>
      </c>
      <c r="AB148" s="43">
        <f t="shared" si="70"/>
        <v>0</v>
      </c>
      <c r="AC148" s="43">
        <f t="shared" si="70"/>
        <v>0</v>
      </c>
      <c r="AD148" s="43">
        <f t="shared" si="70"/>
        <v>26297.338854620732</v>
      </c>
      <c r="AE148" s="43">
        <f t="shared" si="70"/>
        <v>52594.677709241463</v>
      </c>
      <c r="AF148" s="43">
        <f t="shared" si="70"/>
        <v>52594.677709241463</v>
      </c>
      <c r="AH148" s="43">
        <f t="shared" si="59"/>
        <v>0</v>
      </c>
      <c r="AI148" s="43">
        <f t="shared" si="60"/>
        <v>0</v>
      </c>
      <c r="AJ148" s="43">
        <f t="shared" si="61"/>
        <v>333976.20345368329</v>
      </c>
      <c r="AK148" s="43">
        <f t="shared" si="62"/>
        <v>641286.90530878119</v>
      </c>
      <c r="AL148" s="43">
        <f t="shared" si="63"/>
        <v>590266.91225015442</v>
      </c>
      <c r="AN148" s="43">
        <f t="shared" si="45"/>
        <v>0</v>
      </c>
      <c r="AO148" s="43">
        <f t="shared" si="46"/>
        <v>0</v>
      </c>
      <c r="AP148" s="43">
        <f t="shared" si="47"/>
        <v>7555225.4529325347</v>
      </c>
      <c r="AQ148" s="43">
        <f t="shared" si="48"/>
        <v>6913938.5476237535</v>
      </c>
      <c r="AR148" s="43">
        <f t="shared" si="49"/>
        <v>6323671.6353735989</v>
      </c>
      <c r="AT148" s="43">
        <f t="shared" si="50"/>
        <v>0</v>
      </c>
      <c r="AU148" s="43">
        <f t="shared" si="50"/>
        <v>0</v>
      </c>
      <c r="AV148" s="43">
        <f t="shared" si="50"/>
        <v>78892.016563862184</v>
      </c>
      <c r="AW148" s="43">
        <f t="shared" si="50"/>
        <v>80776.58905553972</v>
      </c>
      <c r="AX148" s="43">
        <f t="shared" si="50"/>
        <v>81821.191905205953</v>
      </c>
      <c r="AZ148" s="47">
        <f t="shared" si="64"/>
        <v>0</v>
      </c>
      <c r="BA148" s="47">
        <f t="shared" si="65"/>
        <v>0</v>
      </c>
      <c r="BB148" s="47">
        <f t="shared" si="66"/>
        <v>699966.78722898185</v>
      </c>
      <c r="BC148" s="47">
        <f t="shared" si="67"/>
        <v>984793.15917402355</v>
      </c>
      <c r="BD148" s="47">
        <f t="shared" si="68"/>
        <v>912387.62629955716</v>
      </c>
    </row>
    <row r="149" spans="2:56">
      <c r="B149" s="37">
        <f>'3. Input (des)investeringen '!B174</f>
        <v>1617</v>
      </c>
      <c r="C149" s="48"/>
      <c r="D149" s="48"/>
      <c r="E149" s="48"/>
      <c r="F149" s="42">
        <f>'3. Input (des)investeringen '!D174</f>
        <v>7827738.1927272025</v>
      </c>
      <c r="G149" s="48"/>
      <c r="H149" s="37">
        <f>'3. Input (des)investeringen '!F174</f>
        <v>2024</v>
      </c>
      <c r="I149" s="42" t="str">
        <f>'3. Input (des)investeringen '!G174</f>
        <v>nvt</v>
      </c>
      <c r="J149" s="42">
        <f>'3. Input (des)investeringen '!H174</f>
        <v>30</v>
      </c>
      <c r="K149" s="42">
        <f>'3. Input (des)investeringen '!I174</f>
        <v>0</v>
      </c>
      <c r="M149" s="43">
        <f t="shared" si="56"/>
        <v>0</v>
      </c>
      <c r="N149" s="43">
        <f t="shared" si="57"/>
        <v>0</v>
      </c>
      <c r="P149" s="138">
        <f t="shared" si="36"/>
        <v>0</v>
      </c>
      <c r="Q149" s="138">
        <f t="shared" si="37"/>
        <v>0</v>
      </c>
      <c r="S149" s="43">
        <f t="shared" si="38"/>
        <v>7827738.1927272025</v>
      </c>
      <c r="T149" s="38">
        <f t="shared" si="58"/>
        <v>30</v>
      </c>
      <c r="V149" s="43">
        <f t="shared" si="69"/>
        <v>0</v>
      </c>
      <c r="W149" s="43">
        <f t="shared" si="69"/>
        <v>0</v>
      </c>
      <c r="X149" s="43">
        <f t="shared" si="69"/>
        <v>152640.89475818045</v>
      </c>
      <c r="Y149" s="43">
        <f t="shared" si="69"/>
        <v>298667.35074350639</v>
      </c>
      <c r="Z149" s="43">
        <f t="shared" si="69"/>
        <v>285725.09887795447</v>
      </c>
      <c r="AB149" s="43">
        <f t="shared" si="70"/>
        <v>0</v>
      </c>
      <c r="AC149" s="43">
        <f t="shared" si="70"/>
        <v>0</v>
      </c>
      <c r="AD149" s="43">
        <f t="shared" si="70"/>
        <v>13046.230321212004</v>
      </c>
      <c r="AE149" s="43">
        <f t="shared" si="70"/>
        <v>26092.460642424008</v>
      </c>
      <c r="AF149" s="43">
        <f t="shared" si="70"/>
        <v>26092.460642424008</v>
      </c>
      <c r="AH149" s="43">
        <f t="shared" si="59"/>
        <v>0</v>
      </c>
      <c r="AI149" s="43">
        <f t="shared" si="60"/>
        <v>0</v>
      </c>
      <c r="AJ149" s="43">
        <f t="shared" si="61"/>
        <v>165687.12507939246</v>
      </c>
      <c r="AK149" s="43">
        <f t="shared" si="62"/>
        <v>324759.8113859304</v>
      </c>
      <c r="AL149" s="43">
        <f t="shared" si="63"/>
        <v>311817.55952037848</v>
      </c>
      <c r="AN149" s="43">
        <f t="shared" si="45"/>
        <v>0</v>
      </c>
      <c r="AO149" s="43">
        <f t="shared" si="46"/>
        <v>0</v>
      </c>
      <c r="AP149" s="43">
        <f t="shared" si="47"/>
        <v>7662051.0676478101</v>
      </c>
      <c r="AQ149" s="43">
        <f t="shared" si="48"/>
        <v>7337291.2562618796</v>
      </c>
      <c r="AR149" s="43">
        <f t="shared" si="49"/>
        <v>7025473.6967415009</v>
      </c>
      <c r="AT149" s="43">
        <f t="shared" si="50"/>
        <v>0</v>
      </c>
      <c r="AU149" s="43">
        <f t="shared" si="50"/>
        <v>0</v>
      </c>
      <c r="AV149" s="43">
        <f t="shared" si="50"/>
        <v>78277.381927272028</v>
      </c>
      <c r="AW149" s="43">
        <f t="shared" si="50"/>
        <v>80147.27202675071</v>
      </c>
      <c r="AX149" s="43">
        <f t="shared" si="50"/>
        <v>81183.736548600631</v>
      </c>
      <c r="AZ149" s="47">
        <f t="shared" si="64"/>
        <v>0</v>
      </c>
      <c r="BA149" s="47">
        <f t="shared" si="65"/>
        <v>0</v>
      </c>
      <c r="BB149" s="47">
        <f t="shared" si="66"/>
        <v>535122.44757728127</v>
      </c>
      <c r="BC149" s="47">
        <f t="shared" si="67"/>
        <v>683724.15115063253</v>
      </c>
      <c r="BD149" s="47">
        <f t="shared" si="68"/>
        <v>659969.29654515616</v>
      </c>
    </row>
    <row r="150" spans="2:56">
      <c r="B150" s="37">
        <f>'3. Input (des)investeringen '!B175</f>
        <v>1618</v>
      </c>
      <c r="C150" s="48"/>
      <c r="D150" s="48"/>
      <c r="E150" s="48"/>
      <c r="F150" s="42">
        <f>'3. Input (des)investeringen '!D175</f>
        <v>0</v>
      </c>
      <c r="G150" s="48"/>
      <c r="H150" s="37">
        <f>'3. Input (des)investeringen '!F175</f>
        <v>2024</v>
      </c>
      <c r="I150" s="42" t="str">
        <f>'3. Input (des)investeringen '!G175</f>
        <v>nvt</v>
      </c>
      <c r="J150" s="42">
        <f>'3. Input (des)investeringen '!H175</f>
        <v>55</v>
      </c>
      <c r="K150" s="42">
        <f>'3. Input (des)investeringen '!I175</f>
        <v>0</v>
      </c>
      <c r="M150" s="43">
        <f t="shared" si="56"/>
        <v>0</v>
      </c>
      <c r="N150" s="43">
        <f t="shared" si="57"/>
        <v>0</v>
      </c>
      <c r="P150" s="138">
        <f t="shared" si="36"/>
        <v>0</v>
      </c>
      <c r="Q150" s="138">
        <f t="shared" si="37"/>
        <v>0</v>
      </c>
      <c r="S150" s="43">
        <f t="shared" si="38"/>
        <v>0</v>
      </c>
      <c r="T150" s="38">
        <f t="shared" si="58"/>
        <v>55</v>
      </c>
      <c r="V150" s="43">
        <f t="shared" si="69"/>
        <v>0</v>
      </c>
      <c r="W150" s="43">
        <f t="shared" si="69"/>
        <v>0</v>
      </c>
      <c r="X150" s="43">
        <f t="shared" si="69"/>
        <v>0</v>
      </c>
      <c r="Y150" s="43">
        <f t="shared" si="69"/>
        <v>0</v>
      </c>
      <c r="Z150" s="43">
        <f t="shared" si="69"/>
        <v>0</v>
      </c>
      <c r="AB150" s="43">
        <f t="shared" si="70"/>
        <v>0</v>
      </c>
      <c r="AC150" s="43">
        <f t="shared" si="70"/>
        <v>0</v>
      </c>
      <c r="AD150" s="43">
        <f t="shared" si="70"/>
        <v>0</v>
      </c>
      <c r="AE150" s="43">
        <f t="shared" si="70"/>
        <v>0</v>
      </c>
      <c r="AF150" s="43">
        <f t="shared" si="70"/>
        <v>0</v>
      </c>
      <c r="AH150" s="43">
        <f t="shared" si="59"/>
        <v>0</v>
      </c>
      <c r="AI150" s="43">
        <f t="shared" si="60"/>
        <v>0</v>
      </c>
      <c r="AJ150" s="43">
        <f t="shared" si="61"/>
        <v>0</v>
      </c>
      <c r="AK150" s="43">
        <f t="shared" si="62"/>
        <v>0</v>
      </c>
      <c r="AL150" s="43">
        <f t="shared" si="63"/>
        <v>0</v>
      </c>
      <c r="AN150" s="43">
        <f t="shared" si="45"/>
        <v>0</v>
      </c>
      <c r="AO150" s="43">
        <f t="shared" si="46"/>
        <v>0</v>
      </c>
      <c r="AP150" s="43">
        <f t="shared" si="47"/>
        <v>0</v>
      </c>
      <c r="AQ150" s="43">
        <f t="shared" si="48"/>
        <v>0</v>
      </c>
      <c r="AR150" s="43">
        <f t="shared" si="49"/>
        <v>0</v>
      </c>
      <c r="AT150" s="43">
        <f t="shared" si="50"/>
        <v>0</v>
      </c>
      <c r="AU150" s="43">
        <f t="shared" si="50"/>
        <v>0</v>
      </c>
      <c r="AV150" s="43">
        <f t="shared" si="50"/>
        <v>0</v>
      </c>
      <c r="AW150" s="43">
        <f t="shared" si="50"/>
        <v>0</v>
      </c>
      <c r="AX150" s="43">
        <f t="shared" si="50"/>
        <v>0</v>
      </c>
      <c r="AZ150" s="47">
        <f t="shared" si="64"/>
        <v>0</v>
      </c>
      <c r="BA150" s="47">
        <f t="shared" si="65"/>
        <v>0</v>
      </c>
      <c r="BB150" s="47">
        <f t="shared" si="66"/>
        <v>0</v>
      </c>
      <c r="BC150" s="47">
        <f t="shared" si="67"/>
        <v>0</v>
      </c>
      <c r="BD150" s="47">
        <f t="shared" si="68"/>
        <v>0</v>
      </c>
    </row>
    <row r="151" spans="2:56">
      <c r="B151" s="37">
        <f>'3. Input (des)investeringen '!B176</f>
        <v>1619</v>
      </c>
      <c r="C151" s="48"/>
      <c r="D151" s="48"/>
      <c r="E151" s="48"/>
      <c r="F151" s="42">
        <f>'3. Input (des)investeringen '!D176</f>
        <v>0</v>
      </c>
      <c r="G151" s="48"/>
      <c r="H151" s="37">
        <f>'3. Input (des)investeringen '!F176</f>
        <v>2025</v>
      </c>
      <c r="I151" s="42" t="str">
        <f>'3. Input (des)investeringen '!G176</f>
        <v>nvt</v>
      </c>
      <c r="J151" s="42">
        <f>'3. Input (des)investeringen '!H176</f>
        <v>0</v>
      </c>
      <c r="K151" s="42">
        <f>'3. Input (des)investeringen '!I176</f>
        <v>1</v>
      </c>
      <c r="M151" s="43">
        <f t="shared" si="56"/>
        <v>0</v>
      </c>
      <c r="N151" s="43">
        <f t="shared" si="57"/>
        <v>0</v>
      </c>
      <c r="P151" s="138">
        <f t="shared" si="36"/>
        <v>0</v>
      </c>
      <c r="Q151" s="138">
        <f t="shared" si="37"/>
        <v>0</v>
      </c>
      <c r="S151" s="43">
        <f t="shared" si="38"/>
        <v>0</v>
      </c>
      <c r="T151" s="38">
        <f t="shared" si="58"/>
        <v>0</v>
      </c>
      <c r="V151" s="43">
        <f t="shared" si="69"/>
        <v>0</v>
      </c>
      <c r="W151" s="43">
        <f t="shared" si="69"/>
        <v>0</v>
      </c>
      <c r="X151" s="43">
        <f t="shared" si="69"/>
        <v>0</v>
      </c>
      <c r="Y151" s="43">
        <f t="shared" si="69"/>
        <v>0</v>
      </c>
      <c r="Z151" s="43">
        <f t="shared" si="69"/>
        <v>0</v>
      </c>
      <c r="AB151" s="43">
        <f t="shared" si="70"/>
        <v>0</v>
      </c>
      <c r="AC151" s="43">
        <f t="shared" si="70"/>
        <v>0</v>
      </c>
      <c r="AD151" s="43">
        <f t="shared" si="70"/>
        <v>0</v>
      </c>
      <c r="AE151" s="43">
        <f t="shared" si="70"/>
        <v>0</v>
      </c>
      <c r="AF151" s="43">
        <f t="shared" si="70"/>
        <v>0</v>
      </c>
      <c r="AH151" s="43">
        <f t="shared" si="59"/>
        <v>0</v>
      </c>
      <c r="AI151" s="43">
        <f t="shared" si="60"/>
        <v>0</v>
      </c>
      <c r="AJ151" s="43">
        <f t="shared" si="61"/>
        <v>0</v>
      </c>
      <c r="AK151" s="43">
        <f t="shared" si="62"/>
        <v>0</v>
      </c>
      <c r="AL151" s="43">
        <f t="shared" si="63"/>
        <v>0</v>
      </c>
      <c r="AN151" s="43">
        <f t="shared" si="45"/>
        <v>0</v>
      </c>
      <c r="AO151" s="43">
        <f t="shared" si="46"/>
        <v>0</v>
      </c>
      <c r="AP151" s="43">
        <f t="shared" si="47"/>
        <v>0</v>
      </c>
      <c r="AQ151" s="43">
        <f t="shared" si="48"/>
        <v>0</v>
      </c>
      <c r="AR151" s="43">
        <f t="shared" si="49"/>
        <v>0</v>
      </c>
      <c r="AT151" s="43">
        <f t="shared" si="50"/>
        <v>0</v>
      </c>
      <c r="AU151" s="43">
        <f t="shared" si="50"/>
        <v>0</v>
      </c>
      <c r="AV151" s="43">
        <f t="shared" si="50"/>
        <v>0</v>
      </c>
      <c r="AW151" s="43">
        <f t="shared" si="50"/>
        <v>0</v>
      </c>
      <c r="AX151" s="43">
        <f t="shared" si="50"/>
        <v>0</v>
      </c>
      <c r="AZ151" s="47">
        <f t="shared" si="64"/>
        <v>0</v>
      </c>
      <c r="BA151" s="47">
        <f t="shared" si="65"/>
        <v>0</v>
      </c>
      <c r="BB151" s="47">
        <f t="shared" si="66"/>
        <v>0</v>
      </c>
      <c r="BC151" s="47">
        <f t="shared" si="67"/>
        <v>0</v>
      </c>
      <c r="BD151" s="47">
        <f t="shared" si="68"/>
        <v>0</v>
      </c>
    </row>
    <row r="152" spans="2:56">
      <c r="B152" s="37">
        <f>'3. Input (des)investeringen '!B177</f>
        <v>1620</v>
      </c>
      <c r="C152" s="48"/>
      <c r="D152" s="48"/>
      <c r="E152" s="48"/>
      <c r="F152" s="42">
        <f>'3. Input (des)investeringen '!D177</f>
        <v>17553950.889932934</v>
      </c>
      <c r="G152" s="48"/>
      <c r="H152" s="37">
        <f>'3. Input (des)investeringen '!F177</f>
        <v>2025</v>
      </c>
      <c r="I152" s="42" t="str">
        <f>'3. Input (des)investeringen '!G177</f>
        <v>nvt</v>
      </c>
      <c r="J152" s="42">
        <f>'3. Input (des)investeringen '!H177</f>
        <v>5</v>
      </c>
      <c r="K152" s="42">
        <f>'3. Input (des)investeringen '!I177</f>
        <v>1</v>
      </c>
      <c r="M152" s="43">
        <f t="shared" si="56"/>
        <v>0</v>
      </c>
      <c r="N152" s="43">
        <f t="shared" si="57"/>
        <v>0</v>
      </c>
      <c r="P152" s="138">
        <f t="shared" si="36"/>
        <v>0</v>
      </c>
      <c r="Q152" s="138">
        <f t="shared" si="37"/>
        <v>0</v>
      </c>
      <c r="S152" s="43">
        <f t="shared" si="38"/>
        <v>17553950.889932934</v>
      </c>
      <c r="T152" s="38">
        <f t="shared" si="58"/>
        <v>5</v>
      </c>
      <c r="V152" s="43">
        <f t="shared" si="69"/>
        <v>0</v>
      </c>
      <c r="W152" s="43">
        <f t="shared" si="69"/>
        <v>0</v>
      </c>
      <c r="X152" s="43">
        <f t="shared" si="69"/>
        <v>0</v>
      </c>
      <c r="Y152" s="43">
        <f t="shared" si="69"/>
        <v>2053812.2541221536</v>
      </c>
      <c r="Z152" s="43">
        <f t="shared" si="69"/>
        <v>3573633.3221725472</v>
      </c>
      <c r="AB152" s="43">
        <f t="shared" si="70"/>
        <v>0</v>
      </c>
      <c r="AC152" s="43">
        <f t="shared" si="70"/>
        <v>0</v>
      </c>
      <c r="AD152" s="43">
        <f t="shared" si="70"/>
        <v>0</v>
      </c>
      <c r="AE152" s="43">
        <f t="shared" si="70"/>
        <v>175539.50889932935</v>
      </c>
      <c r="AF152" s="43">
        <f t="shared" si="70"/>
        <v>351079.01779865869</v>
      </c>
      <c r="AH152" s="43">
        <f t="shared" si="59"/>
        <v>0</v>
      </c>
      <c r="AI152" s="43">
        <f t="shared" si="60"/>
        <v>0</v>
      </c>
      <c r="AJ152" s="43">
        <f t="shared" si="61"/>
        <v>0</v>
      </c>
      <c r="AK152" s="43">
        <f t="shared" si="62"/>
        <v>2229351.7630214831</v>
      </c>
      <c r="AL152" s="43">
        <f t="shared" si="63"/>
        <v>3924712.3399712062</v>
      </c>
      <c r="AN152" s="43">
        <f t="shared" si="45"/>
        <v>0</v>
      </c>
      <c r="AO152" s="43">
        <f t="shared" si="46"/>
        <v>0</v>
      </c>
      <c r="AP152" s="43">
        <f t="shared" si="47"/>
        <v>0</v>
      </c>
      <c r="AQ152" s="43">
        <f t="shared" si="48"/>
        <v>15324599.12691145</v>
      </c>
      <c r="AR152" s="43">
        <f t="shared" si="49"/>
        <v>11399886.786940243</v>
      </c>
      <c r="AT152" s="43">
        <f t="shared" si="50"/>
        <v>0</v>
      </c>
      <c r="AU152" s="43">
        <f t="shared" si="50"/>
        <v>0</v>
      </c>
      <c r="AV152" s="43">
        <f t="shared" si="50"/>
        <v>0</v>
      </c>
      <c r="AW152" s="43">
        <f t="shared" si="50"/>
        <v>175539.50889932935</v>
      </c>
      <c r="AX152" s="43">
        <f t="shared" si="50"/>
        <v>177809.58582841547</v>
      </c>
      <c r="AZ152" s="47">
        <f t="shared" si="64"/>
        <v>0</v>
      </c>
      <c r="BA152" s="47">
        <f t="shared" si="65"/>
        <v>0</v>
      </c>
      <c r="BB152" s="47">
        <f t="shared" si="66"/>
        <v>0</v>
      </c>
      <c r="BC152" s="47">
        <f t="shared" si="67"/>
        <v>2987226.0387434475</v>
      </c>
      <c r="BD152" s="47">
        <f t="shared" si="68"/>
        <v>4535717.6237033503</v>
      </c>
    </row>
    <row r="153" spans="2:56">
      <c r="B153" s="37">
        <f>'3. Input (des)investeringen '!B178</f>
        <v>1621</v>
      </c>
      <c r="C153" s="48"/>
      <c r="D153" s="48"/>
      <c r="E153" s="48"/>
      <c r="F153" s="42">
        <f>'3. Input (des)investeringen '!D178</f>
        <v>5324492.346004094</v>
      </c>
      <c r="G153" s="48"/>
      <c r="H153" s="37">
        <f>'3. Input (des)investeringen '!F178</f>
        <v>2025</v>
      </c>
      <c r="I153" s="42" t="str">
        <f>'3. Input (des)investeringen '!G178</f>
        <v>nvt</v>
      </c>
      <c r="J153" s="42">
        <f>'3. Input (des)investeringen '!H178</f>
        <v>10</v>
      </c>
      <c r="K153" s="42">
        <f>'3. Input (des)investeringen '!I178</f>
        <v>1</v>
      </c>
      <c r="M153" s="43">
        <f t="shared" si="56"/>
        <v>0</v>
      </c>
      <c r="N153" s="43">
        <f t="shared" si="57"/>
        <v>0</v>
      </c>
      <c r="P153" s="138">
        <f t="shared" si="36"/>
        <v>0</v>
      </c>
      <c r="Q153" s="138">
        <f t="shared" si="37"/>
        <v>0</v>
      </c>
      <c r="S153" s="43">
        <f t="shared" si="38"/>
        <v>5324492.346004094</v>
      </c>
      <c r="T153" s="38">
        <f t="shared" si="58"/>
        <v>10</v>
      </c>
      <c r="V153" s="43">
        <f t="shared" si="69"/>
        <v>0</v>
      </c>
      <c r="W153" s="43">
        <f t="shared" si="69"/>
        <v>0</v>
      </c>
      <c r="X153" s="43">
        <f t="shared" si="69"/>
        <v>0</v>
      </c>
      <c r="Y153" s="43">
        <f t="shared" si="69"/>
        <v>311482.80224123952</v>
      </c>
      <c r="Z153" s="43">
        <f t="shared" si="69"/>
        <v>582472.84019111795</v>
      </c>
      <c r="AB153" s="43">
        <f t="shared" si="70"/>
        <v>0</v>
      </c>
      <c r="AC153" s="43">
        <f t="shared" si="70"/>
        <v>0</v>
      </c>
      <c r="AD153" s="43">
        <f t="shared" si="70"/>
        <v>0</v>
      </c>
      <c r="AE153" s="43">
        <f t="shared" si="70"/>
        <v>26622.46173002047</v>
      </c>
      <c r="AF153" s="43">
        <f t="shared" si="70"/>
        <v>53244.92346004094</v>
      </c>
      <c r="AH153" s="43">
        <f t="shared" si="59"/>
        <v>0</v>
      </c>
      <c r="AI153" s="43">
        <f t="shared" si="60"/>
        <v>0</v>
      </c>
      <c r="AJ153" s="43">
        <f t="shared" si="61"/>
        <v>0</v>
      </c>
      <c r="AK153" s="43">
        <f t="shared" si="62"/>
        <v>338105.26397125999</v>
      </c>
      <c r="AL153" s="43">
        <f t="shared" si="63"/>
        <v>635717.76365115889</v>
      </c>
      <c r="AN153" s="43">
        <f t="shared" si="45"/>
        <v>0</v>
      </c>
      <c r="AO153" s="43">
        <f t="shared" si="46"/>
        <v>0</v>
      </c>
      <c r="AP153" s="43">
        <f t="shared" si="47"/>
        <v>0</v>
      </c>
      <c r="AQ153" s="43">
        <f t="shared" si="48"/>
        <v>4986387.0820328342</v>
      </c>
      <c r="AR153" s="43">
        <f t="shared" si="49"/>
        <v>4350669.3183816755</v>
      </c>
      <c r="AT153" s="43">
        <f t="shared" si="50"/>
        <v>0</v>
      </c>
      <c r="AU153" s="43">
        <f t="shared" si="50"/>
        <v>0</v>
      </c>
      <c r="AV153" s="43">
        <f t="shared" si="50"/>
        <v>0</v>
      </c>
      <c r="AW153" s="43">
        <f t="shared" si="50"/>
        <v>53244.92346004094</v>
      </c>
      <c r="AX153" s="43">
        <f t="shared" si="50"/>
        <v>53933.48681022619</v>
      </c>
      <c r="AZ153" s="47">
        <f t="shared" si="64"/>
        <v>0</v>
      </c>
      <c r="BA153" s="47">
        <f t="shared" si="65"/>
        <v>0</v>
      </c>
      <c r="BB153" s="47">
        <f t="shared" si="66"/>
        <v>0</v>
      </c>
      <c r="BC153" s="47">
        <f t="shared" si="67"/>
        <v>580832.8965485486</v>
      </c>
      <c r="BD153" s="47">
        <f t="shared" si="68"/>
        <v>854976.68455988879</v>
      </c>
    </row>
    <row r="154" spans="2:56">
      <c r="B154" s="37">
        <f>'3. Input (des)investeringen '!B179</f>
        <v>1622</v>
      </c>
      <c r="C154" s="48"/>
      <c r="D154" s="48"/>
      <c r="E154" s="48"/>
      <c r="F154" s="42">
        <f>'3. Input (des)investeringen '!D179</f>
        <v>25115276.635574285</v>
      </c>
      <c r="G154" s="48"/>
      <c r="H154" s="37">
        <f>'3. Input (des)investeringen '!F179</f>
        <v>2025</v>
      </c>
      <c r="I154" s="42" t="str">
        <f>'3. Input (des)investeringen '!G179</f>
        <v>nvt</v>
      </c>
      <c r="J154" s="42">
        <f>'3. Input (des)investeringen '!H179</f>
        <v>15</v>
      </c>
      <c r="K154" s="42">
        <f>'3. Input (des)investeringen '!I179</f>
        <v>1</v>
      </c>
      <c r="M154" s="43">
        <f t="shared" si="56"/>
        <v>0</v>
      </c>
      <c r="N154" s="43">
        <f t="shared" si="57"/>
        <v>0</v>
      </c>
      <c r="P154" s="138">
        <f t="shared" si="36"/>
        <v>0</v>
      </c>
      <c r="Q154" s="138">
        <f t="shared" si="37"/>
        <v>0</v>
      </c>
      <c r="S154" s="43">
        <f t="shared" si="38"/>
        <v>25115276.635574285</v>
      </c>
      <c r="T154" s="38">
        <f t="shared" si="58"/>
        <v>15</v>
      </c>
      <c r="V154" s="43">
        <f t="shared" si="69"/>
        <v>0</v>
      </c>
      <c r="W154" s="43">
        <f t="shared" si="69"/>
        <v>0</v>
      </c>
      <c r="X154" s="43">
        <f t="shared" si="69"/>
        <v>0</v>
      </c>
      <c r="Y154" s="43">
        <f t="shared" si="69"/>
        <v>979495.78878739709</v>
      </c>
      <c r="Z154" s="43">
        <f t="shared" si="69"/>
        <v>1874101.942546553</v>
      </c>
      <c r="AB154" s="43">
        <f t="shared" si="70"/>
        <v>0</v>
      </c>
      <c r="AC154" s="43">
        <f t="shared" si="70"/>
        <v>0</v>
      </c>
      <c r="AD154" s="43">
        <f t="shared" si="70"/>
        <v>0</v>
      </c>
      <c r="AE154" s="43">
        <f t="shared" si="70"/>
        <v>83717.588785247615</v>
      </c>
      <c r="AF154" s="43">
        <f t="shared" si="70"/>
        <v>167435.17757049523</v>
      </c>
      <c r="AH154" s="43">
        <f t="shared" si="59"/>
        <v>0</v>
      </c>
      <c r="AI154" s="43">
        <f t="shared" si="60"/>
        <v>0</v>
      </c>
      <c r="AJ154" s="43">
        <f t="shared" si="61"/>
        <v>0</v>
      </c>
      <c r="AK154" s="43">
        <f t="shared" si="62"/>
        <v>1063213.3775726447</v>
      </c>
      <c r="AL154" s="43">
        <f t="shared" si="63"/>
        <v>2041537.1201170483</v>
      </c>
      <c r="AN154" s="43">
        <f t="shared" si="45"/>
        <v>0</v>
      </c>
      <c r="AO154" s="43">
        <f t="shared" si="46"/>
        <v>0</v>
      </c>
      <c r="AP154" s="43">
        <f t="shared" si="47"/>
        <v>0</v>
      </c>
      <c r="AQ154" s="43">
        <f t="shared" si="48"/>
        <v>24052063.25800164</v>
      </c>
      <c r="AR154" s="43">
        <f t="shared" si="49"/>
        <v>22010526.137884591</v>
      </c>
      <c r="AT154" s="43">
        <f t="shared" si="50"/>
        <v>0</v>
      </c>
      <c r="AU154" s="43">
        <f t="shared" si="50"/>
        <v>0</v>
      </c>
      <c r="AV154" s="43">
        <f t="shared" si="50"/>
        <v>0</v>
      </c>
      <c r="AW154" s="43">
        <f t="shared" si="50"/>
        <v>251152.76635574285</v>
      </c>
      <c r="AX154" s="43">
        <f t="shared" si="50"/>
        <v>254400.67393025529</v>
      </c>
      <c r="AZ154" s="47">
        <f t="shared" si="64"/>
        <v>0</v>
      </c>
      <c r="BA154" s="47">
        <f t="shared" si="65"/>
        <v>0</v>
      </c>
      <c r="BB154" s="47">
        <f t="shared" si="66"/>
        <v>0</v>
      </c>
      <c r="BC154" s="47">
        <f t="shared" si="67"/>
        <v>2228344.5477324496</v>
      </c>
      <c r="BD154" s="47">
        <f t="shared" si="68"/>
        <v>3132337.7872869181</v>
      </c>
    </row>
    <row r="155" spans="2:56">
      <c r="B155" s="37">
        <f>'3. Input (des)investeringen '!B180</f>
        <v>1623</v>
      </c>
      <c r="C155" s="48"/>
      <c r="D155" s="48"/>
      <c r="E155" s="48"/>
      <c r="F155" s="42">
        <f>'3. Input (des)investeringen '!D180</f>
        <v>30846824.747949079</v>
      </c>
      <c r="G155" s="48"/>
      <c r="H155" s="37">
        <f>'3. Input (des)investeringen '!F180</f>
        <v>2025</v>
      </c>
      <c r="I155" s="42" t="str">
        <f>'3. Input (des)investeringen '!G180</f>
        <v>nvt</v>
      </c>
      <c r="J155" s="42">
        <f>'3. Input (des)investeringen '!H180</f>
        <v>30</v>
      </c>
      <c r="K155" s="42">
        <f>'3. Input (des)investeringen '!I180</f>
        <v>1</v>
      </c>
      <c r="M155" s="43">
        <f t="shared" si="56"/>
        <v>0</v>
      </c>
      <c r="N155" s="43">
        <f t="shared" si="57"/>
        <v>0</v>
      </c>
      <c r="P155" s="138">
        <f t="shared" si="36"/>
        <v>0</v>
      </c>
      <c r="Q155" s="138">
        <f t="shared" si="37"/>
        <v>0</v>
      </c>
      <c r="S155" s="43">
        <f t="shared" si="38"/>
        <v>30846824.747949079</v>
      </c>
      <c r="T155" s="38">
        <f t="shared" si="58"/>
        <v>30</v>
      </c>
      <c r="V155" s="43">
        <f t="shared" si="69"/>
        <v>0</v>
      </c>
      <c r="W155" s="43">
        <f t="shared" si="69"/>
        <v>0</v>
      </c>
      <c r="X155" s="43">
        <f t="shared" si="69"/>
        <v>0</v>
      </c>
      <c r="Y155" s="43">
        <f t="shared" si="69"/>
        <v>601513.08258500707</v>
      </c>
      <c r="Z155" s="43">
        <f t="shared" si="69"/>
        <v>1176960.5982579973</v>
      </c>
      <c r="AB155" s="43">
        <f t="shared" si="70"/>
        <v>0</v>
      </c>
      <c r="AC155" s="43">
        <f t="shared" si="70"/>
        <v>0</v>
      </c>
      <c r="AD155" s="43">
        <f t="shared" si="70"/>
        <v>0</v>
      </c>
      <c r="AE155" s="43">
        <f t="shared" si="70"/>
        <v>51411.374579915129</v>
      </c>
      <c r="AF155" s="43">
        <f t="shared" si="70"/>
        <v>102822.74915983026</v>
      </c>
      <c r="AH155" s="43">
        <f t="shared" si="59"/>
        <v>0</v>
      </c>
      <c r="AI155" s="43">
        <f t="shared" si="60"/>
        <v>0</v>
      </c>
      <c r="AJ155" s="43">
        <f t="shared" si="61"/>
        <v>0</v>
      </c>
      <c r="AK155" s="43">
        <f t="shared" si="62"/>
        <v>652924.45716492215</v>
      </c>
      <c r="AL155" s="43">
        <f t="shared" si="63"/>
        <v>1279783.3474178275</v>
      </c>
      <c r="AN155" s="43">
        <f t="shared" si="45"/>
        <v>0</v>
      </c>
      <c r="AO155" s="43">
        <f t="shared" si="46"/>
        <v>0</v>
      </c>
      <c r="AP155" s="43">
        <f t="shared" si="47"/>
        <v>0</v>
      </c>
      <c r="AQ155" s="43">
        <f t="shared" si="48"/>
        <v>30193900.290784158</v>
      </c>
      <c r="AR155" s="43">
        <f t="shared" si="49"/>
        <v>28914116.94336633</v>
      </c>
      <c r="AT155" s="43">
        <f t="shared" si="50"/>
        <v>0</v>
      </c>
      <c r="AU155" s="43">
        <f t="shared" si="50"/>
        <v>0</v>
      </c>
      <c r="AV155" s="43">
        <f t="shared" si="50"/>
        <v>0</v>
      </c>
      <c r="AW155" s="43">
        <f t="shared" si="50"/>
        <v>308468.24747949082</v>
      </c>
      <c r="AX155" s="43">
        <f t="shared" si="50"/>
        <v>312457.35885589558</v>
      </c>
      <c r="AZ155" s="47">
        <f t="shared" si="64"/>
        <v>0</v>
      </c>
      <c r="BA155" s="47">
        <f t="shared" si="65"/>
        <v>0</v>
      </c>
      <c r="BB155" s="47">
        <f t="shared" si="66"/>
        <v>0</v>
      </c>
      <c r="BC155" s="47">
        <f t="shared" si="67"/>
        <v>2108760.9156942111</v>
      </c>
      <c r="BD155" s="47">
        <f t="shared" si="68"/>
        <v>2690977.1501216437</v>
      </c>
    </row>
    <row r="156" spans="2:56">
      <c r="B156" s="37">
        <f>'3. Input (des)investeringen '!B181</f>
        <v>1624</v>
      </c>
      <c r="C156" s="48"/>
      <c r="D156" s="48"/>
      <c r="E156" s="48"/>
      <c r="F156" s="42">
        <f>'3. Input (des)investeringen '!D181</f>
        <v>85388365.196438983</v>
      </c>
      <c r="G156" s="48"/>
      <c r="H156" s="37">
        <f>'3. Input (des)investeringen '!F181</f>
        <v>2025</v>
      </c>
      <c r="I156" s="42" t="str">
        <f>'3. Input (des)investeringen '!G181</f>
        <v>nvt</v>
      </c>
      <c r="J156" s="42">
        <f>'3. Input (des)investeringen '!H181</f>
        <v>55</v>
      </c>
      <c r="K156" s="42">
        <f>'3. Input (des)investeringen '!I181</f>
        <v>1</v>
      </c>
      <c r="M156" s="43">
        <f t="shared" si="56"/>
        <v>0</v>
      </c>
      <c r="N156" s="43">
        <f t="shared" si="57"/>
        <v>0</v>
      </c>
      <c r="P156" s="138">
        <f t="shared" si="36"/>
        <v>0</v>
      </c>
      <c r="Q156" s="138">
        <f t="shared" si="37"/>
        <v>0</v>
      </c>
      <c r="S156" s="43">
        <f t="shared" si="38"/>
        <v>85388365.196438983</v>
      </c>
      <c r="T156" s="38">
        <f t="shared" si="58"/>
        <v>55</v>
      </c>
      <c r="V156" s="43">
        <f t="shared" si="69"/>
        <v>0</v>
      </c>
      <c r="W156" s="43">
        <f t="shared" si="69"/>
        <v>0</v>
      </c>
      <c r="X156" s="43">
        <f t="shared" si="69"/>
        <v>0</v>
      </c>
      <c r="Y156" s="43">
        <f t="shared" si="69"/>
        <v>908221.70254394179</v>
      </c>
      <c r="Z156" s="43">
        <f t="shared" si="69"/>
        <v>1794976.3466641176</v>
      </c>
      <c r="AB156" s="43">
        <f t="shared" si="70"/>
        <v>0</v>
      </c>
      <c r="AC156" s="43">
        <f t="shared" si="70"/>
        <v>0</v>
      </c>
      <c r="AD156" s="43">
        <f t="shared" si="70"/>
        <v>0</v>
      </c>
      <c r="AE156" s="43">
        <f t="shared" si="70"/>
        <v>77625.786542217262</v>
      </c>
      <c r="AF156" s="43">
        <f t="shared" si="70"/>
        <v>155251.57308443452</v>
      </c>
      <c r="AH156" s="43">
        <f t="shared" si="59"/>
        <v>0</v>
      </c>
      <c r="AI156" s="43">
        <f t="shared" si="60"/>
        <v>0</v>
      </c>
      <c r="AJ156" s="43">
        <f t="shared" si="61"/>
        <v>0</v>
      </c>
      <c r="AK156" s="43">
        <f t="shared" si="62"/>
        <v>985847.48908615904</v>
      </c>
      <c r="AL156" s="43">
        <f t="shared" si="63"/>
        <v>1950227.9197485521</v>
      </c>
      <c r="AN156" s="43">
        <f t="shared" si="45"/>
        <v>0</v>
      </c>
      <c r="AO156" s="43">
        <f t="shared" si="46"/>
        <v>0</v>
      </c>
      <c r="AP156" s="43">
        <f t="shared" si="47"/>
        <v>0</v>
      </c>
      <c r="AQ156" s="43">
        <f t="shared" si="48"/>
        <v>84402517.707352817</v>
      </c>
      <c r="AR156" s="43">
        <f t="shared" si="49"/>
        <v>82452289.787604272</v>
      </c>
      <c r="AT156" s="43">
        <f t="shared" si="50"/>
        <v>0</v>
      </c>
      <c r="AU156" s="43">
        <f t="shared" si="50"/>
        <v>0</v>
      </c>
      <c r="AV156" s="43">
        <f t="shared" si="50"/>
        <v>0</v>
      </c>
      <c r="AW156" s="43">
        <f t="shared" si="50"/>
        <v>853883.65196438984</v>
      </c>
      <c r="AX156" s="43">
        <f t="shared" si="50"/>
        <v>864926.0753515932</v>
      </c>
      <c r="AZ156" s="47">
        <f t="shared" si="64"/>
        <v>0</v>
      </c>
      <c r="BA156" s="47">
        <f t="shared" si="65"/>
        <v>0</v>
      </c>
      <c r="BB156" s="47">
        <f t="shared" si="66"/>
        <v>0</v>
      </c>
      <c r="BC156" s="47">
        <f t="shared" si="67"/>
        <v>5047026.8139299564</v>
      </c>
      <c r="BD156" s="47">
        <f t="shared" si="68"/>
        <v>5948341.0070291078</v>
      </c>
    </row>
    <row r="157" spans="2:56">
      <c r="B157" s="37">
        <f>'3. Input (des)investeringen '!B182</f>
        <v>1625</v>
      </c>
      <c r="C157" s="48"/>
      <c r="D157" s="48"/>
      <c r="E157" s="48"/>
      <c r="F157" s="42">
        <f>'3. Input (des)investeringen '!D182</f>
        <v>-32592.241789607215</v>
      </c>
      <c r="G157" s="48"/>
      <c r="H157" s="37">
        <f>'3. Input (des)investeringen '!F182</f>
        <v>2025</v>
      </c>
      <c r="I157" s="42" t="str">
        <f>'3. Input (des)investeringen '!G182</f>
        <v>nvt</v>
      </c>
      <c r="J157" s="42">
        <f>'3. Input (des)investeringen '!H182</f>
        <v>0</v>
      </c>
      <c r="K157" s="42">
        <f>'3. Input (des)investeringen '!I182</f>
        <v>0</v>
      </c>
      <c r="M157" s="43">
        <f t="shared" si="56"/>
        <v>0</v>
      </c>
      <c r="N157" s="43">
        <f t="shared" si="57"/>
        <v>0</v>
      </c>
      <c r="P157" s="138">
        <f t="shared" si="36"/>
        <v>0</v>
      </c>
      <c r="Q157" s="138">
        <f t="shared" si="37"/>
        <v>0</v>
      </c>
      <c r="S157" s="43">
        <f t="shared" si="38"/>
        <v>-32592.241789607215</v>
      </c>
      <c r="T157" s="38">
        <f t="shared" si="58"/>
        <v>0</v>
      </c>
      <c r="V157" s="43">
        <f t="shared" si="69"/>
        <v>0</v>
      </c>
      <c r="W157" s="43">
        <f t="shared" si="69"/>
        <v>0</v>
      </c>
      <c r="X157" s="43">
        <f t="shared" si="69"/>
        <v>0</v>
      </c>
      <c r="Y157" s="43">
        <f t="shared" si="69"/>
        <v>0</v>
      </c>
      <c r="Z157" s="43">
        <f t="shared" si="69"/>
        <v>0</v>
      </c>
      <c r="AB157" s="43">
        <f t="shared" si="70"/>
        <v>0</v>
      </c>
      <c r="AC157" s="43">
        <f t="shared" si="70"/>
        <v>0</v>
      </c>
      <c r="AD157" s="43">
        <f t="shared" si="70"/>
        <v>0</v>
      </c>
      <c r="AE157" s="43">
        <f t="shared" si="70"/>
        <v>0</v>
      </c>
      <c r="AF157" s="43">
        <f t="shared" si="70"/>
        <v>0</v>
      </c>
      <c r="AH157" s="43">
        <f t="shared" si="59"/>
        <v>0</v>
      </c>
      <c r="AI157" s="43">
        <f t="shared" si="60"/>
        <v>0</v>
      </c>
      <c r="AJ157" s="43">
        <f t="shared" si="61"/>
        <v>0</v>
      </c>
      <c r="AK157" s="43">
        <f t="shared" si="62"/>
        <v>0</v>
      </c>
      <c r="AL157" s="43">
        <f t="shared" si="63"/>
        <v>0</v>
      </c>
      <c r="AN157" s="43">
        <f t="shared" si="45"/>
        <v>0</v>
      </c>
      <c r="AO157" s="43">
        <f t="shared" si="46"/>
        <v>0</v>
      </c>
      <c r="AP157" s="43">
        <f t="shared" si="47"/>
        <v>0</v>
      </c>
      <c r="AQ157" s="43">
        <f t="shared" si="48"/>
        <v>-32592.241789607215</v>
      </c>
      <c r="AR157" s="43">
        <f t="shared" si="49"/>
        <v>-32592.241789607215</v>
      </c>
      <c r="AT157" s="43">
        <f t="shared" si="50"/>
        <v>0</v>
      </c>
      <c r="AU157" s="43">
        <f t="shared" si="50"/>
        <v>0</v>
      </c>
      <c r="AV157" s="43">
        <f t="shared" si="50"/>
        <v>0</v>
      </c>
      <c r="AW157" s="43">
        <f t="shared" si="50"/>
        <v>-325.92241789607215</v>
      </c>
      <c r="AX157" s="43">
        <f t="shared" si="50"/>
        <v>-330.13724660430415</v>
      </c>
      <c r="AZ157" s="47">
        <f t="shared" si="64"/>
        <v>0</v>
      </c>
      <c r="BA157" s="47">
        <f t="shared" si="65"/>
        <v>0</v>
      </c>
      <c r="BB157" s="47">
        <f t="shared" si="66"/>
        <v>0</v>
      </c>
      <c r="BC157" s="47">
        <f t="shared" si="67"/>
        <v>-1564.4276059011463</v>
      </c>
      <c r="BD157" s="47">
        <f t="shared" si="68"/>
        <v>-1568.6424346093784</v>
      </c>
    </row>
    <row r="158" spans="2:56">
      <c r="B158" s="37">
        <f>'3. Input (des)investeringen '!B183</f>
        <v>1626</v>
      </c>
      <c r="C158" s="48"/>
      <c r="D158" s="48"/>
      <c r="E158" s="48"/>
      <c r="F158" s="42">
        <f>'3. Input (des)investeringen '!D183</f>
        <v>459045.22000300954</v>
      </c>
      <c r="G158" s="48"/>
      <c r="H158" s="37">
        <f>'3. Input (des)investeringen '!F183</f>
        <v>2025</v>
      </c>
      <c r="I158" s="42" t="str">
        <f>'3. Input (des)investeringen '!G183</f>
        <v>nvt</v>
      </c>
      <c r="J158" s="42">
        <f>'3. Input (des)investeringen '!H183</f>
        <v>5</v>
      </c>
      <c r="K158" s="42">
        <f>'3. Input (des)investeringen '!I183</f>
        <v>0</v>
      </c>
      <c r="M158" s="43">
        <f t="shared" si="56"/>
        <v>0</v>
      </c>
      <c r="N158" s="43">
        <f t="shared" si="57"/>
        <v>0</v>
      </c>
      <c r="P158" s="138">
        <f t="shared" si="36"/>
        <v>0</v>
      </c>
      <c r="Q158" s="138">
        <f t="shared" si="37"/>
        <v>0</v>
      </c>
      <c r="S158" s="43">
        <f t="shared" si="38"/>
        <v>459045.22000300954</v>
      </c>
      <c r="T158" s="38">
        <f t="shared" si="58"/>
        <v>5</v>
      </c>
      <c r="V158" s="43">
        <f t="shared" si="69"/>
        <v>0</v>
      </c>
      <c r="W158" s="43">
        <f t="shared" si="69"/>
        <v>0</v>
      </c>
      <c r="X158" s="43">
        <f t="shared" si="69"/>
        <v>0</v>
      </c>
      <c r="Y158" s="43">
        <f t="shared" si="69"/>
        <v>53708.290740352124</v>
      </c>
      <c r="Z158" s="43">
        <f t="shared" si="69"/>
        <v>93452.425888212689</v>
      </c>
      <c r="AB158" s="43">
        <f t="shared" si="70"/>
        <v>0</v>
      </c>
      <c r="AC158" s="43">
        <f t="shared" si="70"/>
        <v>0</v>
      </c>
      <c r="AD158" s="43">
        <f t="shared" si="70"/>
        <v>0</v>
      </c>
      <c r="AE158" s="43">
        <f t="shared" si="70"/>
        <v>4590.4522000300958</v>
      </c>
      <c r="AF158" s="43">
        <f t="shared" si="70"/>
        <v>9180.9044000601934</v>
      </c>
      <c r="AH158" s="43">
        <f t="shared" si="59"/>
        <v>0</v>
      </c>
      <c r="AI158" s="43">
        <f t="shared" si="60"/>
        <v>0</v>
      </c>
      <c r="AJ158" s="43">
        <f t="shared" si="61"/>
        <v>0</v>
      </c>
      <c r="AK158" s="43">
        <f t="shared" si="62"/>
        <v>58298.742940382217</v>
      </c>
      <c r="AL158" s="43">
        <f t="shared" si="63"/>
        <v>102633.33028827287</v>
      </c>
      <c r="AN158" s="43">
        <f t="shared" si="45"/>
        <v>0</v>
      </c>
      <c r="AO158" s="43">
        <f t="shared" si="46"/>
        <v>0</v>
      </c>
      <c r="AP158" s="43">
        <f t="shared" si="47"/>
        <v>0</v>
      </c>
      <c r="AQ158" s="43">
        <f t="shared" si="48"/>
        <v>400746.47706262732</v>
      </c>
      <c r="AR158" s="43">
        <f t="shared" si="49"/>
        <v>298113.14677435445</v>
      </c>
      <c r="AT158" s="43">
        <f t="shared" ref="AT158:AX200" si="71">IF($H158&lt;=AT$59,$F158*INDEX($H$40:$N$46,$H158-2019,AT$59-2019)*INDEX($H$49:$N$55,$H158-2019,AT$59-2019)*$F$19,0)</f>
        <v>0</v>
      </c>
      <c r="AU158" s="43">
        <f t="shared" si="71"/>
        <v>0</v>
      </c>
      <c r="AV158" s="43">
        <f t="shared" si="71"/>
        <v>0</v>
      </c>
      <c r="AW158" s="43">
        <f t="shared" si="71"/>
        <v>4590.4522000300958</v>
      </c>
      <c r="AX158" s="43">
        <f t="shared" si="71"/>
        <v>4649.8159278808844</v>
      </c>
      <c r="AZ158" s="47">
        <f t="shared" si="64"/>
        <v>0</v>
      </c>
      <c r="BA158" s="47">
        <f t="shared" si="65"/>
        <v>0</v>
      </c>
      <c r="BB158" s="47">
        <f t="shared" si="66"/>
        <v>0</v>
      </c>
      <c r="BC158" s="47">
        <f t="shared" si="67"/>
        <v>78117.561268792153</v>
      </c>
      <c r="BD158" s="47">
        <f t="shared" si="68"/>
        <v>118611.44579357923</v>
      </c>
    </row>
    <row r="159" spans="2:56">
      <c r="B159" s="37">
        <f>'3. Input (des)investeringen '!B184</f>
        <v>1627</v>
      </c>
      <c r="C159" s="48"/>
      <c r="D159" s="48"/>
      <c r="E159" s="48"/>
      <c r="F159" s="42">
        <f>'3. Input (des)investeringen '!D184</f>
        <v>1646168.9780642902</v>
      </c>
      <c r="G159" s="48"/>
      <c r="H159" s="37">
        <f>'3. Input (des)investeringen '!F184</f>
        <v>2025</v>
      </c>
      <c r="I159" s="42" t="str">
        <f>'3. Input (des)investeringen '!G184</f>
        <v>nvt</v>
      </c>
      <c r="J159" s="42">
        <f>'3. Input (des)investeringen '!H184</f>
        <v>10</v>
      </c>
      <c r="K159" s="42">
        <f>'3. Input (des)investeringen '!I184</f>
        <v>0</v>
      </c>
      <c r="M159" s="43">
        <f t="shared" ref="M159:M200" si="72">IF($J159=0, 0, IF($H159&lt;=M$59,
VDB($F159,0,$J159,MAX(0,M$59-$H159-0.5),MIN($J159,M$59-$H159+0.5),1)*INDEX(H$40:H$46,$H159-2019,1),
0))</f>
        <v>0</v>
      </c>
      <c r="N159" s="43">
        <f t="shared" ref="N159:N200" si="73">IF($J159=0, 0, IF($H159&lt;=N$59,
VDB($F159,0,$J159,MAX(0,N$59-$H159-0.5),MIN($J159,N$59-$H159+0.5),1)*INDEX(I$40:I$46,$H159-2019,1),
0))</f>
        <v>0</v>
      </c>
      <c r="P159" s="138">
        <f t="shared" ref="P159:P200" si="74">IF($J159=0,IF($H159=M$59,$F159,0),IF(OR($H159&gt;P$59,$H159+$J159&lt;=P$59),0,
F159-M159))</f>
        <v>0</v>
      </c>
      <c r="Q159" s="138">
        <f t="shared" ref="Q159:Q200" si="75">IF($J159=0,IF($H159=N$59,$F159,$P159*I$40),IF(OR($H159&gt;Q$59,$H159+$J159&lt;=Q$59),0,
IF($H159=Q$59,F159-N159,P159*I$40-N159)))</f>
        <v>0</v>
      </c>
      <c r="S159" s="43">
        <f t="shared" si="38"/>
        <v>1646168.9780642902</v>
      </c>
      <c r="T159" s="38">
        <f t="shared" ref="T159:T200" si="76">IF($J159=0, 0, IF(H159&lt;2022,J159-2021+H159-0.5,J159))</f>
        <v>10</v>
      </c>
      <c r="V159" s="43">
        <f t="shared" si="69"/>
        <v>0</v>
      </c>
      <c r="W159" s="43">
        <f t="shared" si="69"/>
        <v>0</v>
      </c>
      <c r="X159" s="43">
        <f t="shared" si="69"/>
        <v>0</v>
      </c>
      <c r="Y159" s="43">
        <f t="shared" si="69"/>
        <v>96300.885216760973</v>
      </c>
      <c r="Z159" s="43">
        <f t="shared" si="69"/>
        <v>180082.65535534304</v>
      </c>
      <c r="AB159" s="43">
        <f t="shared" si="70"/>
        <v>0</v>
      </c>
      <c r="AC159" s="43">
        <f t="shared" si="70"/>
        <v>0</v>
      </c>
      <c r="AD159" s="43">
        <f t="shared" si="70"/>
        <v>0</v>
      </c>
      <c r="AE159" s="43">
        <f t="shared" si="70"/>
        <v>8230.8448903214521</v>
      </c>
      <c r="AF159" s="43">
        <f t="shared" si="70"/>
        <v>16461.689780642904</v>
      </c>
      <c r="AH159" s="43">
        <f t="shared" ref="AH159:AH200" si="77">V159+AB159</f>
        <v>0</v>
      </c>
      <c r="AI159" s="43">
        <f t="shared" ref="AI159:AI200" si="78">W159+AC159</f>
        <v>0</v>
      </c>
      <c r="AJ159" s="43">
        <f t="shared" ref="AJ159:AJ200" si="79">X159+AD159</f>
        <v>0</v>
      </c>
      <c r="AK159" s="43">
        <f t="shared" ref="AK159:AK200" si="80">Y159+AE159</f>
        <v>104531.73010708243</v>
      </c>
      <c r="AL159" s="43">
        <f t="shared" ref="AL159:AL200" si="81">Z159+AF159</f>
        <v>196544.34513598593</v>
      </c>
      <c r="AN159" s="43">
        <f t="shared" si="45"/>
        <v>0</v>
      </c>
      <c r="AO159" s="43">
        <f t="shared" si="46"/>
        <v>0</v>
      </c>
      <c r="AP159" s="43">
        <f t="shared" si="47"/>
        <v>0</v>
      </c>
      <c r="AQ159" s="43">
        <f t="shared" si="48"/>
        <v>1541637.2479572077</v>
      </c>
      <c r="AR159" s="43">
        <f t="shared" si="49"/>
        <v>1345092.9028212219</v>
      </c>
      <c r="AT159" s="43">
        <f t="shared" si="71"/>
        <v>0</v>
      </c>
      <c r="AU159" s="43">
        <f t="shared" si="71"/>
        <v>0</v>
      </c>
      <c r="AV159" s="43">
        <f t="shared" si="71"/>
        <v>0</v>
      </c>
      <c r="AW159" s="43">
        <f t="shared" si="71"/>
        <v>16461.689780642904</v>
      </c>
      <c r="AX159" s="43">
        <f t="shared" si="71"/>
        <v>16674.572352886174</v>
      </c>
      <c r="AZ159" s="47">
        <f t="shared" ref="AZ159:AZ200" si="82">(AH159+AN159*J$16+AT159)*IF($K159=1,$F$25,1)</f>
        <v>0</v>
      </c>
      <c r="BA159" s="47">
        <f t="shared" ref="BA159:BA200" si="83">(AI159+AO159*K$16+AU159)*IF($K159=1,$F$25,1)</f>
        <v>0</v>
      </c>
      <c r="BB159" s="47">
        <f t="shared" ref="BB159:BB200" si="84">(AJ159+AP159*L$16+AV159)*IF($K159=1,$F$25,1)</f>
        <v>0</v>
      </c>
      <c r="BC159" s="47">
        <f t="shared" ref="BC159:BC200" si="85">(AK159+AQ159*M$16+AW159)*IF($K159=1,$F$25,1)</f>
        <v>179575.63531009923</v>
      </c>
      <c r="BD159" s="47">
        <f t="shared" ref="BD159:BD200" si="86">(AL159+AR159*N$16+AX159)*IF($K159=1,$F$25,1)</f>
        <v>264332.44779607857</v>
      </c>
    </row>
    <row r="160" spans="2:56">
      <c r="B160" s="37">
        <f>'3. Input (des)investeringen '!B185</f>
        <v>1628</v>
      </c>
      <c r="C160" s="48"/>
      <c r="D160" s="48"/>
      <c r="E160" s="48"/>
      <c r="F160" s="42">
        <f>'3. Input (des)investeringen '!D185</f>
        <v>4946948.6241163164</v>
      </c>
      <c r="G160" s="48"/>
      <c r="H160" s="37">
        <f>'3. Input (des)investeringen '!F185</f>
        <v>2025</v>
      </c>
      <c r="I160" s="42" t="str">
        <f>'3. Input (des)investeringen '!G185</f>
        <v>nvt</v>
      </c>
      <c r="J160" s="42">
        <f>'3. Input (des)investeringen '!H185</f>
        <v>15</v>
      </c>
      <c r="K160" s="42">
        <f>'3. Input (des)investeringen '!I185</f>
        <v>0</v>
      </c>
      <c r="M160" s="43">
        <f t="shared" si="72"/>
        <v>0</v>
      </c>
      <c r="N160" s="43">
        <f t="shared" si="73"/>
        <v>0</v>
      </c>
      <c r="P160" s="138">
        <f t="shared" si="74"/>
        <v>0</v>
      </c>
      <c r="Q160" s="138">
        <f t="shared" si="75"/>
        <v>0</v>
      </c>
      <c r="S160" s="43">
        <f t="shared" si="38"/>
        <v>4946948.6241163164</v>
      </c>
      <c r="T160" s="38">
        <f t="shared" si="76"/>
        <v>15</v>
      </c>
      <c r="V160" s="43">
        <f t="shared" ref="V160:Z200" si="87">IF($J160=0, 0, IF(OR($H160&gt;V$59,$H160+$J160&lt;V$59),0,
IF(OR($H160=2020,$H160=2021),VDB($S160*(1-$F$28),0,$T160,V$59-2022,MIN($T160,V$59-2021),$F$22,FALSE),
VDB($S160*(1-$F$28),0,$T160,MAX(0,V$59-$H160-0.5),MIN($T160,V$59-$H160+0.5),$F$22,FALSE))))</f>
        <v>0</v>
      </c>
      <c r="W160" s="43">
        <f t="shared" si="87"/>
        <v>0</v>
      </c>
      <c r="X160" s="43">
        <f t="shared" si="87"/>
        <v>0</v>
      </c>
      <c r="Y160" s="43">
        <f t="shared" si="87"/>
        <v>192930.99634053637</v>
      </c>
      <c r="Z160" s="43">
        <f t="shared" si="87"/>
        <v>369141.30633155955</v>
      </c>
      <c r="AB160" s="43">
        <f t="shared" ref="AB160:AF200" si="88">IF($J160=0, 0, IF(OR($H160&gt;AB$59,$H160+$J160&lt;AB$59),0,
IF(OR($H160=2020,$H160=2021),VDB($S160*$F$28,0,$T160,AB$59-2022,MIN($T160,AB$59-2021),1),
VDB($S160*$F$28,0,$T160,MAX(0,AB$59-$H160-0.5),MIN($T160,AB$59-$H160+0.5),1))))</f>
        <v>0</v>
      </c>
      <c r="AC160" s="43">
        <f t="shared" si="88"/>
        <v>0</v>
      </c>
      <c r="AD160" s="43">
        <f t="shared" si="88"/>
        <v>0</v>
      </c>
      <c r="AE160" s="43">
        <f t="shared" si="88"/>
        <v>16489.828747054391</v>
      </c>
      <c r="AF160" s="43">
        <f t="shared" si="88"/>
        <v>32979.657494108782</v>
      </c>
      <c r="AH160" s="43">
        <f t="shared" si="77"/>
        <v>0</v>
      </c>
      <c r="AI160" s="43">
        <f t="shared" si="78"/>
        <v>0</v>
      </c>
      <c r="AJ160" s="43">
        <f t="shared" si="79"/>
        <v>0</v>
      </c>
      <c r="AK160" s="43">
        <f t="shared" si="80"/>
        <v>209420.82508759075</v>
      </c>
      <c r="AL160" s="43">
        <f t="shared" si="81"/>
        <v>402120.96382566832</v>
      </c>
      <c r="AN160" s="43">
        <f t="shared" si="45"/>
        <v>0</v>
      </c>
      <c r="AO160" s="43">
        <f t="shared" si="46"/>
        <v>0</v>
      </c>
      <c r="AP160" s="43">
        <f t="shared" si="47"/>
        <v>0</v>
      </c>
      <c r="AQ160" s="43">
        <f t="shared" si="48"/>
        <v>4737527.7990287254</v>
      </c>
      <c r="AR160" s="43">
        <f t="shared" si="49"/>
        <v>4335406.8352030572</v>
      </c>
      <c r="AT160" s="43">
        <f t="shared" si="71"/>
        <v>0</v>
      </c>
      <c r="AU160" s="43">
        <f t="shared" si="71"/>
        <v>0</v>
      </c>
      <c r="AV160" s="43">
        <f t="shared" si="71"/>
        <v>0</v>
      </c>
      <c r="AW160" s="43">
        <f t="shared" si="71"/>
        <v>49469.486241163162</v>
      </c>
      <c r="AX160" s="43">
        <f t="shared" si="71"/>
        <v>50109.225637233882</v>
      </c>
      <c r="AZ160" s="47">
        <f t="shared" si="82"/>
        <v>0</v>
      </c>
      <c r="BA160" s="47">
        <f t="shared" si="83"/>
        <v>0</v>
      </c>
      <c r="BB160" s="47">
        <f t="shared" si="84"/>
        <v>0</v>
      </c>
      <c r="BC160" s="47">
        <f t="shared" si="85"/>
        <v>438916.36769184546</v>
      </c>
      <c r="BD160" s="47">
        <f t="shared" si="86"/>
        <v>616975.64920061838</v>
      </c>
    </row>
    <row r="161" spans="2:56">
      <c r="B161" s="37">
        <f>'3. Input (des)investeringen '!B186</f>
        <v>1629</v>
      </c>
      <c r="C161" s="48"/>
      <c r="D161" s="48"/>
      <c r="E161" s="48"/>
      <c r="F161" s="42">
        <f>'3. Input (des)investeringen '!D186</f>
        <v>28058274.451637983</v>
      </c>
      <c r="G161" s="48"/>
      <c r="H161" s="37">
        <f>'3. Input (des)investeringen '!F186</f>
        <v>2025</v>
      </c>
      <c r="I161" s="42" t="str">
        <f>'3. Input (des)investeringen '!G186</f>
        <v>nvt</v>
      </c>
      <c r="J161" s="42">
        <f>'3. Input (des)investeringen '!H186</f>
        <v>30</v>
      </c>
      <c r="K161" s="42">
        <f>'3. Input (des)investeringen '!I186</f>
        <v>0</v>
      </c>
      <c r="M161" s="43">
        <f t="shared" si="72"/>
        <v>0</v>
      </c>
      <c r="N161" s="43">
        <f t="shared" si="73"/>
        <v>0</v>
      </c>
      <c r="P161" s="138">
        <f t="shared" si="74"/>
        <v>0</v>
      </c>
      <c r="Q161" s="138">
        <f t="shared" si="75"/>
        <v>0</v>
      </c>
      <c r="S161" s="43">
        <f t="shared" si="38"/>
        <v>28058274.451637983</v>
      </c>
      <c r="T161" s="38">
        <f t="shared" si="76"/>
        <v>30</v>
      </c>
      <c r="V161" s="43">
        <f t="shared" si="87"/>
        <v>0</v>
      </c>
      <c r="W161" s="43">
        <f t="shared" si="87"/>
        <v>0</v>
      </c>
      <c r="X161" s="43">
        <f t="shared" si="87"/>
        <v>0</v>
      </c>
      <c r="Y161" s="43">
        <f t="shared" si="87"/>
        <v>547136.35180694074</v>
      </c>
      <c r="Z161" s="43">
        <f t="shared" si="87"/>
        <v>1070563.4617022472</v>
      </c>
      <c r="AB161" s="43">
        <f t="shared" si="88"/>
        <v>0</v>
      </c>
      <c r="AC161" s="43">
        <f t="shared" si="88"/>
        <v>0</v>
      </c>
      <c r="AD161" s="43">
        <f t="shared" si="88"/>
        <v>0</v>
      </c>
      <c r="AE161" s="43">
        <f t="shared" si="88"/>
        <v>46763.790752729976</v>
      </c>
      <c r="AF161" s="43">
        <f t="shared" si="88"/>
        <v>93527.581505459952</v>
      </c>
      <c r="AH161" s="43">
        <f t="shared" si="77"/>
        <v>0</v>
      </c>
      <c r="AI161" s="43">
        <f t="shared" si="78"/>
        <v>0</v>
      </c>
      <c r="AJ161" s="43">
        <f t="shared" si="79"/>
        <v>0</v>
      </c>
      <c r="AK161" s="43">
        <f t="shared" si="80"/>
        <v>593900.14255967073</v>
      </c>
      <c r="AL161" s="43">
        <f t="shared" si="81"/>
        <v>1164091.0432077071</v>
      </c>
      <c r="AN161" s="43">
        <f t="shared" si="45"/>
        <v>0</v>
      </c>
      <c r="AO161" s="43">
        <f t="shared" si="46"/>
        <v>0</v>
      </c>
      <c r="AP161" s="43">
        <f t="shared" si="47"/>
        <v>0</v>
      </c>
      <c r="AQ161" s="43">
        <f t="shared" si="48"/>
        <v>27464374.309078313</v>
      </c>
      <c r="AR161" s="43">
        <f t="shared" si="49"/>
        <v>26300283.265870605</v>
      </c>
      <c r="AT161" s="43">
        <f t="shared" si="71"/>
        <v>0</v>
      </c>
      <c r="AU161" s="43">
        <f t="shared" si="71"/>
        <v>0</v>
      </c>
      <c r="AV161" s="43">
        <f t="shared" si="71"/>
        <v>0</v>
      </c>
      <c r="AW161" s="43">
        <f t="shared" si="71"/>
        <v>280582.74451637984</v>
      </c>
      <c r="AX161" s="43">
        <f t="shared" si="71"/>
        <v>284211.24056846561</v>
      </c>
      <c r="AZ161" s="47">
        <f t="shared" si="82"/>
        <v>0</v>
      </c>
      <c r="BA161" s="47">
        <f t="shared" si="83"/>
        <v>0</v>
      </c>
      <c r="BB161" s="47">
        <f t="shared" si="84"/>
        <v>0</v>
      </c>
      <c r="BC161" s="47">
        <f t="shared" si="85"/>
        <v>1918129.1108210266</v>
      </c>
      <c r="BD161" s="47">
        <f t="shared" si="86"/>
        <v>2447713.0478792554</v>
      </c>
    </row>
    <row r="162" spans="2:56">
      <c r="B162" s="37">
        <f>'3. Input (des)investeringen '!B187</f>
        <v>1630</v>
      </c>
      <c r="C162" s="48"/>
      <c r="D162" s="48"/>
      <c r="E162" s="48"/>
      <c r="F162" s="42">
        <f>'3. Input (des)investeringen '!D187</f>
        <v>39636.2960349688</v>
      </c>
      <c r="G162" s="48"/>
      <c r="H162" s="37">
        <f>'3. Input (des)investeringen '!F187</f>
        <v>2025</v>
      </c>
      <c r="I162" s="42" t="str">
        <f>'3. Input (des)investeringen '!G187</f>
        <v>nvt</v>
      </c>
      <c r="J162" s="42">
        <f>'3. Input (des)investeringen '!H187</f>
        <v>55</v>
      </c>
      <c r="K162" s="42">
        <f>'3. Input (des)investeringen '!I187</f>
        <v>0</v>
      </c>
      <c r="M162" s="43">
        <f t="shared" si="72"/>
        <v>0</v>
      </c>
      <c r="N162" s="43">
        <f t="shared" si="73"/>
        <v>0</v>
      </c>
      <c r="P162" s="138">
        <f t="shared" si="74"/>
        <v>0</v>
      </c>
      <c r="Q162" s="138">
        <f t="shared" si="75"/>
        <v>0</v>
      </c>
      <c r="S162" s="43">
        <f t="shared" si="38"/>
        <v>39636.2960349688</v>
      </c>
      <c r="T162" s="38">
        <f t="shared" si="76"/>
        <v>55</v>
      </c>
      <c r="V162" s="43">
        <f t="shared" si="87"/>
        <v>0</v>
      </c>
      <c r="W162" s="43">
        <f t="shared" si="87"/>
        <v>0</v>
      </c>
      <c r="X162" s="43">
        <f t="shared" si="87"/>
        <v>0</v>
      </c>
      <c r="Y162" s="43">
        <f t="shared" si="87"/>
        <v>421.58605782648635</v>
      </c>
      <c r="Z162" s="43">
        <f t="shared" si="87"/>
        <v>833.2073542861649</v>
      </c>
      <c r="AB162" s="43">
        <f t="shared" si="88"/>
        <v>0</v>
      </c>
      <c r="AC162" s="43">
        <f t="shared" si="88"/>
        <v>0</v>
      </c>
      <c r="AD162" s="43">
        <f t="shared" si="88"/>
        <v>0</v>
      </c>
      <c r="AE162" s="43">
        <f t="shared" si="88"/>
        <v>36.032996395426181</v>
      </c>
      <c r="AF162" s="43">
        <f t="shared" si="88"/>
        <v>72.065992790852363</v>
      </c>
      <c r="AH162" s="43">
        <f t="shared" si="77"/>
        <v>0</v>
      </c>
      <c r="AI162" s="43">
        <f t="shared" si="78"/>
        <v>0</v>
      </c>
      <c r="AJ162" s="43">
        <f t="shared" si="79"/>
        <v>0</v>
      </c>
      <c r="AK162" s="43">
        <f t="shared" si="80"/>
        <v>457.61905422191251</v>
      </c>
      <c r="AL162" s="43">
        <f t="shared" si="81"/>
        <v>905.27334707701721</v>
      </c>
      <c r="AN162" s="43">
        <f t="shared" si="45"/>
        <v>0</v>
      </c>
      <c r="AO162" s="43">
        <f t="shared" si="46"/>
        <v>0</v>
      </c>
      <c r="AP162" s="43">
        <f t="shared" si="47"/>
        <v>0</v>
      </c>
      <c r="AQ162" s="43">
        <f t="shared" si="48"/>
        <v>39178.676980746888</v>
      </c>
      <c r="AR162" s="43">
        <f t="shared" si="49"/>
        <v>38273.40363366987</v>
      </c>
      <c r="AT162" s="43">
        <f t="shared" si="71"/>
        <v>0</v>
      </c>
      <c r="AU162" s="43">
        <f t="shared" si="71"/>
        <v>0</v>
      </c>
      <c r="AV162" s="43">
        <f t="shared" si="71"/>
        <v>0</v>
      </c>
      <c r="AW162" s="43">
        <f t="shared" si="71"/>
        <v>396.36296034968802</v>
      </c>
      <c r="AX162" s="43">
        <f t="shared" si="71"/>
        <v>401.4887261529301</v>
      </c>
      <c r="AZ162" s="47">
        <f t="shared" si="82"/>
        <v>0</v>
      </c>
      <c r="BA162" s="47">
        <f t="shared" si="83"/>
        <v>0</v>
      </c>
      <c r="BB162" s="47">
        <f t="shared" si="84"/>
        <v>0</v>
      </c>
      <c r="BC162" s="47">
        <f t="shared" si="85"/>
        <v>2342.7717398399823</v>
      </c>
      <c r="BD162" s="47">
        <f t="shared" si="86"/>
        <v>2761.1514113094026</v>
      </c>
    </row>
    <row r="163" spans="2:56">
      <c r="B163" s="37">
        <f>'3. Input (des)investeringen '!B188</f>
        <v>1631</v>
      </c>
      <c r="C163" s="48"/>
      <c r="D163" s="48"/>
      <c r="E163" s="48"/>
      <c r="F163" s="42">
        <f>'3. Input (des)investeringen '!D188</f>
        <v>0</v>
      </c>
      <c r="G163" s="48"/>
      <c r="H163" s="37">
        <f>'3. Input (des)investeringen '!F188</f>
        <v>2025</v>
      </c>
      <c r="I163" s="42" t="str">
        <f>'3. Input (des)investeringen '!G188</f>
        <v>nvt</v>
      </c>
      <c r="J163" s="42">
        <f>'3. Input (des)investeringen '!H188</f>
        <v>0</v>
      </c>
      <c r="K163" s="42">
        <f>'3. Input (des)investeringen '!I188</f>
        <v>0</v>
      </c>
      <c r="M163" s="43">
        <f t="shared" si="72"/>
        <v>0</v>
      </c>
      <c r="N163" s="43">
        <f t="shared" si="73"/>
        <v>0</v>
      </c>
      <c r="P163" s="138">
        <f t="shared" si="74"/>
        <v>0</v>
      </c>
      <c r="Q163" s="138">
        <f t="shared" si="75"/>
        <v>0</v>
      </c>
      <c r="S163" s="43">
        <f t="shared" si="38"/>
        <v>0</v>
      </c>
      <c r="T163" s="38">
        <f t="shared" si="76"/>
        <v>0</v>
      </c>
      <c r="V163" s="43">
        <f t="shared" si="87"/>
        <v>0</v>
      </c>
      <c r="W163" s="43">
        <f t="shared" si="87"/>
        <v>0</v>
      </c>
      <c r="X163" s="43">
        <f t="shared" si="87"/>
        <v>0</v>
      </c>
      <c r="Y163" s="43">
        <f t="shared" si="87"/>
        <v>0</v>
      </c>
      <c r="Z163" s="43">
        <f t="shared" si="87"/>
        <v>0</v>
      </c>
      <c r="AB163" s="43">
        <f t="shared" si="88"/>
        <v>0</v>
      </c>
      <c r="AC163" s="43">
        <f t="shared" si="88"/>
        <v>0</v>
      </c>
      <c r="AD163" s="43">
        <f t="shared" si="88"/>
        <v>0</v>
      </c>
      <c r="AE163" s="43">
        <f t="shared" si="88"/>
        <v>0</v>
      </c>
      <c r="AF163" s="43">
        <f t="shared" si="88"/>
        <v>0</v>
      </c>
      <c r="AH163" s="43">
        <f t="shared" si="77"/>
        <v>0</v>
      </c>
      <c r="AI163" s="43">
        <f t="shared" si="78"/>
        <v>0</v>
      </c>
      <c r="AJ163" s="43">
        <f t="shared" si="79"/>
        <v>0</v>
      </c>
      <c r="AK163" s="43">
        <f t="shared" si="80"/>
        <v>0</v>
      </c>
      <c r="AL163" s="43">
        <f t="shared" si="81"/>
        <v>0</v>
      </c>
      <c r="AN163" s="43">
        <f t="shared" si="45"/>
        <v>0</v>
      </c>
      <c r="AO163" s="43">
        <f t="shared" si="46"/>
        <v>0</v>
      </c>
      <c r="AP163" s="43">
        <f t="shared" si="47"/>
        <v>0</v>
      </c>
      <c r="AQ163" s="43">
        <f t="shared" si="48"/>
        <v>0</v>
      </c>
      <c r="AR163" s="43">
        <f t="shared" si="49"/>
        <v>0</v>
      </c>
      <c r="AT163" s="43">
        <f t="shared" si="71"/>
        <v>0</v>
      </c>
      <c r="AU163" s="43">
        <f t="shared" si="71"/>
        <v>0</v>
      </c>
      <c r="AV163" s="43">
        <f t="shared" si="71"/>
        <v>0</v>
      </c>
      <c r="AW163" s="43">
        <f t="shared" si="71"/>
        <v>0</v>
      </c>
      <c r="AX163" s="43">
        <f t="shared" si="71"/>
        <v>0</v>
      </c>
      <c r="AZ163" s="47">
        <f t="shared" si="82"/>
        <v>0</v>
      </c>
      <c r="BA163" s="47">
        <f t="shared" si="83"/>
        <v>0</v>
      </c>
      <c r="BB163" s="47">
        <f t="shared" si="84"/>
        <v>0</v>
      </c>
      <c r="BC163" s="47">
        <f t="shared" si="85"/>
        <v>0</v>
      </c>
      <c r="BD163" s="47">
        <f t="shared" si="86"/>
        <v>0</v>
      </c>
    </row>
    <row r="164" spans="2:56">
      <c r="B164" s="37">
        <f>'3. Input (des)investeringen '!B189</f>
        <v>1632</v>
      </c>
      <c r="C164" s="48"/>
      <c r="D164" s="48"/>
      <c r="E164" s="48"/>
      <c r="F164" s="42">
        <f>'3. Input (des)investeringen '!D189</f>
        <v>659695.61097586737</v>
      </c>
      <c r="G164" s="48"/>
      <c r="H164" s="37">
        <f>'3. Input (des)investeringen '!F189</f>
        <v>2025</v>
      </c>
      <c r="I164" s="42" t="str">
        <f>'3. Input (des)investeringen '!G189</f>
        <v>nvt</v>
      </c>
      <c r="J164" s="42">
        <f>'3. Input (des)investeringen '!H189</f>
        <v>5</v>
      </c>
      <c r="K164" s="42">
        <f>'3. Input (des)investeringen '!I189</f>
        <v>0</v>
      </c>
      <c r="M164" s="43">
        <f t="shared" si="72"/>
        <v>0</v>
      </c>
      <c r="N164" s="43">
        <f t="shared" si="73"/>
        <v>0</v>
      </c>
      <c r="P164" s="138">
        <f t="shared" si="74"/>
        <v>0</v>
      </c>
      <c r="Q164" s="138">
        <f t="shared" si="75"/>
        <v>0</v>
      </c>
      <c r="S164" s="43">
        <f t="shared" si="38"/>
        <v>659695.61097586737</v>
      </c>
      <c r="T164" s="38">
        <f t="shared" si="76"/>
        <v>5</v>
      </c>
      <c r="V164" s="43">
        <f t="shared" si="87"/>
        <v>0</v>
      </c>
      <c r="W164" s="43">
        <f t="shared" si="87"/>
        <v>0</v>
      </c>
      <c r="X164" s="43">
        <f t="shared" si="87"/>
        <v>0</v>
      </c>
      <c r="Y164" s="43">
        <f t="shared" si="87"/>
        <v>77184.386484176488</v>
      </c>
      <c r="Z164" s="43">
        <f t="shared" si="87"/>
        <v>134300.83248246709</v>
      </c>
      <c r="AB164" s="43">
        <f t="shared" si="88"/>
        <v>0</v>
      </c>
      <c r="AC164" s="43">
        <f t="shared" si="88"/>
        <v>0</v>
      </c>
      <c r="AD164" s="43">
        <f t="shared" si="88"/>
        <v>0</v>
      </c>
      <c r="AE164" s="43">
        <f t="shared" si="88"/>
        <v>6596.9561097586748</v>
      </c>
      <c r="AF164" s="43">
        <f t="shared" si="88"/>
        <v>13193.912219517348</v>
      </c>
      <c r="AH164" s="43">
        <f t="shared" si="77"/>
        <v>0</v>
      </c>
      <c r="AI164" s="43">
        <f t="shared" si="78"/>
        <v>0</v>
      </c>
      <c r="AJ164" s="43">
        <f t="shared" si="79"/>
        <v>0</v>
      </c>
      <c r="AK164" s="43">
        <f t="shared" si="80"/>
        <v>83781.342593935158</v>
      </c>
      <c r="AL164" s="43">
        <f t="shared" si="81"/>
        <v>147494.74470198443</v>
      </c>
      <c r="AN164" s="43">
        <f t="shared" si="45"/>
        <v>0</v>
      </c>
      <c r="AO164" s="43">
        <f t="shared" si="46"/>
        <v>0</v>
      </c>
      <c r="AP164" s="43">
        <f t="shared" si="47"/>
        <v>0</v>
      </c>
      <c r="AQ164" s="43">
        <f t="shared" si="48"/>
        <v>575914.26838193217</v>
      </c>
      <c r="AR164" s="43">
        <f t="shared" si="49"/>
        <v>428419.52367994771</v>
      </c>
      <c r="AT164" s="43">
        <f t="shared" si="71"/>
        <v>0</v>
      </c>
      <c r="AU164" s="43">
        <f t="shared" si="71"/>
        <v>0</v>
      </c>
      <c r="AV164" s="43">
        <f t="shared" si="71"/>
        <v>0</v>
      </c>
      <c r="AW164" s="43">
        <f t="shared" si="71"/>
        <v>6596.9561097586738</v>
      </c>
      <c r="AX164" s="43">
        <f t="shared" si="71"/>
        <v>6682.2679461700718</v>
      </c>
      <c r="AZ164" s="47">
        <f t="shared" si="82"/>
        <v>0</v>
      </c>
      <c r="BA164" s="47">
        <f t="shared" si="83"/>
        <v>0</v>
      </c>
      <c r="BB164" s="47">
        <f t="shared" si="84"/>
        <v>0</v>
      </c>
      <c r="BC164" s="47">
        <f t="shared" si="85"/>
        <v>112263.04090220726</v>
      </c>
      <c r="BD164" s="47">
        <f t="shared" si="86"/>
        <v>170456.9545479925</v>
      </c>
    </row>
    <row r="165" spans="2:56">
      <c r="B165" s="37">
        <f>'3. Input (des)investeringen '!B190</f>
        <v>1633</v>
      </c>
      <c r="C165" s="48"/>
      <c r="D165" s="48"/>
      <c r="E165" s="48"/>
      <c r="F165" s="42">
        <f>'3. Input (des)investeringen '!D190</f>
        <v>4883428.1411884353</v>
      </c>
      <c r="G165" s="48"/>
      <c r="H165" s="37">
        <f>'3. Input (des)investeringen '!F190</f>
        <v>2025</v>
      </c>
      <c r="I165" s="42" t="str">
        <f>'3. Input (des)investeringen '!G190</f>
        <v>nvt</v>
      </c>
      <c r="J165" s="42">
        <f>'3. Input (des)investeringen '!H190</f>
        <v>10</v>
      </c>
      <c r="K165" s="42">
        <f>'3. Input (des)investeringen '!I190</f>
        <v>0</v>
      </c>
      <c r="M165" s="43">
        <f t="shared" si="72"/>
        <v>0</v>
      </c>
      <c r="N165" s="43">
        <f t="shared" si="73"/>
        <v>0</v>
      </c>
      <c r="P165" s="138">
        <f t="shared" si="74"/>
        <v>0</v>
      </c>
      <c r="Q165" s="138">
        <f t="shared" si="75"/>
        <v>0</v>
      </c>
      <c r="S165" s="43">
        <f t="shared" si="38"/>
        <v>4883428.1411884353</v>
      </c>
      <c r="T165" s="38">
        <f t="shared" si="76"/>
        <v>10</v>
      </c>
      <c r="V165" s="43">
        <f t="shared" si="87"/>
        <v>0</v>
      </c>
      <c r="W165" s="43">
        <f t="shared" si="87"/>
        <v>0</v>
      </c>
      <c r="X165" s="43">
        <f t="shared" si="87"/>
        <v>0</v>
      </c>
      <c r="Y165" s="43">
        <f t="shared" si="87"/>
        <v>285680.54625952349</v>
      </c>
      <c r="Z165" s="43">
        <f t="shared" si="87"/>
        <v>534222.6215053089</v>
      </c>
      <c r="AB165" s="43">
        <f t="shared" si="88"/>
        <v>0</v>
      </c>
      <c r="AC165" s="43">
        <f t="shared" si="88"/>
        <v>0</v>
      </c>
      <c r="AD165" s="43">
        <f t="shared" si="88"/>
        <v>0</v>
      </c>
      <c r="AE165" s="43">
        <f t="shared" si="88"/>
        <v>24417.140705942176</v>
      </c>
      <c r="AF165" s="43">
        <f t="shared" si="88"/>
        <v>48834.281411884353</v>
      </c>
      <c r="AH165" s="43">
        <f t="shared" si="77"/>
        <v>0</v>
      </c>
      <c r="AI165" s="43">
        <f t="shared" si="78"/>
        <v>0</v>
      </c>
      <c r="AJ165" s="43">
        <f t="shared" si="79"/>
        <v>0</v>
      </c>
      <c r="AK165" s="43">
        <f t="shared" si="80"/>
        <v>310097.68696546566</v>
      </c>
      <c r="AL165" s="43">
        <f t="shared" si="81"/>
        <v>583056.90291719325</v>
      </c>
      <c r="AN165" s="43">
        <f t="shared" si="45"/>
        <v>0</v>
      </c>
      <c r="AO165" s="43">
        <f t="shared" si="46"/>
        <v>0</v>
      </c>
      <c r="AP165" s="43">
        <f t="shared" si="47"/>
        <v>0</v>
      </c>
      <c r="AQ165" s="43">
        <f t="shared" si="48"/>
        <v>4573330.4542229697</v>
      </c>
      <c r="AR165" s="43">
        <f t="shared" si="49"/>
        <v>3990273.5513057765</v>
      </c>
      <c r="AT165" s="43">
        <f t="shared" si="71"/>
        <v>0</v>
      </c>
      <c r="AU165" s="43">
        <f t="shared" si="71"/>
        <v>0</v>
      </c>
      <c r="AV165" s="43">
        <f t="shared" si="71"/>
        <v>0</v>
      </c>
      <c r="AW165" s="43">
        <f t="shared" si="71"/>
        <v>48834.281411884353</v>
      </c>
      <c r="AX165" s="43">
        <f t="shared" si="71"/>
        <v>49465.806339102834</v>
      </c>
      <c r="AZ165" s="47">
        <f t="shared" si="82"/>
        <v>0</v>
      </c>
      <c r="BA165" s="47">
        <f t="shared" si="83"/>
        <v>0</v>
      </c>
      <c r="BB165" s="47">
        <f t="shared" si="84"/>
        <v>0</v>
      </c>
      <c r="BC165" s="47">
        <f t="shared" si="85"/>
        <v>532718.52563782292</v>
      </c>
      <c r="BD165" s="47">
        <f t="shared" si="86"/>
        <v>784153.10420591559</v>
      </c>
    </row>
    <row r="166" spans="2:56">
      <c r="B166" s="37">
        <f>'3. Input (des)investeringen '!B191</f>
        <v>1634</v>
      </c>
      <c r="C166" s="48"/>
      <c r="D166" s="48"/>
      <c r="E166" s="48"/>
      <c r="F166" s="42">
        <f>'3. Input (des)investeringen '!D191</f>
        <v>7991224.8122066045</v>
      </c>
      <c r="G166" s="48"/>
      <c r="H166" s="37">
        <f>'3. Input (des)investeringen '!F191</f>
        <v>2025</v>
      </c>
      <c r="I166" s="42" t="str">
        <f>'3. Input (des)investeringen '!G191</f>
        <v>nvt</v>
      </c>
      <c r="J166" s="42">
        <f>'3. Input (des)investeringen '!H191</f>
        <v>15</v>
      </c>
      <c r="K166" s="42">
        <f>'3. Input (des)investeringen '!I191</f>
        <v>0</v>
      </c>
      <c r="M166" s="43">
        <f t="shared" si="72"/>
        <v>0</v>
      </c>
      <c r="N166" s="43">
        <f t="shared" si="73"/>
        <v>0</v>
      </c>
      <c r="P166" s="138">
        <f t="shared" si="74"/>
        <v>0</v>
      </c>
      <c r="Q166" s="138">
        <f t="shared" si="75"/>
        <v>0</v>
      </c>
      <c r="S166" s="43">
        <f t="shared" si="38"/>
        <v>7991224.8122066045</v>
      </c>
      <c r="T166" s="38">
        <f t="shared" si="76"/>
        <v>15</v>
      </c>
      <c r="V166" s="43">
        <f t="shared" si="87"/>
        <v>0</v>
      </c>
      <c r="W166" s="43">
        <f t="shared" si="87"/>
        <v>0</v>
      </c>
      <c r="X166" s="43">
        <f t="shared" si="87"/>
        <v>0</v>
      </c>
      <c r="Y166" s="43">
        <f t="shared" si="87"/>
        <v>311657.76767605759</v>
      </c>
      <c r="Z166" s="43">
        <f t="shared" si="87"/>
        <v>596305.19548685686</v>
      </c>
      <c r="AB166" s="43">
        <f t="shared" si="88"/>
        <v>0</v>
      </c>
      <c r="AC166" s="43">
        <f t="shared" si="88"/>
        <v>0</v>
      </c>
      <c r="AD166" s="43">
        <f t="shared" si="88"/>
        <v>0</v>
      </c>
      <c r="AE166" s="43">
        <f t="shared" si="88"/>
        <v>26637.416040688684</v>
      </c>
      <c r="AF166" s="43">
        <f t="shared" si="88"/>
        <v>53274.832081377368</v>
      </c>
      <c r="AH166" s="43">
        <f t="shared" si="77"/>
        <v>0</v>
      </c>
      <c r="AI166" s="43">
        <f t="shared" si="78"/>
        <v>0</v>
      </c>
      <c r="AJ166" s="43">
        <f t="shared" si="79"/>
        <v>0</v>
      </c>
      <c r="AK166" s="43">
        <f t="shared" si="80"/>
        <v>338295.18371674628</v>
      </c>
      <c r="AL166" s="43">
        <f t="shared" si="81"/>
        <v>649580.02756823425</v>
      </c>
      <c r="AN166" s="43">
        <f t="shared" si="45"/>
        <v>0</v>
      </c>
      <c r="AO166" s="43">
        <f t="shared" si="46"/>
        <v>0</v>
      </c>
      <c r="AP166" s="43">
        <f t="shared" si="47"/>
        <v>0</v>
      </c>
      <c r="AQ166" s="43">
        <f t="shared" si="48"/>
        <v>7652929.6284898585</v>
      </c>
      <c r="AR166" s="43">
        <f t="shared" si="49"/>
        <v>7003349.6009216243</v>
      </c>
      <c r="AT166" s="43">
        <f t="shared" si="71"/>
        <v>0</v>
      </c>
      <c r="AU166" s="43">
        <f t="shared" si="71"/>
        <v>0</v>
      </c>
      <c r="AV166" s="43">
        <f t="shared" si="71"/>
        <v>0</v>
      </c>
      <c r="AW166" s="43">
        <f t="shared" si="71"/>
        <v>79912.248122066041</v>
      </c>
      <c r="AX166" s="43">
        <f t="shared" si="71"/>
        <v>80945.673314780594</v>
      </c>
      <c r="AZ166" s="47">
        <f t="shared" si="82"/>
        <v>0</v>
      </c>
      <c r="BA166" s="47">
        <f t="shared" si="83"/>
        <v>0</v>
      </c>
      <c r="BB166" s="47">
        <f t="shared" si="84"/>
        <v>0</v>
      </c>
      <c r="BC166" s="47">
        <f t="shared" si="85"/>
        <v>709018.7577214269</v>
      </c>
      <c r="BD166" s="47">
        <f t="shared" si="86"/>
        <v>996652.98571803654</v>
      </c>
    </row>
    <row r="167" spans="2:56">
      <c r="B167" s="37">
        <f>'3. Input (des)investeringen '!B192</f>
        <v>1635</v>
      </c>
      <c r="C167" s="48"/>
      <c r="D167" s="48"/>
      <c r="E167" s="48"/>
      <c r="F167" s="42">
        <f>'3. Input (des)investeringen '!D192</f>
        <v>7928966.50303555</v>
      </c>
      <c r="G167" s="48"/>
      <c r="H167" s="37">
        <f>'3. Input (des)investeringen '!F192</f>
        <v>2025</v>
      </c>
      <c r="I167" s="42" t="str">
        <f>'3. Input (des)investeringen '!G192</f>
        <v>nvt</v>
      </c>
      <c r="J167" s="42">
        <f>'3. Input (des)investeringen '!H192</f>
        <v>30</v>
      </c>
      <c r="K167" s="42">
        <f>'3. Input (des)investeringen '!I192</f>
        <v>0</v>
      </c>
      <c r="M167" s="43">
        <f t="shared" si="72"/>
        <v>0</v>
      </c>
      <c r="N167" s="43">
        <f t="shared" si="73"/>
        <v>0</v>
      </c>
      <c r="P167" s="138">
        <f t="shared" si="74"/>
        <v>0</v>
      </c>
      <c r="Q167" s="138">
        <f t="shared" si="75"/>
        <v>0</v>
      </c>
      <c r="S167" s="43">
        <f t="shared" si="38"/>
        <v>7928966.50303555</v>
      </c>
      <c r="T167" s="38">
        <f t="shared" si="76"/>
        <v>30</v>
      </c>
      <c r="V167" s="43">
        <f t="shared" si="87"/>
        <v>0</v>
      </c>
      <c r="W167" s="43">
        <f t="shared" si="87"/>
        <v>0</v>
      </c>
      <c r="X167" s="43">
        <f t="shared" si="87"/>
        <v>0</v>
      </c>
      <c r="Y167" s="43">
        <f t="shared" si="87"/>
        <v>154614.84680919323</v>
      </c>
      <c r="Z167" s="43">
        <f t="shared" si="87"/>
        <v>302529.71692332142</v>
      </c>
      <c r="AB167" s="43">
        <f t="shared" si="88"/>
        <v>0</v>
      </c>
      <c r="AC167" s="43">
        <f t="shared" si="88"/>
        <v>0</v>
      </c>
      <c r="AD167" s="43">
        <f t="shared" si="88"/>
        <v>0</v>
      </c>
      <c r="AE167" s="43">
        <f t="shared" si="88"/>
        <v>13214.944171725918</v>
      </c>
      <c r="AF167" s="43">
        <f t="shared" si="88"/>
        <v>26429.888343451836</v>
      </c>
      <c r="AH167" s="43">
        <f t="shared" si="77"/>
        <v>0</v>
      </c>
      <c r="AI167" s="43">
        <f t="shared" si="78"/>
        <v>0</v>
      </c>
      <c r="AJ167" s="43">
        <f t="shared" si="79"/>
        <v>0</v>
      </c>
      <c r="AK167" s="43">
        <f t="shared" si="80"/>
        <v>167829.79098091915</v>
      </c>
      <c r="AL167" s="43">
        <f t="shared" si="81"/>
        <v>328959.60526677326</v>
      </c>
      <c r="AN167" s="43">
        <f t="shared" si="45"/>
        <v>0</v>
      </c>
      <c r="AO167" s="43">
        <f t="shared" si="46"/>
        <v>0</v>
      </c>
      <c r="AP167" s="43">
        <f t="shared" si="47"/>
        <v>0</v>
      </c>
      <c r="AQ167" s="43">
        <f t="shared" si="48"/>
        <v>7761136.7120546307</v>
      </c>
      <c r="AR167" s="43">
        <f t="shared" si="49"/>
        <v>7432177.1067878576</v>
      </c>
      <c r="AT167" s="43">
        <f t="shared" si="71"/>
        <v>0</v>
      </c>
      <c r="AU167" s="43">
        <f t="shared" si="71"/>
        <v>0</v>
      </c>
      <c r="AV167" s="43">
        <f t="shared" si="71"/>
        <v>0</v>
      </c>
      <c r="AW167" s="43">
        <f t="shared" si="71"/>
        <v>79289.665030355507</v>
      </c>
      <c r="AX167" s="43">
        <f t="shared" si="71"/>
        <v>80315.038978528042</v>
      </c>
      <c r="AZ167" s="47">
        <f t="shared" si="82"/>
        <v>0</v>
      </c>
      <c r="BA167" s="47">
        <f t="shared" si="83"/>
        <v>0</v>
      </c>
      <c r="BB167" s="47">
        <f t="shared" si="84"/>
        <v>0</v>
      </c>
      <c r="BC167" s="47">
        <f t="shared" si="85"/>
        <v>542042.65106935054</v>
      </c>
      <c r="BD167" s="47">
        <f t="shared" si="86"/>
        <v>691697.37430323986</v>
      </c>
    </row>
    <row r="168" spans="2:56">
      <c r="B168" s="37">
        <f>'3. Input (des)investeringen '!B193</f>
        <v>1636</v>
      </c>
      <c r="C168" s="48"/>
      <c r="D168" s="48"/>
      <c r="E168" s="48"/>
      <c r="F168" s="42">
        <f>'3. Input (des)investeringen '!D193</f>
        <v>0</v>
      </c>
      <c r="G168" s="48"/>
      <c r="H168" s="37">
        <f>'3. Input (des)investeringen '!F193</f>
        <v>2025</v>
      </c>
      <c r="I168" s="42" t="str">
        <f>'3. Input (des)investeringen '!G193</f>
        <v>nvt</v>
      </c>
      <c r="J168" s="42">
        <f>'3. Input (des)investeringen '!H193</f>
        <v>55</v>
      </c>
      <c r="K168" s="42">
        <f>'3. Input (des)investeringen '!I193</f>
        <v>0</v>
      </c>
      <c r="M168" s="43">
        <f t="shared" si="72"/>
        <v>0</v>
      </c>
      <c r="N168" s="43">
        <f t="shared" si="73"/>
        <v>0</v>
      </c>
      <c r="P168" s="138">
        <f t="shared" si="74"/>
        <v>0</v>
      </c>
      <c r="Q168" s="138">
        <f t="shared" si="75"/>
        <v>0</v>
      </c>
      <c r="S168" s="43">
        <f t="shared" si="38"/>
        <v>0</v>
      </c>
      <c r="T168" s="38">
        <f t="shared" si="76"/>
        <v>55</v>
      </c>
      <c r="V168" s="43">
        <f t="shared" si="87"/>
        <v>0</v>
      </c>
      <c r="W168" s="43">
        <f t="shared" si="87"/>
        <v>0</v>
      </c>
      <c r="X168" s="43">
        <f t="shared" si="87"/>
        <v>0</v>
      </c>
      <c r="Y168" s="43">
        <f t="shared" si="87"/>
        <v>0</v>
      </c>
      <c r="Z168" s="43">
        <f t="shared" si="87"/>
        <v>0</v>
      </c>
      <c r="AB168" s="43">
        <f t="shared" si="88"/>
        <v>0</v>
      </c>
      <c r="AC168" s="43">
        <f t="shared" si="88"/>
        <v>0</v>
      </c>
      <c r="AD168" s="43">
        <f t="shared" si="88"/>
        <v>0</v>
      </c>
      <c r="AE168" s="43">
        <f t="shared" si="88"/>
        <v>0</v>
      </c>
      <c r="AF168" s="43">
        <f t="shared" si="88"/>
        <v>0</v>
      </c>
      <c r="AH168" s="43">
        <f t="shared" si="77"/>
        <v>0</v>
      </c>
      <c r="AI168" s="43">
        <f t="shared" si="78"/>
        <v>0</v>
      </c>
      <c r="AJ168" s="43">
        <f t="shared" si="79"/>
        <v>0</v>
      </c>
      <c r="AK168" s="43">
        <f t="shared" si="80"/>
        <v>0</v>
      </c>
      <c r="AL168" s="43">
        <f t="shared" si="81"/>
        <v>0</v>
      </c>
      <c r="AN168" s="43">
        <f t="shared" si="45"/>
        <v>0</v>
      </c>
      <c r="AO168" s="43">
        <f t="shared" si="46"/>
        <v>0</v>
      </c>
      <c r="AP168" s="43">
        <f t="shared" si="47"/>
        <v>0</v>
      </c>
      <c r="AQ168" s="43">
        <f t="shared" si="48"/>
        <v>0</v>
      </c>
      <c r="AR168" s="43">
        <f t="shared" si="49"/>
        <v>0</v>
      </c>
      <c r="AT168" s="43">
        <f t="shared" si="71"/>
        <v>0</v>
      </c>
      <c r="AU168" s="43">
        <f t="shared" si="71"/>
        <v>0</v>
      </c>
      <c r="AV168" s="43">
        <f t="shared" si="71"/>
        <v>0</v>
      </c>
      <c r="AW168" s="43">
        <f t="shared" si="71"/>
        <v>0</v>
      </c>
      <c r="AX168" s="43">
        <f t="shared" si="71"/>
        <v>0</v>
      </c>
      <c r="AZ168" s="47">
        <f t="shared" si="82"/>
        <v>0</v>
      </c>
      <c r="BA168" s="47">
        <f t="shared" si="83"/>
        <v>0</v>
      </c>
      <c r="BB168" s="47">
        <f t="shared" si="84"/>
        <v>0</v>
      </c>
      <c r="BC168" s="47">
        <f t="shared" si="85"/>
        <v>0</v>
      </c>
      <c r="BD168" s="47">
        <f t="shared" si="86"/>
        <v>0</v>
      </c>
    </row>
    <row r="169" spans="2:56">
      <c r="B169" s="37">
        <f>'3. Input (des)investeringen '!B194</f>
        <v>1637</v>
      </c>
      <c r="C169" s="48"/>
      <c r="D169" s="48"/>
      <c r="E169" s="48"/>
      <c r="F169" s="42">
        <f>'3. Input (des)investeringen '!D194</f>
        <v>0</v>
      </c>
      <c r="G169" s="48"/>
      <c r="H169" s="37">
        <f>'3. Input (des)investeringen '!F194</f>
        <v>2026</v>
      </c>
      <c r="I169" s="42" t="str">
        <f>'3. Input (des)investeringen '!G194</f>
        <v>nvt</v>
      </c>
      <c r="J169" s="42">
        <f>'3. Input (des)investeringen '!H194</f>
        <v>0</v>
      </c>
      <c r="K169" s="42">
        <f>'3. Input (des)investeringen '!I194</f>
        <v>1</v>
      </c>
      <c r="M169" s="43">
        <f t="shared" si="72"/>
        <v>0</v>
      </c>
      <c r="N169" s="43">
        <f t="shared" si="73"/>
        <v>0</v>
      </c>
      <c r="P169" s="138">
        <f t="shared" si="74"/>
        <v>0</v>
      </c>
      <c r="Q169" s="138">
        <f t="shared" si="75"/>
        <v>0</v>
      </c>
      <c r="S169" s="43">
        <f t="shared" si="38"/>
        <v>0</v>
      </c>
      <c r="T169" s="38">
        <f t="shared" si="76"/>
        <v>0</v>
      </c>
      <c r="V169" s="43">
        <f t="shared" si="87"/>
        <v>0</v>
      </c>
      <c r="W169" s="43">
        <f t="shared" si="87"/>
        <v>0</v>
      </c>
      <c r="X169" s="43">
        <f t="shared" si="87"/>
        <v>0</v>
      </c>
      <c r="Y169" s="43">
        <f t="shared" si="87"/>
        <v>0</v>
      </c>
      <c r="Z169" s="43">
        <f t="shared" si="87"/>
        <v>0</v>
      </c>
      <c r="AB169" s="43">
        <f t="shared" si="88"/>
        <v>0</v>
      </c>
      <c r="AC169" s="43">
        <f t="shared" si="88"/>
        <v>0</v>
      </c>
      <c r="AD169" s="43">
        <f t="shared" si="88"/>
        <v>0</v>
      </c>
      <c r="AE169" s="43">
        <f t="shared" si="88"/>
        <v>0</v>
      </c>
      <c r="AF169" s="43">
        <f t="shared" si="88"/>
        <v>0</v>
      </c>
      <c r="AH169" s="43">
        <f t="shared" si="77"/>
        <v>0</v>
      </c>
      <c r="AI169" s="43">
        <f t="shared" si="78"/>
        <v>0</v>
      </c>
      <c r="AJ169" s="43">
        <f t="shared" si="79"/>
        <v>0</v>
      </c>
      <c r="AK169" s="43">
        <f t="shared" si="80"/>
        <v>0</v>
      </c>
      <c r="AL169" s="43">
        <f t="shared" si="81"/>
        <v>0</v>
      </c>
      <c r="AN169" s="43">
        <f t="shared" si="45"/>
        <v>0</v>
      </c>
      <c r="AO169" s="43">
        <f t="shared" si="46"/>
        <v>0</v>
      </c>
      <c r="AP169" s="43">
        <f t="shared" si="47"/>
        <v>0</v>
      </c>
      <c r="AQ169" s="43">
        <f t="shared" si="48"/>
        <v>0</v>
      </c>
      <c r="AR169" s="43">
        <f t="shared" si="49"/>
        <v>0</v>
      </c>
      <c r="AT169" s="43">
        <f t="shared" si="71"/>
        <v>0</v>
      </c>
      <c r="AU169" s="43">
        <f t="shared" si="71"/>
        <v>0</v>
      </c>
      <c r="AV169" s="43">
        <f t="shared" si="71"/>
        <v>0</v>
      </c>
      <c r="AW169" s="43">
        <f t="shared" si="71"/>
        <v>0</v>
      </c>
      <c r="AX169" s="43">
        <f t="shared" si="71"/>
        <v>0</v>
      </c>
      <c r="AZ169" s="47">
        <f t="shared" si="82"/>
        <v>0</v>
      </c>
      <c r="BA169" s="47">
        <f t="shared" si="83"/>
        <v>0</v>
      </c>
      <c r="BB169" s="47">
        <f t="shared" si="84"/>
        <v>0</v>
      </c>
      <c r="BC169" s="47">
        <f t="shared" si="85"/>
        <v>0</v>
      </c>
      <c r="BD169" s="47">
        <f t="shared" si="86"/>
        <v>0</v>
      </c>
    </row>
    <row r="170" spans="2:56">
      <c r="B170" s="37">
        <f>'3. Input (des)investeringen '!B195</f>
        <v>1638</v>
      </c>
      <c r="C170" s="48"/>
      <c r="D170" s="48"/>
      <c r="E170" s="48"/>
      <c r="F170" s="42">
        <f>'3. Input (des)investeringen '!D195</f>
        <v>17780958.582841545</v>
      </c>
      <c r="G170" s="48"/>
      <c r="H170" s="37">
        <f>'3. Input (des)investeringen '!F195</f>
        <v>2026</v>
      </c>
      <c r="I170" s="42" t="str">
        <f>'3. Input (des)investeringen '!G195</f>
        <v>nvt</v>
      </c>
      <c r="J170" s="42">
        <f>'3. Input (des)investeringen '!H195</f>
        <v>5</v>
      </c>
      <c r="K170" s="42">
        <f>'3. Input (des)investeringen '!I195</f>
        <v>1</v>
      </c>
      <c r="M170" s="43">
        <f t="shared" si="72"/>
        <v>0</v>
      </c>
      <c r="N170" s="43">
        <f t="shared" si="73"/>
        <v>0</v>
      </c>
      <c r="P170" s="138">
        <f t="shared" si="74"/>
        <v>0</v>
      </c>
      <c r="Q170" s="138">
        <f t="shared" si="75"/>
        <v>0</v>
      </c>
      <c r="S170" s="43">
        <f t="shared" si="38"/>
        <v>17780958.582841545</v>
      </c>
      <c r="T170" s="38">
        <f t="shared" si="76"/>
        <v>5</v>
      </c>
      <c r="V170" s="43">
        <f t="shared" si="87"/>
        <v>0</v>
      </c>
      <c r="W170" s="43">
        <f t="shared" si="87"/>
        <v>0</v>
      </c>
      <c r="X170" s="43">
        <f t="shared" si="87"/>
        <v>0</v>
      </c>
      <c r="Y170" s="43">
        <f t="shared" si="87"/>
        <v>0</v>
      </c>
      <c r="Z170" s="43">
        <f t="shared" si="87"/>
        <v>2080372.1541924609</v>
      </c>
      <c r="AB170" s="43">
        <f t="shared" si="88"/>
        <v>0</v>
      </c>
      <c r="AC170" s="43">
        <f t="shared" si="88"/>
        <v>0</v>
      </c>
      <c r="AD170" s="43">
        <f t="shared" si="88"/>
        <v>0</v>
      </c>
      <c r="AE170" s="43">
        <f t="shared" si="88"/>
        <v>0</v>
      </c>
      <c r="AF170" s="43">
        <f t="shared" si="88"/>
        <v>177809.58582841547</v>
      </c>
      <c r="AH170" s="43">
        <f t="shared" si="77"/>
        <v>0</v>
      </c>
      <c r="AI170" s="43">
        <f t="shared" si="78"/>
        <v>0</v>
      </c>
      <c r="AJ170" s="43">
        <f t="shared" si="79"/>
        <v>0</v>
      </c>
      <c r="AK170" s="43">
        <f t="shared" si="80"/>
        <v>0</v>
      </c>
      <c r="AL170" s="43">
        <f t="shared" si="81"/>
        <v>2258181.7400208763</v>
      </c>
      <c r="AN170" s="43">
        <f t="shared" si="45"/>
        <v>0</v>
      </c>
      <c r="AO170" s="43">
        <f t="shared" si="46"/>
        <v>0</v>
      </c>
      <c r="AP170" s="43">
        <f t="shared" si="47"/>
        <v>0</v>
      </c>
      <c r="AQ170" s="43">
        <f t="shared" si="48"/>
        <v>0</v>
      </c>
      <c r="AR170" s="43">
        <f t="shared" si="49"/>
        <v>15522776.842820669</v>
      </c>
      <c r="AT170" s="43">
        <f t="shared" si="71"/>
        <v>0</v>
      </c>
      <c r="AU170" s="43">
        <f t="shared" si="71"/>
        <v>0</v>
      </c>
      <c r="AV170" s="43">
        <f t="shared" si="71"/>
        <v>0</v>
      </c>
      <c r="AW170" s="43">
        <f t="shared" si="71"/>
        <v>0</v>
      </c>
      <c r="AX170" s="43">
        <f t="shared" si="71"/>
        <v>177809.58582841547</v>
      </c>
      <c r="AZ170" s="47">
        <f t="shared" si="82"/>
        <v>0</v>
      </c>
      <c r="BA170" s="47">
        <f t="shared" si="83"/>
        <v>0</v>
      </c>
      <c r="BB170" s="47">
        <f t="shared" si="84"/>
        <v>0</v>
      </c>
      <c r="BC170" s="47">
        <f t="shared" si="85"/>
        <v>0</v>
      </c>
      <c r="BD170" s="47">
        <f t="shared" si="86"/>
        <v>3025856.8458764772</v>
      </c>
    </row>
    <row r="171" spans="2:56">
      <c r="B171" s="37">
        <f>'3. Input (des)investeringen '!B196</f>
        <v>1639</v>
      </c>
      <c r="C171" s="48"/>
      <c r="D171" s="48"/>
      <c r="E171" s="48"/>
      <c r="F171" s="42">
        <f>'3. Input (des)investeringen '!D196</f>
        <v>5393348.681022618</v>
      </c>
      <c r="G171" s="48"/>
      <c r="H171" s="37">
        <f>'3. Input (des)investeringen '!F196</f>
        <v>2026</v>
      </c>
      <c r="I171" s="42" t="str">
        <f>'3. Input (des)investeringen '!G196</f>
        <v>nvt</v>
      </c>
      <c r="J171" s="42">
        <f>'3. Input (des)investeringen '!H196</f>
        <v>10</v>
      </c>
      <c r="K171" s="42">
        <f>'3. Input (des)investeringen '!I196</f>
        <v>1</v>
      </c>
      <c r="M171" s="43">
        <f t="shared" si="72"/>
        <v>0</v>
      </c>
      <c r="N171" s="43">
        <f t="shared" si="73"/>
        <v>0</v>
      </c>
      <c r="P171" s="138">
        <f t="shared" si="74"/>
        <v>0</v>
      </c>
      <c r="Q171" s="138">
        <f t="shared" si="75"/>
        <v>0</v>
      </c>
      <c r="S171" s="43">
        <f t="shared" si="38"/>
        <v>5393348.681022618</v>
      </c>
      <c r="T171" s="38">
        <f t="shared" si="76"/>
        <v>10</v>
      </c>
      <c r="V171" s="43">
        <f t="shared" si="87"/>
        <v>0</v>
      </c>
      <c r="W171" s="43">
        <f t="shared" si="87"/>
        <v>0</v>
      </c>
      <c r="X171" s="43">
        <f t="shared" si="87"/>
        <v>0</v>
      </c>
      <c r="Y171" s="43">
        <f t="shared" si="87"/>
        <v>0</v>
      </c>
      <c r="Z171" s="43">
        <f t="shared" si="87"/>
        <v>315510.89783982316</v>
      </c>
      <c r="AB171" s="43">
        <f t="shared" si="88"/>
        <v>0</v>
      </c>
      <c r="AC171" s="43">
        <f t="shared" si="88"/>
        <v>0</v>
      </c>
      <c r="AD171" s="43">
        <f t="shared" si="88"/>
        <v>0</v>
      </c>
      <c r="AE171" s="43">
        <f t="shared" si="88"/>
        <v>0</v>
      </c>
      <c r="AF171" s="43">
        <f t="shared" si="88"/>
        <v>26966.743405113091</v>
      </c>
      <c r="AH171" s="43">
        <f t="shared" si="77"/>
        <v>0</v>
      </c>
      <c r="AI171" s="43">
        <f t="shared" si="78"/>
        <v>0</v>
      </c>
      <c r="AJ171" s="43">
        <f t="shared" si="79"/>
        <v>0</v>
      </c>
      <c r="AK171" s="43">
        <f t="shared" si="80"/>
        <v>0</v>
      </c>
      <c r="AL171" s="43">
        <f t="shared" si="81"/>
        <v>342477.64124493627</v>
      </c>
      <c r="AN171" s="43">
        <f t="shared" si="45"/>
        <v>0</v>
      </c>
      <c r="AO171" s="43">
        <f t="shared" si="46"/>
        <v>0</v>
      </c>
      <c r="AP171" s="43">
        <f t="shared" si="47"/>
        <v>0</v>
      </c>
      <c r="AQ171" s="43">
        <f t="shared" si="48"/>
        <v>0</v>
      </c>
      <c r="AR171" s="43">
        <f t="shared" si="49"/>
        <v>5050871.0397776812</v>
      </c>
      <c r="AT171" s="43">
        <f t="shared" si="71"/>
        <v>0</v>
      </c>
      <c r="AU171" s="43">
        <f t="shared" si="71"/>
        <v>0</v>
      </c>
      <c r="AV171" s="43">
        <f t="shared" si="71"/>
        <v>0</v>
      </c>
      <c r="AW171" s="43">
        <f t="shared" si="71"/>
        <v>0</v>
      </c>
      <c r="AX171" s="43">
        <f t="shared" si="71"/>
        <v>53933.486810226183</v>
      </c>
      <c r="AZ171" s="47">
        <f t="shared" si="82"/>
        <v>0</v>
      </c>
      <c r="BA171" s="47">
        <f t="shared" si="83"/>
        <v>0</v>
      </c>
      <c r="BB171" s="47">
        <f t="shared" si="84"/>
        <v>0</v>
      </c>
      <c r="BC171" s="47">
        <f t="shared" si="85"/>
        <v>0</v>
      </c>
      <c r="BD171" s="47">
        <f t="shared" si="86"/>
        <v>588344.2275667144</v>
      </c>
    </row>
    <row r="172" spans="2:56">
      <c r="B172" s="37">
        <f>'3. Input (des)investeringen '!B197</f>
        <v>1640</v>
      </c>
      <c r="C172" s="48"/>
      <c r="D172" s="48"/>
      <c r="E172" s="48"/>
      <c r="F172" s="42">
        <f>'3. Input (des)investeringen '!D197</f>
        <v>25440067.393025532</v>
      </c>
      <c r="G172" s="48"/>
      <c r="H172" s="37">
        <f>'3. Input (des)investeringen '!F197</f>
        <v>2026</v>
      </c>
      <c r="I172" s="42" t="str">
        <f>'3. Input (des)investeringen '!G197</f>
        <v>nvt</v>
      </c>
      <c r="J172" s="42">
        <f>'3. Input (des)investeringen '!H197</f>
        <v>15</v>
      </c>
      <c r="K172" s="42">
        <f>'3. Input (des)investeringen '!I197</f>
        <v>1</v>
      </c>
      <c r="M172" s="43">
        <f t="shared" si="72"/>
        <v>0</v>
      </c>
      <c r="N172" s="43">
        <f t="shared" si="73"/>
        <v>0</v>
      </c>
      <c r="P172" s="138">
        <f t="shared" si="74"/>
        <v>0</v>
      </c>
      <c r="Q172" s="138">
        <f t="shared" si="75"/>
        <v>0</v>
      </c>
      <c r="S172" s="43">
        <f t="shared" si="38"/>
        <v>25440067.393025532</v>
      </c>
      <c r="T172" s="38">
        <f t="shared" si="76"/>
        <v>15</v>
      </c>
      <c r="V172" s="43">
        <f t="shared" si="87"/>
        <v>0</v>
      </c>
      <c r="W172" s="43">
        <f t="shared" si="87"/>
        <v>0</v>
      </c>
      <c r="X172" s="43">
        <f t="shared" si="87"/>
        <v>0</v>
      </c>
      <c r="Y172" s="43">
        <f t="shared" si="87"/>
        <v>0</v>
      </c>
      <c r="Z172" s="43">
        <f t="shared" si="87"/>
        <v>992162.62832799577</v>
      </c>
      <c r="AB172" s="43">
        <f t="shared" si="88"/>
        <v>0</v>
      </c>
      <c r="AC172" s="43">
        <f t="shared" si="88"/>
        <v>0</v>
      </c>
      <c r="AD172" s="43">
        <f t="shared" si="88"/>
        <v>0</v>
      </c>
      <c r="AE172" s="43">
        <f t="shared" si="88"/>
        <v>0</v>
      </c>
      <c r="AF172" s="43">
        <f t="shared" si="88"/>
        <v>84800.224643418434</v>
      </c>
      <c r="AH172" s="43">
        <f t="shared" si="77"/>
        <v>0</v>
      </c>
      <c r="AI172" s="43">
        <f t="shared" si="78"/>
        <v>0</v>
      </c>
      <c r="AJ172" s="43">
        <f t="shared" si="79"/>
        <v>0</v>
      </c>
      <c r="AK172" s="43">
        <f t="shared" si="80"/>
        <v>0</v>
      </c>
      <c r="AL172" s="43">
        <f t="shared" si="81"/>
        <v>1076962.8529714141</v>
      </c>
      <c r="AN172" s="43">
        <f t="shared" si="45"/>
        <v>0</v>
      </c>
      <c r="AO172" s="43">
        <f t="shared" si="46"/>
        <v>0</v>
      </c>
      <c r="AP172" s="43">
        <f t="shared" si="47"/>
        <v>0</v>
      </c>
      <c r="AQ172" s="43">
        <f t="shared" si="48"/>
        <v>0</v>
      </c>
      <c r="AR172" s="43">
        <f t="shared" si="49"/>
        <v>24363104.54005412</v>
      </c>
      <c r="AT172" s="43">
        <f t="shared" si="71"/>
        <v>0</v>
      </c>
      <c r="AU172" s="43">
        <f t="shared" si="71"/>
        <v>0</v>
      </c>
      <c r="AV172" s="43">
        <f t="shared" si="71"/>
        <v>0</v>
      </c>
      <c r="AW172" s="43">
        <f t="shared" si="71"/>
        <v>0</v>
      </c>
      <c r="AX172" s="43">
        <f t="shared" si="71"/>
        <v>254400.67393025532</v>
      </c>
      <c r="AZ172" s="47">
        <f t="shared" si="82"/>
        <v>0</v>
      </c>
      <c r="BA172" s="47">
        <f t="shared" si="83"/>
        <v>0</v>
      </c>
      <c r="BB172" s="47">
        <f t="shared" si="84"/>
        <v>0</v>
      </c>
      <c r="BC172" s="47">
        <f t="shared" si="85"/>
        <v>0</v>
      </c>
      <c r="BD172" s="47">
        <f t="shared" si="86"/>
        <v>2257161.499423726</v>
      </c>
    </row>
    <row r="173" spans="2:56">
      <c r="B173" s="37">
        <f>'3. Input (des)investeringen '!B198</f>
        <v>1641</v>
      </c>
      <c r="C173" s="48"/>
      <c r="D173" s="48"/>
      <c r="E173" s="48"/>
      <c r="F173" s="42">
        <f>'3. Input (des)investeringen '!D198</f>
        <v>31245735.885589555</v>
      </c>
      <c r="G173" s="48"/>
      <c r="H173" s="37">
        <f>'3. Input (des)investeringen '!F198</f>
        <v>2026</v>
      </c>
      <c r="I173" s="42" t="str">
        <f>'3. Input (des)investeringen '!G198</f>
        <v>nvt</v>
      </c>
      <c r="J173" s="42">
        <f>'3. Input (des)investeringen '!H198</f>
        <v>30</v>
      </c>
      <c r="K173" s="42">
        <f>'3. Input (des)investeringen '!I198</f>
        <v>1</v>
      </c>
      <c r="M173" s="43">
        <f t="shared" si="72"/>
        <v>0</v>
      </c>
      <c r="N173" s="43">
        <f t="shared" si="73"/>
        <v>0</v>
      </c>
      <c r="P173" s="138">
        <f t="shared" si="74"/>
        <v>0</v>
      </c>
      <c r="Q173" s="138">
        <f t="shared" si="75"/>
        <v>0</v>
      </c>
      <c r="S173" s="43">
        <f t="shared" si="38"/>
        <v>31245735.885589555</v>
      </c>
      <c r="T173" s="38">
        <f t="shared" si="76"/>
        <v>30</v>
      </c>
      <c r="V173" s="43">
        <f t="shared" si="87"/>
        <v>0</v>
      </c>
      <c r="W173" s="43">
        <f t="shared" si="87"/>
        <v>0</v>
      </c>
      <c r="X173" s="43">
        <f t="shared" si="87"/>
        <v>0</v>
      </c>
      <c r="Y173" s="43">
        <f t="shared" si="87"/>
        <v>0</v>
      </c>
      <c r="Z173" s="43">
        <f t="shared" si="87"/>
        <v>609291.84976899636</v>
      </c>
      <c r="AB173" s="43">
        <f t="shared" si="88"/>
        <v>0</v>
      </c>
      <c r="AC173" s="43">
        <f t="shared" si="88"/>
        <v>0</v>
      </c>
      <c r="AD173" s="43">
        <f t="shared" si="88"/>
        <v>0</v>
      </c>
      <c r="AE173" s="43">
        <f t="shared" si="88"/>
        <v>0</v>
      </c>
      <c r="AF173" s="43">
        <f t="shared" si="88"/>
        <v>52076.226475982592</v>
      </c>
      <c r="AH173" s="43">
        <f t="shared" si="77"/>
        <v>0</v>
      </c>
      <c r="AI173" s="43">
        <f t="shared" si="78"/>
        <v>0</v>
      </c>
      <c r="AJ173" s="43">
        <f t="shared" si="79"/>
        <v>0</v>
      </c>
      <c r="AK173" s="43">
        <f t="shared" si="80"/>
        <v>0</v>
      </c>
      <c r="AL173" s="43">
        <f t="shared" si="81"/>
        <v>661368.07624497893</v>
      </c>
      <c r="AN173" s="43">
        <f t="shared" si="45"/>
        <v>0</v>
      </c>
      <c r="AO173" s="43">
        <f t="shared" si="46"/>
        <v>0</v>
      </c>
      <c r="AP173" s="43">
        <f t="shared" si="47"/>
        <v>0</v>
      </c>
      <c r="AQ173" s="43">
        <f t="shared" si="48"/>
        <v>0</v>
      </c>
      <c r="AR173" s="43">
        <f t="shared" si="49"/>
        <v>30584367.809344575</v>
      </c>
      <c r="AT173" s="43">
        <f t="shared" si="71"/>
        <v>0</v>
      </c>
      <c r="AU173" s="43">
        <f t="shared" si="71"/>
        <v>0</v>
      </c>
      <c r="AV173" s="43">
        <f t="shared" si="71"/>
        <v>0</v>
      </c>
      <c r="AW173" s="43">
        <f t="shared" si="71"/>
        <v>0</v>
      </c>
      <c r="AX173" s="43">
        <f t="shared" si="71"/>
        <v>312457.35885589558</v>
      </c>
      <c r="AZ173" s="47">
        <f t="shared" si="82"/>
        <v>0</v>
      </c>
      <c r="BA173" s="47">
        <f t="shared" si="83"/>
        <v>0</v>
      </c>
      <c r="BB173" s="47">
        <f t="shared" si="84"/>
        <v>0</v>
      </c>
      <c r="BC173" s="47">
        <f t="shared" si="85"/>
        <v>0</v>
      </c>
      <c r="BD173" s="47">
        <f t="shared" si="86"/>
        <v>2136031.4118559682</v>
      </c>
    </row>
    <row r="174" spans="2:56">
      <c r="B174" s="37">
        <f>'3. Input (des)investeringen '!B199</f>
        <v>1642</v>
      </c>
      <c r="C174" s="48"/>
      <c r="D174" s="48"/>
      <c r="E174" s="48"/>
      <c r="F174" s="42">
        <f>'3. Input (des)investeringen '!D199</f>
        <v>86492607.535159335</v>
      </c>
      <c r="G174" s="48"/>
      <c r="H174" s="37">
        <f>'3. Input (des)investeringen '!F199</f>
        <v>2026</v>
      </c>
      <c r="I174" s="42" t="str">
        <f>'3. Input (des)investeringen '!G199</f>
        <v>nvt</v>
      </c>
      <c r="J174" s="42">
        <f>'3. Input (des)investeringen '!H199</f>
        <v>55</v>
      </c>
      <c r="K174" s="42">
        <f>'3. Input (des)investeringen '!I199</f>
        <v>1</v>
      </c>
      <c r="M174" s="43">
        <f t="shared" si="72"/>
        <v>0</v>
      </c>
      <c r="N174" s="43">
        <f t="shared" si="73"/>
        <v>0</v>
      </c>
      <c r="P174" s="138">
        <f t="shared" si="74"/>
        <v>0</v>
      </c>
      <c r="Q174" s="138">
        <f t="shared" si="75"/>
        <v>0</v>
      </c>
      <c r="S174" s="43">
        <f t="shared" si="38"/>
        <v>86492607.535159335</v>
      </c>
      <c r="T174" s="38">
        <f t="shared" si="76"/>
        <v>55</v>
      </c>
      <c r="V174" s="43">
        <f t="shared" si="87"/>
        <v>0</v>
      </c>
      <c r="W174" s="43">
        <f t="shared" si="87"/>
        <v>0</v>
      </c>
      <c r="X174" s="43">
        <f t="shared" si="87"/>
        <v>0</v>
      </c>
      <c r="Y174" s="43">
        <f t="shared" si="87"/>
        <v>0</v>
      </c>
      <c r="Z174" s="43">
        <f t="shared" si="87"/>
        <v>919966.82560124027</v>
      </c>
      <c r="AB174" s="43">
        <f t="shared" si="88"/>
        <v>0</v>
      </c>
      <c r="AC174" s="43">
        <f t="shared" si="88"/>
        <v>0</v>
      </c>
      <c r="AD174" s="43">
        <f t="shared" si="88"/>
        <v>0</v>
      </c>
      <c r="AE174" s="43">
        <f t="shared" si="88"/>
        <v>0</v>
      </c>
      <c r="AF174" s="43">
        <f t="shared" si="88"/>
        <v>78629.643213781223</v>
      </c>
      <c r="AH174" s="43">
        <f t="shared" si="77"/>
        <v>0</v>
      </c>
      <c r="AI174" s="43">
        <f t="shared" si="78"/>
        <v>0</v>
      </c>
      <c r="AJ174" s="43">
        <f t="shared" si="79"/>
        <v>0</v>
      </c>
      <c r="AK174" s="43">
        <f t="shared" si="80"/>
        <v>0</v>
      </c>
      <c r="AL174" s="43">
        <f t="shared" si="81"/>
        <v>998596.46881502145</v>
      </c>
      <c r="AN174" s="43">
        <f t="shared" si="45"/>
        <v>0</v>
      </c>
      <c r="AO174" s="43">
        <f t="shared" si="46"/>
        <v>0</v>
      </c>
      <c r="AP174" s="43">
        <f t="shared" si="47"/>
        <v>0</v>
      </c>
      <c r="AQ174" s="43">
        <f t="shared" si="48"/>
        <v>0</v>
      </c>
      <c r="AR174" s="43">
        <f t="shared" si="49"/>
        <v>85494011.066344306</v>
      </c>
      <c r="AT174" s="43">
        <f t="shared" si="71"/>
        <v>0</v>
      </c>
      <c r="AU174" s="43">
        <f t="shared" si="71"/>
        <v>0</v>
      </c>
      <c r="AV174" s="43">
        <f t="shared" si="71"/>
        <v>0</v>
      </c>
      <c r="AW174" s="43">
        <f t="shared" si="71"/>
        <v>0</v>
      </c>
      <c r="AX174" s="43">
        <f t="shared" si="71"/>
        <v>864926.07535159332</v>
      </c>
      <c r="AZ174" s="47">
        <f t="shared" si="82"/>
        <v>0</v>
      </c>
      <c r="BA174" s="47">
        <f t="shared" si="83"/>
        <v>0</v>
      </c>
      <c r="BB174" s="47">
        <f t="shared" si="84"/>
        <v>0</v>
      </c>
      <c r="BC174" s="47">
        <f t="shared" si="85"/>
        <v>0</v>
      </c>
      <c r="BD174" s="47">
        <f t="shared" si="86"/>
        <v>5112294.9646876985</v>
      </c>
    </row>
    <row r="175" spans="2:56">
      <c r="B175" s="37">
        <f>'3. Input (des)investeringen '!B200</f>
        <v>1643</v>
      </c>
      <c r="C175" s="48"/>
      <c r="D175" s="48"/>
      <c r="E175" s="48"/>
      <c r="F175" s="42">
        <f>'3. Input (des)investeringen '!D200</f>
        <v>-33013.724660430409</v>
      </c>
      <c r="G175" s="48"/>
      <c r="H175" s="37">
        <f>'3. Input (des)investeringen '!F200</f>
        <v>2026</v>
      </c>
      <c r="I175" s="42" t="str">
        <f>'3. Input (des)investeringen '!G200</f>
        <v>nvt</v>
      </c>
      <c r="J175" s="42">
        <f>'3. Input (des)investeringen '!H200</f>
        <v>0</v>
      </c>
      <c r="K175" s="42">
        <f>'3. Input (des)investeringen '!I200</f>
        <v>0</v>
      </c>
      <c r="M175" s="43">
        <f t="shared" si="72"/>
        <v>0</v>
      </c>
      <c r="N175" s="43">
        <f t="shared" si="73"/>
        <v>0</v>
      </c>
      <c r="P175" s="138">
        <f t="shared" si="74"/>
        <v>0</v>
      </c>
      <c r="Q175" s="138">
        <f t="shared" si="75"/>
        <v>0</v>
      </c>
      <c r="S175" s="43">
        <f t="shared" si="38"/>
        <v>-33013.724660430409</v>
      </c>
      <c r="T175" s="38">
        <f t="shared" si="76"/>
        <v>0</v>
      </c>
      <c r="V175" s="43">
        <f t="shared" si="87"/>
        <v>0</v>
      </c>
      <c r="W175" s="43">
        <f t="shared" si="87"/>
        <v>0</v>
      </c>
      <c r="X175" s="43">
        <f t="shared" si="87"/>
        <v>0</v>
      </c>
      <c r="Y175" s="43">
        <f t="shared" si="87"/>
        <v>0</v>
      </c>
      <c r="Z175" s="43">
        <f t="shared" si="87"/>
        <v>0</v>
      </c>
      <c r="AB175" s="43">
        <f t="shared" si="88"/>
        <v>0</v>
      </c>
      <c r="AC175" s="43">
        <f t="shared" si="88"/>
        <v>0</v>
      </c>
      <c r="AD175" s="43">
        <f t="shared" si="88"/>
        <v>0</v>
      </c>
      <c r="AE175" s="43">
        <f t="shared" si="88"/>
        <v>0</v>
      </c>
      <c r="AF175" s="43">
        <f t="shared" si="88"/>
        <v>0</v>
      </c>
      <c r="AH175" s="43">
        <f t="shared" si="77"/>
        <v>0</v>
      </c>
      <c r="AI175" s="43">
        <f t="shared" si="78"/>
        <v>0</v>
      </c>
      <c r="AJ175" s="43">
        <f t="shared" si="79"/>
        <v>0</v>
      </c>
      <c r="AK175" s="43">
        <f t="shared" si="80"/>
        <v>0</v>
      </c>
      <c r="AL175" s="43">
        <f t="shared" si="81"/>
        <v>0</v>
      </c>
      <c r="AN175" s="43">
        <f t="shared" si="45"/>
        <v>0</v>
      </c>
      <c r="AO175" s="43">
        <f t="shared" si="46"/>
        <v>0</v>
      </c>
      <c r="AP175" s="43">
        <f t="shared" si="47"/>
        <v>0</v>
      </c>
      <c r="AQ175" s="43">
        <f t="shared" si="48"/>
        <v>0</v>
      </c>
      <c r="AR175" s="43">
        <f t="shared" si="49"/>
        <v>-33013.724660430409</v>
      </c>
      <c r="AT175" s="43">
        <f t="shared" si="71"/>
        <v>0</v>
      </c>
      <c r="AU175" s="43">
        <f t="shared" si="71"/>
        <v>0</v>
      </c>
      <c r="AV175" s="43">
        <f t="shared" si="71"/>
        <v>0</v>
      </c>
      <c r="AW175" s="43">
        <f t="shared" si="71"/>
        <v>0</v>
      </c>
      <c r="AX175" s="43">
        <f t="shared" si="71"/>
        <v>-330.1372466043041</v>
      </c>
      <c r="AZ175" s="47">
        <f t="shared" si="82"/>
        <v>0</v>
      </c>
      <c r="BA175" s="47">
        <f t="shared" si="83"/>
        <v>0</v>
      </c>
      <c r="BB175" s="47">
        <f t="shared" si="84"/>
        <v>0</v>
      </c>
      <c r="BC175" s="47">
        <f t="shared" si="85"/>
        <v>0</v>
      </c>
      <c r="BD175" s="47">
        <f t="shared" si="86"/>
        <v>-1584.6587837006596</v>
      </c>
    </row>
    <row r="176" spans="2:56">
      <c r="B176" s="37">
        <f>'3. Input (des)investeringen '!B201</f>
        <v>1644</v>
      </c>
      <c r="C176" s="48"/>
      <c r="D176" s="48"/>
      <c r="E176" s="48"/>
      <c r="F176" s="42">
        <f>'3. Input (des)investeringen '!D201</f>
        <v>464981.59278808843</v>
      </c>
      <c r="G176" s="48"/>
      <c r="H176" s="37">
        <f>'3. Input (des)investeringen '!F201</f>
        <v>2026</v>
      </c>
      <c r="I176" s="42" t="str">
        <f>'3. Input (des)investeringen '!G201</f>
        <v>nvt</v>
      </c>
      <c r="J176" s="42">
        <f>'3. Input (des)investeringen '!H201</f>
        <v>5</v>
      </c>
      <c r="K176" s="42">
        <f>'3. Input (des)investeringen '!I201</f>
        <v>0</v>
      </c>
      <c r="M176" s="43">
        <f t="shared" si="72"/>
        <v>0</v>
      </c>
      <c r="N176" s="43">
        <f t="shared" si="73"/>
        <v>0</v>
      </c>
      <c r="P176" s="138">
        <f t="shared" si="74"/>
        <v>0</v>
      </c>
      <c r="Q176" s="138">
        <f t="shared" si="75"/>
        <v>0</v>
      </c>
      <c r="S176" s="43">
        <f t="shared" si="38"/>
        <v>464981.59278808843</v>
      </c>
      <c r="T176" s="38">
        <f t="shared" si="76"/>
        <v>5</v>
      </c>
      <c r="V176" s="43">
        <f t="shared" si="87"/>
        <v>0</v>
      </c>
      <c r="W176" s="43">
        <f t="shared" si="87"/>
        <v>0</v>
      </c>
      <c r="X176" s="43">
        <f t="shared" si="87"/>
        <v>0</v>
      </c>
      <c r="Y176" s="43">
        <f t="shared" si="87"/>
        <v>0</v>
      </c>
      <c r="Z176" s="43">
        <f t="shared" si="87"/>
        <v>54402.846356206348</v>
      </c>
      <c r="AB176" s="43">
        <f t="shared" si="88"/>
        <v>0</v>
      </c>
      <c r="AC176" s="43">
        <f t="shared" si="88"/>
        <v>0</v>
      </c>
      <c r="AD176" s="43">
        <f t="shared" si="88"/>
        <v>0</v>
      </c>
      <c r="AE176" s="43">
        <f t="shared" si="88"/>
        <v>0</v>
      </c>
      <c r="AF176" s="43">
        <f t="shared" si="88"/>
        <v>4649.8159278808844</v>
      </c>
      <c r="AH176" s="43">
        <f t="shared" si="77"/>
        <v>0</v>
      </c>
      <c r="AI176" s="43">
        <f t="shared" si="78"/>
        <v>0</v>
      </c>
      <c r="AJ176" s="43">
        <f t="shared" si="79"/>
        <v>0</v>
      </c>
      <c r="AK176" s="43">
        <f t="shared" si="80"/>
        <v>0</v>
      </c>
      <c r="AL176" s="43">
        <f t="shared" si="81"/>
        <v>59052.66228408723</v>
      </c>
      <c r="AN176" s="43">
        <f t="shared" si="45"/>
        <v>0</v>
      </c>
      <c r="AO176" s="43">
        <f t="shared" si="46"/>
        <v>0</v>
      </c>
      <c r="AP176" s="43">
        <f t="shared" si="47"/>
        <v>0</v>
      </c>
      <c r="AQ176" s="43">
        <f t="shared" si="48"/>
        <v>0</v>
      </c>
      <c r="AR176" s="43">
        <f t="shared" si="49"/>
        <v>405928.93050400121</v>
      </c>
      <c r="AT176" s="43">
        <f t="shared" si="71"/>
        <v>0</v>
      </c>
      <c r="AU176" s="43">
        <f t="shared" si="71"/>
        <v>0</v>
      </c>
      <c r="AV176" s="43">
        <f t="shared" si="71"/>
        <v>0</v>
      </c>
      <c r="AW176" s="43">
        <f t="shared" si="71"/>
        <v>0</v>
      </c>
      <c r="AX176" s="43">
        <f t="shared" si="71"/>
        <v>4649.8159278808844</v>
      </c>
      <c r="AZ176" s="47">
        <f t="shared" si="82"/>
        <v>0</v>
      </c>
      <c r="BA176" s="47">
        <f t="shared" si="83"/>
        <v>0</v>
      </c>
      <c r="BB176" s="47">
        <f t="shared" si="84"/>
        <v>0</v>
      </c>
      <c r="BC176" s="47">
        <f t="shared" si="85"/>
        <v>0</v>
      </c>
      <c r="BD176" s="47">
        <f t="shared" si="86"/>
        <v>79127.777571120168</v>
      </c>
    </row>
    <row r="177" spans="2:56">
      <c r="B177" s="37">
        <f>'3. Input (des)investeringen '!B202</f>
        <v>1645</v>
      </c>
      <c r="C177" s="48"/>
      <c r="D177" s="48"/>
      <c r="E177" s="48"/>
      <c r="F177" s="42">
        <f>'3. Input (des)investeringen '!D202</f>
        <v>1667457.2352886177</v>
      </c>
      <c r="G177" s="48"/>
      <c r="H177" s="37">
        <f>'3. Input (des)investeringen '!F202</f>
        <v>2026</v>
      </c>
      <c r="I177" s="42" t="str">
        <f>'3. Input (des)investeringen '!G202</f>
        <v>nvt</v>
      </c>
      <c r="J177" s="42">
        <f>'3. Input (des)investeringen '!H202</f>
        <v>10</v>
      </c>
      <c r="K177" s="42">
        <f>'3. Input (des)investeringen '!I202</f>
        <v>0</v>
      </c>
      <c r="M177" s="43">
        <f t="shared" si="72"/>
        <v>0</v>
      </c>
      <c r="N177" s="43">
        <f t="shared" si="73"/>
        <v>0</v>
      </c>
      <c r="P177" s="138">
        <f t="shared" si="74"/>
        <v>0</v>
      </c>
      <c r="Q177" s="138">
        <f t="shared" si="75"/>
        <v>0</v>
      </c>
      <c r="S177" s="43">
        <f t="shared" si="38"/>
        <v>1667457.2352886177</v>
      </c>
      <c r="T177" s="38">
        <f t="shared" si="76"/>
        <v>10</v>
      </c>
      <c r="V177" s="43">
        <f t="shared" si="87"/>
        <v>0</v>
      </c>
      <c r="W177" s="43">
        <f t="shared" si="87"/>
        <v>0</v>
      </c>
      <c r="X177" s="43">
        <f t="shared" si="87"/>
        <v>0</v>
      </c>
      <c r="Y177" s="43">
        <f t="shared" si="87"/>
        <v>0</v>
      </c>
      <c r="Z177" s="43">
        <f t="shared" si="87"/>
        <v>97546.248264384136</v>
      </c>
      <c r="AB177" s="43">
        <f t="shared" si="88"/>
        <v>0</v>
      </c>
      <c r="AC177" s="43">
        <f t="shared" si="88"/>
        <v>0</v>
      </c>
      <c r="AD177" s="43">
        <f t="shared" si="88"/>
        <v>0</v>
      </c>
      <c r="AE177" s="43">
        <f t="shared" si="88"/>
        <v>0</v>
      </c>
      <c r="AF177" s="43">
        <f t="shared" si="88"/>
        <v>8337.2861764430891</v>
      </c>
      <c r="AH177" s="43">
        <f t="shared" si="77"/>
        <v>0</v>
      </c>
      <c r="AI177" s="43">
        <f t="shared" si="78"/>
        <v>0</v>
      </c>
      <c r="AJ177" s="43">
        <f t="shared" si="79"/>
        <v>0</v>
      </c>
      <c r="AK177" s="43">
        <f t="shared" si="80"/>
        <v>0</v>
      </c>
      <c r="AL177" s="43">
        <f t="shared" si="81"/>
        <v>105883.53444082722</v>
      </c>
      <c r="AN177" s="43">
        <f t="shared" si="45"/>
        <v>0</v>
      </c>
      <c r="AO177" s="43">
        <f t="shared" si="46"/>
        <v>0</v>
      </c>
      <c r="AP177" s="43">
        <f t="shared" si="47"/>
        <v>0</v>
      </c>
      <c r="AQ177" s="43">
        <f t="shared" si="48"/>
        <v>0</v>
      </c>
      <c r="AR177" s="43">
        <f t="shared" si="49"/>
        <v>1561573.7008477903</v>
      </c>
      <c r="AT177" s="43">
        <f t="shared" si="71"/>
        <v>0</v>
      </c>
      <c r="AU177" s="43">
        <f t="shared" si="71"/>
        <v>0</v>
      </c>
      <c r="AV177" s="43">
        <f t="shared" si="71"/>
        <v>0</v>
      </c>
      <c r="AW177" s="43">
        <f t="shared" si="71"/>
        <v>0</v>
      </c>
      <c r="AX177" s="43">
        <f t="shared" si="71"/>
        <v>16674.572352886178</v>
      </c>
      <c r="AZ177" s="47">
        <f t="shared" si="82"/>
        <v>0</v>
      </c>
      <c r="BA177" s="47">
        <f t="shared" si="83"/>
        <v>0</v>
      </c>
      <c r="BB177" s="47">
        <f t="shared" si="84"/>
        <v>0</v>
      </c>
      <c r="BC177" s="47">
        <f t="shared" si="85"/>
        <v>0</v>
      </c>
      <c r="BD177" s="47">
        <f t="shared" si="86"/>
        <v>181897.90742592941</v>
      </c>
    </row>
    <row r="178" spans="2:56">
      <c r="B178" s="37">
        <f>'3. Input (des)investeringen '!B203</f>
        <v>1646</v>
      </c>
      <c r="C178" s="48"/>
      <c r="D178" s="48"/>
      <c r="E178" s="48"/>
      <c r="F178" s="42">
        <f>'3. Input (des)investeringen '!D203</f>
        <v>5010922.5637233881</v>
      </c>
      <c r="G178" s="48"/>
      <c r="H178" s="37">
        <f>'3. Input (des)investeringen '!F203</f>
        <v>2026</v>
      </c>
      <c r="I178" s="42" t="str">
        <f>'3. Input (des)investeringen '!G203</f>
        <v>nvt</v>
      </c>
      <c r="J178" s="42">
        <f>'3. Input (des)investeringen '!H203</f>
        <v>15</v>
      </c>
      <c r="K178" s="42">
        <f>'3. Input (des)investeringen '!I203</f>
        <v>0</v>
      </c>
      <c r="M178" s="43">
        <f t="shared" si="72"/>
        <v>0</v>
      </c>
      <c r="N178" s="43">
        <f t="shared" si="73"/>
        <v>0</v>
      </c>
      <c r="P178" s="138">
        <f t="shared" si="74"/>
        <v>0</v>
      </c>
      <c r="Q178" s="138">
        <f t="shared" si="75"/>
        <v>0</v>
      </c>
      <c r="S178" s="43">
        <f t="shared" si="38"/>
        <v>5010922.5637233881</v>
      </c>
      <c r="T178" s="38">
        <f t="shared" si="76"/>
        <v>15</v>
      </c>
      <c r="V178" s="43">
        <f t="shared" si="87"/>
        <v>0</v>
      </c>
      <c r="W178" s="43">
        <f t="shared" si="87"/>
        <v>0</v>
      </c>
      <c r="X178" s="43">
        <f t="shared" si="87"/>
        <v>0</v>
      </c>
      <c r="Y178" s="43">
        <f t="shared" si="87"/>
        <v>0</v>
      </c>
      <c r="Z178" s="43">
        <f t="shared" si="87"/>
        <v>195425.97998521212</v>
      </c>
      <c r="AB178" s="43">
        <f t="shared" si="88"/>
        <v>0</v>
      </c>
      <c r="AC178" s="43">
        <f t="shared" si="88"/>
        <v>0</v>
      </c>
      <c r="AD178" s="43">
        <f t="shared" si="88"/>
        <v>0</v>
      </c>
      <c r="AE178" s="43">
        <f t="shared" si="88"/>
        <v>0</v>
      </c>
      <c r="AF178" s="43">
        <f t="shared" si="88"/>
        <v>16703.075212411295</v>
      </c>
      <c r="AH178" s="43">
        <f t="shared" si="77"/>
        <v>0</v>
      </c>
      <c r="AI178" s="43">
        <f t="shared" si="78"/>
        <v>0</v>
      </c>
      <c r="AJ178" s="43">
        <f t="shared" si="79"/>
        <v>0</v>
      </c>
      <c r="AK178" s="43">
        <f t="shared" si="80"/>
        <v>0</v>
      </c>
      <c r="AL178" s="43">
        <f t="shared" si="81"/>
        <v>212129.05519762341</v>
      </c>
      <c r="AN178" s="43">
        <f t="shared" si="45"/>
        <v>0</v>
      </c>
      <c r="AO178" s="43">
        <f t="shared" si="46"/>
        <v>0</v>
      </c>
      <c r="AP178" s="43">
        <f t="shared" si="47"/>
        <v>0</v>
      </c>
      <c r="AQ178" s="43">
        <f t="shared" si="48"/>
        <v>0</v>
      </c>
      <c r="AR178" s="43">
        <f t="shared" si="49"/>
        <v>4798793.5085257646</v>
      </c>
      <c r="AT178" s="43">
        <f t="shared" si="71"/>
        <v>0</v>
      </c>
      <c r="AU178" s="43">
        <f t="shared" si="71"/>
        <v>0</v>
      </c>
      <c r="AV178" s="43">
        <f t="shared" si="71"/>
        <v>0</v>
      </c>
      <c r="AW178" s="43">
        <f t="shared" si="71"/>
        <v>0</v>
      </c>
      <c r="AX178" s="43">
        <f t="shared" si="71"/>
        <v>50109.225637233882</v>
      </c>
      <c r="AZ178" s="47">
        <f t="shared" si="82"/>
        <v>0</v>
      </c>
      <c r="BA178" s="47">
        <f t="shared" si="83"/>
        <v>0</v>
      </c>
      <c r="BB178" s="47">
        <f t="shared" si="84"/>
        <v>0</v>
      </c>
      <c r="BC178" s="47">
        <f t="shared" si="85"/>
        <v>0</v>
      </c>
      <c r="BD178" s="47">
        <f t="shared" si="86"/>
        <v>444592.43415883632</v>
      </c>
    </row>
    <row r="179" spans="2:56">
      <c r="B179" s="37">
        <f>'3. Input (des)investeringen '!B204</f>
        <v>1647</v>
      </c>
      <c r="C179" s="48"/>
      <c r="D179" s="48"/>
      <c r="E179" s="48"/>
      <c r="F179" s="42">
        <f>'3. Input (des)investeringen '!D204</f>
        <v>28421124.056846563</v>
      </c>
      <c r="G179" s="48"/>
      <c r="H179" s="37">
        <f>'3. Input (des)investeringen '!F204</f>
        <v>2026</v>
      </c>
      <c r="I179" s="42" t="str">
        <f>'3. Input (des)investeringen '!G204</f>
        <v>nvt</v>
      </c>
      <c r="J179" s="42">
        <f>'3. Input (des)investeringen '!H204</f>
        <v>30</v>
      </c>
      <c r="K179" s="42">
        <f>'3. Input (des)investeringen '!I204</f>
        <v>0</v>
      </c>
      <c r="M179" s="43">
        <f t="shared" si="72"/>
        <v>0</v>
      </c>
      <c r="N179" s="43">
        <f t="shared" si="73"/>
        <v>0</v>
      </c>
      <c r="P179" s="138">
        <f t="shared" si="74"/>
        <v>0</v>
      </c>
      <c r="Q179" s="138">
        <f t="shared" si="75"/>
        <v>0</v>
      </c>
      <c r="S179" s="43">
        <f t="shared" si="38"/>
        <v>28421124.056846563</v>
      </c>
      <c r="T179" s="38">
        <f t="shared" si="76"/>
        <v>30</v>
      </c>
      <c r="V179" s="43">
        <f t="shared" si="87"/>
        <v>0</v>
      </c>
      <c r="W179" s="43">
        <f t="shared" si="87"/>
        <v>0</v>
      </c>
      <c r="X179" s="43">
        <f t="shared" si="87"/>
        <v>0</v>
      </c>
      <c r="Y179" s="43">
        <f t="shared" si="87"/>
        <v>0</v>
      </c>
      <c r="Z179" s="43">
        <f t="shared" si="87"/>
        <v>554211.91910850792</v>
      </c>
      <c r="AB179" s="43">
        <f t="shared" si="88"/>
        <v>0</v>
      </c>
      <c r="AC179" s="43">
        <f t="shared" si="88"/>
        <v>0</v>
      </c>
      <c r="AD179" s="43">
        <f t="shared" si="88"/>
        <v>0</v>
      </c>
      <c r="AE179" s="43">
        <f t="shared" si="88"/>
        <v>0</v>
      </c>
      <c r="AF179" s="43">
        <f t="shared" si="88"/>
        <v>47368.540094744276</v>
      </c>
      <c r="AH179" s="43">
        <f t="shared" si="77"/>
        <v>0</v>
      </c>
      <c r="AI179" s="43">
        <f t="shared" si="78"/>
        <v>0</v>
      </c>
      <c r="AJ179" s="43">
        <f t="shared" si="79"/>
        <v>0</v>
      </c>
      <c r="AK179" s="43">
        <f t="shared" si="80"/>
        <v>0</v>
      </c>
      <c r="AL179" s="43">
        <f t="shared" si="81"/>
        <v>601580.45920325222</v>
      </c>
      <c r="AN179" s="43">
        <f t="shared" si="45"/>
        <v>0</v>
      </c>
      <c r="AO179" s="43">
        <f t="shared" si="46"/>
        <v>0</v>
      </c>
      <c r="AP179" s="43">
        <f t="shared" si="47"/>
        <v>0</v>
      </c>
      <c r="AQ179" s="43">
        <f t="shared" si="48"/>
        <v>0</v>
      </c>
      <c r="AR179" s="43">
        <f t="shared" si="49"/>
        <v>27819543.597643312</v>
      </c>
      <c r="AT179" s="43">
        <f t="shared" si="71"/>
        <v>0</v>
      </c>
      <c r="AU179" s="43">
        <f t="shared" si="71"/>
        <v>0</v>
      </c>
      <c r="AV179" s="43">
        <f t="shared" si="71"/>
        <v>0</v>
      </c>
      <c r="AW179" s="43">
        <f t="shared" si="71"/>
        <v>0</v>
      </c>
      <c r="AX179" s="43">
        <f t="shared" si="71"/>
        <v>284211.24056846561</v>
      </c>
      <c r="AZ179" s="47">
        <f t="shared" si="82"/>
        <v>0</v>
      </c>
      <c r="BA179" s="47">
        <f t="shared" si="83"/>
        <v>0</v>
      </c>
      <c r="BB179" s="47">
        <f t="shared" si="84"/>
        <v>0</v>
      </c>
      <c r="BC179" s="47">
        <f t="shared" si="85"/>
        <v>0</v>
      </c>
      <c r="BD179" s="47">
        <f t="shared" si="86"/>
        <v>1942934.3564821635</v>
      </c>
    </row>
    <row r="180" spans="2:56">
      <c r="B180" s="37">
        <f>'3. Input (des)investeringen '!B205</f>
        <v>1648</v>
      </c>
      <c r="C180" s="48"/>
      <c r="D180" s="48"/>
      <c r="E180" s="48"/>
      <c r="F180" s="42">
        <f>'3. Input (des)investeringen '!D205</f>
        <v>40148.872615293018</v>
      </c>
      <c r="G180" s="48"/>
      <c r="H180" s="37">
        <f>'3. Input (des)investeringen '!F205</f>
        <v>2026</v>
      </c>
      <c r="I180" s="42" t="str">
        <f>'3. Input (des)investeringen '!G205</f>
        <v>nvt</v>
      </c>
      <c r="J180" s="42">
        <f>'3. Input (des)investeringen '!H205</f>
        <v>55</v>
      </c>
      <c r="K180" s="42">
        <f>'3. Input (des)investeringen '!I205</f>
        <v>0</v>
      </c>
      <c r="M180" s="43">
        <f t="shared" si="72"/>
        <v>0</v>
      </c>
      <c r="N180" s="43">
        <f t="shared" si="73"/>
        <v>0</v>
      </c>
      <c r="P180" s="138">
        <f t="shared" si="74"/>
        <v>0</v>
      </c>
      <c r="Q180" s="138">
        <f t="shared" si="75"/>
        <v>0</v>
      </c>
      <c r="S180" s="43">
        <f t="shared" si="38"/>
        <v>40148.872615293018</v>
      </c>
      <c r="T180" s="38">
        <f t="shared" si="76"/>
        <v>55</v>
      </c>
      <c r="V180" s="43">
        <f t="shared" si="87"/>
        <v>0</v>
      </c>
      <c r="W180" s="43">
        <f t="shared" si="87"/>
        <v>0</v>
      </c>
      <c r="X180" s="43">
        <f t="shared" si="87"/>
        <v>0</v>
      </c>
      <c r="Y180" s="43">
        <f t="shared" si="87"/>
        <v>0</v>
      </c>
      <c r="Z180" s="43">
        <f t="shared" si="87"/>
        <v>427.03800872629847</v>
      </c>
      <c r="AB180" s="43">
        <f t="shared" si="88"/>
        <v>0</v>
      </c>
      <c r="AC180" s="43">
        <f t="shared" si="88"/>
        <v>0</v>
      </c>
      <c r="AD180" s="43">
        <f t="shared" si="88"/>
        <v>0</v>
      </c>
      <c r="AE180" s="43">
        <f t="shared" si="88"/>
        <v>0</v>
      </c>
      <c r="AF180" s="43">
        <f t="shared" si="88"/>
        <v>36.498975104811841</v>
      </c>
      <c r="AH180" s="43">
        <f t="shared" si="77"/>
        <v>0</v>
      </c>
      <c r="AI180" s="43">
        <f t="shared" si="78"/>
        <v>0</v>
      </c>
      <c r="AJ180" s="43">
        <f t="shared" si="79"/>
        <v>0</v>
      </c>
      <c r="AK180" s="43">
        <f t="shared" si="80"/>
        <v>0</v>
      </c>
      <c r="AL180" s="43">
        <f t="shared" si="81"/>
        <v>463.53698383111032</v>
      </c>
      <c r="AN180" s="43">
        <f t="shared" si="45"/>
        <v>0</v>
      </c>
      <c r="AO180" s="43">
        <f t="shared" si="46"/>
        <v>0</v>
      </c>
      <c r="AP180" s="43">
        <f t="shared" si="47"/>
        <v>0</v>
      </c>
      <c r="AQ180" s="43">
        <f t="shared" si="48"/>
        <v>0</v>
      </c>
      <c r="AR180" s="43">
        <f t="shared" si="49"/>
        <v>39685.335631461909</v>
      </c>
      <c r="AT180" s="43">
        <f t="shared" si="71"/>
        <v>0</v>
      </c>
      <c r="AU180" s="43">
        <f t="shared" si="71"/>
        <v>0</v>
      </c>
      <c r="AV180" s="43">
        <f t="shared" si="71"/>
        <v>0</v>
      </c>
      <c r="AW180" s="43">
        <f t="shared" si="71"/>
        <v>0</v>
      </c>
      <c r="AX180" s="43">
        <f t="shared" si="71"/>
        <v>401.48872615293021</v>
      </c>
      <c r="AZ180" s="47">
        <f t="shared" si="82"/>
        <v>0</v>
      </c>
      <c r="BA180" s="47">
        <f t="shared" si="83"/>
        <v>0</v>
      </c>
      <c r="BB180" s="47">
        <f t="shared" si="84"/>
        <v>0</v>
      </c>
      <c r="BC180" s="47">
        <f t="shared" si="85"/>
        <v>0</v>
      </c>
      <c r="BD180" s="47">
        <f t="shared" si="86"/>
        <v>2373.0684639795927</v>
      </c>
    </row>
    <row r="181" spans="2:56">
      <c r="B181" s="37">
        <f>'3. Input (des)investeringen '!B206</f>
        <v>1649</v>
      </c>
      <c r="C181" s="48"/>
      <c r="D181" s="48"/>
      <c r="E181" s="48"/>
      <c r="F181" s="42">
        <f>'3. Input (des)investeringen '!D206</f>
        <v>0</v>
      </c>
      <c r="G181" s="48"/>
      <c r="H181" s="37">
        <f>'3. Input (des)investeringen '!F206</f>
        <v>2026</v>
      </c>
      <c r="I181" s="42" t="str">
        <f>'3. Input (des)investeringen '!G206</f>
        <v>nvt</v>
      </c>
      <c r="J181" s="42">
        <f>'3. Input (des)investeringen '!H206</f>
        <v>0</v>
      </c>
      <c r="K181" s="42">
        <f>'3. Input (des)investeringen '!I206</f>
        <v>0</v>
      </c>
      <c r="M181" s="43">
        <f t="shared" si="72"/>
        <v>0</v>
      </c>
      <c r="N181" s="43">
        <f t="shared" si="73"/>
        <v>0</v>
      </c>
      <c r="P181" s="138">
        <f t="shared" si="74"/>
        <v>0</v>
      </c>
      <c r="Q181" s="138">
        <f t="shared" si="75"/>
        <v>0</v>
      </c>
      <c r="S181" s="43">
        <f t="shared" si="38"/>
        <v>0</v>
      </c>
      <c r="T181" s="38">
        <f t="shared" si="76"/>
        <v>0</v>
      </c>
      <c r="V181" s="43">
        <f t="shared" si="87"/>
        <v>0</v>
      </c>
      <c r="W181" s="43">
        <f t="shared" si="87"/>
        <v>0</v>
      </c>
      <c r="X181" s="43">
        <f t="shared" si="87"/>
        <v>0</v>
      </c>
      <c r="Y181" s="43">
        <f t="shared" si="87"/>
        <v>0</v>
      </c>
      <c r="Z181" s="43">
        <f t="shared" si="87"/>
        <v>0</v>
      </c>
      <c r="AB181" s="43">
        <f t="shared" si="88"/>
        <v>0</v>
      </c>
      <c r="AC181" s="43">
        <f t="shared" si="88"/>
        <v>0</v>
      </c>
      <c r="AD181" s="43">
        <f t="shared" si="88"/>
        <v>0</v>
      </c>
      <c r="AE181" s="43">
        <f t="shared" si="88"/>
        <v>0</v>
      </c>
      <c r="AF181" s="43">
        <f t="shared" si="88"/>
        <v>0</v>
      </c>
      <c r="AH181" s="43">
        <f t="shared" si="77"/>
        <v>0</v>
      </c>
      <c r="AI181" s="43">
        <f t="shared" si="78"/>
        <v>0</v>
      </c>
      <c r="AJ181" s="43">
        <f t="shared" si="79"/>
        <v>0</v>
      </c>
      <c r="AK181" s="43">
        <f t="shared" si="80"/>
        <v>0</v>
      </c>
      <c r="AL181" s="43">
        <f t="shared" si="81"/>
        <v>0</v>
      </c>
      <c r="AN181" s="43">
        <f t="shared" si="45"/>
        <v>0</v>
      </c>
      <c r="AO181" s="43">
        <f t="shared" si="46"/>
        <v>0</v>
      </c>
      <c r="AP181" s="43">
        <f t="shared" si="47"/>
        <v>0</v>
      </c>
      <c r="AQ181" s="43">
        <f t="shared" si="48"/>
        <v>0</v>
      </c>
      <c r="AR181" s="43">
        <f t="shared" si="49"/>
        <v>0</v>
      </c>
      <c r="AT181" s="43">
        <f t="shared" si="71"/>
        <v>0</v>
      </c>
      <c r="AU181" s="43">
        <f t="shared" si="71"/>
        <v>0</v>
      </c>
      <c r="AV181" s="43">
        <f t="shared" si="71"/>
        <v>0</v>
      </c>
      <c r="AW181" s="43">
        <f t="shared" si="71"/>
        <v>0</v>
      </c>
      <c r="AX181" s="43">
        <f t="shared" si="71"/>
        <v>0</v>
      </c>
      <c r="AZ181" s="47">
        <f t="shared" si="82"/>
        <v>0</v>
      </c>
      <c r="BA181" s="47">
        <f t="shared" si="83"/>
        <v>0</v>
      </c>
      <c r="BB181" s="47">
        <f t="shared" si="84"/>
        <v>0</v>
      </c>
      <c r="BC181" s="47">
        <f t="shared" si="85"/>
        <v>0</v>
      </c>
      <c r="BD181" s="47">
        <f t="shared" si="86"/>
        <v>0</v>
      </c>
    </row>
    <row r="182" spans="2:56">
      <c r="B182" s="37">
        <f>'3. Input (des)investeringen '!B207</f>
        <v>1650</v>
      </c>
      <c r="C182" s="48"/>
      <c r="D182" s="48"/>
      <c r="E182" s="48"/>
      <c r="F182" s="42">
        <f>'3. Input (des)investeringen '!D207</f>
        <v>668226.79461700725</v>
      </c>
      <c r="G182" s="48"/>
      <c r="H182" s="37">
        <f>'3. Input (des)investeringen '!F207</f>
        <v>2026</v>
      </c>
      <c r="I182" s="42" t="str">
        <f>'3. Input (des)investeringen '!G207</f>
        <v>nvt</v>
      </c>
      <c r="J182" s="42">
        <f>'3. Input (des)investeringen '!H207</f>
        <v>5</v>
      </c>
      <c r="K182" s="42">
        <f>'3. Input (des)investeringen '!I207</f>
        <v>0</v>
      </c>
      <c r="M182" s="43">
        <f t="shared" si="72"/>
        <v>0</v>
      </c>
      <c r="N182" s="43">
        <f t="shared" si="73"/>
        <v>0</v>
      </c>
      <c r="P182" s="138">
        <f t="shared" si="74"/>
        <v>0</v>
      </c>
      <c r="Q182" s="138">
        <f t="shared" si="75"/>
        <v>0</v>
      </c>
      <c r="S182" s="43">
        <f t="shared" si="38"/>
        <v>668226.79461700725</v>
      </c>
      <c r="T182" s="38">
        <f t="shared" si="76"/>
        <v>5</v>
      </c>
      <c r="V182" s="43">
        <f t="shared" si="87"/>
        <v>0</v>
      </c>
      <c r="W182" s="43">
        <f t="shared" si="87"/>
        <v>0</v>
      </c>
      <c r="X182" s="43">
        <f t="shared" si="87"/>
        <v>0</v>
      </c>
      <c r="Y182" s="43">
        <f t="shared" si="87"/>
        <v>0</v>
      </c>
      <c r="Z182" s="43">
        <f t="shared" si="87"/>
        <v>78182.534970189852</v>
      </c>
      <c r="AB182" s="43">
        <f t="shared" si="88"/>
        <v>0</v>
      </c>
      <c r="AC182" s="43">
        <f t="shared" si="88"/>
        <v>0</v>
      </c>
      <c r="AD182" s="43">
        <f t="shared" si="88"/>
        <v>0</v>
      </c>
      <c r="AE182" s="43">
        <f t="shared" si="88"/>
        <v>0</v>
      </c>
      <c r="AF182" s="43">
        <f t="shared" si="88"/>
        <v>6682.2679461700727</v>
      </c>
      <c r="AH182" s="43">
        <f t="shared" si="77"/>
        <v>0</v>
      </c>
      <c r="AI182" s="43">
        <f t="shared" si="78"/>
        <v>0</v>
      </c>
      <c r="AJ182" s="43">
        <f t="shared" si="79"/>
        <v>0</v>
      </c>
      <c r="AK182" s="43">
        <f t="shared" si="80"/>
        <v>0</v>
      </c>
      <c r="AL182" s="43">
        <f t="shared" si="81"/>
        <v>84864.802916359928</v>
      </c>
      <c r="AN182" s="43">
        <f t="shared" si="45"/>
        <v>0</v>
      </c>
      <c r="AO182" s="43">
        <f t="shared" si="46"/>
        <v>0</v>
      </c>
      <c r="AP182" s="43">
        <f t="shared" si="47"/>
        <v>0</v>
      </c>
      <c r="AQ182" s="43">
        <f t="shared" si="48"/>
        <v>0</v>
      </c>
      <c r="AR182" s="43">
        <f t="shared" si="49"/>
        <v>583361.99170064728</v>
      </c>
      <c r="AT182" s="43">
        <f t="shared" si="71"/>
        <v>0</v>
      </c>
      <c r="AU182" s="43">
        <f t="shared" si="71"/>
        <v>0</v>
      </c>
      <c r="AV182" s="43">
        <f t="shared" si="71"/>
        <v>0</v>
      </c>
      <c r="AW182" s="43">
        <f t="shared" si="71"/>
        <v>0</v>
      </c>
      <c r="AX182" s="43">
        <f t="shared" si="71"/>
        <v>6682.2679461700727</v>
      </c>
      <c r="AZ182" s="47">
        <f t="shared" si="82"/>
        <v>0</v>
      </c>
      <c r="BA182" s="47">
        <f t="shared" si="83"/>
        <v>0</v>
      </c>
      <c r="BB182" s="47">
        <f t="shared" si="84"/>
        <v>0</v>
      </c>
      <c r="BC182" s="47">
        <f t="shared" si="85"/>
        <v>0</v>
      </c>
      <c r="BD182" s="47">
        <f t="shared" si="86"/>
        <v>113714.8265471546</v>
      </c>
    </row>
    <row r="183" spans="2:56">
      <c r="B183" s="37">
        <f>'3. Input (des)investeringen '!B208</f>
        <v>1651</v>
      </c>
      <c r="C183" s="48"/>
      <c r="D183" s="48"/>
      <c r="E183" s="48"/>
      <c r="F183" s="42">
        <f>'3. Input (des)investeringen '!D208</f>
        <v>4946580.6339102844</v>
      </c>
      <c r="G183" s="48"/>
      <c r="H183" s="37">
        <f>'3. Input (des)investeringen '!F208</f>
        <v>2026</v>
      </c>
      <c r="I183" s="42" t="str">
        <f>'3. Input (des)investeringen '!G208</f>
        <v>nvt</v>
      </c>
      <c r="J183" s="42">
        <f>'3. Input (des)investeringen '!H208</f>
        <v>10</v>
      </c>
      <c r="K183" s="42">
        <f>'3. Input (des)investeringen '!I208</f>
        <v>0</v>
      </c>
      <c r="M183" s="43">
        <f t="shared" si="72"/>
        <v>0</v>
      </c>
      <c r="N183" s="43">
        <f t="shared" si="73"/>
        <v>0</v>
      </c>
      <c r="P183" s="138">
        <f t="shared" si="74"/>
        <v>0</v>
      </c>
      <c r="Q183" s="138">
        <f t="shared" si="75"/>
        <v>0</v>
      </c>
      <c r="S183" s="43">
        <f t="shared" si="38"/>
        <v>4946580.6339102844</v>
      </c>
      <c r="T183" s="38">
        <f t="shared" si="76"/>
        <v>10</v>
      </c>
      <c r="V183" s="43">
        <f t="shared" si="87"/>
        <v>0</v>
      </c>
      <c r="W183" s="43">
        <f t="shared" si="87"/>
        <v>0</v>
      </c>
      <c r="X183" s="43">
        <f t="shared" si="87"/>
        <v>0</v>
      </c>
      <c r="Y183" s="43">
        <f t="shared" si="87"/>
        <v>0</v>
      </c>
      <c r="Z183" s="43">
        <f t="shared" si="87"/>
        <v>289374.96708375169</v>
      </c>
      <c r="AB183" s="43">
        <f t="shared" si="88"/>
        <v>0</v>
      </c>
      <c r="AC183" s="43">
        <f t="shared" si="88"/>
        <v>0</v>
      </c>
      <c r="AD183" s="43">
        <f t="shared" si="88"/>
        <v>0</v>
      </c>
      <c r="AE183" s="43">
        <f t="shared" si="88"/>
        <v>0</v>
      </c>
      <c r="AF183" s="43">
        <f t="shared" si="88"/>
        <v>24732.903169551424</v>
      </c>
      <c r="AH183" s="43">
        <f t="shared" si="77"/>
        <v>0</v>
      </c>
      <c r="AI183" s="43">
        <f t="shared" si="78"/>
        <v>0</v>
      </c>
      <c r="AJ183" s="43">
        <f t="shared" si="79"/>
        <v>0</v>
      </c>
      <c r="AK183" s="43">
        <f t="shared" si="80"/>
        <v>0</v>
      </c>
      <c r="AL183" s="43">
        <f t="shared" si="81"/>
        <v>314107.87025330309</v>
      </c>
      <c r="AN183" s="43">
        <f t="shared" si="45"/>
        <v>0</v>
      </c>
      <c r="AO183" s="43">
        <f t="shared" si="46"/>
        <v>0</v>
      </c>
      <c r="AP183" s="43">
        <f t="shared" si="47"/>
        <v>0</v>
      </c>
      <c r="AQ183" s="43">
        <f t="shared" si="48"/>
        <v>0</v>
      </c>
      <c r="AR183" s="43">
        <f t="shared" si="49"/>
        <v>4632472.7636569813</v>
      </c>
      <c r="AT183" s="43">
        <f t="shared" si="71"/>
        <v>0</v>
      </c>
      <c r="AU183" s="43">
        <f t="shared" si="71"/>
        <v>0</v>
      </c>
      <c r="AV183" s="43">
        <f t="shared" si="71"/>
        <v>0</v>
      </c>
      <c r="AW183" s="43">
        <f t="shared" si="71"/>
        <v>0</v>
      </c>
      <c r="AX183" s="43">
        <f t="shared" si="71"/>
        <v>49465.806339102848</v>
      </c>
      <c r="AZ183" s="47">
        <f t="shared" si="82"/>
        <v>0</v>
      </c>
      <c r="BA183" s="47">
        <f t="shared" si="83"/>
        <v>0</v>
      </c>
      <c r="BB183" s="47">
        <f t="shared" si="84"/>
        <v>0</v>
      </c>
      <c r="BC183" s="47">
        <f t="shared" si="85"/>
        <v>0</v>
      </c>
      <c r="BD183" s="47">
        <f t="shared" si="86"/>
        <v>539607.64161137119</v>
      </c>
    </row>
    <row r="184" spans="2:56">
      <c r="B184" s="37">
        <f>'3. Input (des)investeringen '!B209</f>
        <v>1652</v>
      </c>
      <c r="C184" s="48"/>
      <c r="D184" s="48"/>
      <c r="E184" s="48"/>
      <c r="F184" s="42">
        <f>'3. Input (des)investeringen '!D209</f>
        <v>8094567.3314780593</v>
      </c>
      <c r="G184" s="48"/>
      <c r="H184" s="37">
        <f>'3. Input (des)investeringen '!F209</f>
        <v>2026</v>
      </c>
      <c r="I184" s="42" t="str">
        <f>'3. Input (des)investeringen '!G209</f>
        <v>nvt</v>
      </c>
      <c r="J184" s="42">
        <f>'3. Input (des)investeringen '!H209</f>
        <v>15</v>
      </c>
      <c r="K184" s="42">
        <f>'3. Input (des)investeringen '!I209</f>
        <v>0</v>
      </c>
      <c r="M184" s="43">
        <f t="shared" si="72"/>
        <v>0</v>
      </c>
      <c r="N184" s="43">
        <f t="shared" si="73"/>
        <v>0</v>
      </c>
      <c r="P184" s="138">
        <f t="shared" si="74"/>
        <v>0</v>
      </c>
      <c r="Q184" s="138">
        <f t="shared" si="75"/>
        <v>0</v>
      </c>
      <c r="S184" s="43">
        <f t="shared" si="38"/>
        <v>8094567.3314780593</v>
      </c>
      <c r="T184" s="38">
        <f t="shared" si="76"/>
        <v>15</v>
      </c>
      <c r="V184" s="43">
        <f t="shared" si="87"/>
        <v>0</v>
      </c>
      <c r="W184" s="43">
        <f t="shared" si="87"/>
        <v>0</v>
      </c>
      <c r="X184" s="43">
        <f t="shared" si="87"/>
        <v>0</v>
      </c>
      <c r="Y184" s="43">
        <f t="shared" si="87"/>
        <v>0</v>
      </c>
      <c r="Z184" s="43">
        <f t="shared" si="87"/>
        <v>315688.12592764432</v>
      </c>
      <c r="AB184" s="43">
        <f t="shared" si="88"/>
        <v>0</v>
      </c>
      <c r="AC184" s="43">
        <f t="shared" si="88"/>
        <v>0</v>
      </c>
      <c r="AD184" s="43">
        <f t="shared" si="88"/>
        <v>0</v>
      </c>
      <c r="AE184" s="43">
        <f t="shared" si="88"/>
        <v>0</v>
      </c>
      <c r="AF184" s="43">
        <f t="shared" si="88"/>
        <v>26981.891104926868</v>
      </c>
      <c r="AH184" s="43">
        <f t="shared" si="77"/>
        <v>0</v>
      </c>
      <c r="AI184" s="43">
        <f t="shared" si="78"/>
        <v>0</v>
      </c>
      <c r="AJ184" s="43">
        <f t="shared" si="79"/>
        <v>0</v>
      </c>
      <c r="AK184" s="43">
        <f t="shared" si="80"/>
        <v>0</v>
      </c>
      <c r="AL184" s="43">
        <f t="shared" si="81"/>
        <v>342670.0170325712</v>
      </c>
      <c r="AN184" s="43">
        <f t="shared" si="45"/>
        <v>0</v>
      </c>
      <c r="AO184" s="43">
        <f t="shared" si="46"/>
        <v>0</v>
      </c>
      <c r="AP184" s="43">
        <f t="shared" si="47"/>
        <v>0</v>
      </c>
      <c r="AQ184" s="43">
        <f t="shared" si="48"/>
        <v>0</v>
      </c>
      <c r="AR184" s="43">
        <f t="shared" si="49"/>
        <v>7751897.3144454882</v>
      </c>
      <c r="AT184" s="43">
        <f t="shared" si="71"/>
        <v>0</v>
      </c>
      <c r="AU184" s="43">
        <f t="shared" si="71"/>
        <v>0</v>
      </c>
      <c r="AV184" s="43">
        <f t="shared" si="71"/>
        <v>0</v>
      </c>
      <c r="AW184" s="43">
        <f t="shared" si="71"/>
        <v>0</v>
      </c>
      <c r="AX184" s="43">
        <f t="shared" si="71"/>
        <v>80945.673314780594</v>
      </c>
      <c r="AZ184" s="47">
        <f t="shared" si="82"/>
        <v>0</v>
      </c>
      <c r="BA184" s="47">
        <f t="shared" si="83"/>
        <v>0</v>
      </c>
      <c r="BB184" s="47">
        <f t="shared" si="84"/>
        <v>0</v>
      </c>
      <c r="BC184" s="47">
        <f t="shared" si="85"/>
        <v>0</v>
      </c>
      <c r="BD184" s="47">
        <f t="shared" si="86"/>
        <v>718187.78829628031</v>
      </c>
    </row>
    <row r="185" spans="2:56">
      <c r="B185" s="37">
        <f>'3. Input (des)investeringen '!B210</f>
        <v>1653</v>
      </c>
      <c r="C185" s="48"/>
      <c r="D185" s="48"/>
      <c r="E185" s="48"/>
      <c r="F185" s="42">
        <f>'3. Input (des)investeringen '!D210</f>
        <v>8031503.8978528045</v>
      </c>
      <c r="G185" s="48"/>
      <c r="H185" s="37">
        <f>'3. Input (des)investeringen '!F210</f>
        <v>2026</v>
      </c>
      <c r="I185" s="42" t="str">
        <f>'3. Input (des)investeringen '!G210</f>
        <v>nvt</v>
      </c>
      <c r="J185" s="42">
        <f>'3. Input (des)investeringen '!H210</f>
        <v>30</v>
      </c>
      <c r="K185" s="42">
        <f>'3. Input (des)investeringen '!I210</f>
        <v>0</v>
      </c>
      <c r="M185" s="43">
        <f t="shared" si="72"/>
        <v>0</v>
      </c>
      <c r="N185" s="43">
        <f t="shared" si="73"/>
        <v>0</v>
      </c>
      <c r="P185" s="138">
        <f t="shared" si="74"/>
        <v>0</v>
      </c>
      <c r="Q185" s="138">
        <f t="shared" si="75"/>
        <v>0</v>
      </c>
      <c r="S185" s="43">
        <f t="shared" si="38"/>
        <v>8031503.8978528045</v>
      </c>
      <c r="T185" s="38">
        <f t="shared" si="76"/>
        <v>30</v>
      </c>
      <c r="V185" s="43">
        <f t="shared" si="87"/>
        <v>0</v>
      </c>
      <c r="W185" s="43">
        <f t="shared" si="87"/>
        <v>0</v>
      </c>
      <c r="X185" s="43">
        <f t="shared" si="87"/>
        <v>0</v>
      </c>
      <c r="Y185" s="43">
        <f t="shared" si="87"/>
        <v>0</v>
      </c>
      <c r="Z185" s="43">
        <f t="shared" si="87"/>
        <v>156614.32600812969</v>
      </c>
      <c r="AB185" s="43">
        <f t="shared" si="88"/>
        <v>0</v>
      </c>
      <c r="AC185" s="43">
        <f t="shared" si="88"/>
        <v>0</v>
      </c>
      <c r="AD185" s="43">
        <f t="shared" si="88"/>
        <v>0</v>
      </c>
      <c r="AE185" s="43">
        <f t="shared" si="88"/>
        <v>0</v>
      </c>
      <c r="AF185" s="43">
        <f t="shared" si="88"/>
        <v>13385.839829754674</v>
      </c>
      <c r="AH185" s="43">
        <f t="shared" si="77"/>
        <v>0</v>
      </c>
      <c r="AI185" s="43">
        <f t="shared" si="78"/>
        <v>0</v>
      </c>
      <c r="AJ185" s="43">
        <f t="shared" si="79"/>
        <v>0</v>
      </c>
      <c r="AK185" s="43">
        <f t="shared" si="80"/>
        <v>0</v>
      </c>
      <c r="AL185" s="43">
        <f t="shared" si="81"/>
        <v>170000.16583788436</v>
      </c>
      <c r="AN185" s="43">
        <f t="shared" si="45"/>
        <v>0</v>
      </c>
      <c r="AO185" s="43">
        <f t="shared" si="46"/>
        <v>0</v>
      </c>
      <c r="AP185" s="43">
        <f t="shared" si="47"/>
        <v>0</v>
      </c>
      <c r="AQ185" s="43">
        <f t="shared" si="48"/>
        <v>0</v>
      </c>
      <c r="AR185" s="43">
        <f t="shared" si="49"/>
        <v>7861503.7320149206</v>
      </c>
      <c r="AT185" s="43">
        <f t="shared" si="71"/>
        <v>0</v>
      </c>
      <c r="AU185" s="43">
        <f t="shared" si="71"/>
        <v>0</v>
      </c>
      <c r="AV185" s="43">
        <f t="shared" si="71"/>
        <v>0</v>
      </c>
      <c r="AW185" s="43">
        <f t="shared" si="71"/>
        <v>0</v>
      </c>
      <c r="AX185" s="43">
        <f t="shared" si="71"/>
        <v>80315.038978528042</v>
      </c>
      <c r="AZ185" s="47">
        <f t="shared" si="82"/>
        <v>0</v>
      </c>
      <c r="BA185" s="47">
        <f t="shared" si="83"/>
        <v>0</v>
      </c>
      <c r="BB185" s="47">
        <f t="shared" si="84"/>
        <v>0</v>
      </c>
      <c r="BC185" s="47">
        <f t="shared" si="85"/>
        <v>0</v>
      </c>
      <c r="BD185" s="47">
        <f t="shared" si="86"/>
        <v>549052.34663297934</v>
      </c>
    </row>
    <row r="186" spans="2:56">
      <c r="B186" s="37">
        <f>'3. Input (des)investeringen '!B211</f>
        <v>1654</v>
      </c>
      <c r="C186" s="48"/>
      <c r="D186" s="48"/>
      <c r="E186" s="48"/>
      <c r="F186" s="42">
        <f>'3. Input (des)investeringen '!D211</f>
        <v>0</v>
      </c>
      <c r="G186" s="48"/>
      <c r="H186" s="37">
        <f>'3. Input (des)investeringen '!F211</f>
        <v>2026</v>
      </c>
      <c r="I186" s="42" t="str">
        <f>'3. Input (des)investeringen '!G211</f>
        <v>nvt</v>
      </c>
      <c r="J186" s="42">
        <f>'3. Input (des)investeringen '!H211</f>
        <v>55</v>
      </c>
      <c r="K186" s="42">
        <f>'3. Input (des)investeringen '!I211</f>
        <v>0</v>
      </c>
      <c r="M186" s="43">
        <f t="shared" si="72"/>
        <v>0</v>
      </c>
      <c r="N186" s="43">
        <f t="shared" si="73"/>
        <v>0</v>
      </c>
      <c r="P186" s="138">
        <f t="shared" si="74"/>
        <v>0</v>
      </c>
      <c r="Q186" s="138">
        <f t="shared" si="75"/>
        <v>0</v>
      </c>
      <c r="S186" s="43">
        <f t="shared" si="38"/>
        <v>0</v>
      </c>
      <c r="T186" s="38">
        <f t="shared" si="76"/>
        <v>55</v>
      </c>
      <c r="V186" s="43">
        <f t="shared" si="87"/>
        <v>0</v>
      </c>
      <c r="W186" s="43">
        <f t="shared" si="87"/>
        <v>0</v>
      </c>
      <c r="X186" s="43">
        <f t="shared" si="87"/>
        <v>0</v>
      </c>
      <c r="Y186" s="43">
        <f t="shared" si="87"/>
        <v>0</v>
      </c>
      <c r="Z186" s="43">
        <f t="shared" si="87"/>
        <v>0</v>
      </c>
      <c r="AB186" s="43">
        <f t="shared" si="88"/>
        <v>0</v>
      </c>
      <c r="AC186" s="43">
        <f t="shared" si="88"/>
        <v>0</v>
      </c>
      <c r="AD186" s="43">
        <f t="shared" si="88"/>
        <v>0</v>
      </c>
      <c r="AE186" s="43">
        <f t="shared" si="88"/>
        <v>0</v>
      </c>
      <c r="AF186" s="43">
        <f t="shared" si="88"/>
        <v>0</v>
      </c>
      <c r="AH186" s="43">
        <f t="shared" si="77"/>
        <v>0</v>
      </c>
      <c r="AI186" s="43">
        <f t="shared" si="78"/>
        <v>0</v>
      </c>
      <c r="AJ186" s="43">
        <f t="shared" si="79"/>
        <v>0</v>
      </c>
      <c r="AK186" s="43">
        <f t="shared" si="80"/>
        <v>0</v>
      </c>
      <c r="AL186" s="43">
        <f t="shared" si="81"/>
        <v>0</v>
      </c>
      <c r="AN186" s="43">
        <f t="shared" si="45"/>
        <v>0</v>
      </c>
      <c r="AO186" s="43">
        <f t="shared" si="46"/>
        <v>0</v>
      </c>
      <c r="AP186" s="43">
        <f t="shared" si="47"/>
        <v>0</v>
      </c>
      <c r="AQ186" s="43">
        <f t="shared" si="48"/>
        <v>0</v>
      </c>
      <c r="AR186" s="43">
        <f t="shared" si="49"/>
        <v>0</v>
      </c>
      <c r="AT186" s="43">
        <f t="shared" si="71"/>
        <v>0</v>
      </c>
      <c r="AU186" s="43">
        <f t="shared" si="71"/>
        <v>0</v>
      </c>
      <c r="AV186" s="43">
        <f t="shared" si="71"/>
        <v>0</v>
      </c>
      <c r="AW186" s="43">
        <f t="shared" si="71"/>
        <v>0</v>
      </c>
      <c r="AX186" s="43">
        <f t="shared" si="71"/>
        <v>0</v>
      </c>
      <c r="AZ186" s="47">
        <f t="shared" si="82"/>
        <v>0</v>
      </c>
      <c r="BA186" s="47">
        <f t="shared" si="83"/>
        <v>0</v>
      </c>
      <c r="BB186" s="47">
        <f t="shared" si="84"/>
        <v>0</v>
      </c>
      <c r="BC186" s="47">
        <f t="shared" si="85"/>
        <v>0</v>
      </c>
      <c r="BD186" s="47">
        <f t="shared" si="86"/>
        <v>0</v>
      </c>
    </row>
    <row r="187" spans="2:56">
      <c r="B187" s="37">
        <f>'3. Input (des)investeringen '!B212</f>
        <v>1655</v>
      </c>
      <c r="C187" s="48"/>
      <c r="D187" s="48"/>
      <c r="E187" s="48"/>
      <c r="F187" s="42">
        <f>'3. Input (des)investeringen '!D212</f>
        <v>1823110</v>
      </c>
      <c r="G187" s="48"/>
      <c r="H187" s="37">
        <f>'3. Input (des)investeringen '!F212</f>
        <v>2020</v>
      </c>
      <c r="I187" s="42" t="str">
        <f>'3. Input (des)investeringen '!G212</f>
        <v>01 Regionale leidingen</v>
      </c>
      <c r="J187" s="42">
        <f>'3. Input (des)investeringen '!H212</f>
        <v>55</v>
      </c>
      <c r="K187" s="42">
        <f>'3. Input (des)investeringen '!I212</f>
        <v>1</v>
      </c>
      <c r="M187" s="43">
        <f t="shared" si="72"/>
        <v>16573.727272727272</v>
      </c>
      <c r="N187" s="43">
        <f t="shared" si="73"/>
        <v>33677.813818181814</v>
      </c>
      <c r="P187" s="138">
        <f t="shared" si="74"/>
        <v>1806536.2727272727</v>
      </c>
      <c r="Q187" s="138">
        <f t="shared" si="75"/>
        <v>1801763.0392727272</v>
      </c>
      <c r="S187" s="43">
        <f t="shared" si="38"/>
        <v>1801763.0392727272</v>
      </c>
      <c r="T187" s="38">
        <f t="shared" si="76"/>
        <v>53.5</v>
      </c>
      <c r="V187" s="43">
        <f t="shared" si="87"/>
        <v>39403.042167272724</v>
      </c>
      <c r="W187" s="43">
        <f t="shared" si="87"/>
        <v>38445.585067881053</v>
      </c>
      <c r="X187" s="43">
        <f t="shared" si="87"/>
        <v>37511.393281184879</v>
      </c>
      <c r="Y187" s="43">
        <f t="shared" si="87"/>
        <v>36599.901481828987</v>
      </c>
      <c r="Z187" s="43">
        <f t="shared" si="87"/>
        <v>35710.558081335948</v>
      </c>
      <c r="AB187" s="43">
        <f t="shared" si="88"/>
        <v>3367.7813818181821</v>
      </c>
      <c r="AC187" s="43">
        <f t="shared" si="88"/>
        <v>3367.7813818181821</v>
      </c>
      <c r="AD187" s="43">
        <f t="shared" si="88"/>
        <v>3367.7813818181821</v>
      </c>
      <c r="AE187" s="43">
        <f t="shared" si="88"/>
        <v>3367.7813818181821</v>
      </c>
      <c r="AF187" s="43">
        <f t="shared" si="88"/>
        <v>3367.7813818181821</v>
      </c>
      <c r="AH187" s="43">
        <f t="shared" si="77"/>
        <v>42770.823549090906</v>
      </c>
      <c r="AI187" s="43">
        <f t="shared" si="78"/>
        <v>41813.366449699235</v>
      </c>
      <c r="AJ187" s="43">
        <f t="shared" si="79"/>
        <v>40879.174663003061</v>
      </c>
      <c r="AK187" s="43">
        <f t="shared" si="80"/>
        <v>39967.682863647169</v>
      </c>
      <c r="AL187" s="43">
        <f t="shared" si="81"/>
        <v>39078.33946315413</v>
      </c>
      <c r="AN187" s="43">
        <f t="shared" si="45"/>
        <v>1758992.2157236363</v>
      </c>
      <c r="AO187" s="43">
        <f t="shared" si="46"/>
        <v>1717178.8492739371</v>
      </c>
      <c r="AP187" s="43">
        <f t="shared" si="47"/>
        <v>1676299.674610934</v>
      </c>
      <c r="AQ187" s="43">
        <f t="shared" si="48"/>
        <v>1636331.9917472869</v>
      </c>
      <c r="AR187" s="43">
        <f t="shared" si="49"/>
        <v>1597253.6522841328</v>
      </c>
      <c r="AT187" s="43">
        <f t="shared" si="71"/>
        <v>18762.00234184783</v>
      </c>
      <c r="AU187" s="43">
        <f t="shared" si="71"/>
        <v>19845.545501094224</v>
      </c>
      <c r="AV187" s="43">
        <f t="shared" si="71"/>
        <v>21347.456384617039</v>
      </c>
      <c r="AW187" s="43">
        <f t="shared" si="71"/>
        <v>21857.404422732769</v>
      </c>
      <c r="AX187" s="43">
        <f t="shared" si="71"/>
        <v>22140.064376727554</v>
      </c>
      <c r="AZ187" s="47">
        <f t="shared" si="82"/>
        <v>121338.56122554239</v>
      </c>
      <c r="BA187" s="47">
        <f t="shared" si="83"/>
        <v>118325.81397683339</v>
      </c>
      <c r="BB187" s="47">
        <f t="shared" si="84"/>
        <v>125926.01868283558</v>
      </c>
      <c r="BC187" s="47">
        <f t="shared" si="85"/>
        <v>124005.70297277684</v>
      </c>
      <c r="BD187" s="47">
        <f t="shared" si="86"/>
        <v>121914.04262667874</v>
      </c>
    </row>
    <row r="188" spans="2:56">
      <c r="B188" s="37">
        <f>'3. Input (des)investeringen '!B213</f>
        <v>1656</v>
      </c>
      <c r="C188" s="48"/>
      <c r="D188" s="48"/>
      <c r="E188" s="48"/>
      <c r="F188" s="42">
        <f>'3. Input (des)investeringen '!D213</f>
        <v>1850427.4802399999</v>
      </c>
      <c r="G188" s="48"/>
      <c r="H188" s="37">
        <f>'3. Input (des)investeringen '!F213</f>
        <v>2021</v>
      </c>
      <c r="I188" s="42" t="str">
        <f>'3. Input (des)investeringen '!G213</f>
        <v>01 Regionale leidingen</v>
      </c>
      <c r="J188" s="42">
        <f>'3. Input (des)investeringen '!H213</f>
        <v>55</v>
      </c>
      <c r="K188" s="42">
        <f>'3. Input (des)investeringen '!I213</f>
        <v>1</v>
      </c>
      <c r="M188" s="43">
        <f t="shared" si="72"/>
        <v>0</v>
      </c>
      <c r="N188" s="43">
        <f t="shared" si="73"/>
        <v>16822.068002181819</v>
      </c>
      <c r="P188" s="138">
        <f t="shared" si="74"/>
        <v>0</v>
      </c>
      <c r="Q188" s="138">
        <f t="shared" si="75"/>
        <v>1833605.4122378181</v>
      </c>
      <c r="S188" s="43">
        <f t="shared" si="38"/>
        <v>1833605.4122378181</v>
      </c>
      <c r="T188" s="38">
        <f t="shared" si="76"/>
        <v>54.5</v>
      </c>
      <c r="V188" s="43">
        <f t="shared" si="87"/>
        <v>39363.639125105452</v>
      </c>
      <c r="W188" s="43">
        <f t="shared" si="87"/>
        <v>38424.689934965325</v>
      </c>
      <c r="X188" s="43">
        <f t="shared" si="87"/>
        <v>37508.137697984501</v>
      </c>
      <c r="Y188" s="43">
        <f t="shared" si="87"/>
        <v>36613.448174913312</v>
      </c>
      <c r="Z188" s="43">
        <f t="shared" si="87"/>
        <v>35740.099869823636</v>
      </c>
      <c r="AB188" s="43">
        <f t="shared" si="88"/>
        <v>3364.413600436364</v>
      </c>
      <c r="AC188" s="43">
        <f t="shared" si="88"/>
        <v>3364.413600436364</v>
      </c>
      <c r="AD188" s="43">
        <f t="shared" si="88"/>
        <v>3364.413600436364</v>
      </c>
      <c r="AE188" s="43">
        <f t="shared" si="88"/>
        <v>3364.413600436364</v>
      </c>
      <c r="AF188" s="43">
        <f t="shared" si="88"/>
        <v>3364.413600436364</v>
      </c>
      <c r="AH188" s="43">
        <f t="shared" si="77"/>
        <v>42728.052725541813</v>
      </c>
      <c r="AI188" s="43">
        <f t="shared" si="78"/>
        <v>41789.103535401686</v>
      </c>
      <c r="AJ188" s="43">
        <f t="shared" si="79"/>
        <v>40872.551298420862</v>
      </c>
      <c r="AK188" s="43">
        <f t="shared" si="80"/>
        <v>39977.861775349673</v>
      </c>
      <c r="AL188" s="43">
        <f t="shared" si="81"/>
        <v>39104.513470259997</v>
      </c>
      <c r="AN188" s="43">
        <f t="shared" si="45"/>
        <v>1790877.3595122762</v>
      </c>
      <c r="AO188" s="43">
        <f t="shared" si="46"/>
        <v>1749088.2559768746</v>
      </c>
      <c r="AP188" s="43">
        <f t="shared" si="47"/>
        <v>1708215.7046784537</v>
      </c>
      <c r="AQ188" s="43">
        <f t="shared" si="48"/>
        <v>1668237.8429031041</v>
      </c>
      <c r="AR188" s="43">
        <f t="shared" si="49"/>
        <v>1629133.3294328442</v>
      </c>
      <c r="AT188" s="43">
        <f t="shared" si="71"/>
        <v>18762.002341847827</v>
      </c>
      <c r="AU188" s="43">
        <f t="shared" si="71"/>
        <v>19845.545501094221</v>
      </c>
      <c r="AV188" s="43">
        <f t="shared" si="71"/>
        <v>21347.456384617035</v>
      </c>
      <c r="AW188" s="43">
        <f t="shared" si="71"/>
        <v>21857.404422732765</v>
      </c>
      <c r="AX188" s="43">
        <f t="shared" si="71"/>
        <v>22140.064376727543</v>
      </c>
      <c r="AZ188" s="47">
        <f t="shared" si="82"/>
        <v>122379.88529080704</v>
      </c>
      <c r="BA188" s="47">
        <f t="shared" si="83"/>
        <v>119354.56148373277</v>
      </c>
      <c r="BB188" s="47">
        <f t="shared" si="84"/>
        <v>127132.20446081914</v>
      </c>
      <c r="BC188" s="47">
        <f t="shared" si="85"/>
        <v>125228.3042284004</v>
      </c>
      <c r="BD188" s="47">
        <f t="shared" si="86"/>
        <v>123151.64436543563</v>
      </c>
    </row>
    <row r="189" spans="2:56">
      <c r="B189" s="37">
        <f>'3. Input (des)investeringen '!B214</f>
        <v>1657</v>
      </c>
      <c r="C189" s="48"/>
      <c r="D189" s="48"/>
      <c r="E189" s="48"/>
      <c r="F189" s="42">
        <f>'3. Input (des)investeringen '!D214</f>
        <v>1874357.2084144636</v>
      </c>
      <c r="G189" s="48"/>
      <c r="H189" s="37">
        <f>'3. Input (des)investeringen '!F214</f>
        <v>2022</v>
      </c>
      <c r="I189" s="42" t="str">
        <f>'3. Input (des)investeringen '!G214</f>
        <v>01 Regionale leidingen</v>
      </c>
      <c r="J189" s="42">
        <f>'3. Input (des)investeringen '!H214</f>
        <v>55</v>
      </c>
      <c r="K189" s="42">
        <f>'3. Input (des)investeringen '!I214</f>
        <v>1</v>
      </c>
      <c r="M189" s="43">
        <f t="shared" si="72"/>
        <v>0</v>
      </c>
      <c r="N189" s="43">
        <f t="shared" si="73"/>
        <v>0</v>
      </c>
      <c r="P189" s="138">
        <f t="shared" si="74"/>
        <v>0</v>
      </c>
      <c r="Q189" s="138">
        <f t="shared" si="75"/>
        <v>0</v>
      </c>
      <c r="S189" s="43">
        <f t="shared" si="38"/>
        <v>1874357.2084144636</v>
      </c>
      <c r="T189" s="38">
        <f t="shared" si="76"/>
        <v>55</v>
      </c>
      <c r="V189" s="43">
        <f t="shared" si="87"/>
        <v>19936.344853135655</v>
      </c>
      <c r="W189" s="43">
        <f t="shared" si="87"/>
        <v>39401.46700974265</v>
      </c>
      <c r="X189" s="43">
        <f t="shared" si="87"/>
        <v>38470.159607694186</v>
      </c>
      <c r="Y189" s="43">
        <f t="shared" si="87"/>
        <v>37560.864926057773</v>
      </c>
      <c r="Z189" s="43">
        <f t="shared" si="87"/>
        <v>36673.062664169134</v>
      </c>
      <c r="AB189" s="43">
        <f t="shared" si="88"/>
        <v>1703.9610985586035</v>
      </c>
      <c r="AC189" s="43">
        <f t="shared" si="88"/>
        <v>3407.9221971172069</v>
      </c>
      <c r="AD189" s="43">
        <f t="shared" si="88"/>
        <v>3407.9221971172069</v>
      </c>
      <c r="AE189" s="43">
        <f t="shared" si="88"/>
        <v>3407.9221971172069</v>
      </c>
      <c r="AF189" s="43">
        <f t="shared" si="88"/>
        <v>3407.9221971172069</v>
      </c>
      <c r="AH189" s="43">
        <f t="shared" si="77"/>
        <v>21640.305951694259</v>
      </c>
      <c r="AI189" s="43">
        <f t="shared" si="78"/>
        <v>42809.389206859858</v>
      </c>
      <c r="AJ189" s="43">
        <f t="shared" si="79"/>
        <v>41878.081804811394</v>
      </c>
      <c r="AK189" s="43">
        <f t="shared" si="80"/>
        <v>40968.787123174981</v>
      </c>
      <c r="AL189" s="43">
        <f t="shared" si="81"/>
        <v>40080.984861286342</v>
      </c>
      <c r="AN189" s="43">
        <f t="shared" si="45"/>
        <v>1852716.9024627693</v>
      </c>
      <c r="AO189" s="43">
        <f t="shared" si="46"/>
        <v>1809907.5132559096</v>
      </c>
      <c r="AP189" s="43">
        <f t="shared" si="47"/>
        <v>1768029.4314510981</v>
      </c>
      <c r="AQ189" s="43">
        <f t="shared" si="48"/>
        <v>1727060.6443279232</v>
      </c>
      <c r="AR189" s="43">
        <f t="shared" si="49"/>
        <v>1686979.6594666368</v>
      </c>
      <c r="AT189" s="43">
        <f t="shared" si="71"/>
        <v>18743.572084144635</v>
      </c>
      <c r="AU189" s="43">
        <f t="shared" si="71"/>
        <v>19826.050859148159</v>
      </c>
      <c r="AV189" s="43">
        <f t="shared" si="71"/>
        <v>21326.486388168494</v>
      </c>
      <c r="AW189" s="43">
        <f t="shared" si="71"/>
        <v>21835.933495009063</v>
      </c>
      <c r="AX189" s="43">
        <f t="shared" si="71"/>
        <v>22118.315786966516</v>
      </c>
      <c r="AZ189" s="47">
        <f t="shared" si="82"/>
        <v>103376.25271957305</v>
      </c>
      <c r="BA189" s="47">
        <f t="shared" si="83"/>
        <v>122362.38800345304</v>
      </c>
      <c r="BB189" s="47">
        <f t="shared" si="84"/>
        <v>130389.68658812161</v>
      </c>
      <c r="BC189" s="47">
        <f t="shared" si="85"/>
        <v>128433.02510264513</v>
      </c>
      <c r="BD189" s="47">
        <f t="shared" si="86"/>
        <v>126304.52770798506</v>
      </c>
    </row>
    <row r="190" spans="2:56">
      <c r="B190" s="37">
        <f>'3. Input (des)investeringen '!B215</f>
        <v>1658</v>
      </c>
      <c r="C190" s="48"/>
      <c r="D190" s="48"/>
      <c r="E190" s="48"/>
      <c r="F190" s="42">
        <f>'3. Input (des)investeringen '!D215</f>
        <v>1898596.3958336795</v>
      </c>
      <c r="G190" s="48"/>
      <c r="H190" s="37">
        <f>'3. Input (des)investeringen '!F215</f>
        <v>2023</v>
      </c>
      <c r="I190" s="42" t="str">
        <f>'3. Input (des)investeringen '!G215</f>
        <v>01 Regionale leidingen</v>
      </c>
      <c r="J190" s="42">
        <f>'3. Input (des)investeringen '!H215</f>
        <v>55</v>
      </c>
      <c r="K190" s="42">
        <f>'3. Input (des)investeringen '!I215</f>
        <v>1</v>
      </c>
      <c r="M190" s="43">
        <f t="shared" si="72"/>
        <v>0</v>
      </c>
      <c r="N190" s="43">
        <f t="shared" si="73"/>
        <v>0</v>
      </c>
      <c r="P190" s="138">
        <f t="shared" si="74"/>
        <v>0</v>
      </c>
      <c r="Q190" s="138">
        <f t="shared" si="75"/>
        <v>0</v>
      </c>
      <c r="S190" s="43">
        <f t="shared" ref="S190:S200" si="89">IF($P190=0, IF(H190&lt;=2021, $Q190, IF(H190&gt;=2022, $F190,0)), IF(H190&lt;=2021,Q190,F190))</f>
        <v>1898596.3958336795</v>
      </c>
      <c r="T190" s="38">
        <f t="shared" si="76"/>
        <v>55</v>
      </c>
      <c r="V190" s="43">
        <f t="shared" si="87"/>
        <v>0</v>
      </c>
      <c r="W190" s="43">
        <f t="shared" si="87"/>
        <v>20194.161664776409</v>
      </c>
      <c r="X190" s="43">
        <f t="shared" si="87"/>
        <v>39911.00678111265</v>
      </c>
      <c r="Y190" s="43">
        <f t="shared" si="87"/>
        <v>38967.655711740896</v>
      </c>
      <c r="Z190" s="43">
        <f t="shared" si="87"/>
        <v>38046.60203128156</v>
      </c>
      <c r="AB190" s="43">
        <f t="shared" si="88"/>
        <v>0</v>
      </c>
      <c r="AC190" s="43">
        <f t="shared" si="88"/>
        <v>1725.9967234851633</v>
      </c>
      <c r="AD190" s="43">
        <f t="shared" si="88"/>
        <v>3451.9934469703271</v>
      </c>
      <c r="AE190" s="43">
        <f t="shared" si="88"/>
        <v>3451.9934469703271</v>
      </c>
      <c r="AF190" s="43">
        <f t="shared" si="88"/>
        <v>3451.9934469703271</v>
      </c>
      <c r="AH190" s="43">
        <f t="shared" si="77"/>
        <v>0</v>
      </c>
      <c r="AI190" s="43">
        <f t="shared" si="78"/>
        <v>21920.158388261574</v>
      </c>
      <c r="AJ190" s="43">
        <f t="shared" si="79"/>
        <v>43363.000228082979</v>
      </c>
      <c r="AK190" s="43">
        <f t="shared" si="80"/>
        <v>42419.649158711225</v>
      </c>
      <c r="AL190" s="43">
        <f t="shared" si="81"/>
        <v>41498.595478251889</v>
      </c>
      <c r="AN190" s="43">
        <f t="shared" ref="AN190:AN200" si="90">IF($J190=0, IF($H190&gt;AN$59,0, $S190), IF(OR($H190&gt;AN$59,$H190+$J190&lt;=AN$59),0,
IF($H190=AN$59,$S190-AH190,
S190-AH190)))</f>
        <v>0</v>
      </c>
      <c r="AO190" s="43">
        <f t="shared" ref="AO190:AO200" si="91">IF($J190=0, IF($H190 &gt; AO$59, 0, IF($H190=AO$59, $F190, AN190)), IF(OR($H190&gt;AO$59,$H190+$J190&lt;=AO$59),0,
IF($H190=AO$59,$S190-AI190,
AN190-AI190)))</f>
        <v>1876676.2374454178</v>
      </c>
      <c r="AP190" s="43">
        <f t="shared" ref="AP190:AP200" si="92">IF($J190=0, IF($H190 &gt; AP$59, 0, IF($H190=AP$59, $F190, AO190)), IF(OR($H190&gt;AP$59,$H190+$J190&lt;=AP$59),0,
IF($H190=AP$59,$S190-AJ190,
AO190-AJ190)))</f>
        <v>1833313.2372173348</v>
      </c>
      <c r="AQ190" s="43">
        <f t="shared" ref="AQ190:AQ200" si="93">IF($J190=0, IF($H190 &gt; AQ$59, 0, IF($H190=AQ$59, $F190, AP190)), IF(OR($H190&gt;AQ$59,$H190+$J190&lt;=AQ$59),0,
IF($H190=AQ$59,$S190-AK190,
AP190-AK190)))</f>
        <v>1790893.5880586235</v>
      </c>
      <c r="AR190" s="43">
        <f t="shared" ref="AR190:AR200" si="94">IF($J190=0, IF($H190 &gt; AR$59, 0, IF($H190=AR$59, $F190, AQ190)), IF(OR($H190&gt;AR$59,$H190+$J190&lt;=AR$59),0,
IF($H190=AR$59,$S190-AL190,
AQ190-AL190)))</f>
        <v>1749394.9925803717</v>
      </c>
      <c r="AT190" s="43">
        <f t="shared" si="71"/>
        <v>0</v>
      </c>
      <c r="AU190" s="43">
        <f t="shared" si="71"/>
        <v>18985.963958336793</v>
      </c>
      <c r="AV190" s="43">
        <f t="shared" si="71"/>
        <v>20422.821710703724</v>
      </c>
      <c r="AW190" s="43">
        <f t="shared" si="71"/>
        <v>20910.682075729015</v>
      </c>
      <c r="AX190" s="43">
        <f t="shared" si="71"/>
        <v>21181.099016332344</v>
      </c>
      <c r="AZ190" s="47">
        <f t="shared" si="82"/>
        <v>0</v>
      </c>
      <c r="BA190" s="47">
        <f t="shared" si="83"/>
        <v>102836.43818229716</v>
      </c>
      <c r="BB190" s="47">
        <f t="shared" si="84"/>
        <v>133451.72495304543</v>
      </c>
      <c r="BC190" s="47">
        <f t="shared" si="85"/>
        <v>131384.28758066794</v>
      </c>
      <c r="BD190" s="47">
        <f t="shared" si="86"/>
        <v>129156.70421263836</v>
      </c>
    </row>
    <row r="191" spans="2:56">
      <c r="B191" s="37">
        <f>'3. Input (des)investeringen '!B216</f>
        <v>1659</v>
      </c>
      <c r="C191" s="48"/>
      <c r="D191" s="48"/>
      <c r="E191" s="48"/>
      <c r="F191" s="42">
        <f>'3. Input (des)investeringen '!D216</f>
        <v>1923149.0444246007</v>
      </c>
      <c r="G191" s="48"/>
      <c r="H191" s="37">
        <f>'3. Input (des)investeringen '!F216</f>
        <v>2024</v>
      </c>
      <c r="I191" s="42" t="str">
        <f>'3. Input (des)investeringen '!G216</f>
        <v>01 Regionale leidingen</v>
      </c>
      <c r="J191" s="42">
        <f>'3. Input (des)investeringen '!H216</f>
        <v>55</v>
      </c>
      <c r="K191" s="42">
        <f>'3. Input (des)investeringen '!I216</f>
        <v>1</v>
      </c>
      <c r="M191" s="43">
        <f t="shared" si="72"/>
        <v>0</v>
      </c>
      <c r="N191" s="43">
        <f t="shared" si="73"/>
        <v>0</v>
      </c>
      <c r="P191" s="138">
        <f t="shared" si="74"/>
        <v>0</v>
      </c>
      <c r="Q191" s="138">
        <f t="shared" si="75"/>
        <v>0</v>
      </c>
      <c r="S191" s="43">
        <f t="shared" si="89"/>
        <v>1923149.0444246007</v>
      </c>
      <c r="T191" s="38">
        <f t="shared" si="76"/>
        <v>55</v>
      </c>
      <c r="V191" s="43">
        <f t="shared" si="87"/>
        <v>0</v>
      </c>
      <c r="W191" s="43">
        <f t="shared" si="87"/>
        <v>0</v>
      </c>
      <c r="X191" s="43">
        <f t="shared" si="87"/>
        <v>20455.312563425297</v>
      </c>
      <c r="Y191" s="43">
        <f t="shared" si="87"/>
        <v>40427.135920805995</v>
      </c>
      <c r="Z191" s="43">
        <f t="shared" si="87"/>
        <v>39471.585435405126</v>
      </c>
      <c r="AB191" s="43">
        <f t="shared" si="88"/>
        <v>0</v>
      </c>
      <c r="AC191" s="43">
        <f t="shared" si="88"/>
        <v>0</v>
      </c>
      <c r="AD191" s="43">
        <f t="shared" si="88"/>
        <v>1748.3173131132735</v>
      </c>
      <c r="AE191" s="43">
        <f t="shared" si="88"/>
        <v>3496.634626226547</v>
      </c>
      <c r="AF191" s="43">
        <f t="shared" si="88"/>
        <v>3496.634626226547</v>
      </c>
      <c r="AH191" s="43">
        <f t="shared" si="77"/>
        <v>0</v>
      </c>
      <c r="AI191" s="43">
        <f t="shared" si="78"/>
        <v>0</v>
      </c>
      <c r="AJ191" s="43">
        <f t="shared" si="79"/>
        <v>22203.629876538573</v>
      </c>
      <c r="AK191" s="43">
        <f t="shared" si="80"/>
        <v>43923.770547032545</v>
      </c>
      <c r="AL191" s="43">
        <f t="shared" si="81"/>
        <v>42968.22006163167</v>
      </c>
      <c r="AN191" s="43">
        <f t="shared" si="90"/>
        <v>0</v>
      </c>
      <c r="AO191" s="43">
        <f t="shared" si="91"/>
        <v>0</v>
      </c>
      <c r="AP191" s="43">
        <f t="shared" si="92"/>
        <v>1900945.414548062</v>
      </c>
      <c r="AQ191" s="43">
        <f t="shared" si="93"/>
        <v>1857021.6440010294</v>
      </c>
      <c r="AR191" s="43">
        <f t="shared" si="94"/>
        <v>1814053.4239393978</v>
      </c>
      <c r="AT191" s="43">
        <f t="shared" si="71"/>
        <v>0</v>
      </c>
      <c r="AU191" s="43">
        <f t="shared" si="71"/>
        <v>0</v>
      </c>
      <c r="AV191" s="43">
        <f t="shared" si="71"/>
        <v>19231.490444246007</v>
      </c>
      <c r="AW191" s="43">
        <f t="shared" si="71"/>
        <v>19690.892287978157</v>
      </c>
      <c r="AX191" s="43">
        <f t="shared" si="71"/>
        <v>19945.534907046287</v>
      </c>
      <c r="AZ191" s="47">
        <f t="shared" si="82"/>
        <v>0</v>
      </c>
      <c r="BA191" s="47">
        <f t="shared" si="83"/>
        <v>0</v>
      </c>
      <c r="BB191" s="47">
        <f t="shared" si="84"/>
        <v>113671.04607361094</v>
      </c>
      <c r="BC191" s="47">
        <f t="shared" si="85"/>
        <v>134181.48530704982</v>
      </c>
      <c r="BD191" s="47">
        <f t="shared" si="86"/>
        <v>131847.78507837508</v>
      </c>
    </row>
    <row r="192" spans="2:56">
      <c r="B192" s="37">
        <f>'3. Input (des)investeringen '!B217</f>
        <v>1660</v>
      </c>
      <c r="C192" s="48"/>
      <c r="D192" s="48"/>
      <c r="E192" s="48"/>
      <c r="F192" s="42">
        <f>'3. Input (des)investeringen '!D217</f>
        <v>1948019.2078670992</v>
      </c>
      <c r="G192" s="48"/>
      <c r="H192" s="37">
        <f>'3. Input (des)investeringen '!F217</f>
        <v>2025</v>
      </c>
      <c r="I192" s="42" t="str">
        <f>'3. Input (des)investeringen '!G217</f>
        <v>01 Regionale leidingen</v>
      </c>
      <c r="J192" s="42">
        <f>'3. Input (des)investeringen '!H217</f>
        <v>55</v>
      </c>
      <c r="K192" s="42">
        <f>'3. Input (des)investeringen '!I217</f>
        <v>1</v>
      </c>
      <c r="M192" s="43">
        <f t="shared" si="72"/>
        <v>0</v>
      </c>
      <c r="N192" s="43">
        <f t="shared" si="73"/>
        <v>0</v>
      </c>
      <c r="P192" s="138">
        <f t="shared" si="74"/>
        <v>0</v>
      </c>
      <c r="Q192" s="138">
        <f t="shared" si="75"/>
        <v>0</v>
      </c>
      <c r="S192" s="43">
        <f t="shared" si="89"/>
        <v>1948019.2078670992</v>
      </c>
      <c r="T192" s="38">
        <f t="shared" si="76"/>
        <v>55</v>
      </c>
      <c r="V192" s="43">
        <f t="shared" si="87"/>
        <v>0</v>
      </c>
      <c r="W192" s="43">
        <f t="shared" si="87"/>
        <v>0</v>
      </c>
      <c r="X192" s="43">
        <f t="shared" si="87"/>
        <v>0</v>
      </c>
      <c r="Y192" s="43">
        <f t="shared" si="87"/>
        <v>20719.840665495507</v>
      </c>
      <c r="Z192" s="43">
        <f t="shared" si="87"/>
        <v>40949.939642533849</v>
      </c>
      <c r="AB192" s="43">
        <f t="shared" si="88"/>
        <v>0</v>
      </c>
      <c r="AC192" s="43">
        <f t="shared" si="88"/>
        <v>0</v>
      </c>
      <c r="AD192" s="43">
        <f t="shared" si="88"/>
        <v>0</v>
      </c>
      <c r="AE192" s="43">
        <f t="shared" si="88"/>
        <v>1770.9265526064539</v>
      </c>
      <c r="AF192" s="43">
        <f t="shared" si="88"/>
        <v>3541.8531052129078</v>
      </c>
      <c r="AH192" s="43">
        <f t="shared" si="77"/>
        <v>0</v>
      </c>
      <c r="AI192" s="43">
        <f t="shared" si="78"/>
        <v>0</v>
      </c>
      <c r="AJ192" s="43">
        <f t="shared" si="79"/>
        <v>0</v>
      </c>
      <c r="AK192" s="43">
        <f t="shared" si="80"/>
        <v>22490.767218101962</v>
      </c>
      <c r="AL192" s="43">
        <f t="shared" si="81"/>
        <v>44491.79274774676</v>
      </c>
      <c r="AN192" s="43">
        <f t="shared" si="90"/>
        <v>0</v>
      </c>
      <c r="AO192" s="43">
        <f t="shared" si="91"/>
        <v>0</v>
      </c>
      <c r="AP192" s="43">
        <f t="shared" si="92"/>
        <v>0</v>
      </c>
      <c r="AQ192" s="43">
        <f t="shared" si="93"/>
        <v>1925528.4406489972</v>
      </c>
      <c r="AR192" s="43">
        <f t="shared" si="94"/>
        <v>1881036.6479012505</v>
      </c>
      <c r="AT192" s="43">
        <f t="shared" si="71"/>
        <v>0</v>
      </c>
      <c r="AU192" s="43">
        <f t="shared" si="71"/>
        <v>0</v>
      </c>
      <c r="AV192" s="43">
        <f t="shared" si="71"/>
        <v>0</v>
      </c>
      <c r="AW192" s="43">
        <f t="shared" si="71"/>
        <v>19480.192078670992</v>
      </c>
      <c r="AX192" s="43">
        <f t="shared" si="71"/>
        <v>19732.109922632364</v>
      </c>
      <c r="AZ192" s="47">
        <f t="shared" si="82"/>
        <v>0</v>
      </c>
      <c r="BA192" s="47">
        <f t="shared" si="83"/>
        <v>0</v>
      </c>
      <c r="BB192" s="47">
        <f t="shared" si="84"/>
        <v>0</v>
      </c>
      <c r="BC192" s="47">
        <f t="shared" si="85"/>
        <v>115141.04004143484</v>
      </c>
      <c r="BD192" s="47">
        <f t="shared" si="86"/>
        <v>135703.29529062664</v>
      </c>
    </row>
    <row r="193" spans="1:56">
      <c r="B193" s="37">
        <f>'3. Input (des)investeringen '!B218</f>
        <v>1661</v>
      </c>
      <c r="C193" s="48"/>
      <c r="D193" s="48"/>
      <c r="E193" s="48"/>
      <c r="F193" s="42">
        <f>'3. Input (des)investeringen '!D218</f>
        <v>1973210.9922632365</v>
      </c>
      <c r="G193" s="48"/>
      <c r="H193" s="37">
        <f>'3. Input (des)investeringen '!F218</f>
        <v>2026</v>
      </c>
      <c r="I193" s="42" t="str">
        <f>'3. Input (des)investeringen '!G218</f>
        <v>01 Regionale leidingen</v>
      </c>
      <c r="J193" s="42">
        <f>'3. Input (des)investeringen '!H218</f>
        <v>55</v>
      </c>
      <c r="K193" s="42">
        <f>'3. Input (des)investeringen '!I218</f>
        <v>1</v>
      </c>
      <c r="M193" s="43">
        <f t="shared" si="72"/>
        <v>0</v>
      </c>
      <c r="N193" s="43">
        <f t="shared" si="73"/>
        <v>0</v>
      </c>
      <c r="P193" s="138">
        <f t="shared" si="74"/>
        <v>0</v>
      </c>
      <c r="Q193" s="138">
        <f t="shared" si="75"/>
        <v>0</v>
      </c>
      <c r="S193" s="43">
        <f t="shared" si="89"/>
        <v>1973210.9922632365</v>
      </c>
      <c r="T193" s="38">
        <f t="shared" si="76"/>
        <v>55</v>
      </c>
      <c r="V193" s="43">
        <f t="shared" si="87"/>
        <v>0</v>
      </c>
      <c r="W193" s="43">
        <f t="shared" si="87"/>
        <v>0</v>
      </c>
      <c r="X193" s="43">
        <f t="shared" si="87"/>
        <v>0</v>
      </c>
      <c r="Y193" s="43">
        <f t="shared" si="87"/>
        <v>0</v>
      </c>
      <c r="Z193" s="43">
        <f t="shared" si="87"/>
        <v>20987.789644981698</v>
      </c>
      <c r="AB193" s="43">
        <f t="shared" si="88"/>
        <v>0</v>
      </c>
      <c r="AC193" s="43">
        <f t="shared" si="88"/>
        <v>0</v>
      </c>
      <c r="AD193" s="43">
        <f t="shared" si="88"/>
        <v>0</v>
      </c>
      <c r="AE193" s="43">
        <f t="shared" si="88"/>
        <v>0</v>
      </c>
      <c r="AF193" s="43">
        <f t="shared" si="88"/>
        <v>1793.8281747847604</v>
      </c>
      <c r="AH193" s="43">
        <f t="shared" si="77"/>
        <v>0</v>
      </c>
      <c r="AI193" s="43">
        <f t="shared" si="78"/>
        <v>0</v>
      </c>
      <c r="AJ193" s="43">
        <f t="shared" si="79"/>
        <v>0</v>
      </c>
      <c r="AK193" s="43">
        <f t="shared" si="80"/>
        <v>0</v>
      </c>
      <c r="AL193" s="43">
        <f t="shared" si="81"/>
        <v>22781.617819766459</v>
      </c>
      <c r="AN193" s="43">
        <f t="shared" si="90"/>
        <v>0</v>
      </c>
      <c r="AO193" s="43">
        <f t="shared" si="91"/>
        <v>0</v>
      </c>
      <c r="AP193" s="43">
        <f t="shared" si="92"/>
        <v>0</v>
      </c>
      <c r="AQ193" s="43">
        <f t="shared" si="93"/>
        <v>0</v>
      </c>
      <c r="AR193" s="43">
        <f t="shared" si="94"/>
        <v>1950429.37444347</v>
      </c>
      <c r="AT193" s="43">
        <f t="shared" si="71"/>
        <v>0</v>
      </c>
      <c r="AU193" s="43">
        <f t="shared" si="71"/>
        <v>0</v>
      </c>
      <c r="AV193" s="43">
        <f t="shared" si="71"/>
        <v>0</v>
      </c>
      <c r="AW193" s="43">
        <f t="shared" si="71"/>
        <v>0</v>
      </c>
      <c r="AX193" s="43">
        <f t="shared" si="71"/>
        <v>19732.109922632368</v>
      </c>
      <c r="AZ193" s="47">
        <f t="shared" si="82"/>
        <v>0</v>
      </c>
      <c r="BA193" s="47">
        <f t="shared" si="83"/>
        <v>0</v>
      </c>
      <c r="BB193" s="47">
        <f t="shared" si="84"/>
        <v>0</v>
      </c>
      <c r="BC193" s="47">
        <f t="shared" si="85"/>
        <v>0</v>
      </c>
      <c r="BD193" s="47">
        <f t="shared" si="86"/>
        <v>116630.04397125069</v>
      </c>
    </row>
    <row r="194" spans="1:56">
      <c r="B194" s="37">
        <f>'3. Input (des)investeringen '!B219</f>
        <v>1662</v>
      </c>
      <c r="C194" s="48"/>
      <c r="D194" s="48"/>
      <c r="E194" s="48"/>
      <c r="F194" s="42">
        <f>'3. Input (des)investeringen '!D219</f>
        <v>463333.33333333337</v>
      </c>
      <c r="G194" s="48"/>
      <c r="H194" s="37">
        <f>'3. Input (des)investeringen '!F219</f>
        <v>2020</v>
      </c>
      <c r="I194" s="42" t="str">
        <f>'3. Input (des)investeringen '!G219</f>
        <v>02 Gasontvangststations</v>
      </c>
      <c r="J194" s="42">
        <f>'3. Input (des)investeringen '!H219</f>
        <v>30</v>
      </c>
      <c r="K194" s="42">
        <f>'3. Input (des)investeringen '!I219</f>
        <v>0</v>
      </c>
      <c r="M194" s="43">
        <f t="shared" si="72"/>
        <v>7722.2222222222226</v>
      </c>
      <c r="N194" s="43">
        <f t="shared" si="73"/>
        <v>15691.555555555557</v>
      </c>
      <c r="P194" s="138">
        <f t="shared" si="74"/>
        <v>455611.11111111112</v>
      </c>
      <c r="Q194" s="138">
        <f t="shared" si="75"/>
        <v>447209.33333333337</v>
      </c>
      <c r="S194" s="43">
        <f t="shared" si="89"/>
        <v>447209.33333333337</v>
      </c>
      <c r="T194" s="38">
        <f t="shared" si="76"/>
        <v>28.5</v>
      </c>
      <c r="V194" s="43">
        <f t="shared" si="87"/>
        <v>18359.120000000003</v>
      </c>
      <c r="W194" s="43">
        <f t="shared" si="87"/>
        <v>17521.686456140353</v>
      </c>
      <c r="X194" s="43">
        <f t="shared" si="87"/>
        <v>16722.45163533395</v>
      </c>
      <c r="Y194" s="43">
        <f t="shared" si="87"/>
        <v>15959.67313968714</v>
      </c>
      <c r="Z194" s="43">
        <f t="shared" si="87"/>
        <v>15231.688049104918</v>
      </c>
      <c r="AB194" s="43">
        <f t="shared" si="88"/>
        <v>1569.1555555555558</v>
      </c>
      <c r="AC194" s="43">
        <f t="shared" si="88"/>
        <v>1569.155555555556</v>
      </c>
      <c r="AD194" s="43">
        <f t="shared" si="88"/>
        <v>1569.155555555556</v>
      </c>
      <c r="AE194" s="43">
        <f t="shared" si="88"/>
        <v>1569.155555555556</v>
      </c>
      <c r="AF194" s="43">
        <f t="shared" si="88"/>
        <v>1569.155555555556</v>
      </c>
      <c r="AH194" s="43">
        <f t="shared" si="77"/>
        <v>19928.27555555556</v>
      </c>
      <c r="AI194" s="43">
        <f t="shared" si="78"/>
        <v>19090.84201169591</v>
      </c>
      <c r="AJ194" s="43">
        <f t="shared" si="79"/>
        <v>18291.607190889506</v>
      </c>
      <c r="AK194" s="43">
        <f t="shared" si="80"/>
        <v>17528.828695242697</v>
      </c>
      <c r="AL194" s="43">
        <f t="shared" si="81"/>
        <v>16800.843604660473</v>
      </c>
      <c r="AN194" s="43">
        <f t="shared" si="90"/>
        <v>427281.05777777784</v>
      </c>
      <c r="AO194" s="43">
        <f t="shared" si="91"/>
        <v>408190.21576608194</v>
      </c>
      <c r="AP194" s="43">
        <f t="shared" si="92"/>
        <v>389898.60857519245</v>
      </c>
      <c r="AQ194" s="43">
        <f t="shared" si="93"/>
        <v>372369.77987994975</v>
      </c>
      <c r="AR194" s="43">
        <f t="shared" si="94"/>
        <v>355568.93627528928</v>
      </c>
      <c r="AT194" s="43">
        <f t="shared" si="71"/>
        <v>4768.2592301376008</v>
      </c>
      <c r="AU194" s="43">
        <f t="shared" si="71"/>
        <v>5043.6357371965078</v>
      </c>
      <c r="AV194" s="43">
        <f t="shared" si="71"/>
        <v>5425.3380897875395</v>
      </c>
      <c r="AW194" s="43">
        <f t="shared" si="71"/>
        <v>5554.9385660763855</v>
      </c>
      <c r="AX194" s="43">
        <f t="shared" si="71"/>
        <v>5626.775031612885</v>
      </c>
      <c r="AZ194" s="47">
        <f t="shared" si="82"/>
        <v>39224.090750137606</v>
      </c>
      <c r="BA194" s="47">
        <f t="shared" si="83"/>
        <v>37604.754869173121</v>
      </c>
      <c r="BB194" s="47">
        <f t="shared" si="84"/>
        <v>38533.092406534357</v>
      </c>
      <c r="BC194" s="47">
        <f t="shared" si="85"/>
        <v>37233.818896757177</v>
      </c>
      <c r="BD194" s="47">
        <f t="shared" si="86"/>
        <v>35939.238214734352</v>
      </c>
    </row>
    <row r="195" spans="1:56">
      <c r="B195" s="37">
        <f>'3. Input (des)investeringen '!B220</f>
        <v>1663</v>
      </c>
      <c r="C195" s="48"/>
      <c r="D195" s="48"/>
      <c r="E195" s="48"/>
      <c r="F195" s="42">
        <f>'3. Input (des)investeringen '!D220</f>
        <v>470275.92000000004</v>
      </c>
      <c r="G195" s="48"/>
      <c r="H195" s="37">
        <f>'3. Input (des)investeringen '!F220</f>
        <v>2021</v>
      </c>
      <c r="I195" s="42" t="str">
        <f>'3. Input (des)investeringen '!G220</f>
        <v>02 Gasontvangststations</v>
      </c>
      <c r="J195" s="42">
        <f>'3. Input (des)investeringen '!H220</f>
        <v>30</v>
      </c>
      <c r="K195" s="42">
        <f>'3. Input (des)investeringen '!I220</f>
        <v>0</v>
      </c>
      <c r="M195" s="43">
        <f t="shared" si="72"/>
        <v>0</v>
      </c>
      <c r="N195" s="43">
        <f t="shared" si="73"/>
        <v>7837.9320000000007</v>
      </c>
      <c r="P195" s="138">
        <f t="shared" si="74"/>
        <v>0</v>
      </c>
      <c r="Q195" s="138">
        <f t="shared" si="75"/>
        <v>462437.98800000001</v>
      </c>
      <c r="S195" s="43">
        <f t="shared" si="89"/>
        <v>462437.98800000001</v>
      </c>
      <c r="T195" s="38">
        <f t="shared" si="76"/>
        <v>29.5</v>
      </c>
      <c r="V195" s="43">
        <f t="shared" si="87"/>
        <v>18340.760880000002</v>
      </c>
      <c r="W195" s="43">
        <f t="shared" si="87"/>
        <v>17532.523959864408</v>
      </c>
      <c r="X195" s="43">
        <f t="shared" si="87"/>
        <v>16759.904259938179</v>
      </c>
      <c r="Y195" s="43">
        <f t="shared" si="87"/>
        <v>16021.332207805312</v>
      </c>
      <c r="Z195" s="43">
        <f t="shared" si="87"/>
        <v>15315.307398647788</v>
      </c>
      <c r="AB195" s="43">
        <f t="shared" si="88"/>
        <v>1567.5864000000001</v>
      </c>
      <c r="AC195" s="43">
        <f t="shared" si="88"/>
        <v>1567.5864000000001</v>
      </c>
      <c r="AD195" s="43">
        <f t="shared" si="88"/>
        <v>1567.5864000000001</v>
      </c>
      <c r="AE195" s="43">
        <f t="shared" si="88"/>
        <v>1567.5864000000001</v>
      </c>
      <c r="AF195" s="43">
        <f t="shared" si="88"/>
        <v>1567.5864000000001</v>
      </c>
      <c r="AH195" s="43">
        <f t="shared" si="77"/>
        <v>19908.347280000002</v>
      </c>
      <c r="AI195" s="43">
        <f t="shared" si="78"/>
        <v>19100.110359864408</v>
      </c>
      <c r="AJ195" s="43">
        <f t="shared" si="79"/>
        <v>18327.490659938179</v>
      </c>
      <c r="AK195" s="43">
        <f t="shared" si="80"/>
        <v>17588.91860780531</v>
      </c>
      <c r="AL195" s="43">
        <f t="shared" si="81"/>
        <v>16882.89379864779</v>
      </c>
      <c r="AN195" s="43">
        <f t="shared" si="90"/>
        <v>442529.64072000002</v>
      </c>
      <c r="AO195" s="43">
        <f t="shared" si="91"/>
        <v>423429.5303601356</v>
      </c>
      <c r="AP195" s="43">
        <f t="shared" si="92"/>
        <v>405102.03970019741</v>
      </c>
      <c r="AQ195" s="43">
        <f t="shared" si="93"/>
        <v>387513.12109239207</v>
      </c>
      <c r="AR195" s="43">
        <f t="shared" si="94"/>
        <v>370630.22729374428</v>
      </c>
      <c r="AT195" s="43">
        <f t="shared" si="71"/>
        <v>4768.2592301376008</v>
      </c>
      <c r="AU195" s="43">
        <f t="shared" si="71"/>
        <v>5043.6357371965069</v>
      </c>
      <c r="AV195" s="43">
        <f t="shared" si="71"/>
        <v>5425.3380897875386</v>
      </c>
      <c r="AW195" s="43">
        <f t="shared" si="71"/>
        <v>5554.9385660763828</v>
      </c>
      <c r="AX195" s="43">
        <f t="shared" si="71"/>
        <v>5626.7750316128831</v>
      </c>
      <c r="AZ195" s="47">
        <f t="shared" si="82"/>
        <v>39722.614294617604</v>
      </c>
      <c r="BA195" s="47">
        <f t="shared" si="83"/>
        <v>38116.920598945391</v>
      </c>
      <c r="BB195" s="47">
        <f t="shared" si="84"/>
        <v>39146.706258333223</v>
      </c>
      <c r="BC195" s="47">
        <f t="shared" si="85"/>
        <v>37869.355775392592</v>
      </c>
      <c r="BD195" s="47">
        <f t="shared" si="86"/>
        <v>36593.617467422955</v>
      </c>
    </row>
    <row r="196" spans="1:56">
      <c r="B196" s="37">
        <f>'3. Input (des)investeringen '!B221</f>
        <v>1664</v>
      </c>
      <c r="C196" s="48"/>
      <c r="D196" s="48"/>
      <c r="E196" s="48"/>
      <c r="F196" s="42">
        <f>'3. Input (des)investeringen '!D221</f>
        <v>476357.52819743997</v>
      </c>
      <c r="G196" s="48"/>
      <c r="H196" s="37">
        <f>'3. Input (des)investeringen '!F221</f>
        <v>2022</v>
      </c>
      <c r="I196" s="42" t="str">
        <f>'3. Input (des)investeringen '!G221</f>
        <v>02 Gasontvangststations</v>
      </c>
      <c r="J196" s="42">
        <f>'3. Input (des)investeringen '!H221</f>
        <v>30</v>
      </c>
      <c r="K196" s="42">
        <f>'3. Input (des)investeringen '!I221</f>
        <v>0</v>
      </c>
      <c r="M196" s="43">
        <f t="shared" si="72"/>
        <v>0</v>
      </c>
      <c r="N196" s="43">
        <f t="shared" si="73"/>
        <v>0</v>
      </c>
      <c r="P196" s="138">
        <f t="shared" si="74"/>
        <v>0</v>
      </c>
      <c r="Q196" s="138">
        <f t="shared" si="75"/>
        <v>0</v>
      </c>
      <c r="S196" s="43">
        <f t="shared" si="89"/>
        <v>476357.52819743997</v>
      </c>
      <c r="T196" s="38">
        <f t="shared" si="76"/>
        <v>30</v>
      </c>
      <c r="V196" s="43">
        <f t="shared" si="87"/>
        <v>9288.9717998500801</v>
      </c>
      <c r="W196" s="43">
        <f t="shared" si="87"/>
        <v>18175.421488373322</v>
      </c>
      <c r="X196" s="43">
        <f t="shared" si="87"/>
        <v>17387.819890543815</v>
      </c>
      <c r="Y196" s="43">
        <f t="shared" si="87"/>
        <v>16634.347695286913</v>
      </c>
      <c r="Z196" s="43">
        <f t="shared" si="87"/>
        <v>15913.525961824482</v>
      </c>
      <c r="AB196" s="43">
        <f t="shared" si="88"/>
        <v>793.9292136624</v>
      </c>
      <c r="AC196" s="43">
        <f t="shared" si="88"/>
        <v>1587.8584273248</v>
      </c>
      <c r="AD196" s="43">
        <f t="shared" si="88"/>
        <v>1587.8584273248</v>
      </c>
      <c r="AE196" s="43">
        <f t="shared" si="88"/>
        <v>1587.8584273248</v>
      </c>
      <c r="AF196" s="43">
        <f t="shared" si="88"/>
        <v>1587.8584273248</v>
      </c>
      <c r="AH196" s="43">
        <f t="shared" si="77"/>
        <v>10082.901013512481</v>
      </c>
      <c r="AI196" s="43">
        <f t="shared" si="78"/>
        <v>19763.279915698124</v>
      </c>
      <c r="AJ196" s="43">
        <f t="shared" si="79"/>
        <v>18975.678317868616</v>
      </c>
      <c r="AK196" s="43">
        <f t="shared" si="80"/>
        <v>18222.206122611715</v>
      </c>
      <c r="AL196" s="43">
        <f t="shared" si="81"/>
        <v>17501.384389149283</v>
      </c>
      <c r="AN196" s="43">
        <f t="shared" si="90"/>
        <v>466274.62718392751</v>
      </c>
      <c r="AO196" s="43">
        <f t="shared" si="91"/>
        <v>446511.34726822941</v>
      </c>
      <c r="AP196" s="43">
        <f t="shared" si="92"/>
        <v>427535.66895036079</v>
      </c>
      <c r="AQ196" s="43">
        <f t="shared" si="93"/>
        <v>409313.46282774908</v>
      </c>
      <c r="AR196" s="43">
        <f t="shared" si="94"/>
        <v>391812.07843859983</v>
      </c>
      <c r="AT196" s="43">
        <f t="shared" si="71"/>
        <v>4763.5752819744002</v>
      </c>
      <c r="AU196" s="43">
        <f t="shared" si="71"/>
        <v>5038.6812816589854</v>
      </c>
      <c r="AV196" s="43">
        <f t="shared" si="71"/>
        <v>5420.0086810549383</v>
      </c>
      <c r="AW196" s="43">
        <f t="shared" si="71"/>
        <v>5549.4818484279785</v>
      </c>
      <c r="AX196" s="43">
        <f t="shared" si="71"/>
        <v>5621.2477476918493</v>
      </c>
      <c r="AZ196" s="47">
        <f t="shared" si="82"/>
        <v>30699.813619740416</v>
      </c>
      <c r="BA196" s="47">
        <f t="shared" si="83"/>
        <v>39536.835657208685</v>
      </c>
      <c r="BB196" s="47">
        <f t="shared" si="84"/>
        <v>40642.042419037265</v>
      </c>
      <c r="BC196" s="47">
        <f t="shared" si="85"/>
        <v>39325.599558494156</v>
      </c>
      <c r="BD196" s="47">
        <f t="shared" si="86"/>
        <v>38011.491117507925</v>
      </c>
    </row>
    <row r="197" spans="1:56">
      <c r="B197" s="37">
        <f>'3. Input (des)investeringen '!B222</f>
        <v>1665</v>
      </c>
      <c r="C197" s="48"/>
      <c r="D197" s="48"/>
      <c r="E197" s="48"/>
      <c r="F197" s="42">
        <f>'3. Input (des)investeringen '!D222</f>
        <v>482517.78375208931</v>
      </c>
      <c r="G197" s="48"/>
      <c r="H197" s="37">
        <f>'3. Input (des)investeringen '!F222</f>
        <v>2023</v>
      </c>
      <c r="I197" s="42" t="str">
        <f>'3. Input (des)investeringen '!G222</f>
        <v>02 Gasontvangststations</v>
      </c>
      <c r="J197" s="42">
        <f>'3. Input (des)investeringen '!H222</f>
        <v>30</v>
      </c>
      <c r="K197" s="42">
        <f>'3. Input (des)investeringen '!I222</f>
        <v>0</v>
      </c>
      <c r="M197" s="43">
        <f t="shared" si="72"/>
        <v>0</v>
      </c>
      <c r="N197" s="43">
        <f t="shared" si="73"/>
        <v>0</v>
      </c>
      <c r="P197" s="138">
        <f t="shared" si="74"/>
        <v>0</v>
      </c>
      <c r="Q197" s="138">
        <f t="shared" si="75"/>
        <v>0</v>
      </c>
      <c r="S197" s="43">
        <f t="shared" si="89"/>
        <v>482517.78375208931</v>
      </c>
      <c r="T197" s="38">
        <f t="shared" si="76"/>
        <v>30</v>
      </c>
      <c r="V197" s="43">
        <f t="shared" si="87"/>
        <v>0</v>
      </c>
      <c r="W197" s="43">
        <f t="shared" si="87"/>
        <v>9409.0967831657417</v>
      </c>
      <c r="X197" s="43">
        <f t="shared" si="87"/>
        <v>18410.466039060968</v>
      </c>
      <c r="Y197" s="43">
        <f t="shared" si="87"/>
        <v>17612.679177368325</v>
      </c>
      <c r="Z197" s="43">
        <f t="shared" si="87"/>
        <v>16849.463079682366</v>
      </c>
      <c r="AB197" s="43">
        <f t="shared" si="88"/>
        <v>0</v>
      </c>
      <c r="AC197" s="43">
        <f t="shared" si="88"/>
        <v>804.19630625348213</v>
      </c>
      <c r="AD197" s="43">
        <f t="shared" si="88"/>
        <v>1608.3926125069643</v>
      </c>
      <c r="AE197" s="43">
        <f t="shared" si="88"/>
        <v>1608.3926125069643</v>
      </c>
      <c r="AF197" s="43">
        <f t="shared" si="88"/>
        <v>1608.3926125069643</v>
      </c>
      <c r="AH197" s="43">
        <f t="shared" si="77"/>
        <v>0</v>
      </c>
      <c r="AI197" s="43">
        <f t="shared" si="78"/>
        <v>10213.293089419223</v>
      </c>
      <c r="AJ197" s="43">
        <f t="shared" si="79"/>
        <v>20018.858651567931</v>
      </c>
      <c r="AK197" s="43">
        <f t="shared" si="80"/>
        <v>19221.071789875288</v>
      </c>
      <c r="AL197" s="43">
        <f t="shared" si="81"/>
        <v>18457.855692189329</v>
      </c>
      <c r="AN197" s="43">
        <f t="shared" si="90"/>
        <v>0</v>
      </c>
      <c r="AO197" s="43">
        <f t="shared" si="91"/>
        <v>472304.49066267011</v>
      </c>
      <c r="AP197" s="43">
        <f t="shared" si="92"/>
        <v>452285.63201110216</v>
      </c>
      <c r="AQ197" s="43">
        <f t="shared" si="93"/>
        <v>433064.56022122689</v>
      </c>
      <c r="AR197" s="43">
        <f t="shared" si="94"/>
        <v>414606.70452903758</v>
      </c>
      <c r="AT197" s="43">
        <f t="shared" si="71"/>
        <v>0</v>
      </c>
      <c r="AU197" s="43">
        <f t="shared" si="71"/>
        <v>4825.1778375208933</v>
      </c>
      <c r="AV197" s="43">
        <f t="shared" si="71"/>
        <v>5190.3472962644746</v>
      </c>
      <c r="AW197" s="43">
        <f t="shared" si="71"/>
        <v>5314.3343124776402</v>
      </c>
      <c r="AX197" s="43">
        <f t="shared" si="71"/>
        <v>5383.0592838066004</v>
      </c>
      <c r="AZ197" s="47">
        <f t="shared" si="82"/>
        <v>0</v>
      </c>
      <c r="BA197" s="47">
        <f t="shared" si="83"/>
        <v>30624.519118808228</v>
      </c>
      <c r="BB197" s="47">
        <f t="shared" si="84"/>
        <v>42396.059964254287</v>
      </c>
      <c r="BC197" s="47">
        <f t="shared" si="85"/>
        <v>40991.85939075955</v>
      </c>
      <c r="BD197" s="47">
        <f t="shared" si="86"/>
        <v>39595.969748099356</v>
      </c>
    </row>
    <row r="198" spans="1:56">
      <c r="B198" s="37">
        <f>'3. Input (des)investeringen '!B223</f>
        <v>1666</v>
      </c>
      <c r="C198" s="48"/>
      <c r="D198" s="48"/>
      <c r="E198" s="48"/>
      <c r="F198" s="42">
        <f>'3. Input (des)investeringen '!D223</f>
        <v>488757.70373157132</v>
      </c>
      <c r="G198" s="48"/>
      <c r="H198" s="37">
        <f>'3. Input (des)investeringen '!F223</f>
        <v>2024</v>
      </c>
      <c r="I198" s="42" t="str">
        <f>'3. Input (des)investeringen '!G223</f>
        <v>02 Gasontvangststations</v>
      </c>
      <c r="J198" s="42">
        <f>'3. Input (des)investeringen '!H223</f>
        <v>30</v>
      </c>
      <c r="K198" s="42">
        <f>'3. Input (des)investeringen '!I223</f>
        <v>0</v>
      </c>
      <c r="M198" s="43">
        <f t="shared" si="72"/>
        <v>0</v>
      </c>
      <c r="N198" s="43">
        <f t="shared" si="73"/>
        <v>0</v>
      </c>
      <c r="P198" s="138">
        <f t="shared" si="74"/>
        <v>0</v>
      </c>
      <c r="Q198" s="138">
        <f t="shared" si="75"/>
        <v>0</v>
      </c>
      <c r="S198" s="43">
        <f t="shared" si="89"/>
        <v>488757.70373157132</v>
      </c>
      <c r="T198" s="38">
        <f t="shared" si="76"/>
        <v>30</v>
      </c>
      <c r="V198" s="43">
        <f t="shared" si="87"/>
        <v>0</v>
      </c>
      <c r="W198" s="43">
        <f t="shared" si="87"/>
        <v>0</v>
      </c>
      <c r="X198" s="43">
        <f t="shared" si="87"/>
        <v>9530.775222765642</v>
      </c>
      <c r="Y198" s="43">
        <f t="shared" si="87"/>
        <v>18648.550185878106</v>
      </c>
      <c r="Z198" s="43">
        <f t="shared" si="87"/>
        <v>17840.446344490054</v>
      </c>
      <c r="AB198" s="43">
        <f t="shared" si="88"/>
        <v>0</v>
      </c>
      <c r="AC198" s="43">
        <f t="shared" si="88"/>
        <v>0</v>
      </c>
      <c r="AD198" s="43">
        <f t="shared" si="88"/>
        <v>814.59617288595234</v>
      </c>
      <c r="AE198" s="43">
        <f t="shared" si="88"/>
        <v>1629.1923457719045</v>
      </c>
      <c r="AF198" s="43">
        <f t="shared" si="88"/>
        <v>1629.1923457719045</v>
      </c>
      <c r="AH198" s="43">
        <f t="shared" si="77"/>
        <v>0</v>
      </c>
      <c r="AI198" s="43">
        <f t="shared" si="78"/>
        <v>0</v>
      </c>
      <c r="AJ198" s="43">
        <f t="shared" si="79"/>
        <v>10345.371395651595</v>
      </c>
      <c r="AK198" s="43">
        <f t="shared" si="80"/>
        <v>20277.742531650012</v>
      </c>
      <c r="AL198" s="43">
        <f t="shared" si="81"/>
        <v>19469.63869026196</v>
      </c>
      <c r="AN198" s="43">
        <f t="shared" si="90"/>
        <v>0</v>
      </c>
      <c r="AO198" s="43">
        <f t="shared" si="91"/>
        <v>0</v>
      </c>
      <c r="AP198" s="43">
        <f t="shared" si="92"/>
        <v>478412.33233591972</v>
      </c>
      <c r="AQ198" s="43">
        <f t="shared" si="93"/>
        <v>458134.58980426972</v>
      </c>
      <c r="AR198" s="43">
        <f t="shared" si="94"/>
        <v>438664.95111400774</v>
      </c>
      <c r="AT198" s="43">
        <f t="shared" si="71"/>
        <v>0</v>
      </c>
      <c r="AU198" s="43">
        <f t="shared" si="71"/>
        <v>0</v>
      </c>
      <c r="AV198" s="43">
        <f t="shared" si="71"/>
        <v>4887.5770373157129</v>
      </c>
      <c r="AW198" s="43">
        <f t="shared" si="71"/>
        <v>5004.3314775831113</v>
      </c>
      <c r="AX198" s="43">
        <f t="shared" si="71"/>
        <v>5069.0474922512149</v>
      </c>
      <c r="AZ198" s="47">
        <f t="shared" si="82"/>
        <v>0</v>
      </c>
      <c r="BA198" s="47">
        <f t="shared" si="83"/>
        <v>0</v>
      </c>
      <c r="BB198" s="47">
        <f t="shared" si="84"/>
        <v>33412.617061732257</v>
      </c>
      <c r="BC198" s="47">
        <f t="shared" si="85"/>
        <v>42691.18842179537</v>
      </c>
      <c r="BD198" s="47">
        <f t="shared" si="86"/>
        <v>41207.954324845465</v>
      </c>
    </row>
    <row r="199" spans="1:56">
      <c r="B199" s="37">
        <f>'3. Input (des)investeringen '!B224</f>
        <v>1667</v>
      </c>
      <c r="C199" s="48"/>
      <c r="D199" s="48"/>
      <c r="E199" s="48"/>
      <c r="F199" s="42">
        <f>'3. Input (des)investeringen '!D224</f>
        <v>495078.31835622794</v>
      </c>
      <c r="G199" s="48"/>
      <c r="H199" s="37">
        <f>'3. Input (des)investeringen '!F224</f>
        <v>2025</v>
      </c>
      <c r="I199" s="42" t="str">
        <f>'3. Input (des)investeringen '!G224</f>
        <v>02 Gasontvangststations</v>
      </c>
      <c r="J199" s="42">
        <f>'3. Input (des)investeringen '!H224</f>
        <v>30</v>
      </c>
      <c r="K199" s="42">
        <f>'3. Input (des)investeringen '!I224</f>
        <v>0</v>
      </c>
      <c r="M199" s="43">
        <f t="shared" si="72"/>
        <v>0</v>
      </c>
      <c r="N199" s="43">
        <f t="shared" si="73"/>
        <v>0</v>
      </c>
      <c r="P199" s="138">
        <f t="shared" si="74"/>
        <v>0</v>
      </c>
      <c r="Q199" s="138">
        <f t="shared" si="75"/>
        <v>0</v>
      </c>
      <c r="S199" s="43">
        <f t="shared" si="89"/>
        <v>495078.31835622794</v>
      </c>
      <c r="T199" s="38">
        <f t="shared" si="76"/>
        <v>30</v>
      </c>
      <c r="V199" s="43">
        <f t="shared" si="87"/>
        <v>0</v>
      </c>
      <c r="W199" s="43">
        <f t="shared" si="87"/>
        <v>0</v>
      </c>
      <c r="X199" s="43">
        <f t="shared" si="87"/>
        <v>0</v>
      </c>
      <c r="Y199" s="43">
        <f t="shared" si="87"/>
        <v>9654.0272079464448</v>
      </c>
      <c r="Z199" s="43">
        <f t="shared" si="87"/>
        <v>18889.713236881878</v>
      </c>
      <c r="AB199" s="43">
        <f t="shared" si="88"/>
        <v>0</v>
      </c>
      <c r="AC199" s="43">
        <f t="shared" si="88"/>
        <v>0</v>
      </c>
      <c r="AD199" s="43">
        <f t="shared" si="88"/>
        <v>0</v>
      </c>
      <c r="AE199" s="43">
        <f t="shared" si="88"/>
        <v>825.13053059371327</v>
      </c>
      <c r="AF199" s="43">
        <f t="shared" si="88"/>
        <v>1650.2610611874265</v>
      </c>
      <c r="AH199" s="43">
        <f t="shared" si="77"/>
        <v>0</v>
      </c>
      <c r="AI199" s="43">
        <f t="shared" si="78"/>
        <v>0</v>
      </c>
      <c r="AJ199" s="43">
        <f t="shared" si="79"/>
        <v>0</v>
      </c>
      <c r="AK199" s="43">
        <f t="shared" si="80"/>
        <v>10479.157738540158</v>
      </c>
      <c r="AL199" s="43">
        <f t="shared" si="81"/>
        <v>20539.974298069304</v>
      </c>
      <c r="AN199" s="43">
        <f t="shared" si="90"/>
        <v>0</v>
      </c>
      <c r="AO199" s="43">
        <f t="shared" si="91"/>
        <v>0</v>
      </c>
      <c r="AP199" s="43">
        <f t="shared" si="92"/>
        <v>0</v>
      </c>
      <c r="AQ199" s="43">
        <f t="shared" si="93"/>
        <v>484599.1606176878</v>
      </c>
      <c r="AR199" s="43">
        <f t="shared" si="94"/>
        <v>464059.18631961849</v>
      </c>
      <c r="AT199" s="43">
        <f t="shared" si="71"/>
        <v>0</v>
      </c>
      <c r="AU199" s="43">
        <f t="shared" si="71"/>
        <v>0</v>
      </c>
      <c r="AV199" s="43">
        <f t="shared" si="71"/>
        <v>0</v>
      </c>
      <c r="AW199" s="43">
        <f t="shared" si="71"/>
        <v>4950.7831835622792</v>
      </c>
      <c r="AX199" s="43">
        <f t="shared" si="71"/>
        <v>5014.8067116921065</v>
      </c>
      <c r="AZ199" s="47">
        <f t="shared" si="82"/>
        <v>0</v>
      </c>
      <c r="BA199" s="47">
        <f t="shared" si="83"/>
        <v>0</v>
      </c>
      <c r="BB199" s="47">
        <f t="shared" si="84"/>
        <v>0</v>
      </c>
      <c r="BC199" s="47">
        <f t="shared" si="85"/>
        <v>33844.709025574572</v>
      </c>
      <c r="BD199" s="47">
        <f t="shared" si="86"/>
        <v>43189.030089906919</v>
      </c>
    </row>
    <row r="200" spans="1:56">
      <c r="B200" s="37">
        <f>'3. Input (des)investeringen '!B225</f>
        <v>1668</v>
      </c>
      <c r="C200" s="48"/>
      <c r="D200" s="48"/>
      <c r="E200" s="48"/>
      <c r="F200" s="42">
        <f>'3. Input (des)investeringen '!D225</f>
        <v>501480.67116921069</v>
      </c>
      <c r="G200" s="48"/>
      <c r="H200" s="37">
        <f>'3. Input (des)investeringen '!F225</f>
        <v>2026</v>
      </c>
      <c r="I200" s="42" t="str">
        <f>'3. Input (des)investeringen '!G225</f>
        <v>02 Gasontvangststations</v>
      </c>
      <c r="J200" s="42">
        <f>'3. Input (des)investeringen '!H225</f>
        <v>30</v>
      </c>
      <c r="K200" s="42">
        <f>'3. Input (des)investeringen '!I225</f>
        <v>0</v>
      </c>
      <c r="M200" s="43">
        <f t="shared" si="72"/>
        <v>0</v>
      </c>
      <c r="N200" s="43">
        <f t="shared" si="73"/>
        <v>0</v>
      </c>
      <c r="P200" s="138">
        <f t="shared" si="74"/>
        <v>0</v>
      </c>
      <c r="Q200" s="138">
        <f t="shared" si="75"/>
        <v>0</v>
      </c>
      <c r="S200" s="43">
        <f t="shared" si="89"/>
        <v>501480.67116921069</v>
      </c>
      <c r="T200" s="38">
        <f t="shared" si="76"/>
        <v>30</v>
      </c>
      <c r="V200" s="43">
        <f t="shared" si="87"/>
        <v>0</v>
      </c>
      <c r="W200" s="43">
        <f t="shared" si="87"/>
        <v>0</v>
      </c>
      <c r="X200" s="43">
        <f t="shared" si="87"/>
        <v>0</v>
      </c>
      <c r="Y200" s="43">
        <f t="shared" si="87"/>
        <v>0</v>
      </c>
      <c r="Z200" s="43">
        <f t="shared" si="87"/>
        <v>9778.8730877996095</v>
      </c>
      <c r="AB200" s="43">
        <f t="shared" si="88"/>
        <v>0</v>
      </c>
      <c r="AC200" s="43">
        <f t="shared" si="88"/>
        <v>0</v>
      </c>
      <c r="AD200" s="43">
        <f t="shared" si="88"/>
        <v>0</v>
      </c>
      <c r="AE200" s="43">
        <f t="shared" si="88"/>
        <v>0</v>
      </c>
      <c r="AF200" s="43">
        <f t="shared" si="88"/>
        <v>835.80111861535113</v>
      </c>
      <c r="AH200" s="43">
        <f t="shared" si="77"/>
        <v>0</v>
      </c>
      <c r="AI200" s="43">
        <f t="shared" si="78"/>
        <v>0</v>
      </c>
      <c r="AJ200" s="43">
        <f t="shared" si="79"/>
        <v>0</v>
      </c>
      <c r="AK200" s="43">
        <f t="shared" si="80"/>
        <v>0</v>
      </c>
      <c r="AL200" s="43">
        <f t="shared" si="81"/>
        <v>10614.67420641496</v>
      </c>
      <c r="AN200" s="43">
        <f t="shared" si="90"/>
        <v>0</v>
      </c>
      <c r="AO200" s="43">
        <f t="shared" si="91"/>
        <v>0</v>
      </c>
      <c r="AP200" s="43">
        <f t="shared" si="92"/>
        <v>0</v>
      </c>
      <c r="AQ200" s="43">
        <f t="shared" si="93"/>
        <v>0</v>
      </c>
      <c r="AR200" s="43">
        <f t="shared" si="94"/>
        <v>490865.99696279573</v>
      </c>
      <c r="AT200" s="43">
        <f t="shared" si="71"/>
        <v>0</v>
      </c>
      <c r="AU200" s="43">
        <f t="shared" si="71"/>
        <v>0</v>
      </c>
      <c r="AV200" s="43">
        <f t="shared" si="71"/>
        <v>0</v>
      </c>
      <c r="AW200" s="43">
        <f t="shared" si="71"/>
        <v>0</v>
      </c>
      <c r="AX200" s="43">
        <f t="shared" si="71"/>
        <v>5014.8067116921075</v>
      </c>
      <c r="AZ200" s="47">
        <f t="shared" si="82"/>
        <v>0</v>
      </c>
      <c r="BA200" s="47">
        <f t="shared" si="83"/>
        <v>0</v>
      </c>
      <c r="BB200" s="47">
        <f t="shared" si="84"/>
        <v>0</v>
      </c>
      <c r="BC200" s="47">
        <f t="shared" si="85"/>
        <v>0</v>
      </c>
      <c r="BD200" s="47">
        <f t="shared" si="86"/>
        <v>34282.388802693305</v>
      </c>
    </row>
    <row r="201" spans="1:56">
      <c r="C201" s="48"/>
      <c r="E201" s="48"/>
      <c r="F201" s="89"/>
      <c r="AR201" s="89"/>
    </row>
    <row r="202" spans="1:56" s="33" customFormat="1">
      <c r="A202" s="98"/>
      <c r="B202" s="33" t="s">
        <v>908</v>
      </c>
      <c r="J202" s="33" t="s">
        <v>909</v>
      </c>
    </row>
    <row r="203" spans="1:56" s="34" customFormat="1">
      <c r="A203" s="99"/>
      <c r="D203" s="35" t="s">
        <v>910</v>
      </c>
      <c r="J203" s="101">
        <v>2022</v>
      </c>
      <c r="K203" s="101">
        <v>2023</v>
      </c>
      <c r="L203" s="101">
        <v>2024</v>
      </c>
      <c r="M203" s="101">
        <v>2025</v>
      </c>
      <c r="N203" s="101">
        <v>2026</v>
      </c>
    </row>
    <row r="204" spans="1:56">
      <c r="C204" s="48"/>
      <c r="E204" s="48"/>
      <c r="AR204" s="89"/>
    </row>
    <row r="205" spans="1:56">
      <c r="B205" s="3" t="s">
        <v>911</v>
      </c>
      <c r="C205" s="48"/>
      <c r="D205" s="3">
        <v>2020</v>
      </c>
      <c r="E205" s="48"/>
      <c r="J205" s="47">
        <f>SUMIFS(AZ$61:AZ$200, $H$61:$H$200, $D205)</f>
        <v>21990120.139256205</v>
      </c>
      <c r="K205" s="47">
        <f>SUMIFS(BA$61:BA$200, $H$61:$H$200, $D205)</f>
        <v>19574368.053275164</v>
      </c>
      <c r="L205" s="47">
        <f t="shared" ref="K205:N208" si="95">SUMIFS(BB$61:BB$200, $H$61:$H$200, $D205)</f>
        <v>19617691.262175359</v>
      </c>
      <c r="M205" s="47">
        <f t="shared" si="95"/>
        <v>17378152.410195991</v>
      </c>
      <c r="N205" s="47">
        <f>SUMIFS(BD$61:BD$200, $H$61:$H$200, $D205)</f>
        <v>15381367.37367042</v>
      </c>
      <c r="AR205" s="89"/>
    </row>
    <row r="206" spans="1:56">
      <c r="B206" s="3" t="s">
        <v>911</v>
      </c>
      <c r="C206" s="48"/>
      <c r="D206" s="3">
        <v>2021</v>
      </c>
      <c r="E206" s="48"/>
      <c r="J206" s="47">
        <f t="shared" ref="J206:J207" si="96">SUMIFS(AZ$61:AZ$200, $H$61:$H$200, $D206)</f>
        <v>22334903.307706617</v>
      </c>
      <c r="K206" s="47">
        <f t="shared" si="95"/>
        <v>20091289.146433253</v>
      </c>
      <c r="L206" s="47">
        <f t="shared" si="95"/>
        <v>20164533.816520229</v>
      </c>
      <c r="M206" s="47">
        <f t="shared" si="95"/>
        <v>19430467.548645984</v>
      </c>
      <c r="N206" s="47">
        <f t="shared" si="95"/>
        <v>17283489.896758538</v>
      </c>
      <c r="AR206" s="89"/>
    </row>
    <row r="207" spans="1:56">
      <c r="B207" s="3" t="s">
        <v>911</v>
      </c>
      <c r="C207" s="48"/>
      <c r="D207" s="3">
        <v>2022</v>
      </c>
      <c r="E207" s="48"/>
      <c r="J207" s="47">
        <f t="shared" si="96"/>
        <v>16115081.204780744</v>
      </c>
      <c r="K207" s="47">
        <f>SUMIFS(BA$61:BA$200, $H$61:$H$200, $D207)</f>
        <v>21668465.173387919</v>
      </c>
      <c r="L207" s="47">
        <f t="shared" si="95"/>
        <v>21138189.715652924</v>
      </c>
      <c r="M207" s="47">
        <f t="shared" si="95"/>
        <v>20292445.650625445</v>
      </c>
      <c r="N207" s="47">
        <f t="shared" si="95"/>
        <v>19581171.68263492</v>
      </c>
      <c r="AR207" s="89"/>
    </row>
    <row r="208" spans="1:56">
      <c r="B208" s="3" t="s">
        <v>911</v>
      </c>
      <c r="C208" s="48"/>
      <c r="D208" s="3">
        <v>2023</v>
      </c>
      <c r="E208" s="48"/>
      <c r="J208" s="47">
        <f>SUMIFS(AZ$61:AZ$200, $H$61:$H$200, $D208)</f>
        <v>0</v>
      </c>
      <c r="K208" s="47">
        <f t="shared" si="95"/>
        <v>16112879.875548553</v>
      </c>
      <c r="L208" s="47">
        <f t="shared" si="95"/>
        <v>22975045.909280386</v>
      </c>
      <c r="M208" s="47">
        <f t="shared" si="95"/>
        <v>21332288.124319293</v>
      </c>
      <c r="N208" s="47">
        <f>SUMIFS(BD$61:BD$200, $H$61:$H$200, $D208)</f>
        <v>20447457.799749751</v>
      </c>
      <c r="AR208" s="89"/>
    </row>
    <row r="209" spans="2:56">
      <c r="B209" s="3" t="s">
        <v>911</v>
      </c>
      <c r="C209" s="48"/>
      <c r="D209" s="3">
        <v>2024</v>
      </c>
      <c r="E209" s="48"/>
      <c r="J209" s="47">
        <f>SUMIFS(AZ$61:AZ$200, $H$61:$H$200, $D209)</f>
        <v>0</v>
      </c>
      <c r="K209" s="47">
        <f t="shared" ref="K209" si="97">SUMIFS(BA$61:BA$200, $H$61:$H$200, $D209)</f>
        <v>0</v>
      </c>
      <c r="L209" s="47">
        <f t="shared" ref="L209" si="98">SUMIFS(BB$61:BB$200, $H$61:$H$200, $D209)</f>
        <v>17387876.931790221</v>
      </c>
      <c r="M209" s="47">
        <f t="shared" ref="M209" si="99">SUMIFS(BC$61:BC$200, $H$61:$H$200, $D209)</f>
        <v>23158008.310212679</v>
      </c>
      <c r="N209" s="47">
        <f>SUMIFS(BD$61:BD$200, $H$61:$H$200, $D209)</f>
        <v>21466555.410007332</v>
      </c>
      <c r="AR209" s="89"/>
    </row>
    <row r="210" spans="2:56">
      <c r="B210" s="3" t="s">
        <v>911</v>
      </c>
      <c r="C210" s="48"/>
      <c r="D210" s="3">
        <v>2025</v>
      </c>
      <c r="E210" s="48"/>
      <c r="J210" s="97"/>
      <c r="K210" s="97"/>
      <c r="L210" s="97"/>
      <c r="M210" s="97"/>
      <c r="N210" s="97"/>
      <c r="AR210" s="89"/>
    </row>
    <row r="211" spans="2:56">
      <c r="B211" s="3" t="s">
        <v>911</v>
      </c>
      <c r="C211" s="48"/>
      <c r="D211" s="3">
        <v>2026</v>
      </c>
      <c r="E211" s="48"/>
      <c r="J211" s="97"/>
      <c r="K211" s="97"/>
      <c r="L211" s="97"/>
      <c r="M211" s="97"/>
      <c r="N211" s="97"/>
      <c r="AR211" s="89"/>
    </row>
    <row r="212" spans="2:56">
      <c r="C212" s="48"/>
      <c r="E212" s="48"/>
      <c r="AR212" s="89"/>
    </row>
    <row r="213" spans="2:56" s="33" customFormat="1">
      <c r="B213" s="33" t="s">
        <v>912</v>
      </c>
    </row>
    <row r="214" spans="2:56" s="36" customFormat="1">
      <c r="M214" s="36" t="s">
        <v>883</v>
      </c>
      <c r="P214" s="36" t="s">
        <v>884</v>
      </c>
      <c r="S214" s="36" t="s">
        <v>885</v>
      </c>
      <c r="V214" s="36" t="s">
        <v>886</v>
      </c>
      <c r="AB214" s="36" t="s">
        <v>887</v>
      </c>
      <c r="AH214" s="36" t="s">
        <v>888</v>
      </c>
      <c r="AN214" s="36" t="s">
        <v>889</v>
      </c>
      <c r="AT214" s="36" t="s">
        <v>906</v>
      </c>
      <c r="AZ214" s="36" t="s">
        <v>907</v>
      </c>
    </row>
    <row r="215" spans="2:56" s="39" customFormat="1">
      <c r="B215" s="39" t="s">
        <v>893</v>
      </c>
      <c r="F215" s="39" t="s">
        <v>379</v>
      </c>
      <c r="H215" s="40" t="s">
        <v>380</v>
      </c>
      <c r="I215" s="39" t="s">
        <v>301</v>
      </c>
      <c r="J215" s="40" t="s">
        <v>302</v>
      </c>
      <c r="K215" s="41"/>
      <c r="M215" s="45">
        <v>2020</v>
      </c>
      <c r="N215" s="45">
        <v>2021</v>
      </c>
      <c r="P215" s="45">
        <v>2020</v>
      </c>
      <c r="Q215" s="45">
        <v>2021</v>
      </c>
      <c r="S215" s="39" t="s">
        <v>898</v>
      </c>
      <c r="T215" s="39" t="s">
        <v>899</v>
      </c>
      <c r="V215" s="45">
        <v>2022</v>
      </c>
      <c r="W215" s="45">
        <v>2023</v>
      </c>
      <c r="X215" s="45">
        <v>2024</v>
      </c>
      <c r="Y215" s="45">
        <v>2025</v>
      </c>
      <c r="Z215" s="45">
        <v>2026</v>
      </c>
      <c r="AB215" s="45">
        <v>2022</v>
      </c>
      <c r="AC215" s="45">
        <v>2023</v>
      </c>
      <c r="AD215" s="45">
        <v>2024</v>
      </c>
      <c r="AE215" s="45">
        <v>2025</v>
      </c>
      <c r="AF215" s="45">
        <v>2026</v>
      </c>
      <c r="AH215" s="45">
        <v>2022</v>
      </c>
      <c r="AI215" s="45">
        <v>2023</v>
      </c>
      <c r="AJ215" s="45">
        <v>2024</v>
      </c>
      <c r="AK215" s="45">
        <v>2025</v>
      </c>
      <c r="AL215" s="45">
        <v>2026</v>
      </c>
      <c r="AN215" s="45">
        <v>2022</v>
      </c>
      <c r="AO215" s="45">
        <v>2023</v>
      </c>
      <c r="AP215" s="45">
        <v>2024</v>
      </c>
      <c r="AQ215" s="45">
        <v>2025</v>
      </c>
      <c r="AR215" s="45">
        <v>2026</v>
      </c>
      <c r="AT215" s="45">
        <v>2022</v>
      </c>
      <c r="AU215" s="45">
        <v>2023</v>
      </c>
      <c r="AV215" s="45">
        <v>2024</v>
      </c>
      <c r="AW215" s="45">
        <v>2025</v>
      </c>
      <c r="AX215" s="45">
        <v>2026</v>
      </c>
      <c r="AZ215" s="45">
        <v>2022</v>
      </c>
      <c r="BA215" s="45">
        <v>2023</v>
      </c>
      <c r="BB215" s="45">
        <v>2024</v>
      </c>
      <c r="BC215" s="45">
        <v>2025</v>
      </c>
      <c r="BD215" s="45">
        <v>2026</v>
      </c>
    </row>
    <row r="216" spans="2:56">
      <c r="C216" s="48"/>
      <c r="E216" s="48"/>
      <c r="AR216" s="89"/>
      <c r="AT216" s="48"/>
      <c r="AU216" s="48"/>
      <c r="AV216" s="48"/>
      <c r="AW216" s="48"/>
      <c r="AX216" s="48"/>
    </row>
    <row r="217" spans="2:56">
      <c r="B217" s="37">
        <f>'12. Investeringen (bijschatten)'!B20</f>
        <v>1</v>
      </c>
      <c r="C217" s="48"/>
      <c r="E217" s="48"/>
      <c r="F217" s="169">
        <f>'12. Investeringen (bijschatten)'!C20</f>
        <v>31360107.14852399</v>
      </c>
      <c r="H217" s="37">
        <f>'12. Investeringen (bijschatten)'!D20</f>
        <v>2020</v>
      </c>
      <c r="I217" s="37" t="str">
        <f>'12. Investeringen (bijschatten)'!E20</f>
        <v>01 Regionale leidingen</v>
      </c>
      <c r="J217" s="169">
        <f>_xlfn.XLOOKUP(I217,'3. Input (des)investeringen '!$B$11:$B$81,'3. Input (des)investeringen '!$D$11:$D$81)</f>
        <v>55</v>
      </c>
      <c r="K217" s="155"/>
      <c r="L217" s="155"/>
      <c r="M217" s="43">
        <f>IF($J217 = 0, 0, IF($H217&lt;=M$215,
VDB(ABS($F217),0,$J217,MAX(0,M$59-$H217-0.5),MIN($J217,M$59-$H217+0.5),1)*IF($F217&lt;0,-1,1)*INDEX(H$40:H$46,$H217-2019,1),
0))</f>
        <v>285091.88316839992</v>
      </c>
      <c r="N217" s="43">
        <f>IF($J217 = 0, 0, IF($H217&lt;=N$215,
VDB(ABS($F217),0,$J217,MAX(0,N$59-$H217-0.5),MIN($J217,N$59-$H217+0.5),1)*IF($F217&lt;0,-1,1)*INDEX(I$40:I$46,$H217-2019,1),
0))</f>
        <v>579306.70659818861</v>
      </c>
      <c r="P217" s="138">
        <f>IF($J217=0, IF($H217 = M$215, $F217, 0), IF(OR($H217&gt;P$59,$H217+$J217&lt;=P$59),0,
F217-M217))</f>
        <v>31075015.265355591</v>
      </c>
      <c r="Q217" s="138">
        <f>IF($J217=0, IF($H217 &gt; N$215, 0, IF($H217=N$215, $F217, $P217*I$40)), IF(OR($H217&gt;Q$59,$H217+$J217&lt;=Q$59),0,
IF($H217=Q$59,F217-N217,P217*I$40-N217)))</f>
        <v>30992908.803003091</v>
      </c>
      <c r="S217" s="43">
        <f>IF($J217=0, IF(H217&lt;=2021, $Q217, IF(H217&gt;=2022, $F217,0)), IF(H217&lt;=2021,Q217,F217))</f>
        <v>30992908.803003091</v>
      </c>
      <c r="T217" s="38">
        <f>IF($J217=0, 0, IF(H217&lt;2022,J217-2021+H217-0.5,J217))</f>
        <v>53.5</v>
      </c>
      <c r="V217" s="43">
        <f>IF($J217=0, 0, IF(OR($H217&gt;V$59,$H217+$J217&lt;V$59),0,
IF(OR($H217=2020,$H217=2021),VDB(ABS($S217)*(1-$F$28),0,$T217,V$59-2022,MIN($T217,V$59-2021),$F$22),
VDB(ABS($S217)*(1-$F$28),0,$T217,MAX(0,V$59-$H217-0.5),MIN($T217,V$59-$H217+0.5),$F$22,FALSE))))*IF($F217&lt;0,-1,1)</f>
        <v>677788.8467198807</v>
      </c>
      <c r="W217" s="43">
        <f>IF($J217=0, 0, IF(OR($H217&gt;W$59,$H217+$J217&lt;W$59),0,
IF(OR($H217=2020,$H217=2021),VDB(ABS($S217)*(1-$F$28),0,$T217,W$59-2022,MIN($T217,W$59-2021),$F$22),
VDB(ABS($S217)*(1-$F$28),0,$T217,MAX(0,W$59-$H217-0.5),MIN($T217,W$59-$H217+0.5),$F$22,FALSE))))*IF($F217&lt;0,-1,1)</f>
        <v>661319.21119210788</v>
      </c>
      <c r="X217" s="43">
        <f t="shared" ref="X217:Z232" si="100">IF($J217=0, 0, IF(OR($H217&gt;X$59,$H217+$J217&lt;X$59),0,
IF(OR($H217=2020,$H217=2021),VDB(ABS($S217)*(1-$F$28),0,$T217,X$59-2022,MIN($T217,X$59-2021),$F$22),
VDB(ABS($S217)*(1-$F$28),0,$T217,MAX(0,X$59-$H217-0.5),MIN($T217,X$59-$H217+0.5),$F$22,FALSE))))*IF($F217&lt;0,-1,1)</f>
        <v>645249.7724154772</v>
      </c>
      <c r="Y217" s="43">
        <f t="shared" si="100"/>
        <v>629570.80598295154</v>
      </c>
      <c r="Z217" s="43">
        <f t="shared" si="100"/>
        <v>614272.82378149673</v>
      </c>
      <c r="AB217" s="43">
        <f>IF($J217 = 0, 0, IF(OR($H217&gt;AB$59,$H217+$J217&lt;AB$59),0,
IF(OR($H217=2020,$H217=2021),VDB(ABS($S217)*$F$28,0,$T217,AB$59-2022,MIN($T217,AB$59-2021),1),
VDB(ABS($S217)*$F$28,0,$T217,MAX(0,AB$59-$H217-0.5),MIN($T217,AB$59-$H217+0.5),1))))*IF($F217&lt;0,-1,1)</f>
        <v>57930.670659818868</v>
      </c>
      <c r="AC217" s="43">
        <f>IF($J217 = 0, 0, IF(OR($H217&gt;AC$59,$H217+$J217&lt;AC$59),0,
IF(OR($H217=2020,$H217=2021),VDB(ABS($S217)*$F$28,0,$T217,AC$59-2022,MIN($T217,AC$59-2021),1),
VDB(ABS($S217)*$F$28,0,$T217,MAX(0,AC$59-$H217-0.5),MIN($T217,AC$59-$H217+0.5),1))))*IF($F217&lt;0,-1,1)</f>
        <v>57930.670659818876</v>
      </c>
      <c r="AD217" s="43">
        <f t="shared" ref="AD217:AF232" si="101">IF($J217 = 0, 0, IF(OR($H217&gt;AD$59,$H217+$J217&lt;AD$59),0,
IF(OR($H217=2020,$H217=2021),VDB(ABS($S217)*$F$28,0,$T217,AD$59-2022,MIN($T217,AD$59-2021),1),
VDB(ABS($S217)*$F$28,0,$T217,MAX(0,AD$59-$H217-0.5),MIN($T217,AD$59-$H217+0.5),1))))*IF($F217&lt;0,-1,1)</f>
        <v>57930.670659818876</v>
      </c>
      <c r="AE217" s="43">
        <f t="shared" si="101"/>
        <v>57930.670659818876</v>
      </c>
      <c r="AF217" s="43">
        <f t="shared" si="101"/>
        <v>57930.670659818876</v>
      </c>
      <c r="AH217" s="43">
        <f>V217+AB217</f>
        <v>735719.51737969962</v>
      </c>
      <c r="AI217" s="43">
        <f t="shared" ref="AI217:AL217" si="102">W217+AC217</f>
        <v>719249.8818519268</v>
      </c>
      <c r="AJ217" s="43">
        <f t="shared" si="102"/>
        <v>703180.44307529612</v>
      </c>
      <c r="AK217" s="43">
        <f t="shared" si="102"/>
        <v>687501.47664277046</v>
      </c>
      <c r="AL217" s="43">
        <f t="shared" si="102"/>
        <v>672203.49444131565</v>
      </c>
      <c r="AN217" s="43">
        <f t="shared" ref="AN217:AN248" si="103">IF($J217=0,IF($H217 &gt; AN$215, 0,$S217),IF(OR($H217&gt;AN$59,$H217+$J217&lt;=AN$59),0,
IF($H217=AN$59,$S217-AH217,
S217-AH217)))</f>
        <v>30257189.28562339</v>
      </c>
      <c r="AO217" s="43">
        <f>IF($J217 = 0, IF($H217 &gt; AO$215, 0, IF($H217=AO$215, $F217, AN217)), IF(OR($H217&gt;AO$59,$H217+$J217&lt;=AO$59),0,
IF($H217=AO$59,$S217-AI217,
AN217-AI217)))</f>
        <v>29537939.403771464</v>
      </c>
      <c r="AP217" s="43">
        <f t="shared" ref="AP217:AR217" si="104">IF($J217 = 0, IF($H217 &gt; AP$215, 0, IF($H217=AP$215, $F217, AO217)), IF(OR($H217&gt;AP$59,$H217+$J217&lt;=AP$59),0,
IF($H217=AP$59,$S217-AJ217,
AO217-AJ217)))</f>
        <v>28834758.960696168</v>
      </c>
      <c r="AQ217" s="43">
        <f t="shared" si="104"/>
        <v>28147257.484053399</v>
      </c>
      <c r="AR217" s="43">
        <f t="shared" si="104"/>
        <v>27475053.989612084</v>
      </c>
      <c r="AT217" s="43">
        <f>IF($H217&lt;=AT$215,$F217*INDEX($H$40:$N$46,$H217-2019,AT$215-2019)*INDEX($H$49:$N$55,$H217-2019,AT$215-2019)*$F$19,0)</f>
        <v>322733.35331450432</v>
      </c>
      <c r="AU217" s="43">
        <f t="shared" ref="AU217:AX232" si="105">IF($H217&lt;=AU$215,$F217*INDEX($H$40:$N$46,$H217-2019,AU$215-2019)*INDEX($H$49:$N$55,$H217-2019,AU$215-2019)*$F$19,0)</f>
        <v>341371.84993512358</v>
      </c>
      <c r="AV217" s="43">
        <f t="shared" si="105"/>
        <v>367206.8715382138</v>
      </c>
      <c r="AW217" s="43">
        <f t="shared" si="105"/>
        <v>375978.70928551862</v>
      </c>
      <c r="AX217" s="43">
        <f t="shared" si="105"/>
        <v>380840.86595399893</v>
      </c>
      <c r="AZ217" s="47">
        <f>AH217+AN217*J$16+AT217</f>
        <v>2087197.3064053992</v>
      </c>
      <c r="BA217" s="47">
        <f t="shared" ref="BA217:BD217" si="106">AI217+AO217*K$16+AU217</f>
        <v>2035373.732111509</v>
      </c>
      <c r="BB217" s="47">
        <f t="shared" si="106"/>
        <v>2166108.1551199644</v>
      </c>
      <c r="BC217" s="47">
        <f t="shared" si="106"/>
        <v>2133075.9703223184</v>
      </c>
      <c r="BD217" s="47">
        <f t="shared" si="106"/>
        <v>2097096.4120005737</v>
      </c>
    </row>
    <row r="218" spans="2:56">
      <c r="B218" s="37">
        <f>'12. Investeringen (bijschatten)'!B21</f>
        <v>2</v>
      </c>
      <c r="C218" s="48"/>
      <c r="E218" s="48"/>
      <c r="F218" s="169">
        <f>'12. Investeringen (bijschatten)'!C21</f>
        <v>4529775.5276718521</v>
      </c>
      <c r="H218" s="37">
        <f>'12. Investeringen (bijschatten)'!D21</f>
        <v>2020</v>
      </c>
      <c r="I218" s="37" t="str">
        <f>'12. Investeringen (bijschatten)'!E21</f>
        <v>02 Gasontvangststations</v>
      </c>
      <c r="J218" s="169">
        <f>_xlfn.XLOOKUP(I218,'3. Input (des)investeringen '!$B$11:$B$81,'3. Input (des)investeringen '!$D$11:$D$81)</f>
        <v>30</v>
      </c>
      <c r="K218" s="155"/>
      <c r="L218" s="155"/>
      <c r="M218" s="43">
        <f t="shared" ref="M218:M281" si="107">IF($J218 = 0, 0, IF($H218&lt;=M$215,
VDB(ABS($F218),0,$J218,MAX(0,M$59-$H218-0.5),MIN($J218,M$59-$H218+0.5),1)*IF($F218&lt;0,-1,1)*INDEX(H$40:H$46,$H218-2019,1),
0))</f>
        <v>75496.258794530862</v>
      </c>
      <c r="N218" s="43">
        <f t="shared" ref="N218:N281" si="108">IF($J218 = 0, 0, IF($H218&lt;=N$215,
VDB(ABS($F218),0,$J218,MAX(0,N$59-$H218-0.5),MIN($J218,N$59-$H218+0.5),1)*IF($F218&lt;0,-1,1)*INDEX(I$40:I$46,$H218-2019,1),
0))</f>
        <v>153408.39787048672</v>
      </c>
      <c r="P218" s="138">
        <f t="shared" ref="P218:P281" si="109">IF($J218=0, IF($H218 = M$215, $F218, 0), IF(OR($H218&gt;P$59,$H218+$J218&lt;=P$59),0,
F218-M218))</f>
        <v>4454279.2688773209</v>
      </c>
      <c r="Q218" s="138">
        <f t="shared" ref="Q218:Q281" si="110">IF($J218=0, IF($H218 &gt; N$215, 0, IF($H218=N$215, $F218, $P218*I$40)), IF(OR($H218&gt;Q$59,$H218+$J218&lt;=Q$59),0,
IF($H218=Q$59,F218-N218,P218*I$40-N218)))</f>
        <v>4372139.3393088719</v>
      </c>
      <c r="S218" s="43">
        <f t="shared" ref="S218:S281" si="111">IF($J218=0, IF(H218&lt;=2021, $Q218, IF(H218&gt;=2022, $F218,0)), IF(H218&lt;=2021,Q218,F218))</f>
        <v>4372139.3393088719</v>
      </c>
      <c r="T218" s="38">
        <f t="shared" ref="T218:T281" si="112">IF($J218=0, 0, IF(H218&lt;2022,J218-2021+H218-0.5,J218))</f>
        <v>28.5</v>
      </c>
      <c r="V218" s="43">
        <f t="shared" ref="V218:Z249" si="113">IF($J218=0, 0, IF(OR($H218&gt;V$59,$H218+$J218&lt;V$59),0,
IF(OR($H218=2020,$H218=2021),VDB(ABS($S218)*(1-$F$28),0,$T218,V$59-2022,MIN($T218,V$59-2021),$F$22),
VDB(ABS($S218)*(1-$F$28),0,$T218,MAX(0,V$59-$H218-0.5),MIN($T218,V$59-$H218+0.5),$F$22,FALSE))))*IF($F218&lt;0,-1,1)</f>
        <v>179487.82550846951</v>
      </c>
      <c r="W218" s="43">
        <f t="shared" si="113"/>
        <v>171300.66153790773</v>
      </c>
      <c r="X218" s="43">
        <f t="shared" si="100"/>
        <v>163486.94715196808</v>
      </c>
      <c r="Y218" s="43">
        <f t="shared" si="100"/>
        <v>156029.6478081941</v>
      </c>
      <c r="Z218" s="43">
        <f t="shared" si="100"/>
        <v>148912.50597834663</v>
      </c>
      <c r="AB218" s="43">
        <f t="shared" ref="AB218:AF249" si="114">IF($J218 = 0, 0, IF(OR($H218&gt;AB$59,$H218+$J218&lt;AB$59),0,
IF(OR($H218=2020,$H218=2021),VDB(ABS($S218)*$F$28,0,$T218,AB$59-2022,MIN($T218,AB$59-2021),1),
VDB(ABS($S218)*$F$28,0,$T218,MAX(0,AB$59-$H218-0.5),MIN($T218,AB$59-$H218+0.5),1))))*IF($F218&lt;0,-1,1)</f>
        <v>15340.839787048673</v>
      </c>
      <c r="AC218" s="43">
        <f t="shared" si="114"/>
        <v>15340.839787048673</v>
      </c>
      <c r="AD218" s="43">
        <f t="shared" si="101"/>
        <v>15340.839787048673</v>
      </c>
      <c r="AE218" s="43">
        <f t="shared" si="101"/>
        <v>15340.839787048673</v>
      </c>
      <c r="AF218" s="43">
        <f t="shared" si="101"/>
        <v>15340.839787048673</v>
      </c>
      <c r="AH218" s="43">
        <f t="shared" ref="AH218:AH281" si="115">V218+AB218</f>
        <v>194828.66529551818</v>
      </c>
      <c r="AI218" s="43">
        <f t="shared" ref="AI218:AI281" si="116">W218+AC218</f>
        <v>186641.50132495639</v>
      </c>
      <c r="AJ218" s="43">
        <f t="shared" ref="AJ218:AJ281" si="117">X218+AD218</f>
        <v>178827.78693901675</v>
      </c>
      <c r="AK218" s="43">
        <f t="shared" ref="AK218:AK281" si="118">Y218+AE218</f>
        <v>171370.48759524277</v>
      </c>
      <c r="AL218" s="43">
        <f t="shared" ref="AL218:AL281" si="119">Z218+AF218</f>
        <v>164253.34576539529</v>
      </c>
      <c r="AN218" s="43">
        <f t="shared" si="103"/>
        <v>4177310.6740133539</v>
      </c>
      <c r="AO218" s="43">
        <f t="shared" ref="AO218:AO281" si="120">IF($J218 = 0, IF($H218 &gt; AO$215, 0, IF($H218=AO$215, $F218, AN218)), IF(OR($H218&gt;AO$59,$H218+$J218&lt;=AO$59),0,
IF($H218=AO$59,$S218-AI218,
AN218-AI218)))</f>
        <v>3990669.1726883976</v>
      </c>
      <c r="AP218" s="43">
        <f t="shared" ref="AP218:AP281" si="121">IF($J218 = 0, IF($H218 &gt; AP$215, 0, IF($H218=AP$215, $F218, AO218)), IF(OR($H218&gt;AP$59,$H218+$J218&lt;=AP$59),0,
IF($H218=AP$59,$S218-AJ218,
AO218-AJ218)))</f>
        <v>3811841.385749381</v>
      </c>
      <c r="AQ218" s="43">
        <f t="shared" ref="AQ218:AQ281" si="122">IF($J218 = 0, IF($H218 &gt; AQ$215, 0, IF($H218=AQ$215, $F218, AP218)), IF(OR($H218&gt;AQ$59,$H218+$J218&lt;=AQ$59),0,
IF($H218=AQ$59,$S218-AK218,
AP218-AK218)))</f>
        <v>3640470.8981541381</v>
      </c>
      <c r="AR218" s="43">
        <f t="shared" ref="AR218:AR281" si="123">IF($J218 = 0, IF($H218 &gt; AR$215, 0, IF($H218=AR$215, $F218, AQ218)), IF(OR($H218&gt;AR$59,$H218+$J218&lt;=AR$59),0,
IF($H218=AR$59,$S218-AL218,
AQ218-AL218)))</f>
        <v>3476217.552388743</v>
      </c>
      <c r="AT218" s="43">
        <f t="shared" ref="AT218:AX249" si="124">IF($H218&lt;=AT$215,$F218*INDEX($H$40:$N$46,$H218-2019,AT$215-2019)*INDEX($H$49:$N$55,$H218-2019,AT$215-2019)*$F$19,0)</f>
        <v>46616.85748979725</v>
      </c>
      <c r="AU218" s="43">
        <f t="shared" si="105"/>
        <v>49309.074243548028</v>
      </c>
      <c r="AV218" s="43">
        <f t="shared" si="105"/>
        <v>53040.784982299752</v>
      </c>
      <c r="AW218" s="43">
        <f t="shared" si="105"/>
        <v>54307.823253956922</v>
      </c>
      <c r="AX218" s="43">
        <f t="shared" si="105"/>
        <v>55010.132024277096</v>
      </c>
      <c r="AZ218" s="47">
        <f t="shared" ref="AZ218:AZ281" si="125">AH218+AN218*J$16+AT218</f>
        <v>383474.08570176945</v>
      </c>
      <c r="BA218" s="47">
        <f t="shared" ref="BA218:BA281" si="126">AI218+AO218*K$16+AU218</f>
        <v>367642.65826722159</v>
      </c>
      <c r="BB218" s="47">
        <f t="shared" ref="BB218:BB281" si="127">AJ218+AP218*L$16+AV218</f>
        <v>376718.544579793</v>
      </c>
      <c r="BC218" s="47">
        <f t="shared" ref="BC218:BC281" si="128">AK218+AQ218*M$16+AW218</f>
        <v>364016.2049790569</v>
      </c>
      <c r="BD218" s="47">
        <f t="shared" ref="BD218:BD281" si="129">AL218+AR218*N$16+AX218</f>
        <v>351359.74478044466</v>
      </c>
    </row>
    <row r="219" spans="2:56">
      <c r="B219" s="37">
        <f>'12. Investeringen (bijschatten)'!B22</f>
        <v>3</v>
      </c>
      <c r="C219" s="48"/>
      <c r="E219" s="48"/>
      <c r="F219" s="169">
        <f>'12. Investeringen (bijschatten)'!C22</f>
        <v>1155721.8280173452</v>
      </c>
      <c r="H219" s="37">
        <f>'12. Investeringen (bijschatten)'!D22</f>
        <v>2020</v>
      </c>
      <c r="I219" s="37" t="str">
        <f>'12. Investeringen (bijschatten)'!E22</f>
        <v>04 Terreinen</v>
      </c>
      <c r="J219" s="169">
        <f>_xlfn.XLOOKUP(I219,'3. Input (des)investeringen '!$B$11:$B$81,'3. Input (des)investeringen '!$D$11:$D$81)</f>
        <v>0</v>
      </c>
      <c r="K219" s="155"/>
      <c r="L219" s="155"/>
      <c r="M219" s="43">
        <f t="shared" si="107"/>
        <v>0</v>
      </c>
      <c r="N219" s="43">
        <f t="shared" si="108"/>
        <v>0</v>
      </c>
      <c r="P219" s="138">
        <f t="shared" si="109"/>
        <v>1155721.8280173452</v>
      </c>
      <c r="Q219" s="138">
        <f t="shared" si="110"/>
        <v>1174213.3772656226</v>
      </c>
      <c r="S219" s="43">
        <f t="shared" si="111"/>
        <v>1174213.3772656226</v>
      </c>
      <c r="T219" s="38">
        <f t="shared" si="112"/>
        <v>0</v>
      </c>
      <c r="V219" s="43">
        <f t="shared" si="113"/>
        <v>0</v>
      </c>
      <c r="W219" s="43">
        <f t="shared" si="113"/>
        <v>0</v>
      </c>
      <c r="X219" s="43">
        <f t="shared" si="100"/>
        <v>0</v>
      </c>
      <c r="Y219" s="43">
        <f t="shared" si="100"/>
        <v>0</v>
      </c>
      <c r="Z219" s="43">
        <f t="shared" si="100"/>
        <v>0</v>
      </c>
      <c r="AB219" s="43">
        <f t="shared" si="114"/>
        <v>0</v>
      </c>
      <c r="AC219" s="43">
        <f t="shared" si="114"/>
        <v>0</v>
      </c>
      <c r="AD219" s="43">
        <f t="shared" si="101"/>
        <v>0</v>
      </c>
      <c r="AE219" s="43">
        <f t="shared" si="101"/>
        <v>0</v>
      </c>
      <c r="AF219" s="43">
        <f t="shared" si="101"/>
        <v>0</v>
      </c>
      <c r="AH219" s="43">
        <f t="shared" si="115"/>
        <v>0</v>
      </c>
      <c r="AI219" s="43">
        <f t="shared" si="116"/>
        <v>0</v>
      </c>
      <c r="AJ219" s="43">
        <f t="shared" si="117"/>
        <v>0</v>
      </c>
      <c r="AK219" s="43">
        <f t="shared" si="118"/>
        <v>0</v>
      </c>
      <c r="AL219" s="43">
        <f t="shared" si="119"/>
        <v>0</v>
      </c>
      <c r="AN219" s="43">
        <f t="shared" si="103"/>
        <v>1174213.3772656226</v>
      </c>
      <c r="AO219" s="43">
        <f t="shared" si="120"/>
        <v>1174213.3772656226</v>
      </c>
      <c r="AP219" s="43">
        <f t="shared" si="121"/>
        <v>1174213.3772656226</v>
      </c>
      <c r="AQ219" s="43">
        <f t="shared" si="122"/>
        <v>1174213.3772656226</v>
      </c>
      <c r="AR219" s="43">
        <f t="shared" si="123"/>
        <v>1174213.3772656226</v>
      </c>
      <c r="AT219" s="43">
        <f t="shared" si="124"/>
        <v>11893.772533629943</v>
      </c>
      <c r="AU219" s="43">
        <f t="shared" si="105"/>
        <v>12580.661684992139</v>
      </c>
      <c r="AV219" s="43">
        <f t="shared" si="105"/>
        <v>13532.766161312346</v>
      </c>
      <c r="AW219" s="43">
        <f t="shared" si="105"/>
        <v>13856.036879373774</v>
      </c>
      <c r="AX219" s="43">
        <f t="shared" si="105"/>
        <v>14035.223148297839</v>
      </c>
      <c r="AZ219" s="47">
        <f t="shared" si="125"/>
        <v>51817.027360661115</v>
      </c>
      <c r="BA219" s="47">
        <f t="shared" si="126"/>
        <v>51329.703134757692</v>
      </c>
      <c r="BB219" s="47">
        <f t="shared" si="127"/>
        <v>58152.87449740601</v>
      </c>
      <c r="BC219" s="47">
        <f t="shared" si="128"/>
        <v>58476.145215467433</v>
      </c>
      <c r="BD219" s="47">
        <f t="shared" si="129"/>
        <v>58655.3314843915</v>
      </c>
    </row>
    <row r="220" spans="2:56">
      <c r="B220" s="37">
        <f>'12. Investeringen (bijschatten)'!B23</f>
        <v>4</v>
      </c>
      <c r="C220" s="48"/>
      <c r="E220" s="48"/>
      <c r="F220" s="169">
        <f>'12. Investeringen (bijschatten)'!C23</f>
        <v>320593.27893508447</v>
      </c>
      <c r="H220" s="37">
        <f>'12. Investeringen (bijschatten)'!D23</f>
        <v>2020</v>
      </c>
      <c r="I220" s="37" t="str">
        <f>'12. Investeringen (bijschatten)'!E23</f>
        <v>05 Wegen en terreinvoorzieningen</v>
      </c>
      <c r="J220" s="169">
        <f>_xlfn.XLOOKUP(I220,'3. Input (des)investeringen '!$B$11:$B$81,'3. Input (des)investeringen '!$D$11:$D$81)</f>
        <v>10</v>
      </c>
      <c r="K220" s="155"/>
      <c r="L220" s="155"/>
      <c r="M220" s="43">
        <f t="shared" si="107"/>
        <v>16029.663946754225</v>
      </c>
      <c r="N220" s="43">
        <f t="shared" si="108"/>
        <v>32572.277139804581</v>
      </c>
      <c r="P220" s="138">
        <f t="shared" si="109"/>
        <v>304563.61498833023</v>
      </c>
      <c r="Q220" s="138">
        <f t="shared" si="110"/>
        <v>276864.35568833898</v>
      </c>
      <c r="S220" s="43">
        <f t="shared" si="111"/>
        <v>276864.35568833898</v>
      </c>
      <c r="T220" s="38">
        <f t="shared" si="112"/>
        <v>8.5</v>
      </c>
      <c r="V220" s="43">
        <f t="shared" si="113"/>
        <v>38109.564253571371</v>
      </c>
      <c r="W220" s="43">
        <f t="shared" si="113"/>
        <v>32281.042661848685</v>
      </c>
      <c r="X220" s="43">
        <f t="shared" si="100"/>
        <v>27505.740492936158</v>
      </c>
      <c r="Y220" s="43">
        <f t="shared" si="100"/>
        <v>27505.740492936158</v>
      </c>
      <c r="Z220" s="43">
        <f t="shared" si="100"/>
        <v>27505.740492936158</v>
      </c>
      <c r="AB220" s="43">
        <f t="shared" si="114"/>
        <v>3257.2277139804587</v>
      </c>
      <c r="AC220" s="43">
        <f t="shared" si="114"/>
        <v>3257.2277139804587</v>
      </c>
      <c r="AD220" s="43">
        <f t="shared" si="101"/>
        <v>3257.2277139804587</v>
      </c>
      <c r="AE220" s="43">
        <f t="shared" si="101"/>
        <v>3257.2277139804587</v>
      </c>
      <c r="AF220" s="43">
        <f t="shared" si="101"/>
        <v>3257.2277139804587</v>
      </c>
      <c r="AH220" s="43">
        <f t="shared" si="115"/>
        <v>41366.791967551828</v>
      </c>
      <c r="AI220" s="43">
        <f t="shared" si="116"/>
        <v>35538.270375829146</v>
      </c>
      <c r="AJ220" s="43">
        <f t="shared" si="117"/>
        <v>30762.968206916616</v>
      </c>
      <c r="AK220" s="43">
        <f t="shared" si="118"/>
        <v>30762.968206916616</v>
      </c>
      <c r="AL220" s="43">
        <f t="shared" si="119"/>
        <v>30762.968206916616</v>
      </c>
      <c r="AN220" s="43">
        <f t="shared" si="103"/>
        <v>235497.56372078715</v>
      </c>
      <c r="AO220" s="43">
        <f t="shared" si="120"/>
        <v>199959.29334495799</v>
      </c>
      <c r="AP220" s="43">
        <f t="shared" si="121"/>
        <v>169196.32513804137</v>
      </c>
      <c r="AQ220" s="43">
        <f t="shared" si="122"/>
        <v>138433.35693112476</v>
      </c>
      <c r="AR220" s="43">
        <f t="shared" si="123"/>
        <v>107670.38872420814</v>
      </c>
      <c r="AT220" s="43">
        <f t="shared" si="124"/>
        <v>3299.2917871991976</v>
      </c>
      <c r="AU220" s="43">
        <f t="shared" si="105"/>
        <v>3489.8324864935257</v>
      </c>
      <c r="AV220" s="43">
        <f t="shared" si="105"/>
        <v>3753.9430090713558</v>
      </c>
      <c r="AW220" s="43">
        <f t="shared" si="105"/>
        <v>3843.6171996720532</v>
      </c>
      <c r="AX220" s="43">
        <f t="shared" si="105"/>
        <v>3893.3228572982116</v>
      </c>
      <c r="AZ220" s="47">
        <f t="shared" si="125"/>
        <v>52673.000921257786</v>
      </c>
      <c r="BA220" s="47">
        <f t="shared" si="126"/>
        <v>45626.759542706292</v>
      </c>
      <c r="BB220" s="47">
        <f t="shared" si="127"/>
        <v>40946.371571233547</v>
      </c>
      <c r="BC220" s="47">
        <f t="shared" si="128"/>
        <v>39867.05296997141</v>
      </c>
      <c r="BD220" s="47">
        <f t="shared" si="129"/>
        <v>38747.765835734739</v>
      </c>
    </row>
    <row r="221" spans="2:56">
      <c r="B221" s="37">
        <f>'12. Investeringen (bijschatten)'!B24</f>
        <v>5</v>
      </c>
      <c r="C221" s="48"/>
      <c r="E221" s="48"/>
      <c r="F221" s="169">
        <f>'12. Investeringen (bijschatten)'!C24</f>
        <v>1555027.7495395842</v>
      </c>
      <c r="H221" s="37">
        <f>'12. Investeringen (bijschatten)'!D24</f>
        <v>2020</v>
      </c>
      <c r="I221" s="37" t="str">
        <f>'12. Investeringen (bijschatten)'!E24</f>
        <v>06 Utiliteitsgebouwen</v>
      </c>
      <c r="J221" s="169">
        <f>_xlfn.XLOOKUP(I221,'3. Input (des)investeringen '!$B$11:$B$81,'3. Input (des)investeringen '!$D$11:$D$81)</f>
        <v>30</v>
      </c>
      <c r="K221" s="155"/>
      <c r="L221" s="155"/>
      <c r="M221" s="43">
        <f t="shared" si="107"/>
        <v>25917.12915899307</v>
      </c>
      <c r="N221" s="43">
        <f t="shared" si="108"/>
        <v>52663.606451073916</v>
      </c>
      <c r="P221" s="138">
        <f t="shared" si="109"/>
        <v>1529110.6203805911</v>
      </c>
      <c r="Q221" s="138">
        <f t="shared" si="110"/>
        <v>1500912.7838556068</v>
      </c>
      <c r="S221" s="43">
        <f t="shared" si="111"/>
        <v>1500912.7838556068</v>
      </c>
      <c r="T221" s="38">
        <f t="shared" si="112"/>
        <v>28.5</v>
      </c>
      <c r="V221" s="43">
        <f t="shared" si="113"/>
        <v>61616.419547756494</v>
      </c>
      <c r="W221" s="43">
        <f t="shared" si="113"/>
        <v>58805.846024525497</v>
      </c>
      <c r="X221" s="43">
        <f t="shared" si="100"/>
        <v>56123.474100599771</v>
      </c>
      <c r="Y221" s="43">
        <f t="shared" si="100"/>
        <v>53563.455983730302</v>
      </c>
      <c r="Z221" s="43">
        <f t="shared" si="100"/>
        <v>51120.210623068924</v>
      </c>
      <c r="AB221" s="43">
        <f t="shared" si="114"/>
        <v>5266.3606451073929</v>
      </c>
      <c r="AC221" s="43">
        <f t="shared" si="114"/>
        <v>5266.3606451073929</v>
      </c>
      <c r="AD221" s="43">
        <f t="shared" si="101"/>
        <v>5266.3606451073929</v>
      </c>
      <c r="AE221" s="43">
        <f t="shared" si="101"/>
        <v>5266.3606451073929</v>
      </c>
      <c r="AF221" s="43">
        <f t="shared" si="101"/>
        <v>5266.3606451073929</v>
      </c>
      <c r="AH221" s="43">
        <f t="shared" si="115"/>
        <v>66882.78019286388</v>
      </c>
      <c r="AI221" s="43">
        <f t="shared" si="116"/>
        <v>64072.206669632891</v>
      </c>
      <c r="AJ221" s="43">
        <f t="shared" si="117"/>
        <v>61389.834745707165</v>
      </c>
      <c r="AK221" s="43">
        <f t="shared" si="118"/>
        <v>58829.816628837696</v>
      </c>
      <c r="AL221" s="43">
        <f t="shared" si="119"/>
        <v>56386.571268176318</v>
      </c>
      <c r="AN221" s="43">
        <f t="shared" si="103"/>
        <v>1434030.0036627429</v>
      </c>
      <c r="AO221" s="43">
        <f t="shared" si="120"/>
        <v>1369957.7969931101</v>
      </c>
      <c r="AP221" s="43">
        <f t="shared" si="121"/>
        <v>1308567.9622474029</v>
      </c>
      <c r="AQ221" s="43">
        <f t="shared" si="122"/>
        <v>1249738.1456185651</v>
      </c>
      <c r="AR221" s="43">
        <f t="shared" si="123"/>
        <v>1193351.5743503887</v>
      </c>
      <c r="AT221" s="43">
        <f t="shared" si="124"/>
        <v>16003.112416968826</v>
      </c>
      <c r="AU221" s="43">
        <f t="shared" si="105"/>
        <v>16927.324165273611</v>
      </c>
      <c r="AV221" s="43">
        <f t="shared" si="105"/>
        <v>18208.384058101521</v>
      </c>
      <c r="AW221" s="43">
        <f t="shared" si="105"/>
        <v>18643.345936481452</v>
      </c>
      <c r="AX221" s="43">
        <f t="shared" si="105"/>
        <v>18884.441686132028</v>
      </c>
      <c r="AZ221" s="47">
        <f t="shared" si="125"/>
        <v>131642.91273436596</v>
      </c>
      <c r="BA221" s="47">
        <f t="shared" si="126"/>
        <v>126208.13813567912</v>
      </c>
      <c r="BB221" s="47">
        <f t="shared" si="127"/>
        <v>129323.80136920999</v>
      </c>
      <c r="BC221" s="47">
        <f t="shared" si="128"/>
        <v>124963.21209882462</v>
      </c>
      <c r="BD221" s="47">
        <f t="shared" si="129"/>
        <v>120618.37277962311</v>
      </c>
    </row>
    <row r="222" spans="2:56">
      <c r="B222" s="37">
        <f>'12. Investeringen (bijschatten)'!B25</f>
        <v>6</v>
      </c>
      <c r="C222" s="48"/>
      <c r="E222" s="48"/>
      <c r="F222" s="169">
        <f>'12. Investeringen (bijschatten)'!C25</f>
        <v>227358.20364143242</v>
      </c>
      <c r="H222" s="37">
        <f>'12. Investeringen (bijschatten)'!D25</f>
        <v>2020</v>
      </c>
      <c r="I222" s="37" t="str">
        <f>'12. Investeringen (bijschatten)'!E25</f>
        <v>08 Inrichting gebouwen</v>
      </c>
      <c r="J222" s="169">
        <f>_xlfn.XLOOKUP(I222,'3. Input (des)investeringen '!$B$11:$B$81,'3. Input (des)investeringen '!$D$11:$D$81)</f>
        <v>10</v>
      </c>
      <c r="K222" s="155"/>
      <c r="L222" s="155"/>
      <c r="M222" s="43">
        <f t="shared" si="107"/>
        <v>11367.910182071622</v>
      </c>
      <c r="N222" s="43">
        <f t="shared" si="108"/>
        <v>23099.593489969538</v>
      </c>
      <c r="P222" s="138">
        <f t="shared" si="109"/>
        <v>215990.29345936081</v>
      </c>
      <c r="Q222" s="138">
        <f t="shared" si="110"/>
        <v>196346.54466474106</v>
      </c>
      <c r="S222" s="43">
        <f t="shared" si="111"/>
        <v>196346.54466474106</v>
      </c>
      <c r="T222" s="38">
        <f t="shared" si="112"/>
        <v>8.5</v>
      </c>
      <c r="V222" s="43">
        <f t="shared" si="113"/>
        <v>27026.524383264357</v>
      </c>
      <c r="W222" s="43">
        <f t="shared" si="113"/>
        <v>22893.055948176869</v>
      </c>
      <c r="X222" s="43">
        <f t="shared" si="100"/>
        <v>19506.509210280878</v>
      </c>
      <c r="Y222" s="43">
        <f t="shared" si="100"/>
        <v>19506.509210280878</v>
      </c>
      <c r="Z222" s="43">
        <f t="shared" si="100"/>
        <v>19506.509210280878</v>
      </c>
      <c r="AB222" s="43">
        <f t="shared" si="114"/>
        <v>2309.9593489969534</v>
      </c>
      <c r="AC222" s="43">
        <f t="shared" si="114"/>
        <v>2309.9593489969538</v>
      </c>
      <c r="AD222" s="43">
        <f t="shared" si="101"/>
        <v>2309.9593489969538</v>
      </c>
      <c r="AE222" s="43">
        <f t="shared" si="101"/>
        <v>2309.9593489969538</v>
      </c>
      <c r="AF222" s="43">
        <f t="shared" si="101"/>
        <v>2309.9593489969538</v>
      </c>
      <c r="AH222" s="43">
        <f t="shared" si="115"/>
        <v>29336.483732261309</v>
      </c>
      <c r="AI222" s="43">
        <f t="shared" si="116"/>
        <v>25203.015297173821</v>
      </c>
      <c r="AJ222" s="43">
        <f t="shared" si="117"/>
        <v>21816.468559277833</v>
      </c>
      <c r="AK222" s="43">
        <f t="shared" si="118"/>
        <v>21816.468559277833</v>
      </c>
      <c r="AL222" s="43">
        <f t="shared" si="119"/>
        <v>21816.468559277833</v>
      </c>
      <c r="AN222" s="43">
        <f t="shared" si="103"/>
        <v>167010.06093247974</v>
      </c>
      <c r="AO222" s="43">
        <f t="shared" si="120"/>
        <v>141807.04563530593</v>
      </c>
      <c r="AP222" s="43">
        <f t="shared" si="121"/>
        <v>119990.5770760281</v>
      </c>
      <c r="AQ222" s="43">
        <f t="shared" si="122"/>
        <v>98174.108516750275</v>
      </c>
      <c r="AR222" s="43">
        <f t="shared" si="123"/>
        <v>76357.639957472449</v>
      </c>
      <c r="AT222" s="43">
        <f t="shared" si="124"/>
        <v>2339.7903303469734</v>
      </c>
      <c r="AU222" s="43">
        <f t="shared" si="105"/>
        <v>2474.9179015051718</v>
      </c>
      <c r="AV222" s="43">
        <f t="shared" si="105"/>
        <v>2662.2196882910835</v>
      </c>
      <c r="AW222" s="43">
        <f t="shared" si="105"/>
        <v>2725.8147922049811</v>
      </c>
      <c r="AX222" s="43">
        <f t="shared" si="105"/>
        <v>2761.0650290977765</v>
      </c>
      <c r="AZ222" s="47">
        <f t="shared" si="125"/>
        <v>37354.616134312593</v>
      </c>
      <c r="BA222" s="47">
        <f t="shared" si="126"/>
        <v>32357.565704644087</v>
      </c>
      <c r="BB222" s="47">
        <f t="shared" si="127"/>
        <v>29038.330176457985</v>
      </c>
      <c r="BC222" s="47">
        <f t="shared" si="128"/>
        <v>28272.899475119324</v>
      </c>
      <c r="BD222" s="47">
        <f t="shared" si="129"/>
        <v>27479.123906759563</v>
      </c>
    </row>
    <row r="223" spans="2:56">
      <c r="B223" s="37">
        <f>'12. Investeringen (bijschatten)'!B26</f>
        <v>7</v>
      </c>
      <c r="C223" s="48"/>
      <c r="E223" s="48"/>
      <c r="F223" s="169">
        <f>'12. Investeringen (bijschatten)'!C26</f>
        <v>-2031.2069601401199</v>
      </c>
      <c r="H223" s="37">
        <f>'12. Investeringen (bijschatten)'!D26</f>
        <v>2020</v>
      </c>
      <c r="I223" s="37" t="str">
        <f>'12. Investeringen (bijschatten)'!E26</f>
        <v>09 Bedrijfsinventaris</v>
      </c>
      <c r="J223" s="169">
        <f>_xlfn.XLOOKUP(I223,'3. Input (des)investeringen '!$B$11:$B$81,'3. Input (des)investeringen '!$D$11:$D$81)</f>
        <v>10</v>
      </c>
      <c r="K223" s="155"/>
      <c r="L223" s="155"/>
      <c r="M223" s="43">
        <f t="shared" si="107"/>
        <v>-101.560348007006</v>
      </c>
      <c r="N223" s="43">
        <f t="shared" si="108"/>
        <v>-206.3706271502362</v>
      </c>
      <c r="P223" s="138">
        <f t="shared" si="109"/>
        <v>-1929.6466121331139</v>
      </c>
      <c r="Q223" s="138">
        <f t="shared" si="110"/>
        <v>-1754.1503307770074</v>
      </c>
      <c r="S223" s="43">
        <f t="shared" si="111"/>
        <v>-1754.1503307770074</v>
      </c>
      <c r="T223" s="38">
        <f t="shared" si="112"/>
        <v>8.5</v>
      </c>
      <c r="V223" s="43">
        <f t="shared" si="113"/>
        <v>-241.45363376577635</v>
      </c>
      <c r="W223" s="43">
        <f t="shared" si="113"/>
        <v>-204.52543095453996</v>
      </c>
      <c r="X223" s="43">
        <f t="shared" si="100"/>
        <v>-174.27018968907544</v>
      </c>
      <c r="Y223" s="43">
        <f t="shared" si="100"/>
        <v>-174.27018968907544</v>
      </c>
      <c r="Z223" s="43">
        <f t="shared" si="100"/>
        <v>-174.27018968907544</v>
      </c>
      <c r="AB223" s="43">
        <f t="shared" si="114"/>
        <v>-20.637062715023617</v>
      </c>
      <c r="AC223" s="43">
        <f t="shared" si="114"/>
        <v>-20.637062715023617</v>
      </c>
      <c r="AD223" s="43">
        <f t="shared" si="101"/>
        <v>-20.637062715023617</v>
      </c>
      <c r="AE223" s="43">
        <f t="shared" si="101"/>
        <v>-20.637062715023617</v>
      </c>
      <c r="AF223" s="43">
        <f t="shared" si="101"/>
        <v>-20.637062715023617</v>
      </c>
      <c r="AH223" s="43">
        <f t="shared" si="115"/>
        <v>-262.09069648079998</v>
      </c>
      <c r="AI223" s="43">
        <f t="shared" si="116"/>
        <v>-225.16249366956356</v>
      </c>
      <c r="AJ223" s="43">
        <f t="shared" si="117"/>
        <v>-194.90725240409904</v>
      </c>
      <c r="AK223" s="43">
        <f t="shared" si="118"/>
        <v>-194.90725240409904</v>
      </c>
      <c r="AL223" s="43">
        <f t="shared" si="119"/>
        <v>-194.90725240409904</v>
      </c>
      <c r="AN223" s="43">
        <f t="shared" si="103"/>
        <v>-1492.0596342962074</v>
      </c>
      <c r="AO223" s="43">
        <f t="shared" si="120"/>
        <v>-1266.8971406266437</v>
      </c>
      <c r="AP223" s="43">
        <f t="shared" si="121"/>
        <v>-1071.9898882225448</v>
      </c>
      <c r="AQ223" s="43">
        <f t="shared" si="122"/>
        <v>-877.08263581844574</v>
      </c>
      <c r="AR223" s="43">
        <f t="shared" si="123"/>
        <v>-682.1753834143467</v>
      </c>
      <c r="AT223" s="43">
        <f t="shared" si="124"/>
        <v>-20.90357122879395</v>
      </c>
      <c r="AU223" s="43">
        <f t="shared" si="105"/>
        <v>-22.110794274399261</v>
      </c>
      <c r="AV223" s="43">
        <f t="shared" si="105"/>
        <v>-23.784139185085802</v>
      </c>
      <c r="AW223" s="43">
        <f t="shared" si="105"/>
        <v>-24.352294701939133</v>
      </c>
      <c r="AX223" s="43">
        <f t="shared" si="105"/>
        <v>-24.667218577024606</v>
      </c>
      <c r="AZ223" s="47">
        <f t="shared" si="125"/>
        <v>-333.72429527566499</v>
      </c>
      <c r="BA223" s="47">
        <f t="shared" si="126"/>
        <v>-289.08089358464207</v>
      </c>
      <c r="BB223" s="47">
        <f t="shared" si="127"/>
        <v>-259.42700734164157</v>
      </c>
      <c r="BC223" s="47">
        <f t="shared" si="128"/>
        <v>-252.58868726713914</v>
      </c>
      <c r="BD223" s="47">
        <f t="shared" si="129"/>
        <v>-245.49713555086882</v>
      </c>
    </row>
    <row r="224" spans="2:56">
      <c r="B224" s="37">
        <f>'12. Investeringen (bijschatten)'!B27</f>
        <v>8</v>
      </c>
      <c r="C224" s="48"/>
      <c r="E224" s="48"/>
      <c r="F224" s="169">
        <f>'12. Investeringen (bijschatten)'!C27</f>
        <v>971.16619787636887</v>
      </c>
      <c r="H224" s="37">
        <f>'12. Investeringen (bijschatten)'!D27</f>
        <v>2020</v>
      </c>
      <c r="I224" s="37" t="str">
        <f>'12. Investeringen (bijschatten)'!E27</f>
        <v>10 Gereedschap</v>
      </c>
      <c r="J224" s="169">
        <f>_xlfn.XLOOKUP(I224,'3. Input (des)investeringen '!$B$11:$B$81,'3. Input (des)investeringen '!$D$11:$D$81)</f>
        <v>10</v>
      </c>
      <c r="K224" s="155"/>
      <c r="L224" s="155"/>
      <c r="M224" s="43">
        <f t="shared" si="107"/>
        <v>48.558309893818446</v>
      </c>
      <c r="N224" s="43">
        <f t="shared" si="108"/>
        <v>98.670485704239084</v>
      </c>
      <c r="P224" s="138">
        <f t="shared" si="109"/>
        <v>922.60788798255044</v>
      </c>
      <c r="Q224" s="138">
        <f t="shared" si="110"/>
        <v>838.69912848603212</v>
      </c>
      <c r="S224" s="43">
        <f t="shared" si="111"/>
        <v>838.69912848603212</v>
      </c>
      <c r="T224" s="38">
        <f t="shared" si="112"/>
        <v>8.5</v>
      </c>
      <c r="V224" s="43">
        <f t="shared" si="113"/>
        <v>115.44446827395971</v>
      </c>
      <c r="W224" s="43">
        <f t="shared" si="113"/>
        <v>97.788255479118817</v>
      </c>
      <c r="X224" s="43">
        <f t="shared" si="100"/>
        <v>83.322537212976982</v>
      </c>
      <c r="Y224" s="43">
        <f t="shared" si="100"/>
        <v>83.322537212976982</v>
      </c>
      <c r="Z224" s="43">
        <f t="shared" si="100"/>
        <v>83.322537212976982</v>
      </c>
      <c r="AB224" s="43">
        <f t="shared" si="114"/>
        <v>9.8670485704239077</v>
      </c>
      <c r="AC224" s="43">
        <f t="shared" si="114"/>
        <v>9.8670485704239095</v>
      </c>
      <c r="AD224" s="43">
        <f t="shared" si="101"/>
        <v>9.8670485704239095</v>
      </c>
      <c r="AE224" s="43">
        <f t="shared" si="101"/>
        <v>9.8670485704239095</v>
      </c>
      <c r="AF224" s="43">
        <f t="shared" si="101"/>
        <v>9.8670485704239095</v>
      </c>
      <c r="AH224" s="43">
        <f t="shared" si="115"/>
        <v>125.31151684438362</v>
      </c>
      <c r="AI224" s="43">
        <f t="shared" si="116"/>
        <v>107.65530404954272</v>
      </c>
      <c r="AJ224" s="43">
        <f t="shared" si="117"/>
        <v>93.189585783400886</v>
      </c>
      <c r="AK224" s="43">
        <f t="shared" si="118"/>
        <v>93.189585783400886</v>
      </c>
      <c r="AL224" s="43">
        <f t="shared" si="119"/>
        <v>93.189585783400886</v>
      </c>
      <c r="AN224" s="43">
        <f t="shared" si="103"/>
        <v>713.3876116416485</v>
      </c>
      <c r="AO224" s="43">
        <f t="shared" si="120"/>
        <v>605.73230759210583</v>
      </c>
      <c r="AP224" s="43">
        <f t="shared" si="121"/>
        <v>512.54272180870498</v>
      </c>
      <c r="AQ224" s="43">
        <f t="shared" si="122"/>
        <v>419.35313602530408</v>
      </c>
      <c r="AR224" s="43">
        <f t="shared" si="123"/>
        <v>326.16355024190318</v>
      </c>
      <c r="AT224" s="43">
        <f t="shared" si="124"/>
        <v>9.9944723460898608</v>
      </c>
      <c r="AU224" s="43">
        <f t="shared" si="105"/>
        <v>10.571673113021241</v>
      </c>
      <c r="AV224" s="43">
        <f t="shared" si="105"/>
        <v>11.371737334214693</v>
      </c>
      <c r="AW224" s="43">
        <f t="shared" si="105"/>
        <v>11.643385395654411</v>
      </c>
      <c r="AX224" s="43">
        <f t="shared" si="105"/>
        <v>11.793957655591013</v>
      </c>
      <c r="AZ224" s="47">
        <f t="shared" si="125"/>
        <v>159.56116798628952</v>
      </c>
      <c r="BA224" s="47">
        <f t="shared" si="126"/>
        <v>138.21614331310346</v>
      </c>
      <c r="BB224" s="47">
        <f t="shared" si="127"/>
        <v>124.03794654634638</v>
      </c>
      <c r="BC224" s="47">
        <f t="shared" si="128"/>
        <v>120.76839034801685</v>
      </c>
      <c r="BD224" s="47">
        <f t="shared" si="129"/>
        <v>117.37775834818422</v>
      </c>
    </row>
    <row r="225" spans="2:56">
      <c r="B225" s="37">
        <f>'12. Investeringen (bijschatten)'!B28</f>
        <v>9</v>
      </c>
      <c r="C225" s="48"/>
      <c r="E225" s="48"/>
      <c r="F225" s="169">
        <f>'12. Investeringen (bijschatten)'!C28</f>
        <v>897693.90315601986</v>
      </c>
      <c r="H225" s="37">
        <f>'12. Investeringen (bijschatten)'!D28</f>
        <v>2020</v>
      </c>
      <c r="I225" s="37" t="str">
        <f>'12. Investeringen (bijschatten)'!E28</f>
        <v>11 Werktuigen</v>
      </c>
      <c r="J225" s="169">
        <f>_xlfn.XLOOKUP(I225,'3. Input (des)investeringen '!$B$11:$B$81,'3. Input (des)investeringen '!$D$11:$D$81)</f>
        <v>10</v>
      </c>
      <c r="K225" s="155"/>
      <c r="L225" s="155"/>
      <c r="M225" s="43">
        <f t="shared" si="107"/>
        <v>44884.695157800998</v>
      </c>
      <c r="N225" s="43">
        <f t="shared" si="108"/>
        <v>91205.700560651618</v>
      </c>
      <c r="P225" s="138">
        <f t="shared" si="109"/>
        <v>852809.20799821883</v>
      </c>
      <c r="Q225" s="138">
        <f t="shared" si="110"/>
        <v>775248.45476553869</v>
      </c>
      <c r="S225" s="43">
        <f t="shared" si="111"/>
        <v>775248.45476553869</v>
      </c>
      <c r="T225" s="38">
        <f t="shared" si="112"/>
        <v>8.5</v>
      </c>
      <c r="V225" s="43">
        <f t="shared" si="113"/>
        <v>106710.66965596238</v>
      </c>
      <c r="W225" s="43">
        <f t="shared" si="113"/>
        <v>90390.214296815204</v>
      </c>
      <c r="X225" s="43">
        <f t="shared" si="100"/>
        <v>77018.880820954946</v>
      </c>
      <c r="Y225" s="43">
        <f t="shared" si="100"/>
        <v>77018.880820954946</v>
      </c>
      <c r="Z225" s="43">
        <f t="shared" si="100"/>
        <v>77018.880820954946</v>
      </c>
      <c r="AB225" s="43">
        <f t="shared" si="114"/>
        <v>9120.5700560651621</v>
      </c>
      <c r="AC225" s="43">
        <f t="shared" si="114"/>
        <v>9120.5700560651621</v>
      </c>
      <c r="AD225" s="43">
        <f t="shared" si="101"/>
        <v>9120.5700560651621</v>
      </c>
      <c r="AE225" s="43">
        <f t="shared" si="101"/>
        <v>9120.5700560651621</v>
      </c>
      <c r="AF225" s="43">
        <f t="shared" si="101"/>
        <v>9120.5700560651621</v>
      </c>
      <c r="AH225" s="43">
        <f t="shared" si="115"/>
        <v>115831.23971202754</v>
      </c>
      <c r="AI225" s="43">
        <f t="shared" si="116"/>
        <v>99510.784352880364</v>
      </c>
      <c r="AJ225" s="43">
        <f t="shared" si="117"/>
        <v>86139.450877020106</v>
      </c>
      <c r="AK225" s="43">
        <f t="shared" si="118"/>
        <v>86139.450877020106</v>
      </c>
      <c r="AL225" s="43">
        <f t="shared" si="119"/>
        <v>86139.450877020106</v>
      </c>
      <c r="AN225" s="43">
        <f t="shared" si="103"/>
        <v>659417.21505351108</v>
      </c>
      <c r="AO225" s="43">
        <f t="shared" si="120"/>
        <v>559906.43070063076</v>
      </c>
      <c r="AP225" s="43">
        <f t="shared" si="121"/>
        <v>473766.97982361063</v>
      </c>
      <c r="AQ225" s="43">
        <f t="shared" si="122"/>
        <v>387627.52894659049</v>
      </c>
      <c r="AR225" s="43">
        <f t="shared" si="123"/>
        <v>301488.07806957036</v>
      </c>
      <c r="AT225" s="43">
        <f t="shared" si="124"/>
        <v>9238.3537544502324</v>
      </c>
      <c r="AU225" s="43">
        <f t="shared" si="105"/>
        <v>9771.8871604772412</v>
      </c>
      <c r="AV225" s="43">
        <f t="shared" si="105"/>
        <v>10511.423580782162</v>
      </c>
      <c r="AW225" s="43">
        <f t="shared" si="105"/>
        <v>10762.520467279886</v>
      </c>
      <c r="AX225" s="43">
        <f t="shared" si="105"/>
        <v>10901.701381962748</v>
      </c>
      <c r="AZ225" s="47">
        <f t="shared" si="125"/>
        <v>147489.77877829713</v>
      </c>
      <c r="BA225" s="47">
        <f>AI225+AO225*K$16+AU225</f>
        <v>127759.58372647842</v>
      </c>
      <c r="BB225" s="47">
        <f t="shared" si="127"/>
        <v>114654.01969109947</v>
      </c>
      <c r="BC225" s="47">
        <f t="shared" si="128"/>
        <v>111631.81744427043</v>
      </c>
      <c r="BD225" s="47">
        <f t="shared" si="129"/>
        <v>108497.69922562652</v>
      </c>
    </row>
    <row r="226" spans="2:56">
      <c r="B226" s="37">
        <f>'12. Investeringen (bijschatten)'!B29</f>
        <v>10</v>
      </c>
      <c r="C226" s="48"/>
      <c r="E226" s="48"/>
      <c r="F226" s="169">
        <f>'12. Investeringen (bijschatten)'!C29</f>
        <v>119157.79156970895</v>
      </c>
      <c r="H226" s="37">
        <f>'12. Investeringen (bijschatten)'!D29</f>
        <v>2020</v>
      </c>
      <c r="I226" s="37" t="str">
        <f>'12. Investeringen (bijschatten)'!E29</f>
        <v>14 Overig rollend materieel</v>
      </c>
      <c r="J226" s="169">
        <f>_xlfn.XLOOKUP(I226,'3. Input (des)investeringen '!$B$11:$B$81,'3. Input (des)investeringen '!$D$11:$D$81)</f>
        <v>10</v>
      </c>
      <c r="K226" s="155"/>
      <c r="L226" s="155"/>
      <c r="M226" s="43">
        <f t="shared" si="107"/>
        <v>5957.8895784854476</v>
      </c>
      <c r="N226" s="43">
        <f t="shared" si="108"/>
        <v>12106.431623482427</v>
      </c>
      <c r="P226" s="138">
        <f t="shared" si="109"/>
        <v>113199.90199122349</v>
      </c>
      <c r="Q226" s="138">
        <f t="shared" si="110"/>
        <v>102904.66879960065</v>
      </c>
      <c r="S226" s="43">
        <f t="shared" si="111"/>
        <v>102904.66879960065</v>
      </c>
      <c r="T226" s="38">
        <f t="shared" si="112"/>
        <v>8.5</v>
      </c>
      <c r="V226" s="43">
        <f t="shared" si="113"/>
        <v>14164.524999474444</v>
      </c>
      <c r="W226" s="43">
        <f t="shared" si="113"/>
        <v>11998.185881907766</v>
      </c>
      <c r="X226" s="43">
        <f t="shared" si="100"/>
        <v>10223.306313578214</v>
      </c>
      <c r="Y226" s="43">
        <f t="shared" si="100"/>
        <v>10223.306313578214</v>
      </c>
      <c r="Z226" s="43">
        <f t="shared" si="100"/>
        <v>10223.306313578214</v>
      </c>
      <c r="AB226" s="43">
        <f t="shared" si="114"/>
        <v>1210.6431623482431</v>
      </c>
      <c r="AC226" s="43">
        <f t="shared" si="114"/>
        <v>1210.6431623482431</v>
      </c>
      <c r="AD226" s="43">
        <f t="shared" si="101"/>
        <v>1210.6431623482431</v>
      </c>
      <c r="AE226" s="43">
        <f t="shared" si="101"/>
        <v>1210.6431623482431</v>
      </c>
      <c r="AF226" s="43">
        <f t="shared" si="101"/>
        <v>1210.6431623482431</v>
      </c>
      <c r="AH226" s="43">
        <f t="shared" si="115"/>
        <v>15375.168161822687</v>
      </c>
      <c r="AI226" s="43">
        <f t="shared" si="116"/>
        <v>13208.82904425601</v>
      </c>
      <c r="AJ226" s="43">
        <f t="shared" si="117"/>
        <v>11433.949475926456</v>
      </c>
      <c r="AK226" s="43">
        <f t="shared" si="118"/>
        <v>11433.949475926456</v>
      </c>
      <c r="AL226" s="43">
        <f t="shared" si="119"/>
        <v>11433.949475926456</v>
      </c>
      <c r="AN226" s="43">
        <f t="shared" si="103"/>
        <v>87529.500637777965</v>
      </c>
      <c r="AO226" s="43">
        <f t="shared" si="120"/>
        <v>74320.671593521954</v>
      </c>
      <c r="AP226" s="43">
        <f t="shared" si="121"/>
        <v>62886.722117595498</v>
      </c>
      <c r="AQ226" s="43">
        <f t="shared" si="122"/>
        <v>51452.772641669042</v>
      </c>
      <c r="AR226" s="43">
        <f t="shared" si="123"/>
        <v>40018.823165742586</v>
      </c>
      <c r="AT226" s="43">
        <f t="shared" si="124"/>
        <v>1226.2774953131159</v>
      </c>
      <c r="AU226" s="43">
        <f t="shared" si="105"/>
        <v>1297.097473222439</v>
      </c>
      <c r="AV226" s="43">
        <f t="shared" si="105"/>
        <v>1395.2618099959134</v>
      </c>
      <c r="AW226" s="43">
        <f t="shared" si="105"/>
        <v>1428.591824113096</v>
      </c>
      <c r="AX226" s="43">
        <f t="shared" si="105"/>
        <v>1447.0663735825262</v>
      </c>
      <c r="AZ226" s="47">
        <f t="shared" si="125"/>
        <v>19577.448678820252</v>
      </c>
      <c r="BA226" s="47">
        <f t="shared" si="126"/>
        <v>16958.508680064675</v>
      </c>
      <c r="BB226" s="47">
        <f t="shared" si="127"/>
        <v>15218.906726390998</v>
      </c>
      <c r="BC226" s="47">
        <f t="shared" si="128"/>
        <v>14817.746660422976</v>
      </c>
      <c r="BD226" s="47">
        <f t="shared" si="129"/>
        <v>14401.7311298072</v>
      </c>
    </row>
    <row r="227" spans="2:56">
      <c r="B227" s="37">
        <f>'12. Investeringen (bijschatten)'!B30</f>
        <v>11</v>
      </c>
      <c r="C227" s="48"/>
      <c r="E227" s="48"/>
      <c r="F227" s="169">
        <f>'12. Investeringen (bijschatten)'!C30</f>
        <v>847435.58289065212</v>
      </c>
      <c r="H227" s="37">
        <f>'12. Investeringen (bijschatten)'!D30</f>
        <v>2020</v>
      </c>
      <c r="I227" s="37" t="str">
        <f>'12. Investeringen (bijschatten)'!E30</f>
        <v>15 Compressorstations (KC)</v>
      </c>
      <c r="J227" s="169">
        <f>_xlfn.XLOOKUP(I227,'3. Input (des)investeringen '!$B$11:$B$81,'3. Input (des)investeringen '!$D$11:$D$81)</f>
        <v>30</v>
      </c>
      <c r="K227" s="155"/>
      <c r="L227" s="155"/>
      <c r="M227" s="43">
        <f t="shared" si="107"/>
        <v>14123.926381510868</v>
      </c>
      <c r="N227" s="43">
        <f t="shared" si="108"/>
        <v>28699.818407230083</v>
      </c>
      <c r="P227" s="138">
        <f t="shared" si="109"/>
        <v>833311.6565091412</v>
      </c>
      <c r="Q227" s="138">
        <f t="shared" si="110"/>
        <v>817944.82460605737</v>
      </c>
      <c r="S227" s="43">
        <f t="shared" si="111"/>
        <v>817944.82460605737</v>
      </c>
      <c r="T227" s="38">
        <f t="shared" si="112"/>
        <v>28.5</v>
      </c>
      <c r="V227" s="43">
        <f t="shared" si="113"/>
        <v>33578.787536459204</v>
      </c>
      <c r="W227" s="43">
        <f t="shared" si="113"/>
        <v>32047.123543568083</v>
      </c>
      <c r="X227" s="43">
        <f t="shared" si="100"/>
        <v>30585.324925791294</v>
      </c>
      <c r="Y227" s="43">
        <f t="shared" si="100"/>
        <v>29190.204841456954</v>
      </c>
      <c r="Z227" s="43">
        <f t="shared" si="100"/>
        <v>27858.721813601023</v>
      </c>
      <c r="AB227" s="43">
        <f t="shared" si="114"/>
        <v>2869.9818407230082</v>
      </c>
      <c r="AC227" s="43">
        <f t="shared" si="114"/>
        <v>2869.9818407230086</v>
      </c>
      <c r="AD227" s="43">
        <f t="shared" si="101"/>
        <v>2869.9818407230086</v>
      </c>
      <c r="AE227" s="43">
        <f t="shared" si="101"/>
        <v>2869.9818407230086</v>
      </c>
      <c r="AF227" s="43">
        <f t="shared" si="101"/>
        <v>2869.9818407230086</v>
      </c>
      <c r="AH227" s="43">
        <f t="shared" si="115"/>
        <v>36448.769377182209</v>
      </c>
      <c r="AI227" s="43">
        <f t="shared" si="116"/>
        <v>34917.105384291091</v>
      </c>
      <c r="AJ227" s="43">
        <f t="shared" si="117"/>
        <v>33455.306766514303</v>
      </c>
      <c r="AK227" s="43">
        <f t="shared" si="118"/>
        <v>32060.186682179963</v>
      </c>
      <c r="AL227" s="43">
        <f t="shared" si="119"/>
        <v>30728.703654324032</v>
      </c>
      <c r="AN227" s="43">
        <f t="shared" si="103"/>
        <v>781496.05522887514</v>
      </c>
      <c r="AO227" s="43">
        <f t="shared" si="120"/>
        <v>746578.9498445841</v>
      </c>
      <c r="AP227" s="43">
        <f t="shared" si="121"/>
        <v>713123.64307806978</v>
      </c>
      <c r="AQ227" s="43">
        <f t="shared" si="122"/>
        <v>681063.45639588987</v>
      </c>
      <c r="AR227" s="43">
        <f t="shared" si="123"/>
        <v>650334.75274156581</v>
      </c>
      <c r="AT227" s="43">
        <f t="shared" si="124"/>
        <v>8721.1349785583952</v>
      </c>
      <c r="AU227" s="43">
        <f t="shared" si="105"/>
        <v>9224.7979658401</v>
      </c>
      <c r="AV227" s="43">
        <f t="shared" si="105"/>
        <v>9922.9306758948787</v>
      </c>
      <c r="AW227" s="43">
        <f t="shared" si="105"/>
        <v>10159.969643880657</v>
      </c>
      <c r="AX227" s="43">
        <f t="shared" si="105"/>
        <v>10291.358371315318</v>
      </c>
      <c r="AZ227" s="47">
        <f t="shared" si="125"/>
        <v>71740.770233522373</v>
      </c>
      <c r="BA227" s="47">
        <f t="shared" si="126"/>
        <v>68779.008695002471</v>
      </c>
      <c r="BB227" s="47">
        <f t="shared" si="127"/>
        <v>70476.935879375829</v>
      </c>
      <c r="BC227" s="47">
        <f t="shared" si="128"/>
        <v>68100.567669104435</v>
      </c>
      <c r="BD227" s="47">
        <f t="shared" si="129"/>
        <v>65732.782629818845</v>
      </c>
    </row>
    <row r="228" spans="2:56">
      <c r="B228" s="37">
        <f>'12. Investeringen (bijschatten)'!B31</f>
        <v>12</v>
      </c>
      <c r="C228" s="48"/>
      <c r="E228" s="48"/>
      <c r="F228" s="169">
        <f>'12. Investeringen (bijschatten)'!C31</f>
        <v>9057966.2936882433</v>
      </c>
      <c r="H228" s="37">
        <f>'12. Investeringen (bijschatten)'!D31</f>
        <v>2020</v>
      </c>
      <c r="I228" s="37" t="str">
        <f>'12. Investeringen (bijschatten)'!E31</f>
        <v>15 Compressorstations (TT-BT-AT)</v>
      </c>
      <c r="J228" s="169">
        <f>_xlfn.XLOOKUP(I228,'3. Input (des)investeringen '!$B$11:$B$81,'3. Input (des)investeringen '!$D$11:$D$81)</f>
        <v>30</v>
      </c>
      <c r="K228" s="155"/>
      <c r="L228" s="155"/>
      <c r="M228" s="43">
        <f t="shared" si="107"/>
        <v>150966.10489480404</v>
      </c>
      <c r="N228" s="43">
        <f t="shared" si="108"/>
        <v>306763.12514624186</v>
      </c>
      <c r="P228" s="138">
        <f t="shared" si="109"/>
        <v>8907000.1887934394</v>
      </c>
      <c r="Q228" s="138">
        <f t="shared" si="110"/>
        <v>8742749.066667892</v>
      </c>
      <c r="S228" s="43">
        <f t="shared" si="111"/>
        <v>8742749.066667892</v>
      </c>
      <c r="T228" s="38">
        <f t="shared" si="112"/>
        <v>28.5</v>
      </c>
      <c r="V228" s="43">
        <f t="shared" si="113"/>
        <v>358912.85642110294</v>
      </c>
      <c r="W228" s="43">
        <f t="shared" si="113"/>
        <v>342541.39279487723</v>
      </c>
      <c r="X228" s="43">
        <f t="shared" si="100"/>
        <v>326916.69768493547</v>
      </c>
      <c r="Y228" s="43">
        <f t="shared" si="100"/>
        <v>312004.70796597347</v>
      </c>
      <c r="Z228" s="43">
        <f t="shared" si="100"/>
        <v>297772.91426927992</v>
      </c>
      <c r="AB228" s="43">
        <f t="shared" si="114"/>
        <v>30676.312514624184</v>
      </c>
      <c r="AC228" s="43">
        <f t="shared" si="114"/>
        <v>30676.312514624184</v>
      </c>
      <c r="AD228" s="43">
        <f t="shared" si="101"/>
        <v>30676.312514624184</v>
      </c>
      <c r="AE228" s="43">
        <f t="shared" si="101"/>
        <v>30676.312514624184</v>
      </c>
      <c r="AF228" s="43">
        <f t="shared" si="101"/>
        <v>30676.312514624184</v>
      </c>
      <c r="AH228" s="43">
        <f t="shared" si="115"/>
        <v>389589.16893572715</v>
      </c>
      <c r="AI228" s="43">
        <f t="shared" si="116"/>
        <v>373217.70530950144</v>
      </c>
      <c r="AJ228" s="43">
        <f t="shared" si="117"/>
        <v>357593.01019955968</v>
      </c>
      <c r="AK228" s="43">
        <f t="shared" si="118"/>
        <v>342681.02048059768</v>
      </c>
      <c r="AL228" s="43">
        <f t="shared" si="119"/>
        <v>328449.22678390413</v>
      </c>
      <c r="AN228" s="43">
        <f t="shared" si="103"/>
        <v>8353159.8977321647</v>
      </c>
      <c r="AO228" s="43">
        <f t="shared" si="120"/>
        <v>7979942.1924226629</v>
      </c>
      <c r="AP228" s="43">
        <f t="shared" si="121"/>
        <v>7622349.182223103</v>
      </c>
      <c r="AQ228" s="43">
        <f t="shared" si="122"/>
        <v>7279668.1617425056</v>
      </c>
      <c r="AR228" s="43">
        <f t="shared" si="123"/>
        <v>6951218.9349586014</v>
      </c>
      <c r="AT228" s="43">
        <f t="shared" si="124"/>
        <v>93217.40586939764</v>
      </c>
      <c r="AU228" s="43">
        <f t="shared" si="105"/>
        <v>98600.897493167082</v>
      </c>
      <c r="AV228" s="43">
        <f t="shared" si="105"/>
        <v>106063.01341545</v>
      </c>
      <c r="AW228" s="43">
        <f t="shared" si="105"/>
        <v>108596.64667991827</v>
      </c>
      <c r="AX228" s="43">
        <f t="shared" si="105"/>
        <v>110001.01851478296</v>
      </c>
      <c r="AZ228" s="47">
        <f t="shared" si="125"/>
        <v>766814.01132801839</v>
      </c>
      <c r="BA228" s="47">
        <f t="shared" si="126"/>
        <v>735156.69515261636</v>
      </c>
      <c r="BB228" s="47">
        <f t="shared" si="127"/>
        <v>753305.29253948759</v>
      </c>
      <c r="BC228" s="47">
        <f t="shared" si="128"/>
        <v>727905.05730673112</v>
      </c>
      <c r="BD228" s="47">
        <f t="shared" si="129"/>
        <v>702596.56482711399</v>
      </c>
    </row>
    <row r="229" spans="2:56">
      <c r="B229" s="37">
        <f>'12. Investeringen (bijschatten)'!B32</f>
        <v>13</v>
      </c>
      <c r="C229" s="48"/>
      <c r="E229" s="48"/>
      <c r="F229" s="169">
        <f>'12. Investeringen (bijschatten)'!C32</f>
        <v>505581.67726689682</v>
      </c>
      <c r="H229" s="37">
        <f>'12. Investeringen (bijschatten)'!D32</f>
        <v>2020</v>
      </c>
      <c r="I229" s="37" t="str">
        <f>'12. Investeringen (bijschatten)'!E32</f>
        <v>16 LNG installaties</v>
      </c>
      <c r="J229" s="169">
        <f>_xlfn.XLOOKUP(I229,'3. Input (des)investeringen '!$B$11:$B$81,'3. Input (des)investeringen '!$D$11:$D$81)</f>
        <v>30</v>
      </c>
      <c r="K229" s="155"/>
      <c r="L229" s="155"/>
      <c r="M229" s="43">
        <f t="shared" si="107"/>
        <v>8426.361287781614</v>
      </c>
      <c r="N229" s="43">
        <f t="shared" si="108"/>
        <v>17122.366136772242</v>
      </c>
      <c r="P229" s="138">
        <f t="shared" si="109"/>
        <v>497155.3159791152</v>
      </c>
      <c r="Q229" s="138">
        <f t="shared" si="110"/>
        <v>487987.43489800877</v>
      </c>
      <c r="S229" s="43">
        <f t="shared" si="111"/>
        <v>487987.43489800877</v>
      </c>
      <c r="T229" s="38">
        <f t="shared" si="112"/>
        <v>28.5</v>
      </c>
      <c r="V229" s="43">
        <f t="shared" si="113"/>
        <v>20033.168380023519</v>
      </c>
      <c r="W229" s="43">
        <f t="shared" si="113"/>
        <v>19119.374734618938</v>
      </c>
      <c r="X229" s="43">
        <f t="shared" si="100"/>
        <v>18247.262904618776</v>
      </c>
      <c r="Y229" s="43">
        <f t="shared" si="100"/>
        <v>17414.931614232657</v>
      </c>
      <c r="Z229" s="43">
        <f t="shared" si="100"/>
        <v>16620.566312530817</v>
      </c>
      <c r="AB229" s="43">
        <f t="shared" si="114"/>
        <v>1712.2366136772239</v>
      </c>
      <c r="AC229" s="43">
        <f t="shared" si="114"/>
        <v>1712.2366136772239</v>
      </c>
      <c r="AD229" s="43">
        <f t="shared" si="101"/>
        <v>1712.2366136772239</v>
      </c>
      <c r="AE229" s="43">
        <f t="shared" si="101"/>
        <v>1712.2366136772239</v>
      </c>
      <c r="AF229" s="43">
        <f t="shared" si="101"/>
        <v>1712.2366136772239</v>
      </c>
      <c r="AH229" s="43">
        <f t="shared" si="115"/>
        <v>21745.404993700744</v>
      </c>
      <c r="AI229" s="43">
        <f t="shared" si="116"/>
        <v>20831.611348296163</v>
      </c>
      <c r="AJ229" s="43">
        <f t="shared" si="117"/>
        <v>19959.499518296001</v>
      </c>
      <c r="AK229" s="43">
        <f t="shared" si="118"/>
        <v>19127.168227909882</v>
      </c>
      <c r="AL229" s="43">
        <f t="shared" si="119"/>
        <v>18332.802926208042</v>
      </c>
      <c r="AN229" s="43">
        <f t="shared" si="103"/>
        <v>466242.02990430803</v>
      </c>
      <c r="AO229" s="43">
        <f t="shared" si="120"/>
        <v>445410.41855601186</v>
      </c>
      <c r="AP229" s="43">
        <f t="shared" si="121"/>
        <v>425450.91903771588</v>
      </c>
      <c r="AQ229" s="43">
        <f t="shared" si="122"/>
        <v>406323.75080980599</v>
      </c>
      <c r="AR229" s="43">
        <f t="shared" si="123"/>
        <v>387990.94788359792</v>
      </c>
      <c r="AT229" s="43">
        <f t="shared" si="124"/>
        <v>5203.0456817618642</v>
      </c>
      <c r="AU229" s="43">
        <f t="shared" si="105"/>
        <v>5503.5319759749755</v>
      </c>
      <c r="AV229" s="43">
        <f t="shared" si="105"/>
        <v>5920.0392759167617</v>
      </c>
      <c r="AW229" s="43">
        <f t="shared" si="105"/>
        <v>6061.4571741398622</v>
      </c>
      <c r="AX229" s="43">
        <f t="shared" si="105"/>
        <v>6139.8439383158384</v>
      </c>
      <c r="AZ229" s="47">
        <f t="shared" si="125"/>
        <v>42800.67969220908</v>
      </c>
      <c r="BA229" s="47">
        <f t="shared" si="126"/>
        <v>41033.687136619534</v>
      </c>
      <c r="BB229" s="47">
        <f t="shared" si="127"/>
        <v>42046.673717645965</v>
      </c>
      <c r="BC229" s="47">
        <f t="shared" si="128"/>
        <v>40628.927932822371</v>
      </c>
      <c r="BD229" s="47">
        <f t="shared" si="129"/>
        <v>39216.302884100602</v>
      </c>
    </row>
    <row r="230" spans="2:56">
      <c r="B230" s="37">
        <f>'12. Investeringen (bijschatten)'!B33</f>
        <v>14</v>
      </c>
      <c r="C230" s="48"/>
      <c r="E230" s="48"/>
      <c r="F230" s="169">
        <f>'12. Investeringen (bijschatten)'!C33</f>
        <v>26405484.075497396</v>
      </c>
      <c r="H230" s="37">
        <f>'12. Investeringen (bijschatten)'!D33</f>
        <v>2020</v>
      </c>
      <c r="I230" s="37" t="str">
        <f>'12. Investeringen (bijschatten)'!E33</f>
        <v>17 Mengstations</v>
      </c>
      <c r="J230" s="169">
        <f>_xlfn.XLOOKUP(I230,'3. Input (des)investeringen '!$B$11:$B$81,'3. Input (des)investeringen '!$D$11:$D$81)</f>
        <v>30</v>
      </c>
      <c r="K230" s="155"/>
      <c r="L230" s="155"/>
      <c r="M230" s="43">
        <f t="shared" si="107"/>
        <v>440091.40125828993</v>
      </c>
      <c r="N230" s="43">
        <f t="shared" si="108"/>
        <v>894265.72735684516</v>
      </c>
      <c r="P230" s="138">
        <f t="shared" si="109"/>
        <v>25965392.674239106</v>
      </c>
      <c r="Q230" s="138">
        <f t="shared" si="110"/>
        <v>25486573.229670089</v>
      </c>
      <c r="S230" s="43">
        <f t="shared" si="111"/>
        <v>25486573.229670089</v>
      </c>
      <c r="T230" s="38">
        <f t="shared" si="112"/>
        <v>28.5</v>
      </c>
      <c r="V230" s="43">
        <f t="shared" si="113"/>
        <v>1046290.901007509</v>
      </c>
      <c r="W230" s="43">
        <f t="shared" si="113"/>
        <v>998565.35113699094</v>
      </c>
      <c r="X230" s="43">
        <f t="shared" si="100"/>
        <v>953016.75617284758</v>
      </c>
      <c r="Y230" s="43">
        <f t="shared" si="100"/>
        <v>909545.81641759491</v>
      </c>
      <c r="Z230" s="43">
        <f t="shared" si="100"/>
        <v>868057.76163363445</v>
      </c>
      <c r="AB230" s="43">
        <f t="shared" si="114"/>
        <v>89426.572735684531</v>
      </c>
      <c r="AC230" s="43">
        <f t="shared" si="114"/>
        <v>89426.572735684531</v>
      </c>
      <c r="AD230" s="43">
        <f t="shared" si="101"/>
        <v>89426.572735684531</v>
      </c>
      <c r="AE230" s="43">
        <f t="shared" si="101"/>
        <v>89426.572735684531</v>
      </c>
      <c r="AF230" s="43">
        <f t="shared" si="101"/>
        <v>89426.572735684531</v>
      </c>
      <c r="AH230" s="43">
        <f t="shared" si="115"/>
        <v>1135717.4737431936</v>
      </c>
      <c r="AI230" s="43">
        <f t="shared" si="116"/>
        <v>1087991.9238726755</v>
      </c>
      <c r="AJ230" s="43">
        <f t="shared" si="117"/>
        <v>1042443.3289085322</v>
      </c>
      <c r="AK230" s="43">
        <f t="shared" si="118"/>
        <v>998972.38915327948</v>
      </c>
      <c r="AL230" s="43">
        <f t="shared" si="119"/>
        <v>957484.33436931903</v>
      </c>
      <c r="AN230" s="43">
        <f t="shared" si="103"/>
        <v>24350855.755926896</v>
      </c>
      <c r="AO230" s="43">
        <f t="shared" si="120"/>
        <v>23262863.83205422</v>
      </c>
      <c r="AP230" s="43">
        <f t="shared" si="121"/>
        <v>22220420.503145687</v>
      </c>
      <c r="AQ230" s="43">
        <f t="shared" si="122"/>
        <v>21221448.113992408</v>
      </c>
      <c r="AR230" s="43">
        <f t="shared" si="123"/>
        <v>20263963.779623087</v>
      </c>
      <c r="AT230" s="43">
        <f t="shared" si="124"/>
        <v>271744.30180411914</v>
      </c>
      <c r="AU230" s="43">
        <f t="shared" si="105"/>
        <v>287438.07872191066</v>
      </c>
      <c r="AV230" s="43">
        <f t="shared" si="105"/>
        <v>309191.39251958492</v>
      </c>
      <c r="AW230" s="43">
        <f t="shared" si="105"/>
        <v>316577.35650409281</v>
      </c>
      <c r="AX230" s="43">
        <f t="shared" si="105"/>
        <v>320671.33487840369</v>
      </c>
      <c r="AZ230" s="47">
        <f t="shared" si="125"/>
        <v>2235390.8712488273</v>
      </c>
      <c r="BA230" s="47">
        <f t="shared" si="126"/>
        <v>2143104.5090523753</v>
      </c>
      <c r="BB230" s="47">
        <f t="shared" si="127"/>
        <v>2196010.7005476533</v>
      </c>
      <c r="BC230" s="47">
        <f t="shared" si="128"/>
        <v>2121964.7739890837</v>
      </c>
      <c r="BD230" s="47">
        <f t="shared" si="129"/>
        <v>2048186.2928734</v>
      </c>
    </row>
    <row r="231" spans="2:56">
      <c r="B231" s="37">
        <f>'12. Investeringen (bijschatten)'!B34</f>
        <v>15</v>
      </c>
      <c r="C231" s="48"/>
      <c r="E231" s="48"/>
      <c r="F231" s="169">
        <f>'12. Investeringen (bijschatten)'!C34</f>
        <v>756400.94229177735</v>
      </c>
      <c r="H231" s="37">
        <f>'12. Investeringen (bijschatten)'!D34</f>
        <v>2020</v>
      </c>
      <c r="I231" s="37" t="str">
        <f>'12. Investeringen (bijschatten)'!E34</f>
        <v>20 Kantoorgebouwen</v>
      </c>
      <c r="J231" s="169">
        <f>_xlfn.XLOOKUP(I231,'3. Input (des)investeringen '!$B$11:$B$81,'3. Input (des)investeringen '!$D$11:$D$81)</f>
        <v>30</v>
      </c>
      <c r="K231" s="155"/>
      <c r="L231" s="155"/>
      <c r="M231" s="43">
        <f t="shared" si="107"/>
        <v>12606.682371529623</v>
      </c>
      <c r="N231" s="43">
        <f t="shared" si="108"/>
        <v>25616.77857894819</v>
      </c>
      <c r="P231" s="138">
        <f t="shared" si="109"/>
        <v>743794.25992024771</v>
      </c>
      <c r="Q231" s="138">
        <f t="shared" si="110"/>
        <v>730078.18950002349</v>
      </c>
      <c r="S231" s="43">
        <f t="shared" si="111"/>
        <v>730078.18950002349</v>
      </c>
      <c r="T231" s="38">
        <f t="shared" si="112"/>
        <v>28.5</v>
      </c>
      <c r="V231" s="43">
        <f t="shared" si="113"/>
        <v>29971.630937369388</v>
      </c>
      <c r="W231" s="43">
        <f t="shared" si="113"/>
        <v>28604.503912156048</v>
      </c>
      <c r="X231" s="43">
        <f t="shared" si="100"/>
        <v>27299.737067040154</v>
      </c>
      <c r="Y231" s="43">
        <f t="shared" si="100"/>
        <v>26054.485902578672</v>
      </c>
      <c r="Z231" s="43">
        <f t="shared" si="100"/>
        <v>24866.03566842596</v>
      </c>
      <c r="AB231" s="43">
        <f t="shared" si="114"/>
        <v>2561.6778578948197</v>
      </c>
      <c r="AC231" s="43">
        <f t="shared" si="114"/>
        <v>2561.6778578948197</v>
      </c>
      <c r="AD231" s="43">
        <f t="shared" si="101"/>
        <v>2561.6778578948197</v>
      </c>
      <c r="AE231" s="43">
        <f t="shared" si="101"/>
        <v>2561.6778578948197</v>
      </c>
      <c r="AF231" s="43">
        <f t="shared" si="101"/>
        <v>2561.6778578948197</v>
      </c>
      <c r="AH231" s="43">
        <f t="shared" si="115"/>
        <v>32533.308795264209</v>
      </c>
      <c r="AI231" s="43">
        <f t="shared" si="116"/>
        <v>31166.181770050869</v>
      </c>
      <c r="AJ231" s="43">
        <f t="shared" si="117"/>
        <v>29861.414924934972</v>
      </c>
      <c r="AK231" s="43">
        <f t="shared" si="118"/>
        <v>28616.163760473493</v>
      </c>
      <c r="AL231" s="43">
        <f t="shared" si="119"/>
        <v>27427.713526320782</v>
      </c>
      <c r="AN231" s="43">
        <f t="shared" si="103"/>
        <v>697544.88070475927</v>
      </c>
      <c r="AO231" s="43">
        <f t="shared" si="120"/>
        <v>666378.69893470837</v>
      </c>
      <c r="AP231" s="43">
        <f t="shared" si="121"/>
        <v>636517.2840097734</v>
      </c>
      <c r="AQ231" s="43">
        <f t="shared" si="122"/>
        <v>607901.12024929991</v>
      </c>
      <c r="AR231" s="43">
        <f t="shared" si="123"/>
        <v>580473.40672297915</v>
      </c>
      <c r="AT231" s="43">
        <f t="shared" si="124"/>
        <v>7784.2786505774366</v>
      </c>
      <c r="AU231" s="43">
        <f t="shared" si="105"/>
        <v>8233.8363112055868</v>
      </c>
      <c r="AV231" s="43">
        <f t="shared" si="105"/>
        <v>8856.9730432376236</v>
      </c>
      <c r="AW231" s="43">
        <f t="shared" si="105"/>
        <v>9068.5484152944846</v>
      </c>
      <c r="AX231" s="43">
        <f t="shared" si="105"/>
        <v>9185.8228834010733</v>
      </c>
      <c r="AZ231" s="47">
        <f t="shared" si="125"/>
        <v>64034.11338980346</v>
      </c>
      <c r="BA231" s="47">
        <f t="shared" si="126"/>
        <v>61390.515146101832</v>
      </c>
      <c r="BB231" s="47">
        <f t="shared" si="127"/>
        <v>62906.044760543984</v>
      </c>
      <c r="BC231" s="47">
        <f t="shared" si="128"/>
        <v>60784.954745241375</v>
      </c>
      <c r="BD231" s="47">
        <f t="shared" si="129"/>
        <v>58671.525865195064</v>
      </c>
    </row>
    <row r="232" spans="2:56">
      <c r="B232" s="37">
        <f>'12. Investeringen (bijschatten)'!B35</f>
        <v>16</v>
      </c>
      <c r="C232" s="48"/>
      <c r="E232" s="48"/>
      <c r="F232" s="169">
        <f>'12. Investeringen (bijschatten)'!C35</f>
        <v>12922329.119819744</v>
      </c>
      <c r="H232" s="37">
        <f>'12. Investeringen (bijschatten)'!D35</f>
        <v>2020</v>
      </c>
      <c r="I232" s="37" t="str">
        <f>'12. Investeringen (bijschatten)'!E35</f>
        <v>21 Hoofdtransportleiding</v>
      </c>
      <c r="J232" s="169">
        <f>_xlfn.XLOOKUP(I232,'3. Input (des)investeringen '!$B$11:$B$81,'3. Input (des)investeringen '!$D$11:$D$81)</f>
        <v>55</v>
      </c>
      <c r="K232" s="155"/>
      <c r="L232" s="155"/>
      <c r="M232" s="43">
        <f t="shared" si="107"/>
        <v>117475.71927108857</v>
      </c>
      <c r="N232" s="43">
        <f t="shared" si="108"/>
        <v>238710.66155885201</v>
      </c>
      <c r="P232" s="138">
        <f t="shared" si="109"/>
        <v>12804853.400548656</v>
      </c>
      <c r="Q232" s="138">
        <f t="shared" si="110"/>
        <v>12771020.393398583</v>
      </c>
      <c r="S232" s="43">
        <f t="shared" si="111"/>
        <v>12771020.393398583</v>
      </c>
      <c r="T232" s="38">
        <f t="shared" si="112"/>
        <v>53.5</v>
      </c>
      <c r="V232" s="43">
        <f t="shared" si="113"/>
        <v>279291.47402385686</v>
      </c>
      <c r="W232" s="43">
        <f t="shared" si="113"/>
        <v>272504.95222514635</v>
      </c>
      <c r="X232" s="43">
        <f t="shared" si="100"/>
        <v>265883.33656360075</v>
      </c>
      <c r="Y232" s="43">
        <f t="shared" si="100"/>
        <v>259422.61997420483</v>
      </c>
      <c r="Z232" s="43">
        <f t="shared" si="100"/>
        <v>253118.89275987836</v>
      </c>
      <c r="AB232" s="43">
        <f t="shared" si="114"/>
        <v>23871.066155885204</v>
      </c>
      <c r="AC232" s="43">
        <f t="shared" si="114"/>
        <v>23871.066155885204</v>
      </c>
      <c r="AD232" s="43">
        <f t="shared" si="101"/>
        <v>23871.066155885204</v>
      </c>
      <c r="AE232" s="43">
        <f t="shared" si="101"/>
        <v>23871.066155885204</v>
      </c>
      <c r="AF232" s="43">
        <f t="shared" si="101"/>
        <v>23871.066155885204</v>
      </c>
      <c r="AH232" s="43">
        <f t="shared" si="115"/>
        <v>303162.54017974209</v>
      </c>
      <c r="AI232" s="43">
        <f t="shared" si="116"/>
        <v>296376.01838103158</v>
      </c>
      <c r="AJ232" s="43">
        <f t="shared" si="117"/>
        <v>289754.40271948598</v>
      </c>
      <c r="AK232" s="43">
        <f t="shared" si="118"/>
        <v>283293.68613009003</v>
      </c>
      <c r="AL232" s="43">
        <f t="shared" si="119"/>
        <v>276989.95891576359</v>
      </c>
      <c r="AN232" s="43">
        <f t="shared" si="103"/>
        <v>12467857.85321884</v>
      </c>
      <c r="AO232" s="43">
        <f t="shared" si="120"/>
        <v>12171481.834837809</v>
      </c>
      <c r="AP232" s="43">
        <f t="shared" si="121"/>
        <v>11881727.432118323</v>
      </c>
      <c r="AQ232" s="43">
        <f t="shared" si="122"/>
        <v>11598433.745988233</v>
      </c>
      <c r="AR232" s="43">
        <f t="shared" si="123"/>
        <v>11321443.787072469</v>
      </c>
      <c r="AT232" s="43">
        <f t="shared" si="124"/>
        <v>132986.36352616485</v>
      </c>
      <c r="AU232" s="43">
        <f t="shared" si="105"/>
        <v>140666.59199252794</v>
      </c>
      <c r="AV232" s="43">
        <f t="shared" si="105"/>
        <v>151312.23967452248</v>
      </c>
      <c r="AW232" s="43">
        <f t="shared" si="105"/>
        <v>154926.78645586746</v>
      </c>
      <c r="AX232" s="43">
        <f t="shared" si="105"/>
        <v>156930.29965831473</v>
      </c>
      <c r="AZ232" s="47">
        <f t="shared" si="125"/>
        <v>860056.07071534754</v>
      </c>
      <c r="BA232" s="47">
        <f t="shared" si="126"/>
        <v>838701.51092320727</v>
      </c>
      <c r="BB232" s="47">
        <f t="shared" si="127"/>
        <v>892572.28481450467</v>
      </c>
      <c r="BC232" s="47">
        <f t="shared" si="128"/>
        <v>878960.95493351028</v>
      </c>
      <c r="BD232" s="47">
        <f t="shared" si="129"/>
        <v>864135.12248283206</v>
      </c>
    </row>
    <row r="233" spans="2:56">
      <c r="B233" s="37">
        <f>'12. Investeringen (bijschatten)'!B36</f>
        <v>17</v>
      </c>
      <c r="C233" s="48"/>
      <c r="E233" s="48"/>
      <c r="F233" s="169">
        <f>'12. Investeringen (bijschatten)'!C36</f>
        <v>686952.98173478153</v>
      </c>
      <c r="H233" s="37">
        <f>'12. Investeringen (bijschatten)'!D36</f>
        <v>2020</v>
      </c>
      <c r="I233" s="37" t="str">
        <f>'12. Investeringen (bijschatten)'!E36</f>
        <v>32 M&amp;R stations</v>
      </c>
      <c r="J233" s="169">
        <f>_xlfn.XLOOKUP(I233,'3. Input (des)investeringen '!$B$11:$B$81,'3. Input (des)investeringen '!$D$11:$D$81)</f>
        <v>30</v>
      </c>
      <c r="K233" s="155"/>
      <c r="L233" s="155"/>
      <c r="M233" s="43">
        <f t="shared" si="107"/>
        <v>11449.216362246359</v>
      </c>
      <c r="N233" s="43">
        <f t="shared" si="108"/>
        <v>23264.807648084603</v>
      </c>
      <c r="P233" s="138">
        <f t="shared" si="109"/>
        <v>675503.76537253521</v>
      </c>
      <c r="Q233" s="138">
        <f t="shared" si="110"/>
        <v>663047.01797041122</v>
      </c>
      <c r="S233" s="43">
        <f t="shared" si="111"/>
        <v>663047.01797041122</v>
      </c>
      <c r="T233" s="38">
        <f t="shared" si="112"/>
        <v>28.5</v>
      </c>
      <c r="V233" s="43">
        <f t="shared" si="113"/>
        <v>27219.824948258989</v>
      </c>
      <c r="W233" s="43">
        <f t="shared" si="113"/>
        <v>25978.218897987525</v>
      </c>
      <c r="X233" s="43">
        <f t="shared" si="113"/>
        <v>24793.247509658268</v>
      </c>
      <c r="Y233" s="43">
        <f t="shared" si="113"/>
        <v>23662.327447814208</v>
      </c>
      <c r="Z233" s="43">
        <f t="shared" si="113"/>
        <v>22582.993213352507</v>
      </c>
      <c r="AB233" s="43">
        <f t="shared" si="114"/>
        <v>2326.4807648084607</v>
      </c>
      <c r="AC233" s="43">
        <f t="shared" si="114"/>
        <v>2326.4807648084607</v>
      </c>
      <c r="AD233" s="43">
        <f t="shared" si="114"/>
        <v>2326.4807648084607</v>
      </c>
      <c r="AE233" s="43">
        <f t="shared" si="114"/>
        <v>2326.4807648084607</v>
      </c>
      <c r="AF233" s="43">
        <f t="shared" si="114"/>
        <v>2326.4807648084607</v>
      </c>
      <c r="AH233" s="43">
        <f t="shared" si="115"/>
        <v>29546.30571306745</v>
      </c>
      <c r="AI233" s="43">
        <f t="shared" si="116"/>
        <v>28304.699662795985</v>
      </c>
      <c r="AJ233" s="43">
        <f t="shared" si="117"/>
        <v>27119.728274466728</v>
      </c>
      <c r="AK233" s="43">
        <f t="shared" si="118"/>
        <v>25988.808212622669</v>
      </c>
      <c r="AL233" s="43">
        <f t="shared" si="119"/>
        <v>24909.473978160968</v>
      </c>
      <c r="AN233" s="43">
        <f t="shared" si="103"/>
        <v>633500.71225734381</v>
      </c>
      <c r="AO233" s="43">
        <f t="shared" si="120"/>
        <v>605196.01259454782</v>
      </c>
      <c r="AP233" s="43">
        <f t="shared" si="121"/>
        <v>578076.28432008112</v>
      </c>
      <c r="AQ233" s="43">
        <f t="shared" si="122"/>
        <v>552087.47610745847</v>
      </c>
      <c r="AR233" s="43">
        <f t="shared" si="123"/>
        <v>527178.00212929747</v>
      </c>
      <c r="AT233" s="43">
        <f t="shared" si="124"/>
        <v>7069.5753147354353</v>
      </c>
      <c r="AU233" s="43">
        <f t="shared" si="124"/>
        <v>7477.8574283120361</v>
      </c>
      <c r="AV233" s="43">
        <f t="shared" si="124"/>
        <v>8043.7816784866936</v>
      </c>
      <c r="AW233" s="43">
        <f t="shared" si="124"/>
        <v>8235.9315352223821</v>
      </c>
      <c r="AX233" s="43">
        <f t="shared" si="124"/>
        <v>8342.4386018358782</v>
      </c>
      <c r="AZ233" s="47">
        <f t="shared" si="125"/>
        <v>58154.905244552574</v>
      </c>
      <c r="BA233" s="47">
        <f t="shared" si="126"/>
        <v>55754.025506728096</v>
      </c>
      <c r="BB233" s="47">
        <f t="shared" si="127"/>
        <v>57130.408757116507</v>
      </c>
      <c r="BC233" s="47">
        <f t="shared" si="128"/>
        <v>55204.063839928465</v>
      </c>
      <c r="BD233" s="47">
        <f t="shared" si="129"/>
        <v>53284.676660910147</v>
      </c>
    </row>
    <row r="234" spans="2:56">
      <c r="B234" s="37">
        <f>'12. Investeringen (bijschatten)'!B37</f>
        <v>18</v>
      </c>
      <c r="C234" s="48"/>
      <c r="E234" s="48"/>
      <c r="F234" s="169">
        <f>'12. Investeringen (bijschatten)'!C37</f>
        <v>975839.82625029294</v>
      </c>
      <c r="H234" s="37">
        <f>'12. Investeringen (bijschatten)'!D37</f>
        <v>2020</v>
      </c>
      <c r="I234" s="37" t="str">
        <f>'12. Investeringen (bijschatten)'!E37</f>
        <v>33 Exportstations</v>
      </c>
      <c r="J234" s="169">
        <f>_xlfn.XLOOKUP(I234,'3. Input (des)investeringen '!$B$11:$B$81,'3. Input (des)investeringen '!$D$11:$D$81)</f>
        <v>30</v>
      </c>
      <c r="K234" s="155"/>
      <c r="L234" s="155"/>
      <c r="M234" s="43">
        <f t="shared" si="107"/>
        <v>16263.997104171549</v>
      </c>
      <c r="N234" s="43">
        <f t="shared" si="108"/>
        <v>33048.442115676589</v>
      </c>
      <c r="P234" s="138">
        <f t="shared" si="109"/>
        <v>959575.8291461214</v>
      </c>
      <c r="Q234" s="138">
        <f t="shared" si="110"/>
        <v>941880.6002967828</v>
      </c>
      <c r="S234" s="43">
        <f t="shared" si="111"/>
        <v>941880.6002967828</v>
      </c>
      <c r="T234" s="38">
        <f t="shared" si="112"/>
        <v>28.5</v>
      </c>
      <c r="V234" s="43">
        <f t="shared" si="113"/>
        <v>38666.677275341615</v>
      </c>
      <c r="W234" s="43">
        <f t="shared" si="113"/>
        <v>36902.934101378662</v>
      </c>
      <c r="X234" s="43">
        <f t="shared" si="113"/>
        <v>35219.642370438582</v>
      </c>
      <c r="Y234" s="43">
        <f t="shared" si="113"/>
        <v>33613.132367576472</v>
      </c>
      <c r="Z234" s="43">
        <f t="shared" si="113"/>
        <v>32079.901768353688</v>
      </c>
      <c r="AB234" s="43">
        <f t="shared" si="114"/>
        <v>3304.8442115676589</v>
      </c>
      <c r="AC234" s="43">
        <f t="shared" si="114"/>
        <v>3304.8442115676589</v>
      </c>
      <c r="AD234" s="43">
        <f t="shared" si="114"/>
        <v>3304.8442115676589</v>
      </c>
      <c r="AE234" s="43">
        <f t="shared" si="114"/>
        <v>3304.8442115676589</v>
      </c>
      <c r="AF234" s="43">
        <f t="shared" si="114"/>
        <v>3304.8442115676589</v>
      </c>
      <c r="AH234" s="43">
        <f t="shared" si="115"/>
        <v>41971.521486909274</v>
      </c>
      <c r="AI234" s="43">
        <f t="shared" si="116"/>
        <v>40207.778312946321</v>
      </c>
      <c r="AJ234" s="43">
        <f t="shared" si="117"/>
        <v>38524.48658200624</v>
      </c>
      <c r="AK234" s="43">
        <f t="shared" si="118"/>
        <v>36917.976579144131</v>
      </c>
      <c r="AL234" s="43">
        <f t="shared" si="119"/>
        <v>35384.745979921347</v>
      </c>
      <c r="AN234" s="43">
        <f t="shared" si="103"/>
        <v>899909.07880987355</v>
      </c>
      <c r="AO234" s="43">
        <f t="shared" si="120"/>
        <v>859701.30049692723</v>
      </c>
      <c r="AP234" s="43">
        <f t="shared" si="121"/>
        <v>821176.81391492102</v>
      </c>
      <c r="AQ234" s="43">
        <f t="shared" si="122"/>
        <v>784258.83733577689</v>
      </c>
      <c r="AR234" s="43">
        <f t="shared" si="123"/>
        <v>748874.09135585558</v>
      </c>
      <c r="AT234" s="43">
        <f t="shared" si="124"/>
        <v>10042.569622993882</v>
      </c>
      <c r="AU234" s="43">
        <f t="shared" si="124"/>
        <v>10622.548103861025</v>
      </c>
      <c r="AV234" s="43">
        <f t="shared" si="124"/>
        <v>11426.462544361228</v>
      </c>
      <c r="AW234" s="43">
        <f t="shared" si="124"/>
        <v>11699.41788162093</v>
      </c>
      <c r="AX234" s="43">
        <f t="shared" si="124"/>
        <v>11850.71475366605</v>
      </c>
      <c r="AZ234" s="47">
        <f t="shared" si="125"/>
        <v>82610.999789438851</v>
      </c>
      <c r="BA234" s="47">
        <f t="shared" si="126"/>
        <v>79200.469333205954</v>
      </c>
      <c r="BB234" s="47">
        <f t="shared" si="127"/>
        <v>81155.668055134462</v>
      </c>
      <c r="BC234" s="47">
        <f t="shared" si="128"/>
        <v>78419.230279524578</v>
      </c>
      <c r="BD234" s="47">
        <f t="shared" si="129"/>
        <v>75692.676205109907</v>
      </c>
    </row>
    <row r="235" spans="2:56">
      <c r="B235" s="37">
        <f>'12. Investeringen (bijschatten)'!B38</f>
        <v>19</v>
      </c>
      <c r="C235" s="48"/>
      <c r="E235" s="48"/>
      <c r="F235" s="169">
        <f>'12. Investeringen (bijschatten)'!C38</f>
        <v>31012.676750044764</v>
      </c>
      <c r="H235" s="37">
        <f>'12. Investeringen (bijschatten)'!D38</f>
        <v>2020</v>
      </c>
      <c r="I235" s="37" t="str">
        <f>'12. Investeringen (bijschatten)'!E38</f>
        <v>34 Reduceerstations</v>
      </c>
      <c r="J235" s="169">
        <f>_xlfn.XLOOKUP(I235,'3. Input (des)investeringen '!$B$11:$B$81,'3. Input (des)investeringen '!$D$11:$D$81)</f>
        <v>30</v>
      </c>
      <c r="K235" s="155"/>
      <c r="L235" s="155"/>
      <c r="M235" s="43">
        <f t="shared" si="107"/>
        <v>516.87794583407936</v>
      </c>
      <c r="N235" s="43">
        <f t="shared" si="108"/>
        <v>1050.2959859348493</v>
      </c>
      <c r="P235" s="138">
        <f t="shared" si="109"/>
        <v>30495.798804210684</v>
      </c>
      <c r="Q235" s="138">
        <f t="shared" si="110"/>
        <v>29933.435599143206</v>
      </c>
      <c r="S235" s="43">
        <f t="shared" si="111"/>
        <v>29933.435599143206</v>
      </c>
      <c r="T235" s="38">
        <f t="shared" si="112"/>
        <v>28.5</v>
      </c>
      <c r="V235" s="43">
        <f t="shared" si="113"/>
        <v>1228.8463035437737</v>
      </c>
      <c r="W235" s="43">
        <f t="shared" si="113"/>
        <v>1172.7936651365139</v>
      </c>
      <c r="X235" s="43">
        <f t="shared" si="113"/>
        <v>1119.2978137443222</v>
      </c>
      <c r="Y235" s="43">
        <f t="shared" si="113"/>
        <v>1068.2421239945811</v>
      </c>
      <c r="Z235" s="43">
        <f t="shared" si="113"/>
        <v>1019.5152902685127</v>
      </c>
      <c r="AB235" s="43">
        <f t="shared" si="114"/>
        <v>105.02959859348495</v>
      </c>
      <c r="AC235" s="43">
        <f t="shared" si="114"/>
        <v>105.02959859348495</v>
      </c>
      <c r="AD235" s="43">
        <f t="shared" si="114"/>
        <v>105.02959859348495</v>
      </c>
      <c r="AE235" s="43">
        <f t="shared" si="114"/>
        <v>105.02959859348495</v>
      </c>
      <c r="AF235" s="43">
        <f t="shared" si="114"/>
        <v>105.02959859348495</v>
      </c>
      <c r="AH235" s="43">
        <f t="shared" si="115"/>
        <v>1333.8759021372587</v>
      </c>
      <c r="AI235" s="43">
        <f t="shared" si="116"/>
        <v>1277.8232637299989</v>
      </c>
      <c r="AJ235" s="43">
        <f t="shared" si="117"/>
        <v>1224.3274123378071</v>
      </c>
      <c r="AK235" s="43">
        <f t="shared" si="118"/>
        <v>1173.271722588066</v>
      </c>
      <c r="AL235" s="43">
        <f t="shared" si="119"/>
        <v>1124.5448888619976</v>
      </c>
      <c r="AN235" s="43">
        <f t="shared" si="103"/>
        <v>28599.559697005949</v>
      </c>
      <c r="AO235" s="43">
        <f t="shared" si="120"/>
        <v>27321.73643327595</v>
      </c>
      <c r="AP235" s="43">
        <f t="shared" si="121"/>
        <v>26097.409020938143</v>
      </c>
      <c r="AQ235" s="43">
        <f t="shared" si="122"/>
        <v>24924.137298350077</v>
      </c>
      <c r="AR235" s="43">
        <f t="shared" si="123"/>
        <v>23799.592409488079</v>
      </c>
      <c r="AT235" s="43">
        <f t="shared" si="124"/>
        <v>319.15787517555697</v>
      </c>
      <c r="AU235" s="43">
        <f t="shared" si="124"/>
        <v>337.58988078269567</v>
      </c>
      <c r="AV235" s="43">
        <f t="shared" si="124"/>
        <v>363.13868296033019</v>
      </c>
      <c r="AW235" s="43">
        <f t="shared" si="124"/>
        <v>371.8133398188865</v>
      </c>
      <c r="AX235" s="43">
        <f t="shared" si="124"/>
        <v>376.62162992942433</v>
      </c>
      <c r="AZ235" s="47">
        <f t="shared" si="125"/>
        <v>2625.4188070110176</v>
      </c>
      <c r="BA235" s="47">
        <f t="shared" si="126"/>
        <v>2517.0304468108011</v>
      </c>
      <c r="BB235" s="47">
        <f t="shared" si="127"/>
        <v>2579.1676380937865</v>
      </c>
      <c r="BC235" s="47">
        <f t="shared" si="128"/>
        <v>2492.2022797442555</v>
      </c>
      <c r="BD235" s="47">
        <f t="shared" si="129"/>
        <v>2405.5510303519691</v>
      </c>
    </row>
    <row r="236" spans="2:56">
      <c r="B236" s="37">
        <f>'12. Investeringen (bijschatten)'!B39</f>
        <v>20</v>
      </c>
      <c r="C236" s="48"/>
      <c r="E236" s="48"/>
      <c r="F236" s="169">
        <f>'12. Investeringen (bijschatten)'!C39</f>
        <v>12132.747993912169</v>
      </c>
      <c r="H236" s="37">
        <f>'12. Investeringen (bijschatten)'!D39</f>
        <v>2020</v>
      </c>
      <c r="I236" s="37" t="str">
        <f>'12. Investeringen (bijschatten)'!E39</f>
        <v>35 Injectiestations</v>
      </c>
      <c r="J236" s="169">
        <f>_xlfn.XLOOKUP(I236,'3. Input (des)investeringen '!$B$11:$B$81,'3. Input (des)investeringen '!$D$11:$D$81)</f>
        <v>30</v>
      </c>
      <c r="K236" s="155"/>
      <c r="L236" s="155"/>
      <c r="M236" s="43">
        <f t="shared" si="107"/>
        <v>202.21246656520282</v>
      </c>
      <c r="N236" s="43">
        <f t="shared" si="108"/>
        <v>410.89573206049215</v>
      </c>
      <c r="P236" s="138">
        <f t="shared" si="109"/>
        <v>11930.535527346967</v>
      </c>
      <c r="Q236" s="138">
        <f t="shared" si="110"/>
        <v>11710.528363724026</v>
      </c>
      <c r="S236" s="43">
        <f t="shared" si="111"/>
        <v>11710.528363724026</v>
      </c>
      <c r="T236" s="38">
        <f t="shared" si="112"/>
        <v>28.5</v>
      </c>
      <c r="V236" s="43">
        <f t="shared" si="113"/>
        <v>480.74800651077584</v>
      </c>
      <c r="W236" s="43">
        <f t="shared" si="113"/>
        <v>458.81915007344224</v>
      </c>
      <c r="X236" s="43">
        <f t="shared" si="113"/>
        <v>437.89055726307464</v>
      </c>
      <c r="Y236" s="43">
        <f t="shared" si="113"/>
        <v>417.91660201949583</v>
      </c>
      <c r="Z236" s="43">
        <f t="shared" si="113"/>
        <v>398.85373947123816</v>
      </c>
      <c r="AB236" s="43">
        <f t="shared" si="114"/>
        <v>41.089573206049216</v>
      </c>
      <c r="AC236" s="43">
        <f t="shared" si="114"/>
        <v>41.089573206049216</v>
      </c>
      <c r="AD236" s="43">
        <f t="shared" si="114"/>
        <v>41.089573206049216</v>
      </c>
      <c r="AE236" s="43">
        <f t="shared" si="114"/>
        <v>41.089573206049216</v>
      </c>
      <c r="AF236" s="43">
        <f t="shared" si="114"/>
        <v>41.089573206049216</v>
      </c>
      <c r="AH236" s="43">
        <f t="shared" si="115"/>
        <v>521.83757971682508</v>
      </c>
      <c r="AI236" s="43">
        <f t="shared" si="116"/>
        <v>499.90872327949148</v>
      </c>
      <c r="AJ236" s="43">
        <f t="shared" si="117"/>
        <v>478.98013046912388</v>
      </c>
      <c r="AK236" s="43">
        <f t="shared" si="118"/>
        <v>459.00617522554506</v>
      </c>
      <c r="AL236" s="43">
        <f t="shared" si="119"/>
        <v>439.94331267728739</v>
      </c>
      <c r="AN236" s="43">
        <f t="shared" si="103"/>
        <v>11188.690784007202</v>
      </c>
      <c r="AO236" s="43">
        <f t="shared" si="120"/>
        <v>10688.78206072771</v>
      </c>
      <c r="AP236" s="43">
        <f t="shared" si="121"/>
        <v>10209.801930258585</v>
      </c>
      <c r="AQ236" s="43">
        <f t="shared" si="122"/>
        <v>9750.7957550330411</v>
      </c>
      <c r="AR236" s="43">
        <f t="shared" si="123"/>
        <v>9310.8524423557537</v>
      </c>
      <c r="AT236" s="43">
        <f t="shared" si="124"/>
        <v>124.86062073864423</v>
      </c>
      <c r="AU236" s="43">
        <f t="shared" si="124"/>
        <v>132.07157130754243</v>
      </c>
      <c r="AV236" s="43">
        <f t="shared" si="124"/>
        <v>142.06674782409723</v>
      </c>
      <c r="AW236" s="43">
        <f t="shared" si="124"/>
        <v>145.46043829611929</v>
      </c>
      <c r="AX236" s="43">
        <f t="shared" si="124"/>
        <v>147.34153268416469</v>
      </c>
      <c r="AZ236" s="47">
        <f t="shared" si="125"/>
        <v>1027.1136871117142</v>
      </c>
      <c r="BA236" s="47">
        <f t="shared" si="126"/>
        <v>984.71010259104833</v>
      </c>
      <c r="BB236" s="47">
        <f t="shared" si="127"/>
        <v>1009.0193516430473</v>
      </c>
      <c r="BC236" s="47">
        <f t="shared" si="128"/>
        <v>974.99685221291986</v>
      </c>
      <c r="BD236" s="47">
        <f t="shared" si="129"/>
        <v>941.09723817097074</v>
      </c>
    </row>
    <row r="237" spans="2:56">
      <c r="B237" s="37">
        <f>'12. Investeringen (bijschatten)'!B40</f>
        <v>21</v>
      </c>
      <c r="C237" s="48"/>
      <c r="E237" s="48"/>
      <c r="F237" s="169">
        <f>'12. Investeringen (bijschatten)'!C40</f>
        <v>6654019.8779814392</v>
      </c>
      <c r="H237" s="37">
        <f>'12. Investeringen (bijschatten)'!D40</f>
        <v>2020</v>
      </c>
      <c r="I237" s="37" t="str">
        <f>'12. Investeringen (bijschatten)'!E40</f>
        <v>36 Luchtscheidingsunit</v>
      </c>
      <c r="J237" s="169">
        <f>_xlfn.XLOOKUP(I237,'3. Input (des)investeringen '!$B$11:$B$81,'3. Input (des)investeringen '!$D$11:$D$81)</f>
        <v>30</v>
      </c>
      <c r="K237" s="155"/>
      <c r="L237" s="155"/>
      <c r="M237" s="43">
        <f t="shared" si="107"/>
        <v>110900.33129969066</v>
      </c>
      <c r="N237" s="43">
        <f t="shared" si="108"/>
        <v>225349.47320097144</v>
      </c>
      <c r="P237" s="138">
        <f t="shared" si="109"/>
        <v>6543119.5466817487</v>
      </c>
      <c r="Q237" s="138">
        <f t="shared" si="110"/>
        <v>6422459.9862276856</v>
      </c>
      <c r="S237" s="43">
        <f t="shared" si="111"/>
        <v>6422459.9862276856</v>
      </c>
      <c r="T237" s="38">
        <f t="shared" si="112"/>
        <v>28.5</v>
      </c>
      <c r="V237" s="43">
        <f t="shared" si="113"/>
        <v>263658.88364513661</v>
      </c>
      <c r="W237" s="43">
        <f t="shared" si="113"/>
        <v>251632.33807535842</v>
      </c>
      <c r="X237" s="43">
        <f t="shared" si="113"/>
        <v>240154.37177718416</v>
      </c>
      <c r="Y237" s="43">
        <f t="shared" si="113"/>
        <v>229199.96183647049</v>
      </c>
      <c r="Z237" s="43">
        <f t="shared" si="113"/>
        <v>218745.2267351578</v>
      </c>
      <c r="AB237" s="43">
        <f t="shared" si="114"/>
        <v>22534.947320097141</v>
      </c>
      <c r="AC237" s="43">
        <f t="shared" si="114"/>
        <v>22534.947320097144</v>
      </c>
      <c r="AD237" s="43">
        <f t="shared" si="114"/>
        <v>22534.947320097144</v>
      </c>
      <c r="AE237" s="43">
        <f t="shared" si="114"/>
        <v>22534.947320097144</v>
      </c>
      <c r="AF237" s="43">
        <f t="shared" si="114"/>
        <v>22534.947320097144</v>
      </c>
      <c r="AH237" s="43">
        <f t="shared" si="115"/>
        <v>286193.83096523373</v>
      </c>
      <c r="AI237" s="43">
        <f t="shared" si="116"/>
        <v>274167.28539545555</v>
      </c>
      <c r="AJ237" s="43">
        <f t="shared" si="117"/>
        <v>262689.31909728132</v>
      </c>
      <c r="AK237" s="43">
        <f t="shared" si="118"/>
        <v>251734.90915656765</v>
      </c>
      <c r="AL237" s="43">
        <f t="shared" si="119"/>
        <v>241280.17405525496</v>
      </c>
      <c r="AN237" s="43">
        <f t="shared" si="103"/>
        <v>6136266.1552624516</v>
      </c>
      <c r="AO237" s="43">
        <f t="shared" si="120"/>
        <v>5862098.8698669961</v>
      </c>
      <c r="AP237" s="43">
        <f t="shared" si="121"/>
        <v>5599409.5507697146</v>
      </c>
      <c r="AQ237" s="43">
        <f t="shared" si="122"/>
        <v>5347674.6416131472</v>
      </c>
      <c r="AR237" s="43">
        <f t="shared" si="123"/>
        <v>5106394.4675578922</v>
      </c>
      <c r="AT237" s="43">
        <f t="shared" si="124"/>
        <v>68477.895756915255</v>
      </c>
      <c r="AU237" s="43">
        <f t="shared" si="124"/>
        <v>72432.631192668618</v>
      </c>
      <c r="AV237" s="43">
        <f t="shared" si="124"/>
        <v>77914.332721329803</v>
      </c>
      <c r="AW237" s="43">
        <f t="shared" si="124"/>
        <v>79775.550301376934</v>
      </c>
      <c r="AX237" s="43">
        <f t="shared" si="124"/>
        <v>80807.207717874335</v>
      </c>
      <c r="AZ237" s="47">
        <f t="shared" si="125"/>
        <v>563304.77600107237</v>
      </c>
      <c r="BA237" s="47">
        <f t="shared" si="126"/>
        <v>540049.17929373507</v>
      </c>
      <c r="BB237" s="47">
        <f t="shared" si="127"/>
        <v>553381.21474786021</v>
      </c>
      <c r="BC237" s="47">
        <f t="shared" si="128"/>
        <v>534722.0958392442</v>
      </c>
      <c r="BD237" s="47">
        <f t="shared" si="129"/>
        <v>516130.37154032919</v>
      </c>
    </row>
    <row r="238" spans="2:56">
      <c r="B238" s="37">
        <f>'12. Investeringen (bijschatten)'!B41</f>
        <v>22</v>
      </c>
      <c r="C238" s="48"/>
      <c r="E238" s="48"/>
      <c r="F238" s="169">
        <f>'12. Investeringen (bijschatten)'!C41</f>
        <v>4047998.6160165961</v>
      </c>
      <c r="H238" s="37">
        <f>'12. Investeringen (bijschatten)'!D41</f>
        <v>2020</v>
      </c>
      <c r="I238" s="37" t="str">
        <f>'12. Investeringen (bijschatten)'!E41</f>
        <v>37 ICT middelen 1</v>
      </c>
      <c r="J238" s="169">
        <f>_xlfn.XLOOKUP(I238,'3. Input (des)investeringen '!$B$11:$B$81,'3. Input (des)investeringen '!$D$11:$D$81)</f>
        <v>5</v>
      </c>
      <c r="K238" s="155"/>
      <c r="L238" s="155"/>
      <c r="M238" s="43">
        <f t="shared" si="107"/>
        <v>404799.86160165962</v>
      </c>
      <c r="N238" s="43">
        <f t="shared" si="108"/>
        <v>822553.31877457234</v>
      </c>
      <c r="P238" s="138">
        <f t="shared" si="109"/>
        <v>3643198.7544149365</v>
      </c>
      <c r="Q238" s="138">
        <f t="shared" si="110"/>
        <v>2878936.6157110035</v>
      </c>
      <c r="S238" s="43">
        <f t="shared" si="111"/>
        <v>2878936.6157110035</v>
      </c>
      <c r="T238" s="38">
        <f t="shared" si="112"/>
        <v>3.5</v>
      </c>
      <c r="V238" s="43">
        <f t="shared" si="113"/>
        <v>962387.38296624983</v>
      </c>
      <c r="W238" s="43">
        <f t="shared" si="113"/>
        <v>651462.22846946144</v>
      </c>
      <c r="X238" s="43">
        <f t="shared" si="113"/>
        <v>651462.22846946144</v>
      </c>
      <c r="Y238" s="43">
        <f t="shared" si="113"/>
        <v>325731.11423473072</v>
      </c>
      <c r="Z238" s="43">
        <f t="shared" si="113"/>
        <v>0</v>
      </c>
      <c r="AB238" s="43">
        <f t="shared" si="114"/>
        <v>82255.33187745724</v>
      </c>
      <c r="AC238" s="43">
        <f t="shared" si="114"/>
        <v>82255.33187745724</v>
      </c>
      <c r="AD238" s="43">
        <f t="shared" si="114"/>
        <v>82255.33187745724</v>
      </c>
      <c r="AE238" s="43">
        <f t="shared" si="114"/>
        <v>41127.66593872862</v>
      </c>
      <c r="AF238" s="43">
        <f t="shared" si="114"/>
        <v>0</v>
      </c>
      <c r="AH238" s="43">
        <f t="shared" si="115"/>
        <v>1044642.714843707</v>
      </c>
      <c r="AI238" s="43">
        <f t="shared" si="116"/>
        <v>733717.56034691865</v>
      </c>
      <c r="AJ238" s="43">
        <f t="shared" si="117"/>
        <v>733717.56034691865</v>
      </c>
      <c r="AK238" s="43">
        <f t="shared" si="118"/>
        <v>366858.78017345932</v>
      </c>
      <c r="AL238" s="43">
        <f t="shared" si="119"/>
        <v>0</v>
      </c>
      <c r="AN238" s="43">
        <f t="shared" si="103"/>
        <v>1834293.9008672964</v>
      </c>
      <c r="AO238" s="43">
        <f t="shared" si="120"/>
        <v>1100576.3405203777</v>
      </c>
      <c r="AP238" s="43">
        <f t="shared" si="121"/>
        <v>366858.78017345909</v>
      </c>
      <c r="AQ238" s="43">
        <f t="shared" si="122"/>
        <v>0</v>
      </c>
      <c r="AR238" s="43">
        <f t="shared" si="123"/>
        <v>0</v>
      </c>
      <c r="AT238" s="43">
        <f t="shared" si="124"/>
        <v>41658.791577853313</v>
      </c>
      <c r="AU238" s="43">
        <f t="shared" si="124"/>
        <v>44064.670109057501</v>
      </c>
      <c r="AV238" s="43">
        <f t="shared" si="124"/>
        <v>47399.484342910975</v>
      </c>
      <c r="AW238" s="43">
        <f t="shared" si="124"/>
        <v>48531.763224894436</v>
      </c>
      <c r="AX238" s="43">
        <f t="shared" si="124"/>
        <v>49159.375986918763</v>
      </c>
      <c r="AZ238" s="47">
        <f t="shared" si="125"/>
        <v>1148667.4990510484</v>
      </c>
      <c r="BA238" s="47">
        <f t="shared" si="126"/>
        <v>814101.24969314854</v>
      </c>
      <c r="BB238" s="47">
        <f t="shared" si="127"/>
        <v>795057.67833642103</v>
      </c>
      <c r="BC238" s="47">
        <f t="shared" si="128"/>
        <v>415390.54339835374</v>
      </c>
      <c r="BD238" s="47">
        <f t="shared" si="129"/>
        <v>49159.375986918763</v>
      </c>
    </row>
    <row r="239" spans="2:56">
      <c r="B239" s="37">
        <f>'12. Investeringen (bijschatten)'!B42</f>
        <v>23</v>
      </c>
      <c r="C239" s="48"/>
      <c r="E239" s="48"/>
      <c r="F239" s="169">
        <f>'12. Investeringen (bijschatten)'!C42</f>
        <v>2403625.2498371834</v>
      </c>
      <c r="H239" s="37">
        <f>'12. Investeringen (bijschatten)'!D42</f>
        <v>2020</v>
      </c>
      <c r="I239" s="37" t="str">
        <f>'12. Investeringen (bijschatten)'!E42</f>
        <v>38 ICT middelen 2</v>
      </c>
      <c r="J239" s="169">
        <f>_xlfn.XLOOKUP(I239,'3. Input (des)investeringen '!$B$11:$B$81,'3. Input (des)investeringen '!$D$11:$D$81)</f>
        <v>10</v>
      </c>
      <c r="K239" s="155"/>
      <c r="L239" s="155"/>
      <c r="M239" s="43">
        <f t="shared" si="107"/>
        <v>120181.26249185918</v>
      </c>
      <c r="N239" s="43">
        <f t="shared" si="108"/>
        <v>244208.32538345785</v>
      </c>
      <c r="P239" s="138">
        <f t="shared" si="109"/>
        <v>2283443.9873453244</v>
      </c>
      <c r="Q239" s="138">
        <f t="shared" si="110"/>
        <v>2075770.7657593917</v>
      </c>
      <c r="S239" s="43">
        <f t="shared" si="111"/>
        <v>2075770.7657593917</v>
      </c>
      <c r="T239" s="38">
        <f t="shared" si="112"/>
        <v>8.5</v>
      </c>
      <c r="V239" s="43">
        <f t="shared" si="113"/>
        <v>285723.74069864571</v>
      </c>
      <c r="W239" s="43">
        <f t="shared" si="113"/>
        <v>242024.81565061753</v>
      </c>
      <c r="X239" s="43">
        <f t="shared" si="113"/>
        <v>206222.32812833681</v>
      </c>
      <c r="Y239" s="43">
        <f t="shared" si="113"/>
        <v>206222.32812833681</v>
      </c>
      <c r="Z239" s="43">
        <f t="shared" si="113"/>
        <v>206222.32812833681</v>
      </c>
      <c r="AB239" s="43">
        <f t="shared" si="114"/>
        <v>24420.832538345789</v>
      </c>
      <c r="AC239" s="43">
        <f t="shared" si="114"/>
        <v>24420.832538345785</v>
      </c>
      <c r="AD239" s="43">
        <f t="shared" si="114"/>
        <v>24420.832538345785</v>
      </c>
      <c r="AE239" s="43">
        <f t="shared" si="114"/>
        <v>24420.832538345785</v>
      </c>
      <c r="AF239" s="43">
        <f t="shared" si="114"/>
        <v>24420.832538345785</v>
      </c>
      <c r="AH239" s="43">
        <f t="shared" si="115"/>
        <v>310144.57323699148</v>
      </c>
      <c r="AI239" s="43">
        <f t="shared" si="116"/>
        <v>266445.6481889633</v>
      </c>
      <c r="AJ239" s="43">
        <f t="shared" si="117"/>
        <v>230643.16066668258</v>
      </c>
      <c r="AK239" s="43">
        <f t="shared" si="118"/>
        <v>230643.16066668258</v>
      </c>
      <c r="AL239" s="43">
        <f t="shared" si="119"/>
        <v>230643.16066668258</v>
      </c>
      <c r="AN239" s="43">
        <f t="shared" si="103"/>
        <v>1765626.1925224003</v>
      </c>
      <c r="AO239" s="43">
        <f t="shared" si="120"/>
        <v>1499180.544333437</v>
      </c>
      <c r="AP239" s="43">
        <f t="shared" si="121"/>
        <v>1268537.3836667545</v>
      </c>
      <c r="AQ239" s="43">
        <f t="shared" si="122"/>
        <v>1037894.2230000719</v>
      </c>
      <c r="AR239" s="43">
        <f t="shared" si="123"/>
        <v>807251.06233338942</v>
      </c>
      <c r="AT239" s="43">
        <f t="shared" si="124"/>
        <v>24736.204928045925</v>
      </c>
      <c r="AU239" s="43">
        <f t="shared" si="124"/>
        <v>26164.770235050433</v>
      </c>
      <c r="AV239" s="43">
        <f t="shared" si="124"/>
        <v>28144.920046439056</v>
      </c>
      <c r="AW239" s="43">
        <f t="shared" si="124"/>
        <v>28817.245896508393</v>
      </c>
      <c r="AX239" s="43">
        <f t="shared" si="124"/>
        <v>29189.910520442041</v>
      </c>
      <c r="AZ239" s="47">
        <f t="shared" si="125"/>
        <v>394912.06871079904</v>
      </c>
      <c r="BA239" s="47">
        <f t="shared" si="126"/>
        <v>342083.37638701714</v>
      </c>
      <c r="BB239" s="47">
        <f t="shared" si="127"/>
        <v>306992.50129245827</v>
      </c>
      <c r="BC239" s="47">
        <f t="shared" si="128"/>
        <v>298900.38703719369</v>
      </c>
      <c r="BD239" s="47">
        <f t="shared" si="129"/>
        <v>290508.61155579344</v>
      </c>
    </row>
    <row r="240" spans="2:56">
      <c r="B240" s="37">
        <f>'12. Investeringen (bijschatten)'!B43</f>
        <v>24</v>
      </c>
      <c r="C240" s="48"/>
      <c r="E240" s="48"/>
      <c r="F240" s="169">
        <f>'12. Investeringen (bijschatten)'!C43</f>
        <v>437.7361508808076</v>
      </c>
      <c r="H240" s="37">
        <f>'12. Investeringen (bijschatten)'!D43</f>
        <v>2020</v>
      </c>
      <c r="I240" s="37" t="str">
        <f>'12. Investeringen (bijschatten)'!E43</f>
        <v>39 ICT middelen 3</v>
      </c>
      <c r="J240" s="169">
        <f>_xlfn.XLOOKUP(I240,'3. Input (des)investeringen '!$B$11:$B$81,'3. Input (des)investeringen '!$D$11:$D$81)</f>
        <v>15</v>
      </c>
      <c r="K240" s="155"/>
      <c r="L240" s="155"/>
      <c r="M240" s="43">
        <f t="shared" si="107"/>
        <v>14.591205029360253</v>
      </c>
      <c r="N240" s="43">
        <f t="shared" si="108"/>
        <v>29.649328619660036</v>
      </c>
      <c r="P240" s="138">
        <f t="shared" si="109"/>
        <v>423.14494585144735</v>
      </c>
      <c r="Q240" s="138">
        <f t="shared" si="110"/>
        <v>400.26593636541048</v>
      </c>
      <c r="S240" s="43">
        <f t="shared" si="111"/>
        <v>400.26593636541048</v>
      </c>
      <c r="T240" s="38">
        <f t="shared" si="112"/>
        <v>13.5</v>
      </c>
      <c r="V240" s="43">
        <f t="shared" si="113"/>
        <v>34.689714485002241</v>
      </c>
      <c r="W240" s="43">
        <f t="shared" si="113"/>
        <v>31.349223460520545</v>
      </c>
      <c r="X240" s="43">
        <f t="shared" si="113"/>
        <v>28.330409349507455</v>
      </c>
      <c r="Y240" s="43">
        <f t="shared" si="113"/>
        <v>25.602295856591919</v>
      </c>
      <c r="Z240" s="43">
        <f t="shared" si="113"/>
        <v>25.291336797604973</v>
      </c>
      <c r="AB240" s="43">
        <f t="shared" si="114"/>
        <v>2.9649328619660036</v>
      </c>
      <c r="AC240" s="43">
        <f t="shared" si="114"/>
        <v>2.9649328619660036</v>
      </c>
      <c r="AD240" s="43">
        <f t="shared" si="114"/>
        <v>2.9649328619660036</v>
      </c>
      <c r="AE240" s="43">
        <f t="shared" si="114"/>
        <v>2.9649328619660036</v>
      </c>
      <c r="AF240" s="43">
        <f t="shared" si="114"/>
        <v>2.9649328619660036</v>
      </c>
      <c r="AH240" s="43">
        <f t="shared" si="115"/>
        <v>37.654647346968247</v>
      </c>
      <c r="AI240" s="43">
        <f t="shared" si="116"/>
        <v>34.314156322486546</v>
      </c>
      <c r="AJ240" s="43">
        <f t="shared" si="117"/>
        <v>31.295342211473461</v>
      </c>
      <c r="AK240" s="43">
        <f t="shared" si="118"/>
        <v>28.567228718557921</v>
      </c>
      <c r="AL240" s="43">
        <f t="shared" si="119"/>
        <v>28.256269659570975</v>
      </c>
      <c r="AN240" s="43">
        <f t="shared" si="103"/>
        <v>362.61128901844222</v>
      </c>
      <c r="AO240" s="43">
        <f t="shared" si="120"/>
        <v>328.29713269595567</v>
      </c>
      <c r="AP240" s="43">
        <f t="shared" si="121"/>
        <v>297.00179048448223</v>
      </c>
      <c r="AQ240" s="43">
        <f t="shared" si="122"/>
        <v>268.43456176592429</v>
      </c>
      <c r="AR240" s="43">
        <f t="shared" si="123"/>
        <v>240.1782921063533</v>
      </c>
      <c r="AT240" s="43">
        <f t="shared" si="124"/>
        <v>4.5048333276308981</v>
      </c>
      <c r="AU240" s="43">
        <f t="shared" si="124"/>
        <v>4.7649964619682379</v>
      </c>
      <c r="AV240" s="43">
        <f t="shared" si="124"/>
        <v>5.1256113942099946</v>
      </c>
      <c r="AW240" s="43">
        <f t="shared" si="124"/>
        <v>5.2480519991948835</v>
      </c>
      <c r="AX240" s="43">
        <f t="shared" si="124"/>
        <v>5.3159198076484708</v>
      </c>
      <c r="AZ240" s="47">
        <f t="shared" si="125"/>
        <v>54.488264501226183</v>
      </c>
      <c r="BA240" s="47">
        <f t="shared" si="126"/>
        <v>49.912958163421322</v>
      </c>
      <c r="BB240" s="47">
        <f t="shared" si="127"/>
        <v>47.707021644093786</v>
      </c>
      <c r="BC240" s="47">
        <f t="shared" si="128"/>
        <v>44.015794064857928</v>
      </c>
      <c r="BD240" s="47">
        <f t="shared" si="129"/>
        <v>42.698964567260873</v>
      </c>
    </row>
    <row r="241" spans="2:56">
      <c r="B241" s="37">
        <f>'12. Investeringen (bijschatten)'!B44</f>
        <v>25</v>
      </c>
      <c r="C241" s="48"/>
      <c r="E241" s="48"/>
      <c r="F241" s="169">
        <f>'12. Investeringen (bijschatten)'!C44</f>
        <v>11388.804547887481</v>
      </c>
      <c r="H241" s="37">
        <f>'12. Investeringen (bijschatten)'!D44</f>
        <v>2020</v>
      </c>
      <c r="I241" s="37" t="str">
        <f>'12. Investeringen (bijschatten)'!E44</f>
        <v>41 Stikstofbuffer</v>
      </c>
      <c r="J241" s="169">
        <f>_xlfn.XLOOKUP(I241,'3. Input (des)investeringen '!$B$11:$B$81,'3. Input (des)investeringen '!$D$11:$D$81)</f>
        <v>30</v>
      </c>
      <c r="K241" s="155"/>
      <c r="L241" s="155"/>
      <c r="M241" s="43">
        <f t="shared" si="107"/>
        <v>189.81340913145803</v>
      </c>
      <c r="N241" s="43">
        <f t="shared" si="108"/>
        <v>385.70084735512273</v>
      </c>
      <c r="P241" s="138">
        <f t="shared" si="109"/>
        <v>11198.991138756022</v>
      </c>
      <c r="Q241" s="138">
        <f t="shared" si="110"/>
        <v>10992.474149620995</v>
      </c>
      <c r="S241" s="43">
        <f t="shared" si="111"/>
        <v>10992.474149620995</v>
      </c>
      <c r="T241" s="38">
        <f t="shared" si="112"/>
        <v>28.5</v>
      </c>
      <c r="V241" s="43">
        <f t="shared" si="113"/>
        <v>451.26999140549356</v>
      </c>
      <c r="W241" s="43">
        <f t="shared" si="113"/>
        <v>430.68574618348856</v>
      </c>
      <c r="X241" s="43">
        <f t="shared" si="113"/>
        <v>411.04043144529436</v>
      </c>
      <c r="Y241" s="43">
        <f t="shared" si="113"/>
        <v>392.29121878287748</v>
      </c>
      <c r="Z241" s="43">
        <f t="shared" si="113"/>
        <v>374.39723336471116</v>
      </c>
      <c r="AB241" s="43">
        <f t="shared" si="114"/>
        <v>38.570084735512268</v>
      </c>
      <c r="AC241" s="43">
        <f t="shared" si="114"/>
        <v>38.570084735512268</v>
      </c>
      <c r="AD241" s="43">
        <f t="shared" si="114"/>
        <v>38.570084735512268</v>
      </c>
      <c r="AE241" s="43">
        <f t="shared" si="114"/>
        <v>38.570084735512268</v>
      </c>
      <c r="AF241" s="43">
        <f t="shared" si="114"/>
        <v>38.570084735512268</v>
      </c>
      <c r="AH241" s="43">
        <f t="shared" si="115"/>
        <v>489.84007614100585</v>
      </c>
      <c r="AI241" s="43">
        <f t="shared" si="116"/>
        <v>469.2558309190008</v>
      </c>
      <c r="AJ241" s="43">
        <f t="shared" si="117"/>
        <v>449.6105161808066</v>
      </c>
      <c r="AK241" s="43">
        <f t="shared" si="118"/>
        <v>430.86130351838972</v>
      </c>
      <c r="AL241" s="43">
        <f t="shared" si="119"/>
        <v>412.96731810022345</v>
      </c>
      <c r="AN241" s="43">
        <f t="shared" si="103"/>
        <v>10502.634073479989</v>
      </c>
      <c r="AO241" s="43">
        <f t="shared" si="120"/>
        <v>10033.378242560988</v>
      </c>
      <c r="AP241" s="43">
        <f t="shared" si="121"/>
        <v>9583.7677263801816</v>
      </c>
      <c r="AQ241" s="43">
        <f t="shared" si="122"/>
        <v>9152.9064228617917</v>
      </c>
      <c r="AR241" s="43">
        <f t="shared" si="123"/>
        <v>8739.9391047615682</v>
      </c>
      <c r="AT241" s="43">
        <f t="shared" si="124"/>
        <v>117.20454476049834</v>
      </c>
      <c r="AU241" s="43">
        <f t="shared" si="124"/>
        <v>123.97334162950663</v>
      </c>
      <c r="AV241" s="43">
        <f t="shared" si="124"/>
        <v>133.35564412402772</v>
      </c>
      <c r="AW241" s="43">
        <f t="shared" si="124"/>
        <v>136.54124375086252</v>
      </c>
      <c r="AX241" s="43">
        <f t="shared" si="124"/>
        <v>138.30699511504866</v>
      </c>
      <c r="AZ241" s="47">
        <f t="shared" si="125"/>
        <v>964.13417939982389</v>
      </c>
      <c r="BA241" s="47">
        <f t="shared" si="126"/>
        <v>924.33065455302005</v>
      </c>
      <c r="BB241" s="47">
        <f t="shared" si="127"/>
        <v>947.14933390728129</v>
      </c>
      <c r="BC241" s="47">
        <f t="shared" si="128"/>
        <v>915.21299133800039</v>
      </c>
      <c r="BD241" s="47">
        <f t="shared" si="129"/>
        <v>883.39199919621183</v>
      </c>
    </row>
    <row r="242" spans="2:56">
      <c r="B242" s="37">
        <f>'12. Investeringen (bijschatten)'!B45</f>
        <v>26</v>
      </c>
      <c r="C242" s="48"/>
      <c r="E242" s="48"/>
      <c r="F242" s="169">
        <f>'12. Investeringen (bijschatten)'!C45</f>
        <v>629346.76893527061</v>
      </c>
      <c r="H242" s="37">
        <f>'12. Investeringen (bijschatten)'!D45</f>
        <v>2020</v>
      </c>
      <c r="I242" s="37" t="str">
        <f>'12. Investeringen (bijschatten)'!E45</f>
        <v>42 Vulgas</v>
      </c>
      <c r="J242" s="169">
        <f>_xlfn.XLOOKUP(I242,'3. Input (des)investeringen '!$B$11:$B$81,'3. Input (des)investeringen '!$D$11:$D$81)</f>
        <v>0</v>
      </c>
      <c r="K242" s="155"/>
      <c r="L242" s="155"/>
      <c r="M242" s="43">
        <f t="shared" si="107"/>
        <v>0</v>
      </c>
      <c r="N242" s="43">
        <f t="shared" si="108"/>
        <v>0</v>
      </c>
      <c r="P242" s="138">
        <f t="shared" si="109"/>
        <v>629346.76893527061</v>
      </c>
      <c r="Q242" s="138">
        <f t="shared" si="110"/>
        <v>639416.31723823491</v>
      </c>
      <c r="S242" s="43">
        <f t="shared" si="111"/>
        <v>639416.31723823491</v>
      </c>
      <c r="T242" s="38">
        <f t="shared" si="112"/>
        <v>0</v>
      </c>
      <c r="V242" s="43">
        <f t="shared" si="113"/>
        <v>0</v>
      </c>
      <c r="W242" s="43">
        <f t="shared" si="113"/>
        <v>0</v>
      </c>
      <c r="X242" s="43">
        <f t="shared" si="113"/>
        <v>0</v>
      </c>
      <c r="Y242" s="43">
        <f t="shared" si="113"/>
        <v>0</v>
      </c>
      <c r="Z242" s="43">
        <f t="shared" si="113"/>
        <v>0</v>
      </c>
      <c r="AB242" s="43">
        <f t="shared" si="114"/>
        <v>0</v>
      </c>
      <c r="AC242" s="43">
        <f t="shared" si="114"/>
        <v>0</v>
      </c>
      <c r="AD242" s="43">
        <f t="shared" si="114"/>
        <v>0</v>
      </c>
      <c r="AE242" s="43">
        <f t="shared" si="114"/>
        <v>0</v>
      </c>
      <c r="AF242" s="43">
        <f t="shared" si="114"/>
        <v>0</v>
      </c>
      <c r="AH242" s="43">
        <f t="shared" si="115"/>
        <v>0</v>
      </c>
      <c r="AI242" s="43">
        <f t="shared" si="116"/>
        <v>0</v>
      </c>
      <c r="AJ242" s="43">
        <f t="shared" si="117"/>
        <v>0</v>
      </c>
      <c r="AK242" s="43">
        <f t="shared" si="118"/>
        <v>0</v>
      </c>
      <c r="AL242" s="43">
        <f t="shared" si="119"/>
        <v>0</v>
      </c>
      <c r="AN242" s="43">
        <f t="shared" si="103"/>
        <v>639416.31723823491</v>
      </c>
      <c r="AO242" s="43">
        <f t="shared" si="120"/>
        <v>639416.31723823491</v>
      </c>
      <c r="AP242" s="43">
        <f t="shared" si="121"/>
        <v>639416.31723823491</v>
      </c>
      <c r="AQ242" s="43">
        <f t="shared" si="122"/>
        <v>639416.31723823491</v>
      </c>
      <c r="AR242" s="43">
        <f t="shared" si="123"/>
        <v>639416.31723823491</v>
      </c>
      <c r="AT242" s="43">
        <f t="shared" si="124"/>
        <v>6476.7378559702438</v>
      </c>
      <c r="AU242" s="43">
        <f t="shared" si="124"/>
        <v>6850.7824206282376</v>
      </c>
      <c r="AV242" s="43">
        <f t="shared" si="124"/>
        <v>7369.2496342213835</v>
      </c>
      <c r="AW242" s="43">
        <f t="shared" si="124"/>
        <v>7545.2862694836658</v>
      </c>
      <c r="AX242" s="43">
        <f t="shared" si="124"/>
        <v>7642.8619115206275</v>
      </c>
      <c r="AZ242" s="47">
        <f t="shared" si="125"/>
        <v>28216.892642070234</v>
      </c>
      <c r="BA242" s="47">
        <f t="shared" si="126"/>
        <v>27951.520889489992</v>
      </c>
      <c r="BB242" s="47">
        <f t="shared" si="127"/>
        <v>31667.069689274307</v>
      </c>
      <c r="BC242" s="47">
        <f t="shared" si="128"/>
        <v>31843.106324536591</v>
      </c>
      <c r="BD242" s="47">
        <f t="shared" si="129"/>
        <v>31940.681966573553</v>
      </c>
    </row>
    <row r="243" spans="2:56">
      <c r="B243" s="37">
        <f>'12. Investeringen (bijschatten)'!B46</f>
        <v>27</v>
      </c>
      <c r="C243" s="48"/>
      <c r="E243" s="48"/>
      <c r="F243" s="169">
        <f>'12. Investeringen (bijschatten)'!C46</f>
        <v>17036.436079166462</v>
      </c>
      <c r="H243" s="37">
        <f>'12. Investeringen (bijschatten)'!D46</f>
        <v>2020</v>
      </c>
      <c r="I243" s="37" t="str">
        <f>'12. Investeringen (bijschatten)'!E46</f>
        <v>44 Stikstofleiding</v>
      </c>
      <c r="J243" s="169">
        <f>_xlfn.XLOOKUP(I243,'3. Input (des)investeringen '!$B$11:$B$81,'3. Input (des)investeringen '!$D$11:$D$81)</f>
        <v>55</v>
      </c>
      <c r="K243" s="155"/>
      <c r="L243" s="155"/>
      <c r="M243" s="43">
        <f t="shared" si="107"/>
        <v>154.87669162878601</v>
      </c>
      <c r="N243" s="43">
        <f t="shared" si="108"/>
        <v>314.70943738969322</v>
      </c>
      <c r="P243" s="138">
        <f t="shared" si="109"/>
        <v>16881.559387537676</v>
      </c>
      <c r="Q243" s="138">
        <f t="shared" si="110"/>
        <v>16836.954900348584</v>
      </c>
      <c r="S243" s="43">
        <f t="shared" si="111"/>
        <v>16836.954900348584</v>
      </c>
      <c r="T243" s="38">
        <f t="shared" si="112"/>
        <v>53.5</v>
      </c>
      <c r="V243" s="43">
        <f t="shared" si="113"/>
        <v>368.21004174594106</v>
      </c>
      <c r="W243" s="43">
        <f t="shared" si="113"/>
        <v>359.26288185304901</v>
      </c>
      <c r="X243" s="43">
        <f t="shared" si="113"/>
        <v>350.5331295837226</v>
      </c>
      <c r="Y243" s="43">
        <f t="shared" si="113"/>
        <v>342.01550213589383</v>
      </c>
      <c r="Z243" s="43">
        <f t="shared" si="113"/>
        <v>333.70484507464784</v>
      </c>
      <c r="AB243" s="43">
        <f t="shared" si="114"/>
        <v>31.470943738969318</v>
      </c>
      <c r="AC243" s="43">
        <f t="shared" si="114"/>
        <v>31.470943738969318</v>
      </c>
      <c r="AD243" s="43">
        <f t="shared" si="114"/>
        <v>31.470943738969318</v>
      </c>
      <c r="AE243" s="43">
        <f t="shared" si="114"/>
        <v>31.470943738969318</v>
      </c>
      <c r="AF243" s="43">
        <f t="shared" si="114"/>
        <v>31.470943738969318</v>
      </c>
      <c r="AH243" s="43">
        <f t="shared" si="115"/>
        <v>399.68098548491037</v>
      </c>
      <c r="AI243" s="43">
        <f t="shared" si="116"/>
        <v>390.73382559201832</v>
      </c>
      <c r="AJ243" s="43">
        <f t="shared" si="117"/>
        <v>382.00407332269191</v>
      </c>
      <c r="AK243" s="43">
        <f t="shared" si="118"/>
        <v>373.48644587486314</v>
      </c>
      <c r="AL243" s="43">
        <f t="shared" si="119"/>
        <v>365.17578881361715</v>
      </c>
      <c r="AN243" s="43">
        <f t="shared" si="103"/>
        <v>16437.273914863676</v>
      </c>
      <c r="AO243" s="43">
        <f t="shared" si="120"/>
        <v>16046.540089271657</v>
      </c>
      <c r="AP243" s="43">
        <f t="shared" si="121"/>
        <v>15664.536015948965</v>
      </c>
      <c r="AQ243" s="43">
        <f t="shared" si="122"/>
        <v>15291.049570074101</v>
      </c>
      <c r="AR243" s="43">
        <f t="shared" si="123"/>
        <v>14925.873781260485</v>
      </c>
      <c r="AT243" s="43">
        <f t="shared" si="124"/>
        <v>175.32548974777274</v>
      </c>
      <c r="AU243" s="43">
        <f t="shared" si="124"/>
        <v>185.45088743168614</v>
      </c>
      <c r="AV243" s="43">
        <f t="shared" si="124"/>
        <v>199.4858105925162</v>
      </c>
      <c r="AW243" s="43">
        <f t="shared" si="124"/>
        <v>204.25112763595021</v>
      </c>
      <c r="AX243" s="43">
        <f t="shared" si="124"/>
        <v>206.89250321853831</v>
      </c>
      <c r="AZ243" s="47">
        <f t="shared" si="125"/>
        <v>1133.8737883380481</v>
      </c>
      <c r="BA243" s="47">
        <f t="shared" si="126"/>
        <v>1105.7205359696691</v>
      </c>
      <c r="BB243" s="47">
        <f t="shared" si="127"/>
        <v>1176.7422525212687</v>
      </c>
      <c r="BC243" s="47">
        <f t="shared" si="128"/>
        <v>1158.7974571736293</v>
      </c>
      <c r="BD243" s="47">
        <f t="shared" si="129"/>
        <v>1139.2514957200538</v>
      </c>
    </row>
    <row r="244" spans="2:56">
      <c r="B244" s="37">
        <f>'12. Investeringen (bijschatten)'!B47</f>
        <v>28</v>
      </c>
      <c r="C244" s="48"/>
      <c r="E244" s="48"/>
      <c r="F244" s="169">
        <f>'12. Investeringen (bijschatten)'!C47</f>
        <v>25706134.090591587</v>
      </c>
      <c r="H244" s="37">
        <f>'12. Investeringen (bijschatten)'!D47</f>
        <v>2021</v>
      </c>
      <c r="I244" s="37" t="str">
        <f>'12. Investeringen (bijschatten)'!E47</f>
        <v>01 Regionale leidingen</v>
      </c>
      <c r="J244" s="169">
        <f>_xlfn.XLOOKUP(I244,'3. Input (des)investeringen '!$B$11:$B$81,'3. Input (des)investeringen '!$D$11:$D$81)</f>
        <v>55</v>
      </c>
      <c r="K244" s="155"/>
      <c r="L244" s="155"/>
      <c r="M244" s="43">
        <f t="shared" si="107"/>
        <v>0</v>
      </c>
      <c r="N244" s="43">
        <f t="shared" si="108"/>
        <v>233692.12809628717</v>
      </c>
      <c r="P244" s="138">
        <f t="shared" si="109"/>
        <v>0</v>
      </c>
      <c r="Q244" s="138">
        <f t="shared" si="110"/>
        <v>25472441.962495301</v>
      </c>
      <c r="S244" s="43">
        <f t="shared" si="111"/>
        <v>25472441.962495301</v>
      </c>
      <c r="T244" s="38">
        <f t="shared" si="112"/>
        <v>54.5</v>
      </c>
      <c r="V244" s="43">
        <f t="shared" si="113"/>
        <v>546839.57974531199</v>
      </c>
      <c r="W244" s="43">
        <f t="shared" si="113"/>
        <v>533795.69986147888</v>
      </c>
      <c r="X244" s="43">
        <f t="shared" si="113"/>
        <v>521062.95839689317</v>
      </c>
      <c r="Y244" s="43">
        <f t="shared" si="113"/>
        <v>508633.93370118749</v>
      </c>
      <c r="Z244" s="43">
        <f t="shared" si="113"/>
        <v>496501.38115418667</v>
      </c>
      <c r="AB244" s="43">
        <f t="shared" si="114"/>
        <v>46738.425619257439</v>
      </c>
      <c r="AC244" s="43">
        <f t="shared" si="114"/>
        <v>46738.425619257432</v>
      </c>
      <c r="AD244" s="43">
        <f t="shared" si="114"/>
        <v>46738.425619257432</v>
      </c>
      <c r="AE244" s="43">
        <f t="shared" si="114"/>
        <v>46738.425619257432</v>
      </c>
      <c r="AF244" s="43">
        <f t="shared" si="114"/>
        <v>46738.425619257432</v>
      </c>
      <c r="AH244" s="43">
        <f t="shared" si="115"/>
        <v>593578.00536456937</v>
      </c>
      <c r="AI244" s="43">
        <f t="shared" si="116"/>
        <v>580534.12548073626</v>
      </c>
      <c r="AJ244" s="43">
        <f t="shared" si="117"/>
        <v>567801.38401615061</v>
      </c>
      <c r="AK244" s="43">
        <f t="shared" si="118"/>
        <v>555372.35932044487</v>
      </c>
      <c r="AL244" s="43">
        <f t="shared" si="119"/>
        <v>543239.80677344406</v>
      </c>
      <c r="AN244" s="43">
        <f t="shared" si="103"/>
        <v>24878863.95713073</v>
      </c>
      <c r="AO244" s="43">
        <f t="shared" si="120"/>
        <v>24298329.831649993</v>
      </c>
      <c r="AP244" s="43">
        <f t="shared" si="121"/>
        <v>23730528.44763384</v>
      </c>
      <c r="AQ244" s="43">
        <f t="shared" si="122"/>
        <v>23175156.088313397</v>
      </c>
      <c r="AR244" s="43">
        <f t="shared" si="123"/>
        <v>22631916.281539954</v>
      </c>
      <c r="AT244" s="43">
        <f t="shared" si="124"/>
        <v>260641.69126205347</v>
      </c>
      <c r="AU244" s="43">
        <f t="shared" si="124"/>
        <v>275694.27021581959</v>
      </c>
      <c r="AV244" s="43">
        <f t="shared" si="124"/>
        <v>296558.81258575281</v>
      </c>
      <c r="AW244" s="43">
        <f t="shared" si="124"/>
        <v>303643.00950080133</v>
      </c>
      <c r="AX244" s="43">
        <f t="shared" si="124"/>
        <v>307569.72089966561</v>
      </c>
      <c r="AZ244" s="47">
        <f t="shared" si="125"/>
        <v>1700101.0711690679</v>
      </c>
      <c r="BA244" s="47">
        <f t="shared" si="126"/>
        <v>1658073.2801410058</v>
      </c>
      <c r="BB244" s="47">
        <f t="shared" si="127"/>
        <v>1766120.2776119895</v>
      </c>
      <c r="BC244" s="47">
        <f t="shared" si="128"/>
        <v>1739671.3001771553</v>
      </c>
      <c r="BD244" s="47">
        <f t="shared" si="129"/>
        <v>1710822.3463716279</v>
      </c>
    </row>
    <row r="245" spans="2:56">
      <c r="B245" s="37">
        <f>'12. Investeringen (bijschatten)'!B48</f>
        <v>29</v>
      </c>
      <c r="C245" s="48"/>
      <c r="E245" s="48"/>
      <c r="F245" s="169">
        <f>'12. Investeringen (bijschatten)'!C48</f>
        <v>4851611.3998010792</v>
      </c>
      <c r="H245" s="37">
        <f>'12. Investeringen (bijschatten)'!D48</f>
        <v>2021</v>
      </c>
      <c r="I245" s="37" t="str">
        <f>'12. Investeringen (bijschatten)'!E48</f>
        <v>02 Gasontvangststations</v>
      </c>
      <c r="J245" s="169">
        <f>_xlfn.XLOOKUP(I245,'3. Input (des)investeringen '!$B$11:$B$81,'3. Input (des)investeringen '!$D$11:$D$81)</f>
        <v>30</v>
      </c>
      <c r="K245" s="155"/>
      <c r="L245" s="155"/>
      <c r="M245" s="43">
        <f t="shared" si="107"/>
        <v>0</v>
      </c>
      <c r="N245" s="43">
        <f t="shared" si="108"/>
        <v>80860.189996684654</v>
      </c>
      <c r="P245" s="138">
        <f t="shared" si="109"/>
        <v>0</v>
      </c>
      <c r="Q245" s="138">
        <f t="shared" si="110"/>
        <v>4770751.2098043943</v>
      </c>
      <c r="S245" s="43">
        <f t="shared" si="111"/>
        <v>4770751.2098043943</v>
      </c>
      <c r="T245" s="38">
        <f t="shared" si="112"/>
        <v>29.5</v>
      </c>
      <c r="V245" s="43">
        <f t="shared" si="113"/>
        <v>189212.84459224207</v>
      </c>
      <c r="W245" s="43">
        <f t="shared" si="113"/>
        <v>180874.65144071952</v>
      </c>
      <c r="X245" s="43">
        <f t="shared" si="113"/>
        <v>172903.90408909461</v>
      </c>
      <c r="Y245" s="43">
        <f t="shared" si="113"/>
        <v>165284.41001059214</v>
      </c>
      <c r="Z245" s="43">
        <f t="shared" si="113"/>
        <v>158000.6902474135</v>
      </c>
      <c r="AB245" s="43">
        <f t="shared" si="114"/>
        <v>16172.037999336932</v>
      </c>
      <c r="AC245" s="43">
        <f t="shared" si="114"/>
        <v>16172.03799933693</v>
      </c>
      <c r="AD245" s="43">
        <f t="shared" si="114"/>
        <v>16172.03799933693</v>
      </c>
      <c r="AE245" s="43">
        <f t="shared" si="114"/>
        <v>16172.03799933693</v>
      </c>
      <c r="AF245" s="43">
        <f t="shared" si="114"/>
        <v>16172.03799933693</v>
      </c>
      <c r="AH245" s="43">
        <f t="shared" si="115"/>
        <v>205384.88259157899</v>
      </c>
      <c r="AI245" s="43">
        <f t="shared" si="116"/>
        <v>197046.68944005645</v>
      </c>
      <c r="AJ245" s="43">
        <f t="shared" si="117"/>
        <v>189075.94208843153</v>
      </c>
      <c r="AK245" s="43">
        <f t="shared" si="118"/>
        <v>181456.44800992907</v>
      </c>
      <c r="AL245" s="43">
        <f t="shared" si="119"/>
        <v>174172.72824675043</v>
      </c>
      <c r="AN245" s="43">
        <f t="shared" si="103"/>
        <v>4565366.3272128152</v>
      </c>
      <c r="AO245" s="43">
        <f t="shared" si="120"/>
        <v>4368319.6377727585</v>
      </c>
      <c r="AP245" s="43">
        <f t="shared" si="121"/>
        <v>4179243.6956843268</v>
      </c>
      <c r="AQ245" s="43">
        <f t="shared" si="122"/>
        <v>3997787.2476743977</v>
      </c>
      <c r="AR245" s="43">
        <f t="shared" si="123"/>
        <v>3823614.5194276473</v>
      </c>
      <c r="AT245" s="43">
        <f t="shared" si="124"/>
        <v>49191.846433775092</v>
      </c>
      <c r="AU245" s="43">
        <f t="shared" si="124"/>
        <v>52032.773949018469</v>
      </c>
      <c r="AV245" s="43">
        <f t="shared" si="124"/>
        <v>55970.614281480186</v>
      </c>
      <c r="AW245" s="43">
        <f t="shared" si="124"/>
        <v>57307.640315436183</v>
      </c>
      <c r="AX245" s="43">
        <f t="shared" si="124"/>
        <v>58048.742719995396</v>
      </c>
      <c r="AZ245" s="47">
        <f t="shared" si="125"/>
        <v>409799.1841505898</v>
      </c>
      <c r="BA245" s="47">
        <f t="shared" si="126"/>
        <v>393234.0114355759</v>
      </c>
      <c r="BB245" s="47">
        <f t="shared" si="127"/>
        <v>403857.81680591614</v>
      </c>
      <c r="BC245" s="47">
        <f t="shared" si="128"/>
        <v>390680.00373699237</v>
      </c>
      <c r="BD245" s="47">
        <f t="shared" si="129"/>
        <v>377518.82270499639</v>
      </c>
    </row>
    <row r="246" spans="2:56">
      <c r="B246" s="37">
        <f>'12. Investeringen (bijschatten)'!B49</f>
        <v>30</v>
      </c>
      <c r="C246" s="48"/>
      <c r="E246" s="48"/>
      <c r="F246" s="169">
        <f>'12. Investeringen (bijschatten)'!C49</f>
        <v>1383899.1314390239</v>
      </c>
      <c r="H246" s="37">
        <f>'12. Investeringen (bijschatten)'!D49</f>
        <v>2021</v>
      </c>
      <c r="I246" s="37" t="str">
        <f>'12. Investeringen (bijschatten)'!E49</f>
        <v>02 Gasontvangststations (EHD)</v>
      </c>
      <c r="J246" s="169">
        <f>_xlfn.XLOOKUP(I246,'3. Input (des)investeringen '!$B$11:$B$81,'3. Input (des)investeringen '!$D$11:$D$81)</f>
        <v>30</v>
      </c>
      <c r="K246" s="155"/>
      <c r="L246" s="155"/>
      <c r="M246" s="43">
        <f t="shared" si="107"/>
        <v>0</v>
      </c>
      <c r="N246" s="43">
        <f t="shared" si="108"/>
        <v>23064.985523983731</v>
      </c>
      <c r="P246" s="138">
        <f t="shared" si="109"/>
        <v>0</v>
      </c>
      <c r="Q246" s="138">
        <f t="shared" si="110"/>
        <v>1360834.14591504</v>
      </c>
      <c r="S246" s="43">
        <f t="shared" si="111"/>
        <v>1360834.14591504</v>
      </c>
      <c r="T246" s="38">
        <f t="shared" si="112"/>
        <v>29.5</v>
      </c>
      <c r="V246" s="43">
        <f t="shared" si="113"/>
        <v>53972.066126121928</v>
      </c>
      <c r="W246" s="43">
        <f t="shared" si="113"/>
        <v>51593.63609344537</v>
      </c>
      <c r="X246" s="43">
        <f t="shared" si="113"/>
        <v>49320.01823170032</v>
      </c>
      <c r="Y246" s="43">
        <f t="shared" si="113"/>
        <v>47146.593699455894</v>
      </c>
      <c r="Z246" s="43">
        <f t="shared" si="113"/>
        <v>45068.947197445974</v>
      </c>
      <c r="AB246" s="43">
        <f t="shared" si="114"/>
        <v>4612.9971047967456</v>
      </c>
      <c r="AC246" s="43">
        <f t="shared" si="114"/>
        <v>4612.9971047967456</v>
      </c>
      <c r="AD246" s="43">
        <f t="shared" si="114"/>
        <v>4612.9971047967456</v>
      </c>
      <c r="AE246" s="43">
        <f t="shared" si="114"/>
        <v>4612.9971047967456</v>
      </c>
      <c r="AF246" s="43">
        <f t="shared" si="114"/>
        <v>4612.9971047967456</v>
      </c>
      <c r="AH246" s="43">
        <f t="shared" si="115"/>
        <v>58585.063230918677</v>
      </c>
      <c r="AI246" s="43">
        <f t="shared" si="116"/>
        <v>56206.633198242118</v>
      </c>
      <c r="AJ246" s="43">
        <f t="shared" si="117"/>
        <v>53933.015336497068</v>
      </c>
      <c r="AK246" s="43">
        <f t="shared" si="118"/>
        <v>51759.590804252643</v>
      </c>
      <c r="AL246" s="43">
        <f t="shared" si="119"/>
        <v>49681.944302242722</v>
      </c>
      <c r="AN246" s="43">
        <f t="shared" si="103"/>
        <v>1302249.0826841213</v>
      </c>
      <c r="AO246" s="43">
        <f t="shared" si="120"/>
        <v>1246042.4494858792</v>
      </c>
      <c r="AP246" s="43">
        <f t="shared" si="121"/>
        <v>1192109.4341493822</v>
      </c>
      <c r="AQ246" s="43">
        <f t="shared" si="122"/>
        <v>1140349.8433451296</v>
      </c>
      <c r="AR246" s="43">
        <f t="shared" si="123"/>
        <v>1090667.8990428869</v>
      </c>
      <c r="AT246" s="43">
        <f t="shared" si="124"/>
        <v>14031.740785417069</v>
      </c>
      <c r="AU246" s="43">
        <f t="shared" si="124"/>
        <v>14842.10187925647</v>
      </c>
      <c r="AV246" s="43">
        <f t="shared" si="124"/>
        <v>15965.352149478602</v>
      </c>
      <c r="AW246" s="43">
        <f t="shared" si="124"/>
        <v>16346.732481625348</v>
      </c>
      <c r="AX246" s="43">
        <f t="shared" si="124"/>
        <v>16558.128426077721</v>
      </c>
      <c r="AZ246" s="47">
        <f t="shared" si="125"/>
        <v>116893.27282759588</v>
      </c>
      <c r="BA246" s="47">
        <f t="shared" si="126"/>
        <v>112168.1359105326</v>
      </c>
      <c r="BB246" s="47">
        <f t="shared" si="127"/>
        <v>115198.52598365219</v>
      </c>
      <c r="BC246" s="47">
        <f t="shared" si="128"/>
        <v>111439.61733299292</v>
      </c>
      <c r="BD246" s="47">
        <f t="shared" si="129"/>
        <v>107685.45289195015</v>
      </c>
    </row>
    <row r="247" spans="2:56">
      <c r="B247" s="37">
        <f>'12. Investeringen (bijschatten)'!B50</f>
        <v>31</v>
      </c>
      <c r="C247" s="48"/>
      <c r="E247" s="48"/>
      <c r="F247" s="169">
        <f>'12. Investeringen (bijschatten)'!C50</f>
        <v>36.126161654819548</v>
      </c>
      <c r="H247" s="37">
        <f>'12. Investeringen (bijschatten)'!D50</f>
        <v>2021</v>
      </c>
      <c r="I247" s="37" t="str">
        <f>'12. Investeringen (bijschatten)'!E50</f>
        <v>04 Terreinen (EHD)</v>
      </c>
      <c r="J247" s="169">
        <f>_xlfn.XLOOKUP(I247,'3. Input (des)investeringen '!$B$11:$B$81,'3. Input (des)investeringen '!$D$11:$D$81)</f>
        <v>0</v>
      </c>
      <c r="K247" s="155"/>
      <c r="L247" s="155"/>
      <c r="M247" s="43">
        <f t="shared" si="107"/>
        <v>0</v>
      </c>
      <c r="N247" s="43">
        <f t="shared" si="108"/>
        <v>0</v>
      </c>
      <c r="P247" s="138">
        <f t="shared" si="109"/>
        <v>0</v>
      </c>
      <c r="Q247" s="138">
        <f t="shared" si="110"/>
        <v>36.126161654819548</v>
      </c>
      <c r="S247" s="43">
        <f t="shared" si="111"/>
        <v>36.126161654819548</v>
      </c>
      <c r="T247" s="38">
        <f t="shared" si="112"/>
        <v>0</v>
      </c>
      <c r="V247" s="43">
        <f t="shared" si="113"/>
        <v>0</v>
      </c>
      <c r="W247" s="43">
        <f t="shared" si="113"/>
        <v>0</v>
      </c>
      <c r="X247" s="43">
        <f t="shared" si="113"/>
        <v>0</v>
      </c>
      <c r="Y247" s="43">
        <f t="shared" si="113"/>
        <v>0</v>
      </c>
      <c r="Z247" s="43">
        <f t="shared" si="113"/>
        <v>0</v>
      </c>
      <c r="AB247" s="43">
        <f t="shared" si="114"/>
        <v>0</v>
      </c>
      <c r="AC247" s="43">
        <f t="shared" si="114"/>
        <v>0</v>
      </c>
      <c r="AD247" s="43">
        <f t="shared" si="114"/>
        <v>0</v>
      </c>
      <c r="AE247" s="43">
        <f t="shared" si="114"/>
        <v>0</v>
      </c>
      <c r="AF247" s="43">
        <f t="shared" si="114"/>
        <v>0</v>
      </c>
      <c r="AH247" s="43">
        <f t="shared" si="115"/>
        <v>0</v>
      </c>
      <c r="AI247" s="43">
        <f t="shared" si="116"/>
        <v>0</v>
      </c>
      <c r="AJ247" s="43">
        <f t="shared" si="117"/>
        <v>0</v>
      </c>
      <c r="AK247" s="43">
        <f t="shared" si="118"/>
        <v>0</v>
      </c>
      <c r="AL247" s="43">
        <f t="shared" si="119"/>
        <v>0</v>
      </c>
      <c r="AN247" s="43">
        <f t="shared" si="103"/>
        <v>36.126161654819548</v>
      </c>
      <c r="AO247" s="43">
        <f t="shared" si="120"/>
        <v>36.126161654819548</v>
      </c>
      <c r="AP247" s="43">
        <f t="shared" si="121"/>
        <v>36.126161654819548</v>
      </c>
      <c r="AQ247" s="43">
        <f t="shared" si="122"/>
        <v>36.126161654819548</v>
      </c>
      <c r="AR247" s="43">
        <f t="shared" si="123"/>
        <v>36.126161654819548</v>
      </c>
      <c r="AT247" s="43">
        <f t="shared" si="124"/>
        <v>0.36629326834347881</v>
      </c>
      <c r="AU247" s="43">
        <f t="shared" si="124"/>
        <v>0.38744743717685132</v>
      </c>
      <c r="AV247" s="43">
        <f t="shared" si="124"/>
        <v>0.4167694592223955</v>
      </c>
      <c r="AW247" s="43">
        <f t="shared" si="124"/>
        <v>0.42672524806430007</v>
      </c>
      <c r="AX247" s="43">
        <f t="shared" si="124"/>
        <v>0.43224365897226757</v>
      </c>
      <c r="AZ247" s="47">
        <f t="shared" si="125"/>
        <v>1.5945827646073434</v>
      </c>
      <c r="BA247" s="47">
        <f t="shared" si="126"/>
        <v>1.5796107717858965</v>
      </c>
      <c r="BB247" s="47">
        <f t="shared" si="127"/>
        <v>1.7895636021055381</v>
      </c>
      <c r="BC247" s="47">
        <f t="shared" si="128"/>
        <v>1.7995193909474427</v>
      </c>
      <c r="BD247" s="47">
        <f t="shared" si="129"/>
        <v>1.8050378018554103</v>
      </c>
    </row>
    <row r="248" spans="2:56">
      <c r="B248" s="37">
        <f>'12. Investeringen (bijschatten)'!B51</f>
        <v>32</v>
      </c>
      <c r="C248" s="48"/>
      <c r="E248" s="48"/>
      <c r="F248" s="169">
        <f>'12. Investeringen (bijschatten)'!C51</f>
        <v>1248204.1157067129</v>
      </c>
      <c r="H248" s="37">
        <f>'12. Investeringen (bijschatten)'!D51</f>
        <v>2021</v>
      </c>
      <c r="I248" s="37" t="str">
        <f>'12. Investeringen (bijschatten)'!E51</f>
        <v>05 Wegen en terreinvoorzieningen</v>
      </c>
      <c r="J248" s="169">
        <f>_xlfn.XLOOKUP(I248,'3. Input (des)investeringen '!$B$11:$B$81,'3. Input (des)investeringen '!$D$11:$D$81)</f>
        <v>10</v>
      </c>
      <c r="K248" s="155"/>
      <c r="L248" s="155"/>
      <c r="M248" s="43">
        <f t="shared" si="107"/>
        <v>0</v>
      </c>
      <c r="N248" s="43">
        <f t="shared" si="108"/>
        <v>62410.205785335653</v>
      </c>
      <c r="P248" s="138">
        <f t="shared" si="109"/>
        <v>0</v>
      </c>
      <c r="Q248" s="138">
        <f t="shared" si="110"/>
        <v>1185793.9099213772</v>
      </c>
      <c r="S248" s="43">
        <f t="shared" si="111"/>
        <v>1185793.9099213772</v>
      </c>
      <c r="T248" s="38">
        <f t="shared" si="112"/>
        <v>9.5</v>
      </c>
      <c r="V248" s="43">
        <f t="shared" si="113"/>
        <v>146039.88153768543</v>
      </c>
      <c r="W248" s="43">
        <f t="shared" si="113"/>
        <v>126055.47669568638</v>
      </c>
      <c r="X248" s="43">
        <f t="shared" si="113"/>
        <v>108805.77988469771</v>
      </c>
      <c r="Y248" s="43">
        <f t="shared" si="113"/>
        <v>105586.67397094924</v>
      </c>
      <c r="Z248" s="43">
        <f t="shared" si="113"/>
        <v>105586.67397094924</v>
      </c>
      <c r="AB248" s="43">
        <f t="shared" si="114"/>
        <v>12482.041157067128</v>
      </c>
      <c r="AC248" s="43">
        <f t="shared" si="114"/>
        <v>12482.041157067128</v>
      </c>
      <c r="AD248" s="43">
        <f t="shared" si="114"/>
        <v>12482.041157067128</v>
      </c>
      <c r="AE248" s="43">
        <f t="shared" si="114"/>
        <v>12482.041157067128</v>
      </c>
      <c r="AF248" s="43">
        <f t="shared" si="114"/>
        <v>12482.041157067128</v>
      </c>
      <c r="AH248" s="43">
        <f t="shared" si="115"/>
        <v>158521.92269475257</v>
      </c>
      <c r="AI248" s="43">
        <f t="shared" si="116"/>
        <v>138537.51785275352</v>
      </c>
      <c r="AJ248" s="43">
        <f t="shared" si="117"/>
        <v>121287.82104176484</v>
      </c>
      <c r="AK248" s="43">
        <f t="shared" si="118"/>
        <v>118068.71512801637</v>
      </c>
      <c r="AL248" s="43">
        <f t="shared" si="119"/>
        <v>118068.71512801637</v>
      </c>
      <c r="AN248" s="43">
        <f t="shared" si="103"/>
        <v>1027271.9872266246</v>
      </c>
      <c r="AO248" s="43">
        <f t="shared" si="120"/>
        <v>888734.46937387111</v>
      </c>
      <c r="AP248" s="43">
        <f t="shared" si="121"/>
        <v>767446.6483321063</v>
      </c>
      <c r="AQ248" s="43">
        <f t="shared" si="122"/>
        <v>649377.93320408999</v>
      </c>
      <c r="AR248" s="43">
        <f t="shared" si="123"/>
        <v>531309.21807607356</v>
      </c>
      <c r="AT248" s="43">
        <f t="shared" si="124"/>
        <v>12655.891026302761</v>
      </c>
      <c r="AU248" s="43">
        <f t="shared" si="124"/>
        <v>13386.794044853799</v>
      </c>
      <c r="AV248" s="43">
        <f t="shared" si="124"/>
        <v>14399.906618168334</v>
      </c>
      <c r="AW248" s="43">
        <f t="shared" si="124"/>
        <v>14743.891587463138</v>
      </c>
      <c r="AX248" s="43">
        <f t="shared" si="124"/>
        <v>14934.559593472211</v>
      </c>
      <c r="AZ248" s="47">
        <f t="shared" si="125"/>
        <v>206105.06128676058</v>
      </c>
      <c r="BA248" s="47">
        <f t="shared" si="126"/>
        <v>181252.54938694506</v>
      </c>
      <c r="BB248" s="47">
        <f t="shared" si="127"/>
        <v>164850.70029655323</v>
      </c>
      <c r="BC248" s="47">
        <f t="shared" si="128"/>
        <v>157488.96817723493</v>
      </c>
      <c r="BD248" s="47">
        <f t="shared" si="129"/>
        <v>153193.02500837939</v>
      </c>
    </row>
    <row r="249" spans="2:56">
      <c r="B249" s="37">
        <f>'12. Investeringen (bijschatten)'!B52</f>
        <v>33</v>
      </c>
      <c r="C249" s="48"/>
      <c r="E249" s="48"/>
      <c r="F249" s="169">
        <f>'12. Investeringen (bijschatten)'!C52</f>
        <v>23454.576356302689</v>
      </c>
      <c r="H249" s="37">
        <f>'12. Investeringen (bijschatten)'!D52</f>
        <v>2021</v>
      </c>
      <c r="I249" s="37" t="str">
        <f>'12. Investeringen (bijschatten)'!E52</f>
        <v>05 Wegen en terreinvoorzieningen (EHD)</v>
      </c>
      <c r="J249" s="169">
        <f>_xlfn.XLOOKUP(I249,'3. Input (des)investeringen '!$B$11:$B$81,'3. Input (des)investeringen '!$D$11:$D$81)</f>
        <v>10</v>
      </c>
      <c r="K249" s="155"/>
      <c r="L249" s="155"/>
      <c r="M249" s="43">
        <f t="shared" si="107"/>
        <v>0</v>
      </c>
      <c r="N249" s="43">
        <f t="shared" si="108"/>
        <v>1172.7288178151346</v>
      </c>
      <c r="P249" s="138">
        <f t="shared" si="109"/>
        <v>0</v>
      </c>
      <c r="Q249" s="138">
        <f t="shared" si="110"/>
        <v>22281.847538487553</v>
      </c>
      <c r="S249" s="43">
        <f t="shared" si="111"/>
        <v>22281.847538487553</v>
      </c>
      <c r="T249" s="38">
        <f t="shared" si="112"/>
        <v>9.5</v>
      </c>
      <c r="V249" s="43">
        <f t="shared" si="113"/>
        <v>2744.1854336874144</v>
      </c>
      <c r="W249" s="43">
        <f t="shared" si="113"/>
        <v>2368.6653217091371</v>
      </c>
      <c r="X249" s="43">
        <f t="shared" si="113"/>
        <v>2044.5321724226233</v>
      </c>
      <c r="Y249" s="43">
        <f t="shared" si="113"/>
        <v>1984.0430548953266</v>
      </c>
      <c r="Z249" s="43">
        <f t="shared" si="113"/>
        <v>1984.0430548953266</v>
      </c>
      <c r="AB249" s="43">
        <f t="shared" si="114"/>
        <v>234.5457635630269</v>
      </c>
      <c r="AC249" s="43">
        <f t="shared" si="114"/>
        <v>234.5457635630269</v>
      </c>
      <c r="AD249" s="43">
        <f t="shared" si="114"/>
        <v>234.5457635630269</v>
      </c>
      <c r="AE249" s="43">
        <f t="shared" si="114"/>
        <v>234.5457635630269</v>
      </c>
      <c r="AF249" s="43">
        <f t="shared" si="114"/>
        <v>234.5457635630269</v>
      </c>
      <c r="AH249" s="43">
        <f t="shared" si="115"/>
        <v>2978.7311972504413</v>
      </c>
      <c r="AI249" s="43">
        <f t="shared" si="116"/>
        <v>2603.2110852721639</v>
      </c>
      <c r="AJ249" s="43">
        <f t="shared" si="117"/>
        <v>2279.0779359856501</v>
      </c>
      <c r="AK249" s="43">
        <f t="shared" si="118"/>
        <v>2218.5888184583537</v>
      </c>
      <c r="AL249" s="43">
        <f t="shared" si="119"/>
        <v>2218.5888184583537</v>
      </c>
      <c r="AN249" s="43">
        <f t="shared" ref="AN249:AN280" si="130">IF($J249=0,IF($H249 &gt; AN$215, 0,$S249),IF(OR($H249&gt;AN$59,$H249+$J249&lt;=AN$59),0,
IF($H249=AN$59,$S249-AH249,
S249-AH249)))</f>
        <v>19303.11634123711</v>
      </c>
      <c r="AO249" s="43">
        <f t="shared" si="120"/>
        <v>16699.905255964946</v>
      </c>
      <c r="AP249" s="43">
        <f t="shared" si="121"/>
        <v>14420.827319979297</v>
      </c>
      <c r="AQ249" s="43">
        <f t="shared" si="122"/>
        <v>12202.238501520944</v>
      </c>
      <c r="AR249" s="43">
        <f t="shared" si="123"/>
        <v>9983.6496830625911</v>
      </c>
      <c r="AT249" s="43">
        <f t="shared" si="124"/>
        <v>237.81251695793273</v>
      </c>
      <c r="AU249" s="43">
        <f t="shared" si="124"/>
        <v>251.54666543728726</v>
      </c>
      <c r="AV249" s="43">
        <f t="shared" si="124"/>
        <v>270.58371707758118</v>
      </c>
      <c r="AW249" s="43">
        <f t="shared" si="124"/>
        <v>277.04742091113042</v>
      </c>
      <c r="AX249" s="43">
        <f t="shared" si="124"/>
        <v>280.63019815835315</v>
      </c>
      <c r="AZ249" s="47">
        <f t="shared" si="125"/>
        <v>3872.8496698104354</v>
      </c>
      <c r="BA249" s="47">
        <f t="shared" si="126"/>
        <v>3405.8546241562944</v>
      </c>
      <c r="BB249" s="47">
        <f t="shared" si="127"/>
        <v>3097.6530912224443</v>
      </c>
      <c r="BC249" s="47">
        <f t="shared" si="128"/>
        <v>2959.32130242728</v>
      </c>
      <c r="BD249" s="47">
        <f t="shared" si="129"/>
        <v>2878.5977045730856</v>
      </c>
    </row>
    <row r="250" spans="2:56">
      <c r="B250" s="37">
        <f>'12. Investeringen (bijschatten)'!B53</f>
        <v>34</v>
      </c>
      <c r="C250" s="48"/>
      <c r="E250" s="48"/>
      <c r="F250" s="169">
        <f>'12. Investeringen (bijschatten)'!C53</f>
        <v>1097396.6149389972</v>
      </c>
      <c r="H250" s="37">
        <f>'12. Investeringen (bijschatten)'!D53</f>
        <v>2021</v>
      </c>
      <c r="I250" s="37" t="str">
        <f>'12. Investeringen (bijschatten)'!E53</f>
        <v>06 Utiliteitsgebouwen</v>
      </c>
      <c r="J250" s="169">
        <f>_xlfn.XLOOKUP(I250,'3. Input (des)investeringen '!$B$11:$B$81,'3. Input (des)investeringen '!$D$11:$D$81)</f>
        <v>30</v>
      </c>
      <c r="K250" s="155"/>
      <c r="L250" s="155"/>
      <c r="M250" s="43">
        <f t="shared" si="107"/>
        <v>0</v>
      </c>
      <c r="N250" s="43">
        <f t="shared" si="108"/>
        <v>18289.94358231662</v>
      </c>
      <c r="P250" s="138">
        <f t="shared" si="109"/>
        <v>0</v>
      </c>
      <c r="Q250" s="138">
        <f t="shared" si="110"/>
        <v>1079106.6713566806</v>
      </c>
      <c r="S250" s="43">
        <f t="shared" si="111"/>
        <v>1079106.6713566806</v>
      </c>
      <c r="T250" s="38">
        <f t="shared" si="112"/>
        <v>29.5</v>
      </c>
      <c r="V250" s="43">
        <f t="shared" ref="V250:Z281" si="131">IF($J250=0, 0, IF(OR($H250&gt;V$59,$H250+$J250&lt;V$59),0,
IF(OR($H250=2020,$H250=2021),VDB(ABS($S250)*(1-$F$28),0,$T250,V$59-2022,MIN($T250,V$59-2021),$F$22),
VDB(ABS($S250)*(1-$F$28),0,$T250,MAX(0,V$59-$H250-0.5),MIN($T250,V$59-$H250+0.5),$F$22,FALSE))))*IF($F250&lt;0,-1,1)</f>
        <v>42798.467982620896</v>
      </c>
      <c r="W250" s="43">
        <f t="shared" si="131"/>
        <v>40912.433800335901</v>
      </c>
      <c r="X250" s="43">
        <f t="shared" si="131"/>
        <v>39109.512988795679</v>
      </c>
      <c r="Y250" s="43">
        <f t="shared" si="131"/>
        <v>37386.042924882648</v>
      </c>
      <c r="Z250" s="43">
        <f t="shared" si="131"/>
        <v>35738.522389209858</v>
      </c>
      <c r="AB250" s="43">
        <f t="shared" ref="AB250:AF281" si="132">IF($J250 = 0, 0, IF(OR($H250&gt;AB$59,$H250+$J250&lt;AB$59),0,
IF(OR($H250=2020,$H250=2021),VDB(ABS($S250)*$F$28,0,$T250,AB$59-2022,MIN($T250,AB$59-2021),1),
VDB(ABS($S250)*$F$28,0,$T250,MAX(0,AB$59-$H250-0.5),MIN($T250,AB$59-$H250+0.5),1))))*IF($F250&lt;0,-1,1)</f>
        <v>3657.9887164633242</v>
      </c>
      <c r="AC250" s="43">
        <f t="shared" si="132"/>
        <v>3657.9887164633242</v>
      </c>
      <c r="AD250" s="43">
        <f t="shared" si="132"/>
        <v>3657.9887164633242</v>
      </c>
      <c r="AE250" s="43">
        <f t="shared" si="132"/>
        <v>3657.9887164633242</v>
      </c>
      <c r="AF250" s="43">
        <f t="shared" si="132"/>
        <v>3657.9887164633242</v>
      </c>
      <c r="AH250" s="43">
        <f t="shared" si="115"/>
        <v>46456.456699084221</v>
      </c>
      <c r="AI250" s="43">
        <f t="shared" si="116"/>
        <v>44570.422516799226</v>
      </c>
      <c r="AJ250" s="43">
        <f t="shared" si="117"/>
        <v>42767.501705259005</v>
      </c>
      <c r="AK250" s="43">
        <f t="shared" si="118"/>
        <v>41044.031641345973</v>
      </c>
      <c r="AL250" s="43">
        <f t="shared" si="119"/>
        <v>39396.511105673184</v>
      </c>
      <c r="AN250" s="43">
        <f t="shared" si="130"/>
        <v>1032650.2146575963</v>
      </c>
      <c r="AO250" s="43">
        <f t="shared" si="120"/>
        <v>988079.79214079713</v>
      </c>
      <c r="AP250" s="43">
        <f t="shared" si="121"/>
        <v>945312.29043553816</v>
      </c>
      <c r="AQ250" s="43">
        <f t="shared" si="122"/>
        <v>904268.25879419222</v>
      </c>
      <c r="AR250" s="43">
        <f t="shared" si="123"/>
        <v>864871.74768851907</v>
      </c>
      <c r="AT250" s="43">
        <f t="shared" ref="AT250:AX281" si="133">IF($H250&lt;=AT$215,$F250*INDEX($H$40:$N$46,$H250-2019,AT$215-2019)*INDEX($H$49:$N$55,$H250-2019,AT$215-2019)*$F$19,0)</f>
        <v>11126.811549918675</v>
      </c>
      <c r="AU250" s="43">
        <f t="shared" si="133"/>
        <v>11769.407170549581</v>
      </c>
      <c r="AV250" s="43">
        <f t="shared" si="133"/>
        <v>12660.115905216771</v>
      </c>
      <c r="AW250" s="43">
        <f t="shared" si="133"/>
        <v>12962.540753960591</v>
      </c>
      <c r="AX250" s="43">
        <f t="shared" si="133"/>
        <v>13130.172330990807</v>
      </c>
      <c r="AZ250" s="47">
        <f t="shared" si="125"/>
        <v>92693.375547361182</v>
      </c>
      <c r="BA250" s="47">
        <f t="shared" si="126"/>
        <v>88946.462827995128</v>
      </c>
      <c r="BB250" s="47">
        <f t="shared" si="127"/>
        <v>91349.484647026227</v>
      </c>
      <c r="BC250" s="47">
        <f t="shared" si="128"/>
        <v>88368.766229485875</v>
      </c>
      <c r="BD250" s="47">
        <f t="shared" si="129"/>
        <v>85391.809848827717</v>
      </c>
    </row>
    <row r="251" spans="2:56">
      <c r="B251" s="37">
        <f>'12. Investeringen (bijschatten)'!B54</f>
        <v>35</v>
      </c>
      <c r="C251" s="48"/>
      <c r="E251" s="48"/>
      <c r="F251" s="169">
        <f>'12. Investeringen (bijschatten)'!C54</f>
        <v>21.673674251477685</v>
      </c>
      <c r="H251" s="37">
        <f>'12. Investeringen (bijschatten)'!D54</f>
        <v>2021</v>
      </c>
      <c r="I251" s="37" t="str">
        <f>'12. Investeringen (bijschatten)'!E54</f>
        <v>06 Utiliteitsgebouwen (EHD)</v>
      </c>
      <c r="J251" s="169">
        <f>_xlfn.XLOOKUP(I251,'3. Input (des)investeringen '!$B$11:$B$81,'3. Input (des)investeringen '!$D$11:$D$81)</f>
        <v>30</v>
      </c>
      <c r="K251" s="155"/>
      <c r="L251" s="155"/>
      <c r="M251" s="43">
        <f t="shared" si="107"/>
        <v>0</v>
      </c>
      <c r="N251" s="43">
        <f t="shared" si="108"/>
        <v>0.36122790419129475</v>
      </c>
      <c r="P251" s="138">
        <f t="shared" si="109"/>
        <v>0</v>
      </c>
      <c r="Q251" s="138">
        <f t="shared" si="110"/>
        <v>21.312446347286389</v>
      </c>
      <c r="S251" s="43">
        <f t="shared" si="111"/>
        <v>21.312446347286389</v>
      </c>
      <c r="T251" s="38">
        <f t="shared" si="112"/>
        <v>29.5</v>
      </c>
      <c r="V251" s="43">
        <f t="shared" si="131"/>
        <v>0.84527329580762967</v>
      </c>
      <c r="W251" s="43">
        <f t="shared" si="131"/>
        <v>0.80802396412797139</v>
      </c>
      <c r="X251" s="43">
        <f t="shared" si="131"/>
        <v>0.77241612842063712</v>
      </c>
      <c r="Y251" s="43">
        <f t="shared" si="131"/>
        <v>0.7383774515749818</v>
      </c>
      <c r="Z251" s="43">
        <f t="shared" si="131"/>
        <v>0.70583878421744017</v>
      </c>
      <c r="AB251" s="43">
        <f t="shared" si="132"/>
        <v>7.2245580838258952E-2</v>
      </c>
      <c r="AC251" s="43">
        <f t="shared" si="132"/>
        <v>7.2245580838258952E-2</v>
      </c>
      <c r="AD251" s="43">
        <f t="shared" si="132"/>
        <v>7.2245580838258952E-2</v>
      </c>
      <c r="AE251" s="43">
        <f t="shared" si="132"/>
        <v>7.2245580838258952E-2</v>
      </c>
      <c r="AF251" s="43">
        <f t="shared" si="132"/>
        <v>7.2245580838258952E-2</v>
      </c>
      <c r="AH251" s="43">
        <f t="shared" si="115"/>
        <v>0.9175188766458886</v>
      </c>
      <c r="AI251" s="43">
        <f t="shared" si="116"/>
        <v>0.88026954496623033</v>
      </c>
      <c r="AJ251" s="43">
        <f t="shared" si="117"/>
        <v>0.84466170925889605</v>
      </c>
      <c r="AK251" s="43">
        <f t="shared" si="118"/>
        <v>0.81062303241324074</v>
      </c>
      <c r="AL251" s="43">
        <f t="shared" si="119"/>
        <v>0.77808436505569911</v>
      </c>
      <c r="AN251" s="43">
        <f t="shared" si="130"/>
        <v>20.3949274706405</v>
      </c>
      <c r="AO251" s="43">
        <f t="shared" si="120"/>
        <v>19.514657925674271</v>
      </c>
      <c r="AP251" s="43">
        <f t="shared" si="121"/>
        <v>18.669996216415374</v>
      </c>
      <c r="AQ251" s="43">
        <f t="shared" si="122"/>
        <v>17.859373184002134</v>
      </c>
      <c r="AR251" s="43">
        <f t="shared" si="123"/>
        <v>17.081288818946437</v>
      </c>
      <c r="AT251" s="43">
        <f t="shared" si="133"/>
        <v>0.21975545186452269</v>
      </c>
      <c r="AU251" s="43">
        <f t="shared" si="133"/>
        <v>0.23244676872060258</v>
      </c>
      <c r="AV251" s="43">
        <f t="shared" si="133"/>
        <v>0.2500383401773778</v>
      </c>
      <c r="AW251" s="43">
        <f t="shared" si="133"/>
        <v>0.256011256047535</v>
      </c>
      <c r="AX251" s="43">
        <f t="shared" si="133"/>
        <v>0.25932199361074165</v>
      </c>
      <c r="AZ251" s="47">
        <f t="shared" si="125"/>
        <v>1.8307018625121882</v>
      </c>
      <c r="BA251" s="47">
        <f t="shared" si="126"/>
        <v>1.7567000252340841</v>
      </c>
      <c r="BB251" s="47">
        <f t="shared" si="127"/>
        <v>1.8041599056600579</v>
      </c>
      <c r="BC251" s="47">
        <f t="shared" si="128"/>
        <v>1.7452904694528566</v>
      </c>
      <c r="BD251" s="47">
        <f t="shared" si="129"/>
        <v>1.6864953337864053</v>
      </c>
    </row>
    <row r="252" spans="2:56">
      <c r="B252" s="37">
        <f>'12. Investeringen (bijschatten)'!B55</f>
        <v>36</v>
      </c>
      <c r="C252" s="48"/>
      <c r="E252" s="48"/>
      <c r="F252" s="169">
        <f>'12. Investeringen (bijschatten)'!C55</f>
        <v>396020.07371979632</v>
      </c>
      <c r="H252" s="37">
        <f>'12. Investeringen (bijschatten)'!D55</f>
        <v>2021</v>
      </c>
      <c r="I252" s="37" t="str">
        <f>'12. Investeringen (bijschatten)'!E55</f>
        <v>08 Inrichting gebouwen</v>
      </c>
      <c r="J252" s="169">
        <f>_xlfn.XLOOKUP(I252,'3. Input (des)investeringen '!$B$11:$B$81,'3. Input (des)investeringen '!$D$11:$D$81)</f>
        <v>10</v>
      </c>
      <c r="K252" s="155"/>
      <c r="L252" s="155"/>
      <c r="M252" s="43">
        <f t="shared" si="107"/>
        <v>0</v>
      </c>
      <c r="N252" s="43">
        <f t="shared" si="108"/>
        <v>19801.003685989817</v>
      </c>
      <c r="P252" s="138">
        <f t="shared" si="109"/>
        <v>0</v>
      </c>
      <c r="Q252" s="138">
        <f t="shared" si="110"/>
        <v>376219.07003380649</v>
      </c>
      <c r="S252" s="43">
        <f t="shared" si="111"/>
        <v>376219.07003380649</v>
      </c>
      <c r="T252" s="38">
        <f t="shared" si="112"/>
        <v>9.5</v>
      </c>
      <c r="V252" s="43">
        <f t="shared" si="131"/>
        <v>46334.348625216175</v>
      </c>
      <c r="W252" s="43">
        <f t="shared" si="131"/>
        <v>39993.858813344486</v>
      </c>
      <c r="X252" s="43">
        <f t="shared" si="131"/>
        <v>34521.014975728918</v>
      </c>
      <c r="Y252" s="43">
        <f t="shared" si="131"/>
        <v>33499.683171713266</v>
      </c>
      <c r="Z252" s="43">
        <f t="shared" si="131"/>
        <v>33499.683171713266</v>
      </c>
      <c r="AB252" s="43">
        <f t="shared" si="132"/>
        <v>3960.200737197963</v>
      </c>
      <c r="AC252" s="43">
        <f t="shared" si="132"/>
        <v>3960.200737197963</v>
      </c>
      <c r="AD252" s="43">
        <f t="shared" si="132"/>
        <v>3960.200737197963</v>
      </c>
      <c r="AE252" s="43">
        <f t="shared" si="132"/>
        <v>3960.200737197963</v>
      </c>
      <c r="AF252" s="43">
        <f t="shared" si="132"/>
        <v>3960.200737197963</v>
      </c>
      <c r="AH252" s="43">
        <f t="shared" si="115"/>
        <v>50294.549362414138</v>
      </c>
      <c r="AI252" s="43">
        <f t="shared" si="116"/>
        <v>43954.05955054245</v>
      </c>
      <c r="AJ252" s="43">
        <f t="shared" si="117"/>
        <v>38481.215712926882</v>
      </c>
      <c r="AK252" s="43">
        <f t="shared" si="118"/>
        <v>37459.88390891123</v>
      </c>
      <c r="AL252" s="43">
        <f t="shared" si="119"/>
        <v>37459.88390891123</v>
      </c>
      <c r="AN252" s="43">
        <f t="shared" si="130"/>
        <v>325924.52067139233</v>
      </c>
      <c r="AO252" s="43">
        <f t="shared" si="120"/>
        <v>281970.46112084988</v>
      </c>
      <c r="AP252" s="43">
        <f t="shared" si="121"/>
        <v>243489.24540792301</v>
      </c>
      <c r="AQ252" s="43">
        <f t="shared" si="122"/>
        <v>206029.36149901178</v>
      </c>
      <c r="AR252" s="43">
        <f t="shared" si="123"/>
        <v>168569.47759010055</v>
      </c>
      <c r="AT252" s="43">
        <f t="shared" si="133"/>
        <v>4015.3584130656568</v>
      </c>
      <c r="AU252" s="43">
        <f t="shared" si="133"/>
        <v>4247.2533921370241</v>
      </c>
      <c r="AV252" s="43">
        <f t="shared" si="133"/>
        <v>4568.6855288539546</v>
      </c>
      <c r="AW252" s="43">
        <f t="shared" si="133"/>
        <v>4677.8222887672173</v>
      </c>
      <c r="AX252" s="43">
        <f t="shared" si="133"/>
        <v>4738.3158866055546</v>
      </c>
      <c r="AZ252" s="47">
        <f t="shared" si="125"/>
        <v>65391.341478307142</v>
      </c>
      <c r="BA252" s="47">
        <f t="shared" si="126"/>
        <v>57506.338159667524</v>
      </c>
      <c r="BB252" s="47">
        <f t="shared" si="127"/>
        <v>52302.492567281908</v>
      </c>
      <c r="BC252" s="47">
        <f t="shared" si="128"/>
        <v>49966.821934640895</v>
      </c>
      <c r="BD252" s="47">
        <f t="shared" si="129"/>
        <v>48603.839943940606</v>
      </c>
    </row>
    <row r="253" spans="2:56">
      <c r="B253" s="37">
        <f>'12. Investeringen (bijschatten)'!B56</f>
        <v>37</v>
      </c>
      <c r="C253" s="48"/>
      <c r="E253" s="48"/>
      <c r="F253" s="169">
        <f>'12. Investeringen (bijschatten)'!C56</f>
        <v>467492.18719026912</v>
      </c>
      <c r="H253" s="37">
        <f>'12. Investeringen (bijschatten)'!D56</f>
        <v>2021</v>
      </c>
      <c r="I253" s="37" t="str">
        <f>'12. Investeringen (bijschatten)'!E56</f>
        <v>10 Gereedschap</v>
      </c>
      <c r="J253" s="169">
        <f>_xlfn.XLOOKUP(I253,'3. Input (des)investeringen '!$B$11:$B$81,'3. Input (des)investeringen '!$D$11:$D$81)</f>
        <v>10</v>
      </c>
      <c r="K253" s="155"/>
      <c r="L253" s="155"/>
      <c r="M253" s="43">
        <f t="shared" si="107"/>
        <v>0</v>
      </c>
      <c r="N253" s="43">
        <f t="shared" si="108"/>
        <v>23374.609359513459</v>
      </c>
      <c r="P253" s="138">
        <f t="shared" si="109"/>
        <v>0</v>
      </c>
      <c r="Q253" s="138">
        <f t="shared" si="110"/>
        <v>444117.57783075568</v>
      </c>
      <c r="S253" s="43">
        <f t="shared" si="111"/>
        <v>444117.57783075568</v>
      </c>
      <c r="T253" s="38">
        <f t="shared" si="112"/>
        <v>9.5</v>
      </c>
      <c r="V253" s="43">
        <f t="shared" si="131"/>
        <v>54696.585901261496</v>
      </c>
      <c r="W253" s="43">
        <f t="shared" si="131"/>
        <v>47211.789935825713</v>
      </c>
      <c r="X253" s="43">
        <f t="shared" si="131"/>
        <v>40751.229207765347</v>
      </c>
      <c r="Y253" s="43">
        <f t="shared" si="131"/>
        <v>39545.571538896547</v>
      </c>
      <c r="Z253" s="43">
        <f t="shared" si="131"/>
        <v>39545.571538896547</v>
      </c>
      <c r="AB253" s="43">
        <f t="shared" si="132"/>
        <v>4674.9218719026912</v>
      </c>
      <c r="AC253" s="43">
        <f t="shared" si="132"/>
        <v>4674.9218719026912</v>
      </c>
      <c r="AD253" s="43">
        <f t="shared" si="132"/>
        <v>4674.9218719026912</v>
      </c>
      <c r="AE253" s="43">
        <f t="shared" si="132"/>
        <v>4674.9218719026912</v>
      </c>
      <c r="AF253" s="43">
        <f t="shared" si="132"/>
        <v>4674.9218719026912</v>
      </c>
      <c r="AH253" s="43">
        <f t="shared" si="115"/>
        <v>59371.507773164187</v>
      </c>
      <c r="AI253" s="43">
        <f t="shared" si="116"/>
        <v>51886.711807728403</v>
      </c>
      <c r="AJ253" s="43">
        <f t="shared" si="117"/>
        <v>45426.151079668038</v>
      </c>
      <c r="AK253" s="43">
        <f t="shared" si="118"/>
        <v>44220.493410799238</v>
      </c>
      <c r="AL253" s="43">
        <f t="shared" si="119"/>
        <v>44220.493410799238</v>
      </c>
      <c r="AN253" s="43">
        <f t="shared" si="130"/>
        <v>384746.07005759148</v>
      </c>
      <c r="AO253" s="43">
        <f t="shared" si="120"/>
        <v>332859.35824986309</v>
      </c>
      <c r="AP253" s="43">
        <f t="shared" si="121"/>
        <v>287433.20717019506</v>
      </c>
      <c r="AQ253" s="43">
        <f t="shared" si="122"/>
        <v>243212.71375939582</v>
      </c>
      <c r="AR253" s="43">
        <f t="shared" si="123"/>
        <v>198992.22034859657</v>
      </c>
      <c r="AT253" s="43">
        <f t="shared" si="133"/>
        <v>4740.0341837345522</v>
      </c>
      <c r="AU253" s="43">
        <f t="shared" si="133"/>
        <v>5013.78063791359</v>
      </c>
      <c r="AV253" s="43">
        <f t="shared" si="133"/>
        <v>5393.2235565908904</v>
      </c>
      <c r="AW253" s="43">
        <f t="shared" si="133"/>
        <v>5522.0568809107335</v>
      </c>
      <c r="AX253" s="43">
        <f t="shared" si="133"/>
        <v>5593.4681204946701</v>
      </c>
      <c r="AZ253" s="47">
        <f t="shared" si="125"/>
        <v>77192.90833885684</v>
      </c>
      <c r="BA253" s="47">
        <f t="shared" si="126"/>
        <v>67884.851267887469</v>
      </c>
      <c r="BB253" s="47">
        <f t="shared" si="127"/>
        <v>61741.836508726345</v>
      </c>
      <c r="BC253" s="47">
        <f t="shared" si="128"/>
        <v>58984.633414567012</v>
      </c>
      <c r="BD253" s="47">
        <f t="shared" si="129"/>
        <v>57375.665904540576</v>
      </c>
    </row>
    <row r="254" spans="2:56" s="230" customFormat="1">
      <c r="B254" s="37">
        <f>'12. Investeringen (bijschatten)'!B57</f>
        <v>38</v>
      </c>
      <c r="C254" s="48"/>
      <c r="D254" s="3"/>
      <c r="E254" s="48"/>
      <c r="F254" s="169">
        <f>'12. Investeringen (bijschatten)'!C57</f>
        <v>2674366.8931494337</v>
      </c>
      <c r="G254" s="3"/>
      <c r="H254" s="37">
        <f>'12. Investeringen (bijschatten)'!D57</f>
        <v>2021</v>
      </c>
      <c r="I254" s="37" t="str">
        <f>'12. Investeringen (bijschatten)'!E57</f>
        <v>11 Werktuigen</v>
      </c>
      <c r="J254" s="169">
        <f>_xlfn.XLOOKUP(I254,'3. Input (des)investeringen '!$B$11:$B$81,'3. Input (des)investeringen '!$D$11:$D$81)</f>
        <v>10</v>
      </c>
      <c r="M254" s="43">
        <f t="shared" si="107"/>
        <v>0</v>
      </c>
      <c r="N254" s="43">
        <f t="shared" si="108"/>
        <v>133718.34465747169</v>
      </c>
      <c r="O254" s="3"/>
      <c r="P254" s="138">
        <f t="shared" si="109"/>
        <v>0</v>
      </c>
      <c r="Q254" s="138">
        <f t="shared" si="110"/>
        <v>2540648.5484919618</v>
      </c>
      <c r="R254" s="3"/>
      <c r="S254" s="43">
        <f t="shared" si="111"/>
        <v>2540648.5484919618</v>
      </c>
      <c r="T254" s="38">
        <f t="shared" si="112"/>
        <v>9.5</v>
      </c>
      <c r="U254" s="3"/>
      <c r="V254" s="43">
        <f t="shared" si="131"/>
        <v>312900.92649848375</v>
      </c>
      <c r="W254" s="43">
        <f t="shared" si="131"/>
        <v>270082.90497763857</v>
      </c>
      <c r="X254" s="43">
        <f t="shared" si="131"/>
        <v>233124.1916649091</v>
      </c>
      <c r="Y254" s="43">
        <f t="shared" si="131"/>
        <v>226227.02623103606</v>
      </c>
      <c r="Z254" s="43">
        <f t="shared" si="131"/>
        <v>226227.02623103606</v>
      </c>
      <c r="AA254" s="3"/>
      <c r="AB254" s="43">
        <f t="shared" si="132"/>
        <v>26743.668931494336</v>
      </c>
      <c r="AC254" s="43">
        <f t="shared" si="132"/>
        <v>26743.668931494336</v>
      </c>
      <c r="AD254" s="43">
        <f t="shared" si="132"/>
        <v>26743.668931494336</v>
      </c>
      <c r="AE254" s="43">
        <f t="shared" si="132"/>
        <v>26743.668931494336</v>
      </c>
      <c r="AF254" s="43">
        <f t="shared" si="132"/>
        <v>26743.668931494336</v>
      </c>
      <c r="AG254" s="3"/>
      <c r="AH254" s="43">
        <f t="shared" si="115"/>
        <v>339644.5954299781</v>
      </c>
      <c r="AI254" s="43">
        <f t="shared" si="116"/>
        <v>296826.57390913292</v>
      </c>
      <c r="AJ254" s="43">
        <f t="shared" si="117"/>
        <v>259867.86059640342</v>
      </c>
      <c r="AK254" s="43">
        <f t="shared" si="118"/>
        <v>252970.69516253041</v>
      </c>
      <c r="AL254" s="43">
        <f t="shared" si="119"/>
        <v>252970.69516253041</v>
      </c>
      <c r="AM254" s="3"/>
      <c r="AN254" s="43">
        <f t="shared" si="130"/>
        <v>2201003.9530619839</v>
      </c>
      <c r="AO254" s="43">
        <f t="shared" si="120"/>
        <v>1904177.3791528509</v>
      </c>
      <c r="AP254" s="43">
        <f t="shared" si="121"/>
        <v>1644309.5185564475</v>
      </c>
      <c r="AQ254" s="43">
        <f t="shared" si="122"/>
        <v>1391338.8233939172</v>
      </c>
      <c r="AR254" s="43">
        <f t="shared" si="123"/>
        <v>1138368.1282313867</v>
      </c>
      <c r="AS254" s="3"/>
      <c r="AT254" s="43">
        <f t="shared" si="133"/>
        <v>27116.154752372193</v>
      </c>
      <c r="AU254" s="43">
        <f t="shared" si="133"/>
        <v>28682.166921631186</v>
      </c>
      <c r="AV254" s="43">
        <f t="shared" si="133"/>
        <v>30852.833314260235</v>
      </c>
      <c r="AW254" s="43">
        <f t="shared" si="133"/>
        <v>31589.845796471287</v>
      </c>
      <c r="AX254" s="43">
        <f t="shared" si="133"/>
        <v>31998.365682311251</v>
      </c>
      <c r="AY254" s="3"/>
      <c r="AZ254" s="47">
        <f t="shared" si="125"/>
        <v>441594.88458645775</v>
      </c>
      <c r="BA254" s="47">
        <f t="shared" si="126"/>
        <v>388346.59434280818</v>
      </c>
      <c r="BB254" s="47">
        <f t="shared" si="127"/>
        <v>353204.45561580866</v>
      </c>
      <c r="BC254" s="47">
        <f t="shared" si="128"/>
        <v>337431.41624797054</v>
      </c>
      <c r="BD254" s="47">
        <f t="shared" si="129"/>
        <v>328227.04971763433</v>
      </c>
    </row>
    <row r="255" spans="2:56" s="230" customFormat="1">
      <c r="B255" s="37">
        <f>'12. Investeringen (bijschatten)'!B58</f>
        <v>39</v>
      </c>
      <c r="C255" s="48"/>
      <c r="D255" s="3"/>
      <c r="E255" s="48"/>
      <c r="F255" s="169">
        <f>'12. Investeringen (bijschatten)'!C58</f>
        <v>49.981940341018536</v>
      </c>
      <c r="G255" s="3"/>
      <c r="H255" s="37">
        <f>'12. Investeringen (bijschatten)'!D58</f>
        <v>2021</v>
      </c>
      <c r="I255" s="37" t="str">
        <f>'12. Investeringen (bijschatten)'!E58</f>
        <v>14 Overig rollend materieel</v>
      </c>
      <c r="J255" s="169">
        <f>_xlfn.XLOOKUP(I255,'3. Input (des)investeringen '!$B$11:$B$81,'3. Input (des)investeringen '!$D$11:$D$81)</f>
        <v>10</v>
      </c>
      <c r="M255" s="43">
        <f t="shared" si="107"/>
        <v>0</v>
      </c>
      <c r="N255" s="43">
        <f t="shared" si="108"/>
        <v>2.4990970170509268</v>
      </c>
      <c r="O255" s="3"/>
      <c r="P255" s="138">
        <f t="shared" si="109"/>
        <v>0</v>
      </c>
      <c r="Q255" s="138">
        <f t="shared" si="110"/>
        <v>47.482843323967607</v>
      </c>
      <c r="R255" s="3"/>
      <c r="S255" s="43">
        <f t="shared" si="111"/>
        <v>47.482843323967607</v>
      </c>
      <c r="T255" s="38">
        <f t="shared" si="112"/>
        <v>9.5</v>
      </c>
      <c r="U255" s="3"/>
      <c r="V255" s="43">
        <f t="shared" si="131"/>
        <v>5.8478870198991695</v>
      </c>
      <c r="W255" s="43">
        <f t="shared" si="131"/>
        <v>5.0476498487550723</v>
      </c>
      <c r="X255" s="43">
        <f t="shared" si="131"/>
        <v>4.3569188168201682</v>
      </c>
      <c r="Y255" s="43">
        <f t="shared" si="131"/>
        <v>4.2280158932456064</v>
      </c>
      <c r="Z255" s="43">
        <f t="shared" si="131"/>
        <v>4.2280158932456064</v>
      </c>
      <c r="AA255" s="3"/>
      <c r="AB255" s="43">
        <f t="shared" si="132"/>
        <v>0.49981940341018533</v>
      </c>
      <c r="AC255" s="43">
        <f t="shared" si="132"/>
        <v>0.49981940341018527</v>
      </c>
      <c r="AD255" s="43">
        <f t="shared" si="132"/>
        <v>0.49981940341018527</v>
      </c>
      <c r="AE255" s="43">
        <f t="shared" si="132"/>
        <v>0.49981940341018527</v>
      </c>
      <c r="AF255" s="43">
        <f t="shared" si="132"/>
        <v>0.49981940341018527</v>
      </c>
      <c r="AG255" s="3"/>
      <c r="AH255" s="43">
        <f t="shared" si="115"/>
        <v>6.3477064233093552</v>
      </c>
      <c r="AI255" s="43">
        <f t="shared" si="116"/>
        <v>5.5474692521652571</v>
      </c>
      <c r="AJ255" s="43">
        <f t="shared" si="117"/>
        <v>4.8567382202303531</v>
      </c>
      <c r="AK255" s="43">
        <f t="shared" si="118"/>
        <v>4.7278352966557922</v>
      </c>
      <c r="AL255" s="43">
        <f t="shared" si="119"/>
        <v>4.7278352966557922</v>
      </c>
      <c r="AM255" s="3"/>
      <c r="AN255" s="43">
        <f t="shared" si="130"/>
        <v>41.135136900658253</v>
      </c>
      <c r="AO255" s="43">
        <f t="shared" si="120"/>
        <v>35.587667648492996</v>
      </c>
      <c r="AP255" s="43">
        <f t="shared" si="121"/>
        <v>30.730929428262641</v>
      </c>
      <c r="AQ255" s="43">
        <f t="shared" si="122"/>
        <v>26.003094131606851</v>
      </c>
      <c r="AR255" s="43">
        <f t="shared" si="123"/>
        <v>21.27525883495106</v>
      </c>
      <c r="AS255" s="3"/>
      <c r="AT255" s="43">
        <f t="shared" si="133"/>
        <v>0.5067808880608824</v>
      </c>
      <c r="AU255" s="43">
        <f t="shared" si="133"/>
        <v>0.53604849790817455</v>
      </c>
      <c r="AV255" s="43">
        <f t="shared" si="133"/>
        <v>0.57661664822986514</v>
      </c>
      <c r="AW255" s="43">
        <f t="shared" si="133"/>
        <v>0.59039086672278018</v>
      </c>
      <c r="AX255" s="43">
        <f t="shared" si="133"/>
        <v>0.59802580141123918</v>
      </c>
      <c r="AY255" s="3"/>
      <c r="AZ255" s="47">
        <f t="shared" si="125"/>
        <v>8.2530819659926173</v>
      </c>
      <c r="BA255" s="47">
        <f t="shared" si="126"/>
        <v>7.2579107824737008</v>
      </c>
      <c r="BB255" s="47">
        <f t="shared" si="127"/>
        <v>6.6011301867341983</v>
      </c>
      <c r="BC255" s="47">
        <f t="shared" si="128"/>
        <v>6.3063437403796323</v>
      </c>
      <c r="BD255" s="47">
        <f t="shared" si="129"/>
        <v>6.1343209337951716</v>
      </c>
    </row>
    <row r="256" spans="2:56" s="230" customFormat="1">
      <c r="B256" s="37">
        <f>'12. Investeringen (bijschatten)'!B59</f>
        <v>40</v>
      </c>
      <c r="C256" s="48"/>
      <c r="D256" s="3"/>
      <c r="E256" s="48"/>
      <c r="F256" s="169">
        <f>'12. Investeringen (bijschatten)'!C59</f>
        <v>503372.15987408569</v>
      </c>
      <c r="G256" s="3"/>
      <c r="H256" s="37">
        <f>'12. Investeringen (bijschatten)'!D59</f>
        <v>2021</v>
      </c>
      <c r="I256" s="37" t="str">
        <f>'12. Investeringen (bijschatten)'!E59</f>
        <v>15 Compressorstations (KC)</v>
      </c>
      <c r="J256" s="169">
        <f>_xlfn.XLOOKUP(I256,'3. Input (des)investeringen '!$B$11:$B$81,'3. Input (des)investeringen '!$D$11:$D$81)</f>
        <v>30</v>
      </c>
      <c r="M256" s="43">
        <f t="shared" si="107"/>
        <v>0</v>
      </c>
      <c r="N256" s="43">
        <f t="shared" si="108"/>
        <v>8389.5359979014283</v>
      </c>
      <c r="O256" s="3"/>
      <c r="P256" s="138">
        <f t="shared" si="109"/>
        <v>0</v>
      </c>
      <c r="Q256" s="138">
        <f t="shared" si="110"/>
        <v>494982.62387618428</v>
      </c>
      <c r="R256" s="3"/>
      <c r="S256" s="43">
        <f t="shared" si="111"/>
        <v>494982.62387618428</v>
      </c>
      <c r="T256" s="38">
        <f t="shared" si="112"/>
        <v>29.5</v>
      </c>
      <c r="U256" s="3"/>
      <c r="V256" s="43">
        <f t="shared" si="131"/>
        <v>19631.514235089344</v>
      </c>
      <c r="W256" s="43">
        <f t="shared" si="131"/>
        <v>18766.396658627778</v>
      </c>
      <c r="X256" s="43">
        <f t="shared" si="131"/>
        <v>17939.402907569605</v>
      </c>
      <c r="Y256" s="43">
        <f t="shared" si="131"/>
        <v>17148.852948930944</v>
      </c>
      <c r="Z256" s="43">
        <f t="shared" si="131"/>
        <v>16393.140785079751</v>
      </c>
      <c r="AA256" s="3"/>
      <c r="AB256" s="43">
        <f t="shared" si="132"/>
        <v>1677.9071995802858</v>
      </c>
      <c r="AC256" s="43">
        <f t="shared" si="132"/>
        <v>1677.9071995802856</v>
      </c>
      <c r="AD256" s="43">
        <f t="shared" si="132"/>
        <v>1677.9071995802856</v>
      </c>
      <c r="AE256" s="43">
        <f t="shared" si="132"/>
        <v>1677.9071995802856</v>
      </c>
      <c r="AF256" s="43">
        <f t="shared" si="132"/>
        <v>1677.9071995802856</v>
      </c>
      <c r="AG256" s="3"/>
      <c r="AH256" s="43">
        <f t="shared" si="115"/>
        <v>21309.421434669628</v>
      </c>
      <c r="AI256" s="43">
        <f t="shared" si="116"/>
        <v>20444.303858208063</v>
      </c>
      <c r="AJ256" s="43">
        <f t="shared" si="117"/>
        <v>19617.31010714989</v>
      </c>
      <c r="AK256" s="43">
        <f t="shared" si="118"/>
        <v>18826.760148511228</v>
      </c>
      <c r="AL256" s="43">
        <f t="shared" si="119"/>
        <v>18071.047984660036</v>
      </c>
      <c r="AM256" s="3"/>
      <c r="AN256" s="43">
        <f t="shared" si="130"/>
        <v>473673.20244151464</v>
      </c>
      <c r="AO256" s="43">
        <f t="shared" si="120"/>
        <v>453228.89858330658</v>
      </c>
      <c r="AP256" s="43">
        <f t="shared" si="121"/>
        <v>433611.5884761567</v>
      </c>
      <c r="AQ256" s="43">
        <f t="shared" si="122"/>
        <v>414784.82832764549</v>
      </c>
      <c r="AR256" s="43">
        <f t="shared" si="123"/>
        <v>396713.78034298547</v>
      </c>
      <c r="AS256" s="3"/>
      <c r="AT256" s="43">
        <f t="shared" si="133"/>
        <v>5103.8312731681199</v>
      </c>
      <c r="AU256" s="43">
        <f t="shared" si="133"/>
        <v>5398.587736856125</v>
      </c>
      <c r="AV256" s="43">
        <f t="shared" si="133"/>
        <v>5807.1528567813966</v>
      </c>
      <c r="AW256" s="43">
        <f t="shared" si="133"/>
        <v>5945.8741242241904</v>
      </c>
      <c r="AX256" s="43">
        <f t="shared" si="133"/>
        <v>6022.7661683986571</v>
      </c>
      <c r="AY256" s="3"/>
      <c r="AZ256" s="47">
        <f t="shared" si="125"/>
        <v>42518.141590849249</v>
      </c>
      <c r="BA256" s="47">
        <f t="shared" si="126"/>
        <v>40799.445248313306</v>
      </c>
      <c r="BB256" s="47">
        <f t="shared" si="127"/>
        <v>41901.703326025236</v>
      </c>
      <c r="BC256" s="47">
        <f t="shared" si="128"/>
        <v>40534.457749185945</v>
      </c>
      <c r="BD256" s="47">
        <f t="shared" si="129"/>
        <v>39168.937806092144</v>
      </c>
    </row>
    <row r="257" spans="2:56" s="230" customFormat="1">
      <c r="B257" s="37">
        <f>'12. Investeringen (bijschatten)'!B60</f>
        <v>41</v>
      </c>
      <c r="C257" s="48"/>
      <c r="D257" s="3"/>
      <c r="E257" s="48"/>
      <c r="F257" s="169">
        <f>'12. Investeringen (bijschatten)'!C60</f>
        <v>8924117.8015749045</v>
      </c>
      <c r="G257" s="3"/>
      <c r="H257" s="37">
        <f>'12. Investeringen (bijschatten)'!D60</f>
        <v>2021</v>
      </c>
      <c r="I257" s="37" t="str">
        <f>'12. Investeringen (bijschatten)'!E60</f>
        <v>15 Compressorstations (TT-BT-AT)</v>
      </c>
      <c r="J257" s="169">
        <f>_xlfn.XLOOKUP(I257,'3. Input (des)investeringen '!$B$11:$B$81,'3. Input (des)investeringen '!$D$11:$D$81)</f>
        <v>30</v>
      </c>
      <c r="M257" s="43">
        <f t="shared" si="107"/>
        <v>0</v>
      </c>
      <c r="N257" s="43">
        <f t="shared" si="108"/>
        <v>148735.29669291509</v>
      </c>
      <c r="O257" s="3"/>
      <c r="P257" s="138">
        <f t="shared" si="109"/>
        <v>0</v>
      </c>
      <c r="Q257" s="138">
        <f t="shared" si="110"/>
        <v>8775382.5048819892</v>
      </c>
      <c r="R257" s="3"/>
      <c r="S257" s="43">
        <f t="shared" si="111"/>
        <v>8775382.5048819892</v>
      </c>
      <c r="T257" s="38">
        <f t="shared" si="112"/>
        <v>29.5</v>
      </c>
      <c r="U257" s="3"/>
      <c r="V257" s="43">
        <f t="shared" si="131"/>
        <v>348040.5942614213</v>
      </c>
      <c r="W257" s="43">
        <f t="shared" si="131"/>
        <v>332703.21214142645</v>
      </c>
      <c r="X257" s="43">
        <f t="shared" si="131"/>
        <v>318041.71465722803</v>
      </c>
      <c r="Y257" s="43">
        <f t="shared" si="131"/>
        <v>304026.31706216373</v>
      </c>
      <c r="Z257" s="43">
        <f t="shared" si="131"/>
        <v>290628.54715772939</v>
      </c>
      <c r="AA257" s="3"/>
      <c r="AB257" s="43">
        <f t="shared" si="132"/>
        <v>29747.059338583014</v>
      </c>
      <c r="AC257" s="43">
        <f t="shared" si="132"/>
        <v>29747.059338583014</v>
      </c>
      <c r="AD257" s="43">
        <f t="shared" si="132"/>
        <v>29747.059338583014</v>
      </c>
      <c r="AE257" s="43">
        <f t="shared" si="132"/>
        <v>29747.059338583014</v>
      </c>
      <c r="AF257" s="43">
        <f t="shared" si="132"/>
        <v>29747.059338583014</v>
      </c>
      <c r="AG257" s="3"/>
      <c r="AH257" s="43">
        <f t="shared" si="115"/>
        <v>377787.65360000433</v>
      </c>
      <c r="AI257" s="43">
        <f t="shared" si="116"/>
        <v>362450.27148000948</v>
      </c>
      <c r="AJ257" s="43">
        <f t="shared" si="117"/>
        <v>347788.77399581106</v>
      </c>
      <c r="AK257" s="43">
        <f t="shared" si="118"/>
        <v>333773.37640074675</v>
      </c>
      <c r="AL257" s="43">
        <f t="shared" si="119"/>
        <v>320375.60649631242</v>
      </c>
      <c r="AM257" s="3"/>
      <c r="AN257" s="43">
        <f t="shared" si="130"/>
        <v>8397594.8512819856</v>
      </c>
      <c r="AO257" s="43">
        <f t="shared" si="120"/>
        <v>8035144.5798019757</v>
      </c>
      <c r="AP257" s="43">
        <f t="shared" si="121"/>
        <v>7687355.8058061646</v>
      </c>
      <c r="AQ257" s="43">
        <f t="shared" si="122"/>
        <v>7353582.4294054182</v>
      </c>
      <c r="AR257" s="43">
        <f t="shared" si="123"/>
        <v>7033206.8229091056</v>
      </c>
      <c r="AS257" s="3"/>
      <c r="AT257" s="43">
        <f t="shared" si="133"/>
        <v>90484.129143152386</v>
      </c>
      <c r="AU257" s="43">
        <f t="shared" si="133"/>
        <v>95709.768569427746</v>
      </c>
      <c r="AV257" s="43">
        <f t="shared" si="133"/>
        <v>102953.08385476202</v>
      </c>
      <c r="AW257" s="43">
        <f t="shared" si="133"/>
        <v>105412.42712188458</v>
      </c>
      <c r="AX257" s="43">
        <f t="shared" si="133"/>
        <v>106775.62062942477</v>
      </c>
      <c r="AY257" s="3"/>
      <c r="AZ257" s="47">
        <f t="shared" si="125"/>
        <v>753790.00768674421</v>
      </c>
      <c r="BA257" s="47">
        <f t="shared" si="126"/>
        <v>723319.81118290243</v>
      </c>
      <c r="BB257" s="47">
        <f t="shared" si="127"/>
        <v>742861.37847120734</v>
      </c>
      <c r="BC257" s="47">
        <f t="shared" si="128"/>
        <v>718621.93584003719</v>
      </c>
      <c r="BD257" s="47">
        <f t="shared" si="129"/>
        <v>694413.08639628324</v>
      </c>
    </row>
    <row r="258" spans="2:56" s="230" customFormat="1">
      <c r="B258" s="37">
        <f>'12. Investeringen (bijschatten)'!B61</f>
        <v>42</v>
      </c>
      <c r="C258" s="48"/>
      <c r="D258" s="3"/>
      <c r="E258" s="48"/>
      <c r="F258" s="169">
        <f>'12. Investeringen (bijschatten)'!C61</f>
        <v>302473.20248261362</v>
      </c>
      <c r="G258" s="3"/>
      <c r="H258" s="37">
        <f>'12. Investeringen (bijschatten)'!D61</f>
        <v>2021</v>
      </c>
      <c r="I258" s="37" t="str">
        <f>'12. Investeringen (bijschatten)'!E61</f>
        <v>16 LNG installaties</v>
      </c>
      <c r="J258" s="169">
        <f>_xlfn.XLOOKUP(I258,'3. Input (des)investeringen '!$B$11:$B$81,'3. Input (des)investeringen '!$D$11:$D$81)</f>
        <v>30</v>
      </c>
      <c r="M258" s="43">
        <f t="shared" si="107"/>
        <v>0</v>
      </c>
      <c r="N258" s="43">
        <f t="shared" si="108"/>
        <v>5041.2200413768933</v>
      </c>
      <c r="O258" s="3"/>
      <c r="P258" s="138">
        <f t="shared" si="109"/>
        <v>0</v>
      </c>
      <c r="Q258" s="138">
        <f t="shared" si="110"/>
        <v>297431.98244123673</v>
      </c>
      <c r="R258" s="3"/>
      <c r="S258" s="43">
        <f t="shared" si="111"/>
        <v>297431.98244123673</v>
      </c>
      <c r="T258" s="38">
        <f t="shared" si="112"/>
        <v>29.5</v>
      </c>
      <c r="U258" s="3"/>
      <c r="V258" s="43">
        <f t="shared" si="131"/>
        <v>11796.454896821931</v>
      </c>
      <c r="W258" s="43">
        <f t="shared" si="131"/>
        <v>11276.611121707745</v>
      </c>
      <c r="X258" s="43">
        <f t="shared" si="131"/>
        <v>10779.675716344353</v>
      </c>
      <c r="Y258" s="43">
        <f t="shared" si="131"/>
        <v>10304.639159352906</v>
      </c>
      <c r="Z258" s="43">
        <f t="shared" si="131"/>
        <v>9850.5364167373555</v>
      </c>
      <c r="AA258" s="3"/>
      <c r="AB258" s="43">
        <f t="shared" si="132"/>
        <v>1008.2440082753789</v>
      </c>
      <c r="AC258" s="43">
        <f t="shared" si="132"/>
        <v>1008.2440082753789</v>
      </c>
      <c r="AD258" s="43">
        <f t="shared" si="132"/>
        <v>1008.2440082753789</v>
      </c>
      <c r="AE258" s="43">
        <f t="shared" si="132"/>
        <v>1008.2440082753789</v>
      </c>
      <c r="AF258" s="43">
        <f t="shared" si="132"/>
        <v>1008.2440082753789</v>
      </c>
      <c r="AG258" s="3"/>
      <c r="AH258" s="43">
        <f t="shared" si="115"/>
        <v>12804.69890509731</v>
      </c>
      <c r="AI258" s="43">
        <f t="shared" si="116"/>
        <v>12284.855129983123</v>
      </c>
      <c r="AJ258" s="43">
        <f t="shared" si="117"/>
        <v>11787.919724619731</v>
      </c>
      <c r="AK258" s="43">
        <f t="shared" si="118"/>
        <v>11312.883167628284</v>
      </c>
      <c r="AL258" s="43">
        <f t="shared" si="119"/>
        <v>10858.780425012734</v>
      </c>
      <c r="AM258" s="3"/>
      <c r="AN258" s="43">
        <f t="shared" si="130"/>
        <v>284627.28353613941</v>
      </c>
      <c r="AO258" s="43">
        <f t="shared" si="120"/>
        <v>272342.42840615631</v>
      </c>
      <c r="AP258" s="43">
        <f t="shared" si="121"/>
        <v>260554.50868153656</v>
      </c>
      <c r="AQ258" s="43">
        <f t="shared" si="122"/>
        <v>249241.62551390828</v>
      </c>
      <c r="AR258" s="43">
        <f t="shared" si="123"/>
        <v>238382.84508889556</v>
      </c>
      <c r="AS258" s="3"/>
      <c r="AT258" s="43">
        <f t="shared" si="133"/>
        <v>3066.8604924679148</v>
      </c>
      <c r="AU258" s="43">
        <f t="shared" si="133"/>
        <v>3243.9778196289217</v>
      </c>
      <c r="AV258" s="43">
        <f t="shared" si="133"/>
        <v>3489.4820610184379</v>
      </c>
      <c r="AW258" s="43">
        <f t="shared" si="133"/>
        <v>3572.8388084920466</v>
      </c>
      <c r="AX258" s="43">
        <f t="shared" si="133"/>
        <v>3619.0427599634654</v>
      </c>
      <c r="AY258" s="3"/>
      <c r="AZ258" s="47">
        <f t="shared" si="125"/>
        <v>25548.887037793967</v>
      </c>
      <c r="BA258" s="47">
        <f t="shared" si="126"/>
        <v>24516.133087015205</v>
      </c>
      <c r="BB258" s="47">
        <f t="shared" si="127"/>
        <v>25178.473115536559</v>
      </c>
      <c r="BC258" s="47">
        <f t="shared" si="128"/>
        <v>24356.903745648848</v>
      </c>
      <c r="BD258" s="47">
        <f t="shared" si="129"/>
        <v>23536.371298354228</v>
      </c>
    </row>
    <row r="259" spans="2:56" s="230" customFormat="1">
      <c r="B259" s="37">
        <f>'12. Investeringen (bijschatten)'!B62</f>
        <v>43</v>
      </c>
      <c r="C259" s="48"/>
      <c r="D259" s="3"/>
      <c r="E259" s="48"/>
      <c r="F259" s="169">
        <f>'12. Investeringen (bijschatten)'!C62</f>
        <v>2052183.8724388792</v>
      </c>
      <c r="G259" s="3"/>
      <c r="H259" s="37">
        <f>'12. Investeringen (bijschatten)'!D62</f>
        <v>2021</v>
      </c>
      <c r="I259" s="37" t="str">
        <f>'12. Investeringen (bijschatten)'!E62</f>
        <v>17 Mengstations</v>
      </c>
      <c r="J259" s="169">
        <f>_xlfn.XLOOKUP(I259,'3. Input (des)investeringen '!$B$11:$B$81,'3. Input (des)investeringen '!$D$11:$D$81)</f>
        <v>30</v>
      </c>
      <c r="M259" s="43">
        <f t="shared" si="107"/>
        <v>0</v>
      </c>
      <c r="N259" s="43">
        <f t="shared" si="108"/>
        <v>34203.064540647989</v>
      </c>
      <c r="O259" s="3"/>
      <c r="P259" s="138">
        <f t="shared" si="109"/>
        <v>0</v>
      </c>
      <c r="Q259" s="138">
        <f t="shared" si="110"/>
        <v>2017980.8078982313</v>
      </c>
      <c r="R259" s="3"/>
      <c r="S259" s="43">
        <f t="shared" si="111"/>
        <v>2017980.8078982313</v>
      </c>
      <c r="T259" s="38">
        <f t="shared" si="112"/>
        <v>29.5</v>
      </c>
      <c r="U259" s="3"/>
      <c r="V259" s="43">
        <f t="shared" si="131"/>
        <v>80035.171025116288</v>
      </c>
      <c r="W259" s="43">
        <f t="shared" si="131"/>
        <v>76508.197386721338</v>
      </c>
      <c r="X259" s="43">
        <f t="shared" si="131"/>
        <v>73136.649705272604</v>
      </c>
      <c r="Y259" s="43">
        <f t="shared" si="131"/>
        <v>69913.678701311437</v>
      </c>
      <c r="Z259" s="43">
        <f t="shared" si="131"/>
        <v>66832.736928033308</v>
      </c>
      <c r="AA259" s="3"/>
      <c r="AB259" s="43">
        <f t="shared" si="132"/>
        <v>6840.6129081295985</v>
      </c>
      <c r="AC259" s="43">
        <f t="shared" si="132"/>
        <v>6840.6129081295985</v>
      </c>
      <c r="AD259" s="43">
        <f t="shared" si="132"/>
        <v>6840.6129081295985</v>
      </c>
      <c r="AE259" s="43">
        <f t="shared" si="132"/>
        <v>6840.6129081295985</v>
      </c>
      <c r="AF259" s="43">
        <f t="shared" si="132"/>
        <v>6840.6129081295985</v>
      </c>
      <c r="AG259" s="3"/>
      <c r="AH259" s="43">
        <f t="shared" si="115"/>
        <v>86875.783933245883</v>
      </c>
      <c r="AI259" s="43">
        <f t="shared" si="116"/>
        <v>83348.810294850933</v>
      </c>
      <c r="AJ259" s="43">
        <f t="shared" si="117"/>
        <v>79977.262613402199</v>
      </c>
      <c r="AK259" s="43">
        <f t="shared" si="118"/>
        <v>76754.291609441032</v>
      </c>
      <c r="AL259" s="43">
        <f t="shared" si="119"/>
        <v>73673.349836162903</v>
      </c>
      <c r="AM259" s="3"/>
      <c r="AN259" s="43">
        <f t="shared" si="130"/>
        <v>1931105.0239649855</v>
      </c>
      <c r="AO259" s="43">
        <f t="shared" si="120"/>
        <v>1847756.2136701345</v>
      </c>
      <c r="AP259" s="43">
        <f t="shared" si="121"/>
        <v>1767778.9510567323</v>
      </c>
      <c r="AQ259" s="43">
        <f t="shared" si="122"/>
        <v>1691024.6594472914</v>
      </c>
      <c r="AR259" s="43">
        <f t="shared" si="123"/>
        <v>1617351.3096111284</v>
      </c>
      <c r="AS259" s="3"/>
      <c r="AT259" s="43">
        <f t="shared" si="133"/>
        <v>20807.666894142079</v>
      </c>
      <c r="AU259" s="43">
        <f t="shared" si="133"/>
        <v>22009.351272612574</v>
      </c>
      <c r="AV259" s="43">
        <f t="shared" si="133"/>
        <v>23675.018976923893</v>
      </c>
      <c r="AW259" s="43">
        <f t="shared" si="133"/>
        <v>24240.567830244654</v>
      </c>
      <c r="AX259" s="43">
        <f t="shared" si="133"/>
        <v>24554.046853425367</v>
      </c>
      <c r="AY259" s="3"/>
      <c r="AZ259" s="47">
        <f t="shared" si="125"/>
        <v>173341.02164219748</v>
      </c>
      <c r="BA259" s="47">
        <f t="shared" si="126"/>
        <v>166334.11661857794</v>
      </c>
      <c r="BB259" s="47">
        <f t="shared" si="127"/>
        <v>170827.88173048192</v>
      </c>
      <c r="BC259" s="47">
        <f t="shared" si="128"/>
        <v>165253.79649868276</v>
      </c>
      <c r="BD259" s="47">
        <f t="shared" si="129"/>
        <v>159686.74645481113</v>
      </c>
    </row>
    <row r="260" spans="2:56" s="230" customFormat="1">
      <c r="B260" s="37">
        <f>'12. Investeringen (bijschatten)'!B63</f>
        <v>44</v>
      </c>
      <c r="C260" s="48"/>
      <c r="D260" s="3"/>
      <c r="E260" s="48"/>
      <c r="F260" s="169">
        <f>'12. Investeringen (bijschatten)'!C63</f>
        <v>2389093.2206175276</v>
      </c>
      <c r="G260" s="3"/>
      <c r="H260" s="37">
        <f>'12. Investeringen (bijschatten)'!D63</f>
        <v>2021</v>
      </c>
      <c r="I260" s="37" t="str">
        <f>'12. Investeringen (bijschatten)'!E63</f>
        <v>20 Kantoorgebouwen</v>
      </c>
      <c r="J260" s="169">
        <f>_xlfn.XLOOKUP(I260,'3. Input (des)investeringen '!$B$11:$B$81,'3. Input (des)investeringen '!$D$11:$D$81)</f>
        <v>30</v>
      </c>
      <c r="M260" s="43">
        <f t="shared" si="107"/>
        <v>0</v>
      </c>
      <c r="N260" s="43">
        <f t="shared" si="108"/>
        <v>39818.220343625457</v>
      </c>
      <c r="O260" s="3"/>
      <c r="P260" s="138">
        <f t="shared" si="109"/>
        <v>0</v>
      </c>
      <c r="Q260" s="138">
        <f t="shared" si="110"/>
        <v>2349275.000273902</v>
      </c>
      <c r="R260" s="3"/>
      <c r="S260" s="43">
        <f t="shared" si="111"/>
        <v>2349275.000273902</v>
      </c>
      <c r="T260" s="38">
        <f t="shared" si="112"/>
        <v>29.5</v>
      </c>
      <c r="U260" s="3"/>
      <c r="V260" s="43">
        <f t="shared" si="131"/>
        <v>93174.635604083567</v>
      </c>
      <c r="W260" s="43">
        <f t="shared" si="131"/>
        <v>89068.634713056163</v>
      </c>
      <c r="X260" s="43">
        <f t="shared" si="131"/>
        <v>85143.576234175707</v>
      </c>
      <c r="Y260" s="43">
        <f t="shared" si="131"/>
        <v>81391.486434025603</v>
      </c>
      <c r="Z260" s="43">
        <f t="shared" si="131"/>
        <v>77804.742964051591</v>
      </c>
      <c r="AA260" s="3"/>
      <c r="AB260" s="43">
        <f t="shared" si="132"/>
        <v>7963.6440687250915</v>
      </c>
      <c r="AC260" s="43">
        <f t="shared" si="132"/>
        <v>7963.6440687250915</v>
      </c>
      <c r="AD260" s="43">
        <f t="shared" si="132"/>
        <v>7963.6440687250915</v>
      </c>
      <c r="AE260" s="43">
        <f t="shared" si="132"/>
        <v>7963.6440687250915</v>
      </c>
      <c r="AF260" s="43">
        <f t="shared" si="132"/>
        <v>7963.6440687250915</v>
      </c>
      <c r="AG260" s="3"/>
      <c r="AH260" s="43">
        <f t="shared" si="115"/>
        <v>101138.27967280865</v>
      </c>
      <c r="AI260" s="43">
        <f t="shared" si="116"/>
        <v>97032.27878178125</v>
      </c>
      <c r="AJ260" s="43">
        <f t="shared" si="117"/>
        <v>93107.220302900794</v>
      </c>
      <c r="AK260" s="43">
        <f t="shared" si="118"/>
        <v>89355.13050275069</v>
      </c>
      <c r="AL260" s="43">
        <f t="shared" si="119"/>
        <v>85768.387032776678</v>
      </c>
      <c r="AM260" s="3"/>
      <c r="AN260" s="43">
        <f t="shared" si="130"/>
        <v>2248136.7206010935</v>
      </c>
      <c r="AO260" s="43">
        <f t="shared" si="120"/>
        <v>2151104.4418193121</v>
      </c>
      <c r="AP260" s="43">
        <f t="shared" si="121"/>
        <v>2057997.2215164113</v>
      </c>
      <c r="AQ260" s="43">
        <f t="shared" si="122"/>
        <v>1968642.0910136607</v>
      </c>
      <c r="AR260" s="43">
        <f t="shared" si="123"/>
        <v>1882873.703980884</v>
      </c>
      <c r="AS260" s="3"/>
      <c r="AT260" s="43">
        <f t="shared" si="133"/>
        <v>24223.685109942882</v>
      </c>
      <c r="AU260" s="43">
        <f t="shared" si="133"/>
        <v>25622.651372412307</v>
      </c>
      <c r="AV260" s="43">
        <f t="shared" si="133"/>
        <v>27561.773628276471</v>
      </c>
      <c r="AW260" s="43">
        <f t="shared" si="133"/>
        <v>28220.169276708741</v>
      </c>
      <c r="AX260" s="43">
        <f t="shared" si="133"/>
        <v>28585.112505795132</v>
      </c>
      <c r="AY260" s="3"/>
      <c r="AZ260" s="47">
        <f t="shared" si="125"/>
        <v>201798.61328318872</v>
      </c>
      <c r="BA260" s="47">
        <f t="shared" si="126"/>
        <v>193641.37673423087</v>
      </c>
      <c r="BB260" s="47">
        <f t="shared" si="127"/>
        <v>198872.88834880089</v>
      </c>
      <c r="BC260" s="47">
        <f t="shared" si="128"/>
        <v>192383.69923797852</v>
      </c>
      <c r="BD260" s="47">
        <f t="shared" si="129"/>
        <v>185902.70028984541</v>
      </c>
    </row>
    <row r="261" spans="2:56" s="230" customFormat="1">
      <c r="B261" s="37">
        <f>'12. Investeringen (bijschatten)'!B64</f>
        <v>45</v>
      </c>
      <c r="C261" s="48"/>
      <c r="D261" s="3"/>
      <c r="E261" s="48"/>
      <c r="F261" s="169">
        <f>'12. Investeringen (bijschatten)'!C64</f>
        <v>2623152.226809788</v>
      </c>
      <c r="G261" s="3"/>
      <c r="H261" s="37">
        <f>'12. Investeringen (bijschatten)'!D64</f>
        <v>2021</v>
      </c>
      <c r="I261" s="37" t="str">
        <f>'12. Investeringen (bijschatten)'!E64</f>
        <v>21 Hoofdtransportleiding</v>
      </c>
      <c r="J261" s="169">
        <f>_xlfn.XLOOKUP(I261,'3. Input (des)investeringen '!$B$11:$B$81,'3. Input (des)investeringen '!$D$11:$D$81)</f>
        <v>55</v>
      </c>
      <c r="M261" s="43">
        <f t="shared" si="107"/>
        <v>0</v>
      </c>
      <c r="N261" s="43">
        <f t="shared" si="108"/>
        <v>23846.838425543527</v>
      </c>
      <c r="O261" s="3"/>
      <c r="P261" s="138">
        <f t="shared" si="109"/>
        <v>0</v>
      </c>
      <c r="Q261" s="138">
        <f t="shared" si="110"/>
        <v>2599305.3883842444</v>
      </c>
      <c r="R261" s="3"/>
      <c r="S261" s="43">
        <f t="shared" si="111"/>
        <v>2599305.3883842444</v>
      </c>
      <c r="T261" s="38">
        <f t="shared" si="112"/>
        <v>54.5</v>
      </c>
      <c r="U261" s="3"/>
      <c r="V261" s="43">
        <f t="shared" si="131"/>
        <v>55801.601915771862</v>
      </c>
      <c r="W261" s="43">
        <f t="shared" si="131"/>
        <v>54470.554530625006</v>
      </c>
      <c r="X261" s="43">
        <f t="shared" si="131"/>
        <v>53171.256899619264</v>
      </c>
      <c r="Y261" s="43">
        <f t="shared" si="131"/>
        <v>51902.951689169626</v>
      </c>
      <c r="Z261" s="43">
        <f t="shared" si="131"/>
        <v>50664.899630528882</v>
      </c>
      <c r="AA261" s="3"/>
      <c r="AB261" s="43">
        <f t="shared" si="132"/>
        <v>4769.3676851087057</v>
      </c>
      <c r="AC261" s="43">
        <f t="shared" si="132"/>
        <v>4769.3676851087057</v>
      </c>
      <c r="AD261" s="43">
        <f t="shared" si="132"/>
        <v>4769.3676851087057</v>
      </c>
      <c r="AE261" s="43">
        <f t="shared" si="132"/>
        <v>4769.3676851087057</v>
      </c>
      <c r="AF261" s="43">
        <f t="shared" si="132"/>
        <v>4769.3676851087057</v>
      </c>
      <c r="AG261" s="3"/>
      <c r="AH261" s="43">
        <f t="shared" si="115"/>
        <v>60570.969600880569</v>
      </c>
      <c r="AI261" s="43">
        <f t="shared" si="116"/>
        <v>59239.922215733714</v>
      </c>
      <c r="AJ261" s="43">
        <f t="shared" si="117"/>
        <v>57940.624584727972</v>
      </c>
      <c r="AK261" s="43">
        <f t="shared" si="118"/>
        <v>56672.319374278333</v>
      </c>
      <c r="AL261" s="43">
        <f t="shared" si="119"/>
        <v>55434.267315637589</v>
      </c>
      <c r="AM261" s="3"/>
      <c r="AN261" s="43">
        <f t="shared" si="130"/>
        <v>2538734.4187833639</v>
      </c>
      <c r="AO261" s="43">
        <f t="shared" si="120"/>
        <v>2479494.4965676302</v>
      </c>
      <c r="AP261" s="43">
        <f t="shared" si="121"/>
        <v>2421553.8719829023</v>
      </c>
      <c r="AQ261" s="43">
        <f t="shared" si="122"/>
        <v>2364881.5526086241</v>
      </c>
      <c r="AR261" s="43">
        <f t="shared" si="123"/>
        <v>2309447.2852929863</v>
      </c>
      <c r="AS261" s="3"/>
      <c r="AT261" s="43">
        <f t="shared" si="133"/>
        <v>26596.874910247949</v>
      </c>
      <c r="AU261" s="43">
        <f t="shared" si="133"/>
        <v>28132.897630064592</v>
      </c>
      <c r="AV261" s="43">
        <f t="shared" si="133"/>
        <v>30261.995322707877</v>
      </c>
      <c r="AW261" s="43">
        <f t="shared" si="133"/>
        <v>30984.893866976723</v>
      </c>
      <c r="AX261" s="43">
        <f t="shared" si="133"/>
        <v>31385.590514464464</v>
      </c>
      <c r="AY261" s="3"/>
      <c r="AZ261" s="47">
        <f t="shared" si="125"/>
        <v>173484.81474976291</v>
      </c>
      <c r="BA261" s="47">
        <f t="shared" si="126"/>
        <v>169196.13823253012</v>
      </c>
      <c r="BB261" s="47">
        <f t="shared" si="127"/>
        <v>180221.66704278611</v>
      </c>
      <c r="BC261" s="47">
        <f t="shared" si="128"/>
        <v>177522.71224038277</v>
      </c>
      <c r="BD261" s="47">
        <f t="shared" si="129"/>
        <v>174578.85467123555</v>
      </c>
    </row>
    <row r="262" spans="2:56" s="230" customFormat="1">
      <c r="B262" s="37">
        <f>'12. Investeringen (bijschatten)'!B65</f>
        <v>46</v>
      </c>
      <c r="C262" s="48"/>
      <c r="D262" s="3"/>
      <c r="E262" s="48"/>
      <c r="F262" s="169">
        <f>'12. Investeringen (bijschatten)'!C65</f>
        <v>1633023.1294499158</v>
      </c>
      <c r="G262" s="3"/>
      <c r="H262" s="37">
        <f>'12. Investeringen (bijschatten)'!D65</f>
        <v>2021</v>
      </c>
      <c r="I262" s="37" t="str">
        <f>'12. Investeringen (bijschatten)'!E65</f>
        <v>21 Hoofdtransportleiding (EHD)</v>
      </c>
      <c r="J262" s="169">
        <f>_xlfn.XLOOKUP(I262,'3. Input (des)investeringen '!$B$11:$B$81,'3. Input (des)investeringen '!$D$11:$D$81)</f>
        <v>55</v>
      </c>
      <c r="M262" s="43">
        <f t="shared" si="107"/>
        <v>0</v>
      </c>
      <c r="N262" s="43">
        <f t="shared" si="108"/>
        <v>14845.664813181053</v>
      </c>
      <c r="O262" s="3"/>
      <c r="P262" s="138">
        <f t="shared" si="109"/>
        <v>0</v>
      </c>
      <c r="Q262" s="138">
        <f t="shared" si="110"/>
        <v>1618177.4646367347</v>
      </c>
      <c r="R262" s="3"/>
      <c r="S262" s="43">
        <f t="shared" si="111"/>
        <v>1618177.4646367347</v>
      </c>
      <c r="T262" s="38">
        <f t="shared" si="112"/>
        <v>54.5</v>
      </c>
      <c r="U262" s="3"/>
      <c r="V262" s="43">
        <f t="shared" si="131"/>
        <v>34738.855662843664</v>
      </c>
      <c r="W262" s="43">
        <f t="shared" si="131"/>
        <v>33910.222408500602</v>
      </c>
      <c r="X262" s="43">
        <f t="shared" si="131"/>
        <v>33101.354718022609</v>
      </c>
      <c r="Y262" s="43">
        <f t="shared" si="131"/>
        <v>32311.781119244093</v>
      </c>
      <c r="Z262" s="43">
        <f t="shared" si="131"/>
        <v>31541.041386124507</v>
      </c>
      <c r="AA262" s="3"/>
      <c r="AB262" s="43">
        <f t="shared" si="132"/>
        <v>2969.1329626362108</v>
      </c>
      <c r="AC262" s="43">
        <f t="shared" si="132"/>
        <v>2969.1329626362108</v>
      </c>
      <c r="AD262" s="43">
        <f t="shared" si="132"/>
        <v>2969.1329626362108</v>
      </c>
      <c r="AE262" s="43">
        <f t="shared" si="132"/>
        <v>2969.1329626362108</v>
      </c>
      <c r="AF262" s="43">
        <f t="shared" si="132"/>
        <v>2969.1329626362108</v>
      </c>
      <c r="AG262" s="3"/>
      <c r="AH262" s="43">
        <f t="shared" si="115"/>
        <v>37707.988625479877</v>
      </c>
      <c r="AI262" s="43">
        <f t="shared" si="116"/>
        <v>36879.355371136815</v>
      </c>
      <c r="AJ262" s="43">
        <f t="shared" si="117"/>
        <v>36070.487680658822</v>
      </c>
      <c r="AK262" s="43">
        <f t="shared" si="118"/>
        <v>35280.914081880306</v>
      </c>
      <c r="AL262" s="43">
        <f t="shared" si="119"/>
        <v>34510.174348760716</v>
      </c>
      <c r="AM262" s="3"/>
      <c r="AN262" s="43">
        <f t="shared" si="130"/>
        <v>1580469.4760112548</v>
      </c>
      <c r="AO262" s="43">
        <f t="shared" si="120"/>
        <v>1543590.1206401179</v>
      </c>
      <c r="AP262" s="43">
        <f t="shared" si="121"/>
        <v>1507519.632959459</v>
      </c>
      <c r="AQ262" s="43">
        <f t="shared" si="122"/>
        <v>1472238.7188775786</v>
      </c>
      <c r="AR262" s="43">
        <f t="shared" si="123"/>
        <v>1437728.544528818</v>
      </c>
      <c r="AS262" s="3"/>
      <c r="AT262" s="43">
        <f t="shared" si="133"/>
        <v>16557.678755968944</v>
      </c>
      <c r="AU262" s="43">
        <f t="shared" si="133"/>
        <v>17513.91781948366</v>
      </c>
      <c r="AV262" s="43">
        <f t="shared" si="133"/>
        <v>18839.371120062184</v>
      </c>
      <c r="AW262" s="43">
        <f t="shared" si="133"/>
        <v>19289.406017378231</v>
      </c>
      <c r="AX262" s="43">
        <f t="shared" si="133"/>
        <v>19538.856615994962</v>
      </c>
      <c r="AY262" s="3"/>
      <c r="AZ262" s="47">
        <f t="shared" si="125"/>
        <v>108001.62956583149</v>
      </c>
      <c r="BA262" s="47">
        <f t="shared" si="126"/>
        <v>105331.74717174437</v>
      </c>
      <c r="BB262" s="47">
        <f t="shared" si="127"/>
        <v>112195.60485318044</v>
      </c>
      <c r="BC262" s="47">
        <f t="shared" si="128"/>
        <v>110515.39141660652</v>
      </c>
      <c r="BD262" s="47">
        <f t="shared" si="129"/>
        <v>108682.71565685078</v>
      </c>
    </row>
    <row r="263" spans="2:56" s="230" customFormat="1">
      <c r="B263" s="37">
        <f>'12. Investeringen (bijschatten)'!B66</f>
        <v>47</v>
      </c>
      <c r="C263" s="48"/>
      <c r="D263" s="3"/>
      <c r="E263" s="48"/>
      <c r="F263" s="169">
        <f>'12. Investeringen (bijschatten)'!C66</f>
        <v>1234463.3646877937</v>
      </c>
      <c r="G263" s="3"/>
      <c r="H263" s="37">
        <f>'12. Investeringen (bijschatten)'!D66</f>
        <v>2021</v>
      </c>
      <c r="I263" s="37" t="str">
        <f>'12. Investeringen (bijschatten)'!E66</f>
        <v>32 M&amp;R stations</v>
      </c>
      <c r="J263" s="169">
        <f>_xlfn.XLOOKUP(I263,'3. Input (des)investeringen '!$B$11:$B$81,'3. Input (des)investeringen '!$D$11:$D$81)</f>
        <v>30</v>
      </c>
      <c r="M263" s="43">
        <f t="shared" si="107"/>
        <v>0</v>
      </c>
      <c r="N263" s="43">
        <f t="shared" si="108"/>
        <v>20574.389411463228</v>
      </c>
      <c r="O263" s="3"/>
      <c r="P263" s="138">
        <f t="shared" si="109"/>
        <v>0</v>
      </c>
      <c r="Q263" s="138">
        <f t="shared" si="110"/>
        <v>1213888.9752763305</v>
      </c>
      <c r="R263" s="3"/>
      <c r="S263" s="43">
        <f t="shared" si="111"/>
        <v>1213888.9752763305</v>
      </c>
      <c r="T263" s="38">
        <f t="shared" si="112"/>
        <v>29.5</v>
      </c>
      <c r="U263" s="3"/>
      <c r="V263" s="43">
        <f t="shared" si="131"/>
        <v>48144.071222823957</v>
      </c>
      <c r="W263" s="43">
        <f t="shared" si="131"/>
        <v>46022.468084191038</v>
      </c>
      <c r="X263" s="43">
        <f t="shared" si="131"/>
        <v>43994.359321158889</v>
      </c>
      <c r="Y263" s="43">
        <f t="shared" si="131"/>
        <v>42055.624842599347</v>
      </c>
      <c r="Z263" s="43">
        <f t="shared" si="131"/>
        <v>40202.326120722086</v>
      </c>
      <c r="AA263" s="3"/>
      <c r="AB263" s="43">
        <f t="shared" si="132"/>
        <v>4114.8778822926461</v>
      </c>
      <c r="AC263" s="43">
        <f t="shared" si="132"/>
        <v>4114.8778822926461</v>
      </c>
      <c r="AD263" s="43">
        <f t="shared" si="132"/>
        <v>4114.8778822926461</v>
      </c>
      <c r="AE263" s="43">
        <f t="shared" si="132"/>
        <v>4114.8778822926461</v>
      </c>
      <c r="AF263" s="43">
        <f t="shared" si="132"/>
        <v>4114.8778822926461</v>
      </c>
      <c r="AG263" s="3"/>
      <c r="AH263" s="43">
        <f t="shared" si="115"/>
        <v>52258.949105116604</v>
      </c>
      <c r="AI263" s="43">
        <f t="shared" si="116"/>
        <v>50137.345966483685</v>
      </c>
      <c r="AJ263" s="43">
        <f t="shared" si="117"/>
        <v>48109.237203451536</v>
      </c>
      <c r="AK263" s="43">
        <f t="shared" si="118"/>
        <v>46170.502724891994</v>
      </c>
      <c r="AL263" s="43">
        <f t="shared" si="119"/>
        <v>44317.204003014733</v>
      </c>
      <c r="AM263" s="3"/>
      <c r="AN263" s="43">
        <f t="shared" si="130"/>
        <v>1161630.0261712139</v>
      </c>
      <c r="AO263" s="43">
        <f t="shared" si="120"/>
        <v>1111492.6802047302</v>
      </c>
      <c r="AP263" s="43">
        <f t="shared" si="121"/>
        <v>1063383.4430012787</v>
      </c>
      <c r="AQ263" s="43">
        <f t="shared" si="122"/>
        <v>1017212.9402763867</v>
      </c>
      <c r="AR263" s="43">
        <f t="shared" si="123"/>
        <v>972895.73627337196</v>
      </c>
      <c r="AS263" s="3"/>
      <c r="AT263" s="43">
        <f t="shared" si="133"/>
        <v>12516.569704311652</v>
      </c>
      <c r="AU263" s="43">
        <f t="shared" si="133"/>
        <v>13239.426637875058</v>
      </c>
      <c r="AV263" s="43">
        <f t="shared" si="133"/>
        <v>14241.386445829445</v>
      </c>
      <c r="AW263" s="43">
        <f t="shared" si="133"/>
        <v>14581.584685247421</v>
      </c>
      <c r="AX263" s="43">
        <f t="shared" si="133"/>
        <v>14770.153738397034</v>
      </c>
      <c r="AY263" s="3"/>
      <c r="AZ263" s="47">
        <f t="shared" si="125"/>
        <v>104270.93969924953</v>
      </c>
      <c r="BA263" s="47">
        <f t="shared" si="126"/>
        <v>100056.03105111484</v>
      </c>
      <c r="BB263" s="47">
        <f t="shared" si="127"/>
        <v>102759.19448332957</v>
      </c>
      <c r="BC263" s="47">
        <f t="shared" si="128"/>
        <v>99406.179140642111</v>
      </c>
      <c r="BD263" s="47">
        <f t="shared" si="129"/>
        <v>96057.395719799897</v>
      </c>
    </row>
    <row r="264" spans="2:56" s="230" customFormat="1">
      <c r="B264" s="37">
        <f>'12. Investeringen (bijschatten)'!B67</f>
        <v>48</v>
      </c>
      <c r="C264" s="48"/>
      <c r="D264" s="3"/>
      <c r="E264" s="48"/>
      <c r="F264" s="169">
        <f>'12. Investeringen (bijschatten)'!C67</f>
        <v>374278.37821483467</v>
      </c>
      <c r="G264" s="3"/>
      <c r="H264" s="37">
        <f>'12. Investeringen (bijschatten)'!D67</f>
        <v>2021</v>
      </c>
      <c r="I264" s="37" t="str">
        <f>'12. Investeringen (bijschatten)'!E67</f>
        <v>33 Exportstations</v>
      </c>
      <c r="J264" s="169">
        <f>_xlfn.XLOOKUP(I264,'3. Input (des)investeringen '!$B$11:$B$81,'3. Input (des)investeringen '!$D$11:$D$81)</f>
        <v>30</v>
      </c>
      <c r="M264" s="43">
        <f t="shared" si="107"/>
        <v>0</v>
      </c>
      <c r="N264" s="43">
        <f t="shared" si="108"/>
        <v>6237.9729702472441</v>
      </c>
      <c r="O264" s="3"/>
      <c r="P264" s="138">
        <f t="shared" si="109"/>
        <v>0</v>
      </c>
      <c r="Q264" s="138">
        <f t="shared" si="110"/>
        <v>368040.4052445874</v>
      </c>
      <c r="R264" s="3"/>
      <c r="S264" s="43">
        <f t="shared" si="111"/>
        <v>368040.4052445874</v>
      </c>
      <c r="T264" s="38">
        <f t="shared" si="112"/>
        <v>29.5</v>
      </c>
      <c r="U264" s="3"/>
      <c r="V264" s="43">
        <f t="shared" si="131"/>
        <v>14596.856750378551</v>
      </c>
      <c r="W264" s="43">
        <f t="shared" si="131"/>
        <v>13953.605435955089</v>
      </c>
      <c r="X264" s="43">
        <f t="shared" si="131"/>
        <v>13338.700789624863</v>
      </c>
      <c r="Y264" s="43">
        <f t="shared" si="131"/>
        <v>12750.893636183768</v>
      </c>
      <c r="Z264" s="43">
        <f t="shared" si="131"/>
        <v>12188.989848826517</v>
      </c>
      <c r="AA264" s="3"/>
      <c r="AB264" s="43">
        <f t="shared" si="132"/>
        <v>1247.5945940494487</v>
      </c>
      <c r="AC264" s="43">
        <f t="shared" si="132"/>
        <v>1247.5945940494487</v>
      </c>
      <c r="AD264" s="43">
        <f t="shared" si="132"/>
        <v>1247.5945940494487</v>
      </c>
      <c r="AE264" s="43">
        <f t="shared" si="132"/>
        <v>1247.5945940494487</v>
      </c>
      <c r="AF264" s="43">
        <f t="shared" si="132"/>
        <v>1247.5945940494487</v>
      </c>
      <c r="AG264" s="3"/>
      <c r="AH264" s="43">
        <f t="shared" si="115"/>
        <v>15844.451344428</v>
      </c>
      <c r="AI264" s="43">
        <f t="shared" si="116"/>
        <v>15201.200030004538</v>
      </c>
      <c r="AJ264" s="43">
        <f t="shared" si="117"/>
        <v>14586.295383674313</v>
      </c>
      <c r="AK264" s="43">
        <f t="shared" si="118"/>
        <v>13998.488230233217</v>
      </c>
      <c r="AL264" s="43">
        <f t="shared" si="119"/>
        <v>13436.584442875966</v>
      </c>
      <c r="AM264" s="3"/>
      <c r="AN264" s="43">
        <f t="shared" si="130"/>
        <v>352195.95390015939</v>
      </c>
      <c r="AO264" s="43">
        <f t="shared" si="120"/>
        <v>336994.75387015485</v>
      </c>
      <c r="AP264" s="43">
        <f t="shared" si="121"/>
        <v>322408.45848648052</v>
      </c>
      <c r="AQ264" s="43">
        <f t="shared" si="122"/>
        <v>308409.97025624732</v>
      </c>
      <c r="AR264" s="43">
        <f t="shared" si="123"/>
        <v>294973.38581337134</v>
      </c>
      <c r="AS264" s="3"/>
      <c r="AT264" s="43">
        <f t="shared" si="133"/>
        <v>3794.9132746661089</v>
      </c>
      <c r="AU264" s="43">
        <f t="shared" si="133"/>
        <v>4014.0771061046257</v>
      </c>
      <c r="AV264" s="43">
        <f t="shared" si="133"/>
        <v>4317.8624614946239</v>
      </c>
      <c r="AW264" s="43">
        <f t="shared" si="133"/>
        <v>4421.0075599748079</v>
      </c>
      <c r="AX264" s="43">
        <f t="shared" si="133"/>
        <v>4478.1800297404016</v>
      </c>
      <c r="AY264" s="3"/>
      <c r="AZ264" s="47">
        <f t="shared" si="125"/>
        <v>31614.02705169953</v>
      </c>
      <c r="BA264" s="47">
        <f t="shared" si="126"/>
        <v>30336.104013824275</v>
      </c>
      <c r="BB264" s="47">
        <f t="shared" si="127"/>
        <v>31155.679267655196</v>
      </c>
      <c r="BC264" s="47">
        <f t="shared" si="128"/>
        <v>30139.074659945421</v>
      </c>
      <c r="BD264" s="47">
        <f t="shared" si="129"/>
        <v>29123.753133524478</v>
      </c>
    </row>
    <row r="265" spans="2:56" s="230" customFormat="1">
      <c r="B265" s="37">
        <f>'12. Investeringen (bijschatten)'!B68</f>
        <v>49</v>
      </c>
      <c r="C265" s="48"/>
      <c r="D265" s="3"/>
      <c r="E265" s="48"/>
      <c r="F265" s="169">
        <f>'12. Investeringen (bijschatten)'!C68</f>
        <v>889564.28597105667</v>
      </c>
      <c r="G265" s="3"/>
      <c r="H265" s="37">
        <f>'12. Investeringen (bijschatten)'!D68</f>
        <v>2021</v>
      </c>
      <c r="I265" s="37" t="str">
        <f>'12. Investeringen (bijschatten)'!E68</f>
        <v>34 Reduceerstations</v>
      </c>
      <c r="J265" s="169">
        <f>_xlfn.XLOOKUP(I265,'3. Input (des)investeringen '!$B$11:$B$81,'3. Input (des)investeringen '!$D$11:$D$81)</f>
        <v>30</v>
      </c>
      <c r="M265" s="43">
        <f t="shared" si="107"/>
        <v>0</v>
      </c>
      <c r="N265" s="43">
        <f t="shared" si="108"/>
        <v>14826.071432850944</v>
      </c>
      <c r="O265" s="3"/>
      <c r="P265" s="138">
        <f t="shared" si="109"/>
        <v>0</v>
      </c>
      <c r="Q265" s="138">
        <f t="shared" si="110"/>
        <v>874738.21453820576</v>
      </c>
      <c r="R265" s="3"/>
      <c r="S265" s="43">
        <f t="shared" si="111"/>
        <v>874738.21453820576</v>
      </c>
      <c r="T265" s="38">
        <f t="shared" si="112"/>
        <v>29.5</v>
      </c>
      <c r="U265" s="3"/>
      <c r="V265" s="43">
        <f t="shared" si="131"/>
        <v>34693.007152871214</v>
      </c>
      <c r="W265" s="43">
        <f t="shared" si="131"/>
        <v>33164.162769863324</v>
      </c>
      <c r="X265" s="43">
        <f t="shared" si="131"/>
        <v>31702.691190174432</v>
      </c>
      <c r="Y265" s="43">
        <f t="shared" si="131"/>
        <v>30305.623442810815</v>
      </c>
      <c r="Z265" s="43">
        <f t="shared" si="131"/>
        <v>28970.121392788642</v>
      </c>
      <c r="AA265" s="3"/>
      <c r="AB265" s="43">
        <f t="shared" si="132"/>
        <v>2965.214286570189</v>
      </c>
      <c r="AC265" s="43">
        <f t="shared" si="132"/>
        <v>2965.214286570189</v>
      </c>
      <c r="AD265" s="43">
        <f t="shared" si="132"/>
        <v>2965.214286570189</v>
      </c>
      <c r="AE265" s="43">
        <f t="shared" si="132"/>
        <v>2965.214286570189</v>
      </c>
      <c r="AF265" s="43">
        <f t="shared" si="132"/>
        <v>2965.214286570189</v>
      </c>
      <c r="AG265" s="3"/>
      <c r="AH265" s="43">
        <f t="shared" si="115"/>
        <v>37658.221439441404</v>
      </c>
      <c r="AI265" s="43">
        <f t="shared" si="116"/>
        <v>36129.377056433514</v>
      </c>
      <c r="AJ265" s="43">
        <f t="shared" si="117"/>
        <v>34667.905476744621</v>
      </c>
      <c r="AK265" s="43">
        <f t="shared" si="118"/>
        <v>33270.837729381004</v>
      </c>
      <c r="AL265" s="43">
        <f t="shared" si="119"/>
        <v>31935.335679358832</v>
      </c>
      <c r="AM265" s="3"/>
      <c r="AN265" s="43">
        <f t="shared" si="130"/>
        <v>837079.99309876433</v>
      </c>
      <c r="AO265" s="43">
        <f t="shared" si="120"/>
        <v>800950.61604233086</v>
      </c>
      <c r="AP265" s="43">
        <f t="shared" si="121"/>
        <v>766282.71056558623</v>
      </c>
      <c r="AQ265" s="43">
        <f t="shared" si="122"/>
        <v>733011.87283620518</v>
      </c>
      <c r="AR265" s="43">
        <f t="shared" si="123"/>
        <v>701076.53715684637</v>
      </c>
      <c r="AS265" s="3"/>
      <c r="AT265" s="43">
        <f t="shared" si="133"/>
        <v>9019.5413734606154</v>
      </c>
      <c r="AU265" s="43">
        <f t="shared" si="133"/>
        <v>9540.4379268607136</v>
      </c>
      <c r="AV265" s="43">
        <f t="shared" si="133"/>
        <v>10262.458269165532</v>
      </c>
      <c r="AW265" s="43">
        <f t="shared" si="133"/>
        <v>10507.607872299359</v>
      </c>
      <c r="AX265" s="43">
        <f t="shared" si="133"/>
        <v>10643.492257303933</v>
      </c>
      <c r="AY265" s="3"/>
      <c r="AZ265" s="47">
        <f t="shared" si="125"/>
        <v>75138.482578260009</v>
      </c>
      <c r="BA265" s="47">
        <f t="shared" si="126"/>
        <v>72101.185312691145</v>
      </c>
      <c r="BB265" s="47">
        <f t="shared" si="127"/>
        <v>74049.106747402431</v>
      </c>
      <c r="BC265" s="47">
        <f t="shared" si="128"/>
        <v>71632.896769456158</v>
      </c>
      <c r="BD265" s="47">
        <f t="shared" si="129"/>
        <v>69219.73634862293</v>
      </c>
    </row>
    <row r="266" spans="2:56" s="230" customFormat="1">
      <c r="B266" s="37">
        <f>'12. Investeringen (bijschatten)'!B69</f>
        <v>50</v>
      </c>
      <c r="C266" s="48"/>
      <c r="D266" s="3"/>
      <c r="E266" s="48"/>
      <c r="F266" s="169">
        <f>'12. Investeringen (bijschatten)'!C69</f>
        <v>21.673674251477685</v>
      </c>
      <c r="G266" s="3"/>
      <c r="H266" s="37">
        <f>'12. Investeringen (bijschatten)'!D69</f>
        <v>2021</v>
      </c>
      <c r="I266" s="37" t="str">
        <f>'12. Investeringen (bijschatten)'!E69</f>
        <v>34 Reduceerstations (EHD)</v>
      </c>
      <c r="J266" s="169">
        <f>_xlfn.XLOOKUP(I266,'3. Input (des)investeringen '!$B$11:$B$81,'3. Input (des)investeringen '!$D$11:$D$81)</f>
        <v>30</v>
      </c>
      <c r="M266" s="43">
        <f t="shared" si="107"/>
        <v>0</v>
      </c>
      <c r="N266" s="43">
        <f t="shared" si="108"/>
        <v>0.36122790419129475</v>
      </c>
      <c r="O266" s="3"/>
      <c r="P266" s="138">
        <f t="shared" si="109"/>
        <v>0</v>
      </c>
      <c r="Q266" s="138">
        <f t="shared" si="110"/>
        <v>21.312446347286389</v>
      </c>
      <c r="R266" s="3"/>
      <c r="S266" s="43">
        <f t="shared" si="111"/>
        <v>21.312446347286389</v>
      </c>
      <c r="T266" s="38">
        <f t="shared" si="112"/>
        <v>29.5</v>
      </c>
      <c r="U266" s="3"/>
      <c r="V266" s="43">
        <f t="shared" si="131"/>
        <v>0.84527329580762967</v>
      </c>
      <c r="W266" s="43">
        <f t="shared" si="131"/>
        <v>0.80802396412797139</v>
      </c>
      <c r="X266" s="43">
        <f t="shared" si="131"/>
        <v>0.77241612842063712</v>
      </c>
      <c r="Y266" s="43">
        <f t="shared" si="131"/>
        <v>0.7383774515749818</v>
      </c>
      <c r="Z266" s="43">
        <f t="shared" si="131"/>
        <v>0.70583878421744017</v>
      </c>
      <c r="AA266" s="3"/>
      <c r="AB266" s="43">
        <f t="shared" si="132"/>
        <v>7.2245580838258952E-2</v>
      </c>
      <c r="AC266" s="43">
        <f t="shared" si="132"/>
        <v>7.2245580838258952E-2</v>
      </c>
      <c r="AD266" s="43">
        <f t="shared" si="132"/>
        <v>7.2245580838258952E-2</v>
      </c>
      <c r="AE266" s="43">
        <f t="shared" si="132"/>
        <v>7.2245580838258952E-2</v>
      </c>
      <c r="AF266" s="43">
        <f t="shared" si="132"/>
        <v>7.2245580838258952E-2</v>
      </c>
      <c r="AG266" s="3"/>
      <c r="AH266" s="43">
        <f t="shared" si="115"/>
        <v>0.9175188766458886</v>
      </c>
      <c r="AI266" s="43">
        <f t="shared" si="116"/>
        <v>0.88026954496623033</v>
      </c>
      <c r="AJ266" s="43">
        <f t="shared" si="117"/>
        <v>0.84466170925889605</v>
      </c>
      <c r="AK266" s="43">
        <f t="shared" si="118"/>
        <v>0.81062303241324074</v>
      </c>
      <c r="AL266" s="43">
        <f t="shared" si="119"/>
        <v>0.77808436505569911</v>
      </c>
      <c r="AM266" s="3"/>
      <c r="AN266" s="43">
        <f t="shared" si="130"/>
        <v>20.3949274706405</v>
      </c>
      <c r="AO266" s="43">
        <f t="shared" si="120"/>
        <v>19.514657925674271</v>
      </c>
      <c r="AP266" s="43">
        <f t="shared" si="121"/>
        <v>18.669996216415374</v>
      </c>
      <c r="AQ266" s="43">
        <f t="shared" si="122"/>
        <v>17.859373184002134</v>
      </c>
      <c r="AR266" s="43">
        <f t="shared" si="123"/>
        <v>17.081288818946437</v>
      </c>
      <c r="AS266" s="3"/>
      <c r="AT266" s="43">
        <f t="shared" si="133"/>
        <v>0.21975545186452269</v>
      </c>
      <c r="AU266" s="43">
        <f t="shared" si="133"/>
        <v>0.23244676872060258</v>
      </c>
      <c r="AV266" s="43">
        <f t="shared" si="133"/>
        <v>0.2500383401773778</v>
      </c>
      <c r="AW266" s="43">
        <f t="shared" si="133"/>
        <v>0.256011256047535</v>
      </c>
      <c r="AX266" s="43">
        <f t="shared" si="133"/>
        <v>0.25932199361074165</v>
      </c>
      <c r="AY266" s="3"/>
      <c r="AZ266" s="47">
        <f t="shared" si="125"/>
        <v>1.8307018625121882</v>
      </c>
      <c r="BA266" s="47">
        <f t="shared" si="126"/>
        <v>1.7567000252340841</v>
      </c>
      <c r="BB266" s="47">
        <f t="shared" si="127"/>
        <v>1.8041599056600579</v>
      </c>
      <c r="BC266" s="47">
        <f t="shared" si="128"/>
        <v>1.7452904694528566</v>
      </c>
      <c r="BD266" s="47">
        <f t="shared" si="129"/>
        <v>1.6864953337864053</v>
      </c>
    </row>
    <row r="267" spans="2:56" s="230" customFormat="1">
      <c r="B267" s="37">
        <f>'12. Investeringen (bijschatten)'!B70</f>
        <v>51</v>
      </c>
      <c r="C267" s="48"/>
      <c r="D267" s="3"/>
      <c r="E267" s="48"/>
      <c r="F267" s="169">
        <f>'12. Investeringen (bijschatten)'!C70</f>
        <v>66907.138099665128</v>
      </c>
      <c r="G267" s="3"/>
      <c r="H267" s="37">
        <f>'12. Investeringen (bijschatten)'!D70</f>
        <v>2021</v>
      </c>
      <c r="I267" s="37" t="str">
        <f>'12. Investeringen (bijschatten)'!E70</f>
        <v>36 Luchtscheidingsunit</v>
      </c>
      <c r="J267" s="169">
        <f>_xlfn.XLOOKUP(I267,'3. Input (des)investeringen '!$B$11:$B$81,'3. Input (des)investeringen '!$D$11:$D$81)</f>
        <v>30</v>
      </c>
      <c r="M267" s="43">
        <f t="shared" si="107"/>
        <v>0</v>
      </c>
      <c r="N267" s="43">
        <f t="shared" si="108"/>
        <v>1115.1189683277521</v>
      </c>
      <c r="O267" s="3"/>
      <c r="P267" s="138">
        <f t="shared" si="109"/>
        <v>0</v>
      </c>
      <c r="Q267" s="138">
        <f t="shared" si="110"/>
        <v>65792.01913133738</v>
      </c>
      <c r="R267" s="3"/>
      <c r="S267" s="43">
        <f t="shared" si="111"/>
        <v>65792.01913133738</v>
      </c>
      <c r="T267" s="38">
        <f t="shared" si="112"/>
        <v>29.5</v>
      </c>
      <c r="U267" s="3"/>
      <c r="V267" s="43">
        <f t="shared" si="131"/>
        <v>2609.3783858869401</v>
      </c>
      <c r="W267" s="43">
        <f t="shared" si="131"/>
        <v>2494.3888298987022</v>
      </c>
      <c r="X267" s="43">
        <f t="shared" si="131"/>
        <v>2384.4666102760475</v>
      </c>
      <c r="Y267" s="43">
        <f t="shared" si="131"/>
        <v>2279.3884206706625</v>
      </c>
      <c r="Z267" s="43">
        <f t="shared" si="131"/>
        <v>2178.9407953529721</v>
      </c>
      <c r="AA267" s="3"/>
      <c r="AB267" s="43">
        <f t="shared" si="132"/>
        <v>223.02379366555044</v>
      </c>
      <c r="AC267" s="43">
        <f t="shared" si="132"/>
        <v>223.02379366555044</v>
      </c>
      <c r="AD267" s="43">
        <f t="shared" si="132"/>
        <v>223.02379366555044</v>
      </c>
      <c r="AE267" s="43">
        <f t="shared" si="132"/>
        <v>223.02379366555044</v>
      </c>
      <c r="AF267" s="43">
        <f t="shared" si="132"/>
        <v>223.02379366555044</v>
      </c>
      <c r="AG267" s="3"/>
      <c r="AH267" s="43">
        <f t="shared" si="115"/>
        <v>2832.4021795524905</v>
      </c>
      <c r="AI267" s="43">
        <f t="shared" si="116"/>
        <v>2717.4126235642525</v>
      </c>
      <c r="AJ267" s="43">
        <f t="shared" si="117"/>
        <v>2607.4904039415978</v>
      </c>
      <c r="AK267" s="43">
        <f t="shared" si="118"/>
        <v>2502.4122143362129</v>
      </c>
      <c r="AL267" s="43">
        <f t="shared" si="119"/>
        <v>2401.9645890185225</v>
      </c>
      <c r="AM267" s="3"/>
      <c r="AN267" s="43">
        <f t="shared" si="130"/>
        <v>62959.61695178489</v>
      </c>
      <c r="AO267" s="43">
        <f t="shared" si="120"/>
        <v>60242.204328220636</v>
      </c>
      <c r="AP267" s="43">
        <f t="shared" si="121"/>
        <v>57634.713924279036</v>
      </c>
      <c r="AQ267" s="43">
        <f t="shared" si="122"/>
        <v>55132.301709942825</v>
      </c>
      <c r="AR267" s="43">
        <f t="shared" si="123"/>
        <v>52730.337120924305</v>
      </c>
      <c r="AS267" s="3"/>
      <c r="AT267" s="43">
        <f t="shared" si="133"/>
        <v>678.39020719117264</v>
      </c>
      <c r="AU267" s="43">
        <f t="shared" si="133"/>
        <v>717.56859843687721</v>
      </c>
      <c r="AV267" s="43">
        <f t="shared" si="133"/>
        <v>771.87418996658016</v>
      </c>
      <c r="AW267" s="43">
        <f t="shared" si="133"/>
        <v>790.31272061650179</v>
      </c>
      <c r="AX267" s="43">
        <f t="shared" si="133"/>
        <v>800.53304471951412</v>
      </c>
      <c r="AY267" s="3"/>
      <c r="AZ267" s="47">
        <f t="shared" si="125"/>
        <v>5651.419363104349</v>
      </c>
      <c r="BA267" s="47">
        <f t="shared" si="126"/>
        <v>5422.9739648324112</v>
      </c>
      <c r="BB267" s="47">
        <f t="shared" si="127"/>
        <v>5569.4837230307812</v>
      </c>
      <c r="BC267" s="47">
        <f t="shared" si="128"/>
        <v>5387.7523999305422</v>
      </c>
      <c r="BD267" s="47">
        <f t="shared" si="129"/>
        <v>5206.25044433316</v>
      </c>
    </row>
    <row r="268" spans="2:56" s="230" customFormat="1">
      <c r="B268" s="37">
        <f>'12. Investeringen (bijschatten)'!B71</f>
        <v>52</v>
      </c>
      <c r="C268" s="48"/>
      <c r="D268" s="3"/>
      <c r="E268" s="48"/>
      <c r="F268" s="169">
        <f>'12. Investeringen (bijschatten)'!C71</f>
        <v>8176022.9143784875</v>
      </c>
      <c r="G268" s="3"/>
      <c r="H268" s="37">
        <f>'12. Investeringen (bijschatten)'!D71</f>
        <v>2021</v>
      </c>
      <c r="I268" s="37" t="str">
        <f>'12. Investeringen (bijschatten)'!E71</f>
        <v>37 ICT middelen 1</v>
      </c>
      <c r="J268" s="169">
        <f>_xlfn.XLOOKUP(I268,'3. Input (des)investeringen '!$B$11:$B$81,'3. Input (des)investeringen '!$D$11:$D$81)</f>
        <v>5</v>
      </c>
      <c r="M268" s="43">
        <f t="shared" si="107"/>
        <v>0</v>
      </c>
      <c r="N268" s="43">
        <f t="shared" si="108"/>
        <v>817602.29143784882</v>
      </c>
      <c r="O268" s="3"/>
      <c r="P268" s="138">
        <f t="shared" si="109"/>
        <v>0</v>
      </c>
      <c r="Q268" s="138">
        <f t="shared" si="110"/>
        <v>7358420.622940639</v>
      </c>
      <c r="R268" s="3"/>
      <c r="S268" s="43">
        <f t="shared" si="111"/>
        <v>7358420.622940639</v>
      </c>
      <c r="T268" s="38">
        <f t="shared" si="112"/>
        <v>4.5</v>
      </c>
      <c r="U268" s="3"/>
      <c r="V268" s="43">
        <f t="shared" si="131"/>
        <v>1913189.3619645662</v>
      </c>
      <c r="W268" s="43">
        <f t="shared" si="131"/>
        <v>1360490.2129525803</v>
      </c>
      <c r="X268" s="43">
        <f t="shared" si="131"/>
        <v>1339559.5942917713</v>
      </c>
      <c r="Y268" s="43">
        <f t="shared" si="131"/>
        <v>1339559.5942917713</v>
      </c>
      <c r="Z268" s="43">
        <f t="shared" si="131"/>
        <v>669779.79714588565</v>
      </c>
      <c r="AA268" s="3"/>
      <c r="AB268" s="43">
        <f t="shared" si="132"/>
        <v>163520.45828756978</v>
      </c>
      <c r="AC268" s="43">
        <f t="shared" si="132"/>
        <v>163520.45828756978</v>
      </c>
      <c r="AD268" s="43">
        <f t="shared" si="132"/>
        <v>163520.45828756978</v>
      </c>
      <c r="AE268" s="43">
        <f t="shared" si="132"/>
        <v>163520.45828756978</v>
      </c>
      <c r="AF268" s="43">
        <f t="shared" si="132"/>
        <v>81760.229143784891</v>
      </c>
      <c r="AG268" s="3"/>
      <c r="AH268" s="43">
        <f t="shared" si="115"/>
        <v>2076709.8202521359</v>
      </c>
      <c r="AI268" s="43">
        <f t="shared" si="116"/>
        <v>1524010.67124015</v>
      </c>
      <c r="AJ268" s="43">
        <f t="shared" si="117"/>
        <v>1503080.052579341</v>
      </c>
      <c r="AK268" s="43">
        <f t="shared" si="118"/>
        <v>1503080.052579341</v>
      </c>
      <c r="AL268" s="43">
        <f t="shared" si="119"/>
        <v>751540.0262896705</v>
      </c>
      <c r="AM268" s="3"/>
      <c r="AN268" s="43">
        <f t="shared" si="130"/>
        <v>5281710.8026885036</v>
      </c>
      <c r="AO268" s="43">
        <f t="shared" si="120"/>
        <v>3757700.1314483536</v>
      </c>
      <c r="AP268" s="43">
        <f t="shared" si="121"/>
        <v>2254620.0788690127</v>
      </c>
      <c r="AQ268" s="43">
        <f t="shared" si="122"/>
        <v>751540.02628967166</v>
      </c>
      <c r="AR268" s="43">
        <f t="shared" si="123"/>
        <v>0</v>
      </c>
      <c r="AS268" s="3"/>
      <c r="AT268" s="43">
        <f t="shared" si="133"/>
        <v>82898.98561529952</v>
      </c>
      <c r="AU268" s="43">
        <f t="shared" si="133"/>
        <v>87686.567832554283</v>
      </c>
      <c r="AV268" s="43">
        <f t="shared" si="133"/>
        <v>94322.687286121989</v>
      </c>
      <c r="AW268" s="43">
        <f t="shared" si="133"/>
        <v>96575.86764001289</v>
      </c>
      <c r="AX268" s="43">
        <f t="shared" si="133"/>
        <v>97824.786760333518</v>
      </c>
      <c r="AY268" s="3"/>
      <c r="AZ268" s="47">
        <f t="shared" si="125"/>
        <v>2339186.9731588447</v>
      </c>
      <c r="BA268" s="47">
        <f t="shared" si="126"/>
        <v>1735701.3434104999</v>
      </c>
      <c r="BB268" s="47">
        <f t="shared" si="127"/>
        <v>1683078.3028624854</v>
      </c>
      <c r="BC268" s="47">
        <f t="shared" si="128"/>
        <v>1628214.4412183615</v>
      </c>
      <c r="BD268" s="47">
        <f t="shared" si="129"/>
        <v>849364.81305000396</v>
      </c>
    </row>
    <row r="269" spans="2:56" s="230" customFormat="1">
      <c r="B269" s="37">
        <f>'12. Investeringen (bijschatten)'!B72</f>
        <v>53</v>
      </c>
      <c r="C269" s="48"/>
      <c r="D269" s="3"/>
      <c r="E269" s="48"/>
      <c r="F269" s="169">
        <f>'12. Investeringen (bijschatten)'!C72</f>
        <v>3432263.071002047</v>
      </c>
      <c r="G269" s="3"/>
      <c r="H269" s="37">
        <f>'12. Investeringen (bijschatten)'!D72</f>
        <v>2021</v>
      </c>
      <c r="I269" s="37" t="str">
        <f>'12. Investeringen (bijschatten)'!E72</f>
        <v>38 ICT middelen 2</v>
      </c>
      <c r="J269" s="169">
        <f>_xlfn.XLOOKUP(I269,'3. Input (des)investeringen '!$B$11:$B$81,'3. Input (des)investeringen '!$D$11:$D$81)</f>
        <v>10</v>
      </c>
      <c r="M269" s="43">
        <f t="shared" si="107"/>
        <v>0</v>
      </c>
      <c r="N269" s="43">
        <f t="shared" si="108"/>
        <v>171613.15355010238</v>
      </c>
      <c r="O269" s="3"/>
      <c r="P269" s="138">
        <f t="shared" si="109"/>
        <v>0</v>
      </c>
      <c r="Q269" s="138">
        <f t="shared" si="110"/>
        <v>3260649.9174519447</v>
      </c>
      <c r="R269" s="3"/>
      <c r="S269" s="43">
        <f t="shared" si="111"/>
        <v>3260649.9174519447</v>
      </c>
      <c r="T269" s="38">
        <f t="shared" si="112"/>
        <v>9.5</v>
      </c>
      <c r="U269" s="3"/>
      <c r="V269" s="43">
        <f t="shared" si="131"/>
        <v>401574.77930723951</v>
      </c>
      <c r="W269" s="43">
        <f t="shared" si="131"/>
        <v>346622.44108624884</v>
      </c>
      <c r="X269" s="43">
        <f t="shared" si="131"/>
        <v>299189.89651655161</v>
      </c>
      <c r="Y269" s="43">
        <f t="shared" si="131"/>
        <v>290338.12443026307</v>
      </c>
      <c r="Z269" s="43">
        <f t="shared" si="131"/>
        <v>290338.12443026307</v>
      </c>
      <c r="AA269" s="3"/>
      <c r="AB269" s="43">
        <f t="shared" si="132"/>
        <v>34322.630710020472</v>
      </c>
      <c r="AC269" s="43">
        <f t="shared" si="132"/>
        <v>34322.630710020472</v>
      </c>
      <c r="AD269" s="43">
        <f t="shared" si="132"/>
        <v>34322.630710020472</v>
      </c>
      <c r="AE269" s="43">
        <f t="shared" si="132"/>
        <v>34322.630710020472</v>
      </c>
      <c r="AF269" s="43">
        <f t="shared" si="132"/>
        <v>34322.630710020472</v>
      </c>
      <c r="AG269" s="3"/>
      <c r="AH269" s="43">
        <f t="shared" si="115"/>
        <v>435897.41001726</v>
      </c>
      <c r="AI269" s="43">
        <f t="shared" si="116"/>
        <v>380945.07179626933</v>
      </c>
      <c r="AJ269" s="43">
        <f t="shared" si="117"/>
        <v>333512.5272265721</v>
      </c>
      <c r="AK269" s="43">
        <f t="shared" si="118"/>
        <v>324660.75514028355</v>
      </c>
      <c r="AL269" s="43">
        <f t="shared" si="119"/>
        <v>324660.75514028355</v>
      </c>
      <c r="AM269" s="3"/>
      <c r="AN269" s="43">
        <f t="shared" si="130"/>
        <v>2824752.5074346848</v>
      </c>
      <c r="AO269" s="43">
        <f t="shared" si="120"/>
        <v>2443807.4356384156</v>
      </c>
      <c r="AP269" s="43">
        <f t="shared" si="121"/>
        <v>2110294.9084118437</v>
      </c>
      <c r="AQ269" s="43">
        <f t="shared" si="122"/>
        <v>1785634.1532715601</v>
      </c>
      <c r="AR269" s="43">
        <f t="shared" si="123"/>
        <v>1460973.3981312765</v>
      </c>
      <c r="AS269" s="3"/>
      <c r="AT269" s="43">
        <f t="shared" si="133"/>
        <v>34800.676310549636</v>
      </c>
      <c r="AU269" s="43">
        <f t="shared" si="133"/>
        <v>36810.484968836499</v>
      </c>
      <c r="AV269" s="43">
        <f t="shared" si="133"/>
        <v>39596.302471278053</v>
      </c>
      <c r="AW269" s="43">
        <f t="shared" si="133"/>
        <v>40542.178944711937</v>
      </c>
      <c r="AX269" s="43">
        <f t="shared" si="133"/>
        <v>41066.470402824947</v>
      </c>
      <c r="AY269" s="3"/>
      <c r="AZ269" s="47">
        <f t="shared" si="125"/>
        <v>566739.67158058891</v>
      </c>
      <c r="BA269" s="47">
        <f t="shared" si="126"/>
        <v>498401.20214117353</v>
      </c>
      <c r="BB269" s="47">
        <f t="shared" si="127"/>
        <v>453300.03621750022</v>
      </c>
      <c r="BC269" s="47">
        <f t="shared" si="128"/>
        <v>433057.03190931474</v>
      </c>
      <c r="BD269" s="47">
        <f t="shared" si="129"/>
        <v>421244.214672097</v>
      </c>
    </row>
    <row r="270" spans="2:56" s="230" customFormat="1">
      <c r="B270" s="37">
        <f>'12. Investeringen (bijschatten)'!B73</f>
        <v>54</v>
      </c>
      <c r="C270" s="48"/>
      <c r="D270" s="3"/>
      <c r="E270" s="48"/>
      <c r="F270" s="169">
        <f>'12. Investeringen (bijschatten)'!C73</f>
        <v>280.60480266320502</v>
      </c>
      <c r="G270" s="3"/>
      <c r="H270" s="37">
        <f>'12. Investeringen (bijschatten)'!D73</f>
        <v>2021</v>
      </c>
      <c r="I270" s="37" t="str">
        <f>'12. Investeringen (bijschatten)'!E73</f>
        <v>41 Stikstofbuffer</v>
      </c>
      <c r="J270" s="169">
        <f>_xlfn.XLOOKUP(I270,'3. Input (des)investeringen '!$B$11:$B$81,'3. Input (des)investeringen '!$D$11:$D$81)</f>
        <v>30</v>
      </c>
      <c r="M270" s="43">
        <f t="shared" si="107"/>
        <v>0</v>
      </c>
      <c r="N270" s="43">
        <f t="shared" si="108"/>
        <v>4.6767467110534167</v>
      </c>
      <c r="O270" s="3"/>
      <c r="P270" s="138">
        <f t="shared" si="109"/>
        <v>0</v>
      </c>
      <c r="Q270" s="138">
        <f t="shared" si="110"/>
        <v>275.92805595215162</v>
      </c>
      <c r="R270" s="3"/>
      <c r="S270" s="43">
        <f t="shared" si="111"/>
        <v>275.92805595215162</v>
      </c>
      <c r="T270" s="38">
        <f t="shared" si="112"/>
        <v>29.5</v>
      </c>
      <c r="U270" s="3"/>
      <c r="V270" s="43">
        <f t="shared" si="131"/>
        <v>10.943587303864996</v>
      </c>
      <c r="W270" s="43">
        <f t="shared" si="131"/>
        <v>10.46132752437264</v>
      </c>
      <c r="X270" s="43">
        <f t="shared" si="131"/>
        <v>10.000319870756218</v>
      </c>
      <c r="Y270" s="43">
        <f t="shared" si="131"/>
        <v>9.5596278086550974</v>
      </c>
      <c r="Z270" s="43">
        <f t="shared" si="131"/>
        <v>9.1383560747143626</v>
      </c>
      <c r="AA270" s="3"/>
      <c r="AB270" s="43">
        <f t="shared" si="132"/>
        <v>0.93534934221068355</v>
      </c>
      <c r="AC270" s="43">
        <f t="shared" si="132"/>
        <v>0.93534934221068344</v>
      </c>
      <c r="AD270" s="43">
        <f t="shared" si="132"/>
        <v>0.93534934221068344</v>
      </c>
      <c r="AE270" s="43">
        <f t="shared" si="132"/>
        <v>0.93534934221068344</v>
      </c>
      <c r="AF270" s="43">
        <f t="shared" si="132"/>
        <v>0.93534934221068344</v>
      </c>
      <c r="AG270" s="3"/>
      <c r="AH270" s="43">
        <f t="shared" si="115"/>
        <v>11.87893664607568</v>
      </c>
      <c r="AI270" s="43">
        <f t="shared" si="116"/>
        <v>11.396676866583324</v>
      </c>
      <c r="AJ270" s="43">
        <f t="shared" si="117"/>
        <v>10.935669212966902</v>
      </c>
      <c r="AK270" s="43">
        <f t="shared" si="118"/>
        <v>10.494977150865781</v>
      </c>
      <c r="AL270" s="43">
        <f t="shared" si="119"/>
        <v>10.073705416925046</v>
      </c>
      <c r="AM270" s="3"/>
      <c r="AN270" s="43">
        <f t="shared" si="130"/>
        <v>264.04911930607597</v>
      </c>
      <c r="AO270" s="43">
        <f t="shared" si="120"/>
        <v>252.65244243949263</v>
      </c>
      <c r="AP270" s="43">
        <f t="shared" si="121"/>
        <v>241.71677322652573</v>
      </c>
      <c r="AQ270" s="43">
        <f t="shared" si="122"/>
        <v>231.22179607565994</v>
      </c>
      <c r="AR270" s="43">
        <f t="shared" si="123"/>
        <v>221.1480906587349</v>
      </c>
      <c r="AS270" s="3"/>
      <c r="AT270" s="43">
        <f t="shared" si="133"/>
        <v>2.8451306635469815</v>
      </c>
      <c r="AU270" s="43">
        <f t="shared" si="133"/>
        <v>3.0094426496281468</v>
      </c>
      <c r="AV270" s="43">
        <f t="shared" si="133"/>
        <v>3.2371972693520048</v>
      </c>
      <c r="AW270" s="43">
        <f t="shared" si="133"/>
        <v>3.3145274377222855</v>
      </c>
      <c r="AX270" s="43">
        <f t="shared" si="133"/>
        <v>3.3573909065469101</v>
      </c>
      <c r="AY270" s="3"/>
      <c r="AZ270" s="47">
        <f t="shared" si="125"/>
        <v>23.701737366029246</v>
      </c>
      <c r="BA270" s="47">
        <f t="shared" si="126"/>
        <v>22.743650116714726</v>
      </c>
      <c r="BB270" s="47">
        <f t="shared" si="127"/>
        <v>23.358103864926886</v>
      </c>
      <c r="BC270" s="47">
        <f t="shared" si="128"/>
        <v>22.595932839463146</v>
      </c>
      <c r="BD270" s="47">
        <f t="shared" si="129"/>
        <v>21.834723768503885</v>
      </c>
    </row>
    <row r="271" spans="2:56" s="230" customFormat="1">
      <c r="B271" s="37">
        <f>'12. Investeringen (bijschatten)'!B74</f>
        <v>55</v>
      </c>
      <c r="C271" s="48"/>
      <c r="D271" s="3"/>
      <c r="E271" s="48"/>
      <c r="F271" s="169">
        <f>'12. Investeringen (bijschatten)'!C74</f>
        <v>13637663.667912096</v>
      </c>
      <c r="G271" s="3"/>
      <c r="H271" s="37">
        <f>'12. Investeringen (bijschatten)'!D74</f>
        <v>2021</v>
      </c>
      <c r="I271" s="37" t="str">
        <f>'12. Investeringen (bijschatten)'!E74</f>
        <v>42 Vulgas</v>
      </c>
      <c r="J271" s="169">
        <f>_xlfn.XLOOKUP(I271,'3. Input (des)investeringen '!$B$11:$B$81,'3. Input (des)investeringen '!$D$11:$D$81)</f>
        <v>0</v>
      </c>
      <c r="M271" s="43">
        <f t="shared" si="107"/>
        <v>0</v>
      </c>
      <c r="N271" s="43">
        <f t="shared" si="108"/>
        <v>0</v>
      </c>
      <c r="O271" s="3"/>
      <c r="P271" s="138">
        <f t="shared" si="109"/>
        <v>0</v>
      </c>
      <c r="Q271" s="138">
        <f t="shared" si="110"/>
        <v>13637663.667912096</v>
      </c>
      <c r="R271" s="3"/>
      <c r="S271" s="43">
        <f t="shared" si="111"/>
        <v>13637663.667912096</v>
      </c>
      <c r="T271" s="38">
        <f t="shared" si="112"/>
        <v>0</v>
      </c>
      <c r="U271" s="3"/>
      <c r="V271" s="43">
        <f t="shared" si="131"/>
        <v>0</v>
      </c>
      <c r="W271" s="43">
        <f t="shared" si="131"/>
        <v>0</v>
      </c>
      <c r="X271" s="43">
        <f t="shared" si="131"/>
        <v>0</v>
      </c>
      <c r="Y271" s="43">
        <f t="shared" si="131"/>
        <v>0</v>
      </c>
      <c r="Z271" s="43">
        <f t="shared" si="131"/>
        <v>0</v>
      </c>
      <c r="AA271" s="3"/>
      <c r="AB271" s="43">
        <f t="shared" si="132"/>
        <v>0</v>
      </c>
      <c r="AC271" s="43">
        <f t="shared" si="132"/>
        <v>0</v>
      </c>
      <c r="AD271" s="43">
        <f t="shared" si="132"/>
        <v>0</v>
      </c>
      <c r="AE271" s="43">
        <f t="shared" si="132"/>
        <v>0</v>
      </c>
      <c r="AF271" s="43">
        <f t="shared" si="132"/>
        <v>0</v>
      </c>
      <c r="AG271" s="3"/>
      <c r="AH271" s="43">
        <f t="shared" si="115"/>
        <v>0</v>
      </c>
      <c r="AI271" s="43">
        <f t="shared" si="116"/>
        <v>0</v>
      </c>
      <c r="AJ271" s="43">
        <f t="shared" si="117"/>
        <v>0</v>
      </c>
      <c r="AK271" s="43">
        <f t="shared" si="118"/>
        <v>0</v>
      </c>
      <c r="AL271" s="43">
        <f t="shared" si="119"/>
        <v>0</v>
      </c>
      <c r="AM271" s="3"/>
      <c r="AN271" s="43">
        <f t="shared" si="130"/>
        <v>13637663.667912096</v>
      </c>
      <c r="AO271" s="43">
        <f t="shared" si="120"/>
        <v>13637663.667912096</v>
      </c>
      <c r="AP271" s="43">
        <f t="shared" si="121"/>
        <v>13637663.667912096</v>
      </c>
      <c r="AQ271" s="43">
        <f t="shared" si="122"/>
        <v>13637663.667912096</v>
      </c>
      <c r="AR271" s="43">
        <f t="shared" si="123"/>
        <v>13637663.667912096</v>
      </c>
      <c r="AS271" s="3"/>
      <c r="AT271" s="43">
        <f t="shared" si="133"/>
        <v>138276.09047478775</v>
      </c>
      <c r="AU271" s="43">
        <f t="shared" si="133"/>
        <v>146261.8112518877</v>
      </c>
      <c r="AV271" s="43">
        <f t="shared" si="133"/>
        <v>157330.90512743057</v>
      </c>
      <c r="AW271" s="43">
        <f t="shared" si="133"/>
        <v>161089.22578911463</v>
      </c>
      <c r="AX271" s="43">
        <f t="shared" si="133"/>
        <v>163172.43165701945</v>
      </c>
      <c r="AY271" s="3"/>
      <c r="AZ271" s="47">
        <f t="shared" si="125"/>
        <v>601956.6551837991</v>
      </c>
      <c r="BA271" s="47">
        <f t="shared" si="126"/>
        <v>596304.71229298692</v>
      </c>
      <c r="BB271" s="47">
        <f t="shared" si="127"/>
        <v>675562.1245080902</v>
      </c>
      <c r="BC271" s="47">
        <f t="shared" si="128"/>
        <v>679320.44516977423</v>
      </c>
      <c r="BD271" s="47">
        <f t="shared" si="129"/>
        <v>681403.65103767905</v>
      </c>
    </row>
    <row r="272" spans="2:56" s="230" customFormat="1">
      <c r="B272" s="37">
        <f>'12. Investeringen (bijschatten)'!B75</f>
        <v>56</v>
      </c>
      <c r="C272" s="48"/>
      <c r="D272" s="3"/>
      <c r="E272" s="48"/>
      <c r="F272" s="169">
        <f>'12. Investeringen (bijschatten)'!C75</f>
        <v>6068.2242421309429</v>
      </c>
      <c r="G272" s="3"/>
      <c r="H272" s="37">
        <f>'12. Investeringen (bijschatten)'!D75</f>
        <v>2021</v>
      </c>
      <c r="I272" s="37" t="str">
        <f>'12. Investeringen (bijschatten)'!E75</f>
        <v>44 Stikstofleiding</v>
      </c>
      <c r="J272" s="169">
        <f>_xlfn.XLOOKUP(I272,'3. Input (des)investeringen '!$B$11:$B$81,'3. Input (des)investeringen '!$D$11:$D$81)</f>
        <v>55</v>
      </c>
      <c r="M272" s="43">
        <f t="shared" si="107"/>
        <v>0</v>
      </c>
      <c r="N272" s="43">
        <f t="shared" si="108"/>
        <v>55.165674928463119</v>
      </c>
      <c r="O272" s="3"/>
      <c r="P272" s="138">
        <f t="shared" si="109"/>
        <v>0</v>
      </c>
      <c r="Q272" s="138">
        <f t="shared" si="110"/>
        <v>6013.0585672024799</v>
      </c>
      <c r="R272" s="3"/>
      <c r="S272" s="43">
        <f t="shared" si="111"/>
        <v>6013.0585672024799</v>
      </c>
      <c r="T272" s="38">
        <f t="shared" si="112"/>
        <v>54.5</v>
      </c>
      <c r="U272" s="3"/>
      <c r="V272" s="43">
        <f t="shared" si="131"/>
        <v>129.0876793326037</v>
      </c>
      <c r="W272" s="43">
        <f t="shared" si="131"/>
        <v>126.0085236787985</v>
      </c>
      <c r="X272" s="43">
        <f t="shared" si="131"/>
        <v>123.00281577453357</v>
      </c>
      <c r="Y272" s="43">
        <f t="shared" si="131"/>
        <v>120.06880365514104</v>
      </c>
      <c r="Z272" s="43">
        <f t="shared" si="131"/>
        <v>117.20477714593584</v>
      </c>
      <c r="AA272" s="3"/>
      <c r="AB272" s="43">
        <f t="shared" si="132"/>
        <v>11.033134985692625</v>
      </c>
      <c r="AC272" s="43">
        <f t="shared" si="132"/>
        <v>11.033134985692623</v>
      </c>
      <c r="AD272" s="43">
        <f t="shared" si="132"/>
        <v>11.033134985692623</v>
      </c>
      <c r="AE272" s="43">
        <f t="shared" si="132"/>
        <v>11.033134985692623</v>
      </c>
      <c r="AF272" s="43">
        <f t="shared" si="132"/>
        <v>11.033134985692623</v>
      </c>
      <c r="AG272" s="3"/>
      <c r="AH272" s="43">
        <f t="shared" si="115"/>
        <v>140.12081431829631</v>
      </c>
      <c r="AI272" s="43">
        <f t="shared" si="116"/>
        <v>137.04165866449111</v>
      </c>
      <c r="AJ272" s="43">
        <f t="shared" si="117"/>
        <v>134.0359507602262</v>
      </c>
      <c r="AK272" s="43">
        <f t="shared" si="118"/>
        <v>131.10193864083365</v>
      </c>
      <c r="AL272" s="43">
        <f t="shared" si="119"/>
        <v>128.23791213162846</v>
      </c>
      <c r="AM272" s="3"/>
      <c r="AN272" s="43">
        <f t="shared" si="130"/>
        <v>5872.9377528841833</v>
      </c>
      <c r="AO272" s="43">
        <f t="shared" si="120"/>
        <v>5735.8960942196918</v>
      </c>
      <c r="AP272" s="43">
        <f t="shared" si="121"/>
        <v>5601.8601434594657</v>
      </c>
      <c r="AQ272" s="43">
        <f t="shared" si="122"/>
        <v>5470.7582048186323</v>
      </c>
      <c r="AR272" s="43">
        <f t="shared" si="123"/>
        <v>5342.5202926870043</v>
      </c>
      <c r="AS272" s="3"/>
      <c r="AT272" s="43">
        <f t="shared" si="133"/>
        <v>61.527424693753431</v>
      </c>
      <c r="AU272" s="43">
        <f t="shared" si="133"/>
        <v>65.080756524667066</v>
      </c>
      <c r="AV272" s="43">
        <f t="shared" si="133"/>
        <v>70.006068178453887</v>
      </c>
      <c r="AW272" s="43">
        <f t="shared" si="133"/>
        <v>71.678373135100799</v>
      </c>
      <c r="AX272" s="43">
        <f t="shared" si="133"/>
        <v>72.605317856483893</v>
      </c>
      <c r="AY272" s="3"/>
      <c r="AZ272" s="47">
        <f t="shared" si="125"/>
        <v>401.32812261011202</v>
      </c>
      <c r="BA272" s="47">
        <f t="shared" si="126"/>
        <v>391.40698629840801</v>
      </c>
      <c r="BB272" s="47">
        <f t="shared" si="127"/>
        <v>416.91270439013977</v>
      </c>
      <c r="BC272" s="47">
        <f t="shared" si="128"/>
        <v>410.66912355904248</v>
      </c>
      <c r="BD272" s="47">
        <f t="shared" si="129"/>
        <v>403.85900111021851</v>
      </c>
    </row>
    <row r="273" spans="2:56" s="230" customFormat="1">
      <c r="B273" s="37">
        <f>'12. Investeringen (bijschatten)'!B76</f>
        <v>57</v>
      </c>
      <c r="C273" s="48"/>
      <c r="D273" s="3"/>
      <c r="E273" s="48"/>
      <c r="F273" s="169">
        <f>'12. Investeringen (bijschatten)'!C76</f>
        <v>2134515.8335881382</v>
      </c>
      <c r="G273" s="3"/>
      <c r="H273" s="37">
        <f>'12. Investeringen (bijschatten)'!D76</f>
        <v>2021</v>
      </c>
      <c r="I273" s="37" t="str">
        <f>'12. Investeringen (bijschatten)'!E76</f>
        <v>45 Groen gas booster</v>
      </c>
      <c r="J273" s="169">
        <f>_xlfn.XLOOKUP(I273,'3. Input (des)investeringen '!$B$11:$B$81,'3. Input (des)investeringen '!$D$11:$D$81)</f>
        <v>30</v>
      </c>
      <c r="M273" s="43">
        <f t="shared" si="107"/>
        <v>0</v>
      </c>
      <c r="N273" s="43">
        <f t="shared" si="108"/>
        <v>35575.263893135634</v>
      </c>
      <c r="O273" s="3"/>
      <c r="P273" s="138">
        <f t="shared" si="109"/>
        <v>0</v>
      </c>
      <c r="Q273" s="138">
        <f t="shared" si="110"/>
        <v>2098940.5696950024</v>
      </c>
      <c r="R273" s="3"/>
      <c r="S273" s="43">
        <f t="shared" si="111"/>
        <v>2098940.5696950024</v>
      </c>
      <c r="T273" s="38">
        <f t="shared" si="112"/>
        <v>29.5</v>
      </c>
      <c r="U273" s="3"/>
      <c r="V273" s="43">
        <f t="shared" si="131"/>
        <v>83246.11750993738</v>
      </c>
      <c r="W273" s="43">
        <f t="shared" si="131"/>
        <v>79577.644534923194</v>
      </c>
      <c r="X273" s="43">
        <f t="shared" si="131"/>
        <v>76070.83308084184</v>
      </c>
      <c r="Y273" s="43">
        <f t="shared" si="131"/>
        <v>72718.559080669147</v>
      </c>
      <c r="Z273" s="43">
        <f t="shared" si="131"/>
        <v>69514.012409317613</v>
      </c>
      <c r="AA273" s="3"/>
      <c r="AB273" s="43">
        <f t="shared" si="132"/>
        <v>7115.0527786271277</v>
      </c>
      <c r="AC273" s="43">
        <f t="shared" si="132"/>
        <v>7115.0527786271268</v>
      </c>
      <c r="AD273" s="43">
        <f t="shared" si="132"/>
        <v>7115.0527786271268</v>
      </c>
      <c r="AE273" s="43">
        <f t="shared" si="132"/>
        <v>7115.0527786271268</v>
      </c>
      <c r="AF273" s="43">
        <f t="shared" si="132"/>
        <v>7115.0527786271268</v>
      </c>
      <c r="AG273" s="3"/>
      <c r="AH273" s="43">
        <f t="shared" si="115"/>
        <v>90361.170288564506</v>
      </c>
      <c r="AI273" s="43">
        <f t="shared" si="116"/>
        <v>86692.697313550321</v>
      </c>
      <c r="AJ273" s="43">
        <f t="shared" si="117"/>
        <v>83185.885859468966</v>
      </c>
      <c r="AK273" s="43">
        <f t="shared" si="118"/>
        <v>79833.611859296274</v>
      </c>
      <c r="AL273" s="43">
        <f t="shared" si="119"/>
        <v>76629.06518794474</v>
      </c>
      <c r="AM273" s="3"/>
      <c r="AN273" s="43">
        <f t="shared" si="130"/>
        <v>2008579.399406438</v>
      </c>
      <c r="AO273" s="43">
        <f t="shared" si="120"/>
        <v>1921886.7020928876</v>
      </c>
      <c r="AP273" s="43">
        <f t="shared" si="121"/>
        <v>1838700.8162334186</v>
      </c>
      <c r="AQ273" s="43">
        <f t="shared" si="122"/>
        <v>1758867.2043741224</v>
      </c>
      <c r="AR273" s="43">
        <f t="shared" si="123"/>
        <v>1682238.1391861776</v>
      </c>
      <c r="AS273" s="3"/>
      <c r="AT273" s="43">
        <f t="shared" si="133"/>
        <v>21642.453701183542</v>
      </c>
      <c r="AU273" s="43">
        <f t="shared" si="133"/>
        <v>22892.348687334288</v>
      </c>
      <c r="AV273" s="43">
        <f t="shared" si="133"/>
        <v>24624.84163599175</v>
      </c>
      <c r="AW273" s="43">
        <f t="shared" si="133"/>
        <v>25213.07985299232</v>
      </c>
      <c r="AX273" s="43">
        <f t="shared" si="133"/>
        <v>25539.135401651212</v>
      </c>
      <c r="AY273" s="3"/>
      <c r="AZ273" s="47">
        <f t="shared" si="125"/>
        <v>180295.32356956694</v>
      </c>
      <c r="BA273" s="47">
        <f t="shared" si="126"/>
        <v>173007.3071699499</v>
      </c>
      <c r="BB273" s="47">
        <f t="shared" si="127"/>
        <v>177681.35851233063</v>
      </c>
      <c r="BC273" s="47">
        <f t="shared" si="128"/>
        <v>171883.64547850523</v>
      </c>
      <c r="BD273" s="47">
        <f t="shared" si="129"/>
        <v>166093.2498786707</v>
      </c>
    </row>
    <row r="274" spans="2:56" s="230" customFormat="1">
      <c r="B274" s="37">
        <f>'12. Investeringen (bijschatten)'!B77</f>
        <v>58</v>
      </c>
      <c r="C274" s="48"/>
      <c r="D274" s="3"/>
      <c r="E274" s="48"/>
      <c r="F274" s="169">
        <f>'12. Investeringen (bijschatten)'!C77</f>
        <v>33813410.918106742</v>
      </c>
      <c r="G274" s="3"/>
      <c r="H274" s="37">
        <f>'12. Investeringen (bijschatten)'!D77</f>
        <v>2022</v>
      </c>
      <c r="I274" s="37" t="str">
        <f>'12. Investeringen (bijschatten)'!E77</f>
        <v>01 Regionale leidingen</v>
      </c>
      <c r="J274" s="169">
        <f>_xlfn.XLOOKUP(I274,'3. Input (des)investeringen '!$B$11:$B$81,'3. Input (des)investeringen '!$D$11:$D$81)</f>
        <v>55</v>
      </c>
      <c r="M274" s="43">
        <f t="shared" si="107"/>
        <v>0</v>
      </c>
      <c r="N274" s="43">
        <f t="shared" si="108"/>
        <v>0</v>
      </c>
      <c r="O274" s="3"/>
      <c r="P274" s="138">
        <f t="shared" si="109"/>
        <v>0</v>
      </c>
      <c r="Q274" s="138">
        <f t="shared" si="110"/>
        <v>0</v>
      </c>
      <c r="R274" s="3"/>
      <c r="S274" s="43">
        <f t="shared" si="111"/>
        <v>33813410.918106742</v>
      </c>
      <c r="T274" s="38">
        <f t="shared" si="112"/>
        <v>55</v>
      </c>
      <c r="U274" s="3"/>
      <c r="V274" s="43">
        <f t="shared" si="131"/>
        <v>359651.73431077169</v>
      </c>
      <c r="W274" s="43">
        <f t="shared" si="131"/>
        <v>710802.60944692523</v>
      </c>
      <c r="X274" s="43">
        <f t="shared" si="131"/>
        <v>694001.82049636147</v>
      </c>
      <c r="Y274" s="43">
        <f t="shared" si="131"/>
        <v>677598.14110281109</v>
      </c>
      <c r="Z274" s="43">
        <f t="shared" si="131"/>
        <v>661582.18504038115</v>
      </c>
      <c r="AA274" s="3"/>
      <c r="AB274" s="43">
        <f t="shared" si="132"/>
        <v>30739.464471006129</v>
      </c>
      <c r="AC274" s="43">
        <f t="shared" si="132"/>
        <v>61478.928942012259</v>
      </c>
      <c r="AD274" s="43">
        <f t="shared" si="132"/>
        <v>61478.928942012259</v>
      </c>
      <c r="AE274" s="43">
        <f t="shared" si="132"/>
        <v>61478.928942012259</v>
      </c>
      <c r="AF274" s="43">
        <f t="shared" si="132"/>
        <v>61478.928942012259</v>
      </c>
      <c r="AG274" s="3"/>
      <c r="AH274" s="43">
        <f t="shared" si="115"/>
        <v>390391.19878177781</v>
      </c>
      <c r="AI274" s="43">
        <f t="shared" si="116"/>
        <v>772281.53838893748</v>
      </c>
      <c r="AJ274" s="43">
        <f t="shared" si="117"/>
        <v>755480.74943837372</v>
      </c>
      <c r="AK274" s="43">
        <f t="shared" si="118"/>
        <v>739077.07004482334</v>
      </c>
      <c r="AL274" s="43">
        <f t="shared" si="119"/>
        <v>723061.11398239341</v>
      </c>
      <c r="AM274" s="3"/>
      <c r="AN274" s="43">
        <f t="shared" si="130"/>
        <v>33423019.719324965</v>
      </c>
      <c r="AO274" s="43">
        <f t="shared" si="120"/>
        <v>32650738.180936027</v>
      </c>
      <c r="AP274" s="43">
        <f t="shared" si="121"/>
        <v>31895257.431497652</v>
      </c>
      <c r="AQ274" s="43">
        <f t="shared" si="122"/>
        <v>31156180.361452829</v>
      </c>
      <c r="AR274" s="43">
        <f t="shared" si="123"/>
        <v>30433119.247470435</v>
      </c>
      <c r="AS274" s="3"/>
      <c r="AT274" s="43">
        <f t="shared" si="133"/>
        <v>338134.10918106744</v>
      </c>
      <c r="AU274" s="43">
        <f t="shared" si="133"/>
        <v>357662.03025449242</v>
      </c>
      <c r="AV274" s="43">
        <f t="shared" si="133"/>
        <v>384729.89270415256</v>
      </c>
      <c r="AW274" s="43">
        <f t="shared" si="133"/>
        <v>393920.32038106926</v>
      </c>
      <c r="AX274" s="43">
        <f t="shared" si="133"/>
        <v>399014.49796423718</v>
      </c>
      <c r="AY274" s="3"/>
      <c r="AZ274" s="47">
        <f t="shared" si="125"/>
        <v>1864907.9784198941</v>
      </c>
      <c r="BA274" s="47">
        <f t="shared" si="126"/>
        <v>2207417.9286143188</v>
      </c>
      <c r="BB274" s="47">
        <f t="shared" si="127"/>
        <v>2352230.4245394371</v>
      </c>
      <c r="BC274" s="47">
        <f t="shared" si="128"/>
        <v>2316932.2441611001</v>
      </c>
      <c r="BD274" s="47">
        <f t="shared" si="129"/>
        <v>2278534.1433505071</v>
      </c>
    </row>
    <row r="275" spans="2:56" s="230" customFormat="1">
      <c r="B275" s="37">
        <f>'12. Investeringen (bijschatten)'!B78</f>
        <v>59</v>
      </c>
      <c r="C275" s="48"/>
      <c r="D275" s="3"/>
      <c r="E275" s="48"/>
      <c r="F275" s="169">
        <f>'12. Investeringen (bijschatten)'!C78</f>
        <v>6849959.2876701923</v>
      </c>
      <c r="G275" s="3"/>
      <c r="H275" s="37">
        <f>'12. Investeringen (bijschatten)'!D78</f>
        <v>2022</v>
      </c>
      <c r="I275" s="37" t="str">
        <f>'12. Investeringen (bijschatten)'!E78</f>
        <v>02 Gasontvangststations</v>
      </c>
      <c r="J275" s="169">
        <f>_xlfn.XLOOKUP(I275,'3. Input (des)investeringen '!$B$11:$B$81,'3. Input (des)investeringen '!$D$11:$D$81)</f>
        <v>30</v>
      </c>
      <c r="M275" s="43">
        <f t="shared" si="107"/>
        <v>0</v>
      </c>
      <c r="N275" s="43">
        <f t="shared" si="108"/>
        <v>0</v>
      </c>
      <c r="O275" s="3"/>
      <c r="P275" s="138">
        <f t="shared" si="109"/>
        <v>0</v>
      </c>
      <c r="Q275" s="138">
        <f t="shared" si="110"/>
        <v>0</v>
      </c>
      <c r="R275" s="3"/>
      <c r="S275" s="43">
        <f t="shared" si="111"/>
        <v>6849959.2876701923</v>
      </c>
      <c r="T275" s="38">
        <f t="shared" si="112"/>
        <v>30</v>
      </c>
      <c r="U275" s="3"/>
      <c r="V275" s="43">
        <f t="shared" si="131"/>
        <v>133574.20610956877</v>
      </c>
      <c r="W275" s="43">
        <f t="shared" si="131"/>
        <v>261360.19662105621</v>
      </c>
      <c r="X275" s="43">
        <f t="shared" si="131"/>
        <v>250034.58810081042</v>
      </c>
      <c r="Y275" s="43">
        <f t="shared" si="131"/>
        <v>239199.75594977531</v>
      </c>
      <c r="Z275" s="43">
        <f t="shared" si="131"/>
        <v>228834.43319195168</v>
      </c>
      <c r="AA275" s="3"/>
      <c r="AB275" s="43">
        <f t="shared" si="132"/>
        <v>11416.598812783655</v>
      </c>
      <c r="AC275" s="43">
        <f t="shared" si="132"/>
        <v>22833.197625567311</v>
      </c>
      <c r="AD275" s="43">
        <f t="shared" si="132"/>
        <v>22833.197625567311</v>
      </c>
      <c r="AE275" s="43">
        <f t="shared" si="132"/>
        <v>22833.197625567311</v>
      </c>
      <c r="AF275" s="43">
        <f t="shared" si="132"/>
        <v>22833.197625567311</v>
      </c>
      <c r="AG275" s="3"/>
      <c r="AH275" s="43">
        <f t="shared" si="115"/>
        <v>144990.80492235243</v>
      </c>
      <c r="AI275" s="43">
        <f t="shared" si="116"/>
        <v>284193.3942466235</v>
      </c>
      <c r="AJ275" s="43">
        <f t="shared" si="117"/>
        <v>272867.78572637774</v>
      </c>
      <c r="AK275" s="43">
        <f t="shared" si="118"/>
        <v>262032.95357534263</v>
      </c>
      <c r="AL275" s="43">
        <f t="shared" si="119"/>
        <v>251667.63081751901</v>
      </c>
      <c r="AM275" s="3"/>
      <c r="AN275" s="43">
        <f t="shared" si="130"/>
        <v>6704968.4827478398</v>
      </c>
      <c r="AO275" s="43">
        <f t="shared" si="120"/>
        <v>6420775.0885012159</v>
      </c>
      <c r="AP275" s="43">
        <f t="shared" si="121"/>
        <v>6147907.3027748382</v>
      </c>
      <c r="AQ275" s="43">
        <f t="shared" si="122"/>
        <v>5885874.3491994953</v>
      </c>
      <c r="AR275" s="43">
        <f t="shared" si="123"/>
        <v>5634206.7183819767</v>
      </c>
      <c r="AS275" s="3"/>
      <c r="AT275" s="43">
        <f t="shared" si="133"/>
        <v>68499.592876701921</v>
      </c>
      <c r="AU275" s="43">
        <f t="shared" si="133"/>
        <v>72455.581364517217</v>
      </c>
      <c r="AV275" s="43">
        <f t="shared" si="133"/>
        <v>77939.019762183889</v>
      </c>
      <c r="AW275" s="43">
        <f t="shared" si="133"/>
        <v>79800.827066262937</v>
      </c>
      <c r="AX275" s="43">
        <f t="shared" si="133"/>
        <v>80832.81136188384</v>
      </c>
      <c r="AY275" s="3"/>
      <c r="AZ275" s="47">
        <f t="shared" si="125"/>
        <v>441459.3262124809</v>
      </c>
      <c r="BA275" s="47">
        <f t="shared" si="126"/>
        <v>568534.55353168084</v>
      </c>
      <c r="BB275" s="47">
        <f t="shared" si="127"/>
        <v>584427.28299400548</v>
      </c>
      <c r="BC275" s="47">
        <f t="shared" si="128"/>
        <v>565497.00591118634</v>
      </c>
      <c r="BD275" s="47">
        <f t="shared" si="129"/>
        <v>546600.29747791798</v>
      </c>
    </row>
    <row r="276" spans="2:56" s="230" customFormat="1">
      <c r="B276" s="37">
        <f>'12. Investeringen (bijschatten)'!B79</f>
        <v>60</v>
      </c>
      <c r="C276" s="48"/>
      <c r="D276" s="3"/>
      <c r="E276" s="48"/>
      <c r="F276" s="169">
        <f>'12. Investeringen (bijschatten)'!C79</f>
        <v>664518.3858161252</v>
      </c>
      <c r="G276" s="3"/>
      <c r="H276" s="37">
        <f>'12. Investeringen (bijschatten)'!D79</f>
        <v>2022</v>
      </c>
      <c r="I276" s="37" t="str">
        <f>'12. Investeringen (bijschatten)'!E79</f>
        <v>05 Wegen en terreinvoorzieningen</v>
      </c>
      <c r="J276" s="169">
        <f>_xlfn.XLOOKUP(I276,'3. Input (des)investeringen '!$B$11:$B$81,'3. Input (des)investeringen '!$D$11:$D$81)</f>
        <v>10</v>
      </c>
      <c r="M276" s="43">
        <f t="shared" si="107"/>
        <v>0</v>
      </c>
      <c r="N276" s="43">
        <f t="shared" si="108"/>
        <v>0</v>
      </c>
      <c r="O276" s="3"/>
      <c r="P276" s="138">
        <f t="shared" si="109"/>
        <v>0</v>
      </c>
      <c r="Q276" s="138">
        <f t="shared" si="110"/>
        <v>0</v>
      </c>
      <c r="R276" s="3"/>
      <c r="S276" s="43">
        <f t="shared" si="111"/>
        <v>664518.3858161252</v>
      </c>
      <c r="T276" s="38">
        <f t="shared" si="112"/>
        <v>10</v>
      </c>
      <c r="U276" s="3"/>
      <c r="V276" s="43">
        <f t="shared" si="131"/>
        <v>38874.325570243331</v>
      </c>
      <c r="W276" s="43">
        <f t="shared" si="131"/>
        <v>72694.988816355035</v>
      </c>
      <c r="X276" s="43">
        <f t="shared" si="131"/>
        <v>63244.640270228883</v>
      </c>
      <c r="Y276" s="43">
        <f t="shared" si="131"/>
        <v>56433.679010358072</v>
      </c>
      <c r="Z276" s="43">
        <f t="shared" si="131"/>
        <v>56433.679010358072</v>
      </c>
      <c r="AA276" s="3"/>
      <c r="AB276" s="43">
        <f t="shared" si="132"/>
        <v>3322.5919290806264</v>
      </c>
      <c r="AC276" s="43">
        <f t="shared" si="132"/>
        <v>6645.1838581612519</v>
      </c>
      <c r="AD276" s="43">
        <f t="shared" si="132"/>
        <v>6645.1838581612519</v>
      </c>
      <c r="AE276" s="43">
        <f t="shared" si="132"/>
        <v>6645.1838581612519</v>
      </c>
      <c r="AF276" s="43">
        <f t="shared" si="132"/>
        <v>6645.1838581612519</v>
      </c>
      <c r="AG276" s="3"/>
      <c r="AH276" s="43">
        <f t="shared" si="115"/>
        <v>42196.917499323958</v>
      </c>
      <c r="AI276" s="43">
        <f t="shared" si="116"/>
        <v>79340.172674516289</v>
      </c>
      <c r="AJ276" s="43">
        <f t="shared" si="117"/>
        <v>69889.82412839013</v>
      </c>
      <c r="AK276" s="43">
        <f t="shared" si="118"/>
        <v>63078.862868519325</v>
      </c>
      <c r="AL276" s="43">
        <f t="shared" si="119"/>
        <v>63078.862868519325</v>
      </c>
      <c r="AM276" s="3"/>
      <c r="AN276" s="43">
        <f t="shared" si="130"/>
        <v>622321.46831680124</v>
      </c>
      <c r="AO276" s="43">
        <f t="shared" si="120"/>
        <v>542981.29564228491</v>
      </c>
      <c r="AP276" s="43">
        <f t="shared" si="121"/>
        <v>473091.47151389479</v>
      </c>
      <c r="AQ276" s="43">
        <f t="shared" si="122"/>
        <v>410012.60864537547</v>
      </c>
      <c r="AR276" s="43">
        <f t="shared" si="123"/>
        <v>346933.74577685614</v>
      </c>
      <c r="AS276" s="3"/>
      <c r="AT276" s="43">
        <f t="shared" si="133"/>
        <v>6645.1838581612519</v>
      </c>
      <c r="AU276" s="43">
        <f t="shared" si="133"/>
        <v>7028.9565163377802</v>
      </c>
      <c r="AV276" s="43">
        <f t="shared" si="133"/>
        <v>7560.9079454942257</v>
      </c>
      <c r="AW276" s="43">
        <f t="shared" si="133"/>
        <v>7741.5229144961913</v>
      </c>
      <c r="AX276" s="43">
        <f t="shared" si="133"/>
        <v>7841.6362888264557</v>
      </c>
      <c r="AY276" s="3"/>
      <c r="AZ276" s="47">
        <f t="shared" si="125"/>
        <v>70001.031280256459</v>
      </c>
      <c r="BA276" s="47">
        <f t="shared" si="126"/>
        <v>104287.51194704947</v>
      </c>
      <c r="BB276" s="47">
        <f t="shared" si="127"/>
        <v>95428.207991412361</v>
      </c>
      <c r="BC276" s="47">
        <f t="shared" si="128"/>
        <v>86400.864911539786</v>
      </c>
      <c r="BD276" s="47">
        <f t="shared" si="129"/>
        <v>84103.981496866312</v>
      </c>
    </row>
    <row r="277" spans="2:56" s="230" customFormat="1">
      <c r="B277" s="37">
        <f>'12. Investeringen (bijschatten)'!B80</f>
        <v>61</v>
      </c>
      <c r="C277" s="48"/>
      <c r="D277" s="3"/>
      <c r="E277" s="48"/>
      <c r="F277" s="169">
        <f>'12. Investeringen (bijschatten)'!C80</f>
        <v>906873.84029764659</v>
      </c>
      <c r="G277" s="3"/>
      <c r="H277" s="37">
        <f>'12. Investeringen (bijschatten)'!D80</f>
        <v>2022</v>
      </c>
      <c r="I277" s="37" t="str">
        <f>'12. Investeringen (bijschatten)'!E80</f>
        <v>06 Utiliteitsgebouwen</v>
      </c>
      <c r="J277" s="169">
        <f>_xlfn.XLOOKUP(I277,'3. Input (des)investeringen '!$B$11:$B$81,'3. Input (des)investeringen '!$D$11:$D$81)</f>
        <v>30</v>
      </c>
      <c r="M277" s="43">
        <f t="shared" si="107"/>
        <v>0</v>
      </c>
      <c r="N277" s="43">
        <f t="shared" si="108"/>
        <v>0</v>
      </c>
      <c r="O277" s="3"/>
      <c r="P277" s="138">
        <f t="shared" si="109"/>
        <v>0</v>
      </c>
      <c r="Q277" s="138">
        <f t="shared" si="110"/>
        <v>0</v>
      </c>
      <c r="R277" s="3"/>
      <c r="S277" s="43">
        <f t="shared" si="111"/>
        <v>906873.84029764659</v>
      </c>
      <c r="T277" s="38">
        <f t="shared" si="112"/>
        <v>30</v>
      </c>
      <c r="U277" s="3"/>
      <c r="V277" s="43">
        <f t="shared" si="131"/>
        <v>17684.039885804108</v>
      </c>
      <c r="W277" s="43">
        <f t="shared" si="131"/>
        <v>34601.77137655671</v>
      </c>
      <c r="X277" s="43">
        <f t="shared" si="131"/>
        <v>33102.361283572587</v>
      </c>
      <c r="Y277" s="43">
        <f t="shared" si="131"/>
        <v>31667.925627951103</v>
      </c>
      <c r="Z277" s="43">
        <f t="shared" si="131"/>
        <v>30295.64885073989</v>
      </c>
      <c r="AA277" s="3"/>
      <c r="AB277" s="43">
        <f t="shared" si="132"/>
        <v>1511.4564004960778</v>
      </c>
      <c r="AC277" s="43">
        <f t="shared" si="132"/>
        <v>3022.9128009921556</v>
      </c>
      <c r="AD277" s="43">
        <f t="shared" si="132"/>
        <v>3022.9128009921556</v>
      </c>
      <c r="AE277" s="43">
        <f t="shared" si="132"/>
        <v>3022.9128009921556</v>
      </c>
      <c r="AF277" s="43">
        <f t="shared" si="132"/>
        <v>3022.9128009921556</v>
      </c>
      <c r="AG277" s="3"/>
      <c r="AH277" s="43">
        <f t="shared" si="115"/>
        <v>19195.496286300186</v>
      </c>
      <c r="AI277" s="43">
        <f t="shared" si="116"/>
        <v>37624.684177548865</v>
      </c>
      <c r="AJ277" s="43">
        <f t="shared" si="117"/>
        <v>36125.274084564742</v>
      </c>
      <c r="AK277" s="43">
        <f t="shared" si="118"/>
        <v>34690.838428943258</v>
      </c>
      <c r="AL277" s="43">
        <f t="shared" si="119"/>
        <v>33318.561651732045</v>
      </c>
      <c r="AM277" s="3"/>
      <c r="AN277" s="43">
        <f t="shared" si="130"/>
        <v>887678.34401134634</v>
      </c>
      <c r="AO277" s="43">
        <f t="shared" si="120"/>
        <v>850053.65983379749</v>
      </c>
      <c r="AP277" s="43">
        <f t="shared" si="121"/>
        <v>813928.38574923272</v>
      </c>
      <c r="AQ277" s="43">
        <f t="shared" si="122"/>
        <v>779237.54732028942</v>
      </c>
      <c r="AR277" s="43">
        <f t="shared" si="123"/>
        <v>745918.98566855735</v>
      </c>
      <c r="AS277" s="3"/>
      <c r="AT277" s="43">
        <f t="shared" si="133"/>
        <v>9068.7384029764653</v>
      </c>
      <c r="AU277" s="43">
        <f t="shared" si="133"/>
        <v>9592.4761832251643</v>
      </c>
      <c r="AV277" s="43">
        <f t="shared" si="133"/>
        <v>10318.434780771646</v>
      </c>
      <c r="AW277" s="43">
        <f t="shared" si="133"/>
        <v>10564.921550814717</v>
      </c>
      <c r="AX277" s="43">
        <f t="shared" si="133"/>
        <v>10701.547116309854</v>
      </c>
      <c r="AY277" s="3"/>
      <c r="AZ277" s="47">
        <f t="shared" si="125"/>
        <v>58445.298385662434</v>
      </c>
      <c r="BA277" s="47">
        <f t="shared" si="126"/>
        <v>75268.931135289342</v>
      </c>
      <c r="BB277" s="47">
        <f t="shared" si="127"/>
        <v>77372.987523807227</v>
      </c>
      <c r="BC277" s="47">
        <f t="shared" si="128"/>
        <v>74866.786777928966</v>
      </c>
      <c r="BD277" s="47">
        <f t="shared" si="129"/>
        <v>72365.030223447073</v>
      </c>
    </row>
    <row r="278" spans="2:56" s="230" customFormat="1">
      <c r="B278" s="37">
        <f>'12. Investeringen (bijschatten)'!B81</f>
        <v>62</v>
      </c>
      <c r="C278" s="48"/>
      <c r="D278" s="3"/>
      <c r="E278" s="48"/>
      <c r="F278" s="169">
        <f>'12. Investeringen (bijschatten)'!C81</f>
        <v>57338.455544922595</v>
      </c>
      <c r="G278" s="3"/>
      <c r="H278" s="37">
        <f>'12. Investeringen (bijschatten)'!D81</f>
        <v>2022</v>
      </c>
      <c r="I278" s="37" t="str">
        <f>'12. Investeringen (bijschatten)'!E81</f>
        <v>08 Inrichting gebouwen</v>
      </c>
      <c r="J278" s="169">
        <f>_xlfn.XLOOKUP(I278,'3. Input (des)investeringen '!$B$11:$B$81,'3. Input (des)investeringen '!$D$11:$D$81)</f>
        <v>10</v>
      </c>
      <c r="M278" s="43">
        <f t="shared" si="107"/>
        <v>0</v>
      </c>
      <c r="N278" s="43">
        <f t="shared" si="108"/>
        <v>0</v>
      </c>
      <c r="O278" s="3"/>
      <c r="P278" s="138">
        <f t="shared" si="109"/>
        <v>0</v>
      </c>
      <c r="Q278" s="138">
        <f t="shared" si="110"/>
        <v>0</v>
      </c>
      <c r="R278" s="3"/>
      <c r="S278" s="43">
        <f t="shared" si="111"/>
        <v>57338.455544922595</v>
      </c>
      <c r="T278" s="38">
        <f t="shared" si="112"/>
        <v>10</v>
      </c>
      <c r="U278" s="3"/>
      <c r="V278" s="43">
        <f t="shared" si="131"/>
        <v>3354.2996493779719</v>
      </c>
      <c r="W278" s="43">
        <f t="shared" si="131"/>
        <v>6272.5403443368068</v>
      </c>
      <c r="X278" s="43">
        <f t="shared" si="131"/>
        <v>5457.1100995730221</v>
      </c>
      <c r="Y278" s="43">
        <f t="shared" si="131"/>
        <v>4869.4213196190049</v>
      </c>
      <c r="Z278" s="43">
        <f t="shared" si="131"/>
        <v>4869.4213196190049</v>
      </c>
      <c r="AA278" s="3"/>
      <c r="AB278" s="43">
        <f t="shared" si="132"/>
        <v>286.69227772461301</v>
      </c>
      <c r="AC278" s="43">
        <f t="shared" si="132"/>
        <v>573.38455544922601</v>
      </c>
      <c r="AD278" s="43">
        <f t="shared" si="132"/>
        <v>573.38455544922601</v>
      </c>
      <c r="AE278" s="43">
        <f t="shared" si="132"/>
        <v>573.38455544922601</v>
      </c>
      <c r="AF278" s="43">
        <f t="shared" si="132"/>
        <v>573.38455544922601</v>
      </c>
      <c r="AG278" s="3"/>
      <c r="AH278" s="43">
        <f t="shared" si="115"/>
        <v>3640.9919271025851</v>
      </c>
      <c r="AI278" s="43">
        <f t="shared" si="116"/>
        <v>6845.9248997860332</v>
      </c>
      <c r="AJ278" s="43">
        <f t="shared" si="117"/>
        <v>6030.4946550222485</v>
      </c>
      <c r="AK278" s="43">
        <f t="shared" si="118"/>
        <v>5442.8058750682312</v>
      </c>
      <c r="AL278" s="43">
        <f t="shared" si="119"/>
        <v>5442.8058750682312</v>
      </c>
      <c r="AM278" s="3"/>
      <c r="AN278" s="43">
        <f t="shared" si="130"/>
        <v>53697.463617820009</v>
      </c>
      <c r="AO278" s="43">
        <f t="shared" si="120"/>
        <v>46851.538718033975</v>
      </c>
      <c r="AP278" s="43">
        <f t="shared" si="121"/>
        <v>40821.044063011723</v>
      </c>
      <c r="AQ278" s="43">
        <f t="shared" si="122"/>
        <v>35378.238187943491</v>
      </c>
      <c r="AR278" s="43">
        <f t="shared" si="123"/>
        <v>29935.432312875259</v>
      </c>
      <c r="AS278" s="3"/>
      <c r="AT278" s="43">
        <f t="shared" si="133"/>
        <v>573.38455544922601</v>
      </c>
      <c r="AU278" s="43">
        <f t="shared" si="133"/>
        <v>606.4986602955297</v>
      </c>
      <c r="AV278" s="43">
        <f t="shared" si="133"/>
        <v>652.39847890669557</v>
      </c>
      <c r="AW278" s="43">
        <f t="shared" si="133"/>
        <v>667.9829737708186</v>
      </c>
      <c r="AX278" s="43">
        <f t="shared" si="133"/>
        <v>676.62132958762277</v>
      </c>
      <c r="AY278" s="3"/>
      <c r="AZ278" s="47">
        <f t="shared" si="125"/>
        <v>6040.0902455576916</v>
      </c>
      <c r="BA278" s="47">
        <f t="shared" si="126"/>
        <v>8998.5243377766856</v>
      </c>
      <c r="BB278" s="47">
        <f t="shared" si="127"/>
        <v>8234.0928083233903</v>
      </c>
      <c r="BC278" s="47">
        <f t="shared" si="128"/>
        <v>7455.1618999809025</v>
      </c>
      <c r="BD278" s="47">
        <f t="shared" si="129"/>
        <v>7256.973632545114</v>
      </c>
    </row>
    <row r="279" spans="2:56" s="230" customFormat="1">
      <c r="B279" s="37">
        <f>'12. Investeringen (bijschatten)'!B82</f>
        <v>63</v>
      </c>
      <c r="C279" s="48"/>
      <c r="D279" s="3"/>
      <c r="E279" s="48"/>
      <c r="F279" s="169">
        <f>'12. Investeringen (bijschatten)'!C82</f>
        <v>105283.66667709664</v>
      </c>
      <c r="G279" s="3"/>
      <c r="H279" s="37">
        <f>'12. Investeringen (bijschatten)'!D82</f>
        <v>2022</v>
      </c>
      <c r="I279" s="37" t="str">
        <f>'12. Investeringen (bijschatten)'!E82</f>
        <v>15 Compressorstations (KC)</v>
      </c>
      <c r="J279" s="169">
        <f>_xlfn.XLOOKUP(I279,'3. Input (des)investeringen '!$B$11:$B$81,'3. Input (des)investeringen '!$D$11:$D$81)</f>
        <v>30</v>
      </c>
      <c r="M279" s="43">
        <f t="shared" si="107"/>
        <v>0</v>
      </c>
      <c r="N279" s="43">
        <f t="shared" si="108"/>
        <v>0</v>
      </c>
      <c r="O279" s="3"/>
      <c r="P279" s="138">
        <f t="shared" si="109"/>
        <v>0</v>
      </c>
      <c r="Q279" s="138">
        <f t="shared" si="110"/>
        <v>0</v>
      </c>
      <c r="R279" s="3"/>
      <c r="S279" s="43">
        <f t="shared" si="111"/>
        <v>105283.66667709664</v>
      </c>
      <c r="T279" s="38">
        <f t="shared" si="112"/>
        <v>30</v>
      </c>
      <c r="U279" s="3"/>
      <c r="V279" s="43">
        <f t="shared" si="131"/>
        <v>2053.0315002033844</v>
      </c>
      <c r="W279" s="43">
        <f t="shared" si="131"/>
        <v>4017.0983020646222</v>
      </c>
      <c r="X279" s="43">
        <f t="shared" si="131"/>
        <v>3843.0240423084888</v>
      </c>
      <c r="Y279" s="43">
        <f t="shared" si="131"/>
        <v>3676.4930004751209</v>
      </c>
      <c r="Z279" s="43">
        <f t="shared" si="131"/>
        <v>3517.1783037878654</v>
      </c>
      <c r="AA279" s="3"/>
      <c r="AB279" s="43">
        <f t="shared" si="132"/>
        <v>175.47277779516108</v>
      </c>
      <c r="AC279" s="43">
        <f t="shared" si="132"/>
        <v>350.94555559032216</v>
      </c>
      <c r="AD279" s="43">
        <f t="shared" si="132"/>
        <v>350.94555559032216</v>
      </c>
      <c r="AE279" s="43">
        <f t="shared" si="132"/>
        <v>350.94555559032216</v>
      </c>
      <c r="AF279" s="43">
        <f t="shared" si="132"/>
        <v>350.94555559032216</v>
      </c>
      <c r="AG279" s="3"/>
      <c r="AH279" s="43">
        <f t="shared" si="115"/>
        <v>2228.5042779985456</v>
      </c>
      <c r="AI279" s="43">
        <f t="shared" si="116"/>
        <v>4368.0438576549441</v>
      </c>
      <c r="AJ279" s="43">
        <f t="shared" si="117"/>
        <v>4193.9695978988111</v>
      </c>
      <c r="AK279" s="43">
        <f t="shared" si="118"/>
        <v>4027.4385560654432</v>
      </c>
      <c r="AL279" s="43">
        <f t="shared" si="119"/>
        <v>3868.1238593781877</v>
      </c>
      <c r="AM279" s="3"/>
      <c r="AN279" s="43">
        <f t="shared" si="130"/>
        <v>103055.16239909809</v>
      </c>
      <c r="AO279" s="43">
        <f t="shared" si="120"/>
        <v>98687.118541443138</v>
      </c>
      <c r="AP279" s="43">
        <f t="shared" si="121"/>
        <v>94493.148943544322</v>
      </c>
      <c r="AQ279" s="43">
        <f t="shared" si="122"/>
        <v>90465.710387478874</v>
      </c>
      <c r="AR279" s="43">
        <f t="shared" si="123"/>
        <v>86597.586528100685</v>
      </c>
      <c r="AS279" s="3"/>
      <c r="AT279" s="43">
        <f t="shared" si="133"/>
        <v>1052.8366667709665</v>
      </c>
      <c r="AU279" s="43">
        <f t="shared" si="133"/>
        <v>1113.6400899503233</v>
      </c>
      <c r="AV279" s="43">
        <f t="shared" si="133"/>
        <v>1197.9203719577638</v>
      </c>
      <c r="AW279" s="43">
        <f t="shared" si="133"/>
        <v>1226.536293803091</v>
      </c>
      <c r="AX279" s="43">
        <f t="shared" si="133"/>
        <v>1242.3978611545524</v>
      </c>
      <c r="AY279" s="3"/>
      <c r="AZ279" s="47">
        <f t="shared" si="125"/>
        <v>6785.2164663388485</v>
      </c>
      <c r="BA279" s="47">
        <f t="shared" si="126"/>
        <v>8738.3588594728899</v>
      </c>
      <c r="BB279" s="47">
        <f t="shared" si="127"/>
        <v>8982.6296297112585</v>
      </c>
      <c r="BC279" s="47">
        <f t="shared" si="128"/>
        <v>8691.6718445927308</v>
      </c>
      <c r="BD279" s="47">
        <f t="shared" si="129"/>
        <v>8401.2300086005653</v>
      </c>
    </row>
    <row r="280" spans="2:56" s="230" customFormat="1">
      <c r="B280" s="37">
        <f>'12. Investeringen (bijschatten)'!B83</f>
        <v>64</v>
      </c>
      <c r="C280" s="48"/>
      <c r="D280" s="3"/>
      <c r="E280" s="48"/>
      <c r="F280" s="169">
        <f>'12. Investeringen (bijschatten)'!C83</f>
        <v>6293355.1961035738</v>
      </c>
      <c r="G280" s="3"/>
      <c r="H280" s="37">
        <f>'12. Investeringen (bijschatten)'!D83</f>
        <v>2022</v>
      </c>
      <c r="I280" s="37" t="str">
        <f>'12. Investeringen (bijschatten)'!E83</f>
        <v>15 Compressorstations (TT-BT-AT)</v>
      </c>
      <c r="J280" s="169">
        <f>_xlfn.XLOOKUP(I280,'3. Input (des)investeringen '!$B$11:$B$81,'3. Input (des)investeringen '!$D$11:$D$81)</f>
        <v>30</v>
      </c>
      <c r="M280" s="43">
        <f t="shared" si="107"/>
        <v>0</v>
      </c>
      <c r="N280" s="43">
        <f t="shared" si="108"/>
        <v>0</v>
      </c>
      <c r="O280" s="3"/>
      <c r="P280" s="138">
        <f t="shared" si="109"/>
        <v>0</v>
      </c>
      <c r="Q280" s="138">
        <f t="shared" si="110"/>
        <v>0</v>
      </c>
      <c r="R280" s="3"/>
      <c r="S280" s="43">
        <f t="shared" si="111"/>
        <v>6293355.1961035738</v>
      </c>
      <c r="T280" s="38">
        <f t="shared" si="112"/>
        <v>30</v>
      </c>
      <c r="U280" s="3"/>
      <c r="V280" s="43">
        <f t="shared" si="131"/>
        <v>122720.42632401969</v>
      </c>
      <c r="W280" s="43">
        <f t="shared" si="131"/>
        <v>240122.96750733184</v>
      </c>
      <c r="X280" s="43">
        <f t="shared" si="131"/>
        <v>229717.63891534746</v>
      </c>
      <c r="Y280" s="43">
        <f t="shared" si="131"/>
        <v>219763.2078956824</v>
      </c>
      <c r="Z280" s="43">
        <f t="shared" si="131"/>
        <v>210240.13555353618</v>
      </c>
      <c r="AA280" s="3"/>
      <c r="AB280" s="43">
        <f t="shared" si="132"/>
        <v>10488.925326839291</v>
      </c>
      <c r="AC280" s="43">
        <f t="shared" si="132"/>
        <v>20977.850653678583</v>
      </c>
      <c r="AD280" s="43">
        <f t="shared" si="132"/>
        <v>20977.850653678583</v>
      </c>
      <c r="AE280" s="43">
        <f t="shared" si="132"/>
        <v>20977.850653678583</v>
      </c>
      <c r="AF280" s="43">
        <f t="shared" si="132"/>
        <v>20977.850653678583</v>
      </c>
      <c r="AG280" s="3"/>
      <c r="AH280" s="43">
        <f t="shared" si="115"/>
        <v>133209.35165085897</v>
      </c>
      <c r="AI280" s="43">
        <f t="shared" si="116"/>
        <v>261100.81816101042</v>
      </c>
      <c r="AJ280" s="43">
        <f t="shared" si="117"/>
        <v>250695.48956902605</v>
      </c>
      <c r="AK280" s="43">
        <f t="shared" si="118"/>
        <v>240741.05854936098</v>
      </c>
      <c r="AL280" s="43">
        <f t="shared" si="119"/>
        <v>231217.98620721477</v>
      </c>
      <c r="AM280" s="3"/>
      <c r="AN280" s="43">
        <f t="shared" si="130"/>
        <v>6160145.8444527145</v>
      </c>
      <c r="AO280" s="43">
        <f t="shared" si="120"/>
        <v>5899045.0262917038</v>
      </c>
      <c r="AP280" s="43">
        <f t="shared" si="121"/>
        <v>5648349.5367226778</v>
      </c>
      <c r="AQ280" s="43">
        <f t="shared" si="122"/>
        <v>5407608.4781733165</v>
      </c>
      <c r="AR280" s="43">
        <f t="shared" si="123"/>
        <v>5176390.4919661013</v>
      </c>
      <c r="AS280" s="3"/>
      <c r="AT280" s="43">
        <f t="shared" si="133"/>
        <v>62933.551961035737</v>
      </c>
      <c r="AU280" s="43">
        <f t="shared" si="133"/>
        <v>66568.090453889468</v>
      </c>
      <c r="AV280" s="43">
        <f t="shared" si="133"/>
        <v>71605.96353943985</v>
      </c>
      <c r="AW280" s="43">
        <f t="shared" si="133"/>
        <v>73316.486796469966</v>
      </c>
      <c r="AX280" s="43">
        <f t="shared" si="133"/>
        <v>74264.615603721919</v>
      </c>
      <c r="AY280" s="3"/>
      <c r="AZ280" s="47">
        <f t="shared" si="125"/>
        <v>405587.862323287</v>
      </c>
      <c r="BA280" s="47">
        <f t="shared" si="126"/>
        <v>522337.39448252611</v>
      </c>
      <c r="BB280" s="47">
        <f t="shared" si="127"/>
        <v>536938.73550392769</v>
      </c>
      <c r="BC280" s="47">
        <f t="shared" si="128"/>
        <v>519546.66751641693</v>
      </c>
      <c r="BD280" s="47">
        <f t="shared" si="129"/>
        <v>502185.44050564856</v>
      </c>
    </row>
    <row r="281" spans="2:56" s="230" customFormat="1">
      <c r="B281" s="37">
        <f>'12. Investeringen (bijschatten)'!B84</f>
        <v>65</v>
      </c>
      <c r="C281" s="48"/>
      <c r="D281" s="3"/>
      <c r="E281" s="48"/>
      <c r="F281" s="169">
        <f>'12. Investeringen (bijschatten)'!C84</f>
        <v>10404800.792079909</v>
      </c>
      <c r="G281" s="3"/>
      <c r="H281" s="37">
        <f>'12. Investeringen (bijschatten)'!D84</f>
        <v>2022</v>
      </c>
      <c r="I281" s="37" t="str">
        <f>'12. Investeringen (bijschatten)'!E84</f>
        <v>16 LNG installaties</v>
      </c>
      <c r="J281" s="169">
        <f>_xlfn.XLOOKUP(I281,'3. Input (des)investeringen '!$B$11:$B$81,'3. Input (des)investeringen '!$D$11:$D$81)</f>
        <v>30</v>
      </c>
      <c r="M281" s="43">
        <f t="shared" si="107"/>
        <v>0</v>
      </c>
      <c r="N281" s="43">
        <f t="shared" si="108"/>
        <v>0</v>
      </c>
      <c r="O281" s="3"/>
      <c r="P281" s="138">
        <f t="shared" si="109"/>
        <v>0</v>
      </c>
      <c r="Q281" s="138">
        <f t="shared" si="110"/>
        <v>0</v>
      </c>
      <c r="R281" s="3"/>
      <c r="S281" s="43">
        <f t="shared" si="111"/>
        <v>10404800.792079909</v>
      </c>
      <c r="T281" s="38">
        <f t="shared" si="112"/>
        <v>30</v>
      </c>
      <c r="U281" s="3"/>
      <c r="V281" s="43">
        <f t="shared" si="131"/>
        <v>202893.61544555824</v>
      </c>
      <c r="W281" s="43">
        <f t="shared" si="131"/>
        <v>396995.17422180896</v>
      </c>
      <c r="X281" s="43">
        <f t="shared" si="131"/>
        <v>379792.05000553059</v>
      </c>
      <c r="Y281" s="43">
        <f t="shared" si="131"/>
        <v>363334.39450529095</v>
      </c>
      <c r="Z281" s="43">
        <f t="shared" si="131"/>
        <v>347589.90407672833</v>
      </c>
      <c r="AA281" s="3"/>
      <c r="AB281" s="43">
        <f t="shared" si="132"/>
        <v>17341.334653466514</v>
      </c>
      <c r="AC281" s="43">
        <f t="shared" si="132"/>
        <v>34682.669306933029</v>
      </c>
      <c r="AD281" s="43">
        <f t="shared" si="132"/>
        <v>34682.669306933029</v>
      </c>
      <c r="AE281" s="43">
        <f t="shared" si="132"/>
        <v>34682.669306933029</v>
      </c>
      <c r="AF281" s="43">
        <f t="shared" si="132"/>
        <v>34682.669306933029</v>
      </c>
      <c r="AG281" s="3"/>
      <c r="AH281" s="43">
        <f t="shared" si="115"/>
        <v>220234.95009902475</v>
      </c>
      <c r="AI281" s="43">
        <f t="shared" si="116"/>
        <v>431677.84352874197</v>
      </c>
      <c r="AJ281" s="43">
        <f t="shared" si="117"/>
        <v>414474.7193124636</v>
      </c>
      <c r="AK281" s="43">
        <f t="shared" si="118"/>
        <v>398017.06381222396</v>
      </c>
      <c r="AL281" s="43">
        <f t="shared" si="119"/>
        <v>382272.57338366134</v>
      </c>
      <c r="AM281" s="3"/>
      <c r="AN281" s="43">
        <f t="shared" ref="AN281:AN307" si="134">IF($J281=0,IF($H281 &gt; AN$215, 0,$S281),IF(OR($H281&gt;AN$59,$H281+$J281&lt;=AN$59),0,
IF($H281=AN$59,$S281-AH281,
S281-AH281)))</f>
        <v>10184565.841980884</v>
      </c>
      <c r="AO281" s="43">
        <f t="shared" si="120"/>
        <v>9752887.9984521419</v>
      </c>
      <c r="AP281" s="43">
        <f t="shared" si="121"/>
        <v>9338413.2791396789</v>
      </c>
      <c r="AQ281" s="43">
        <f t="shared" si="122"/>
        <v>8940396.2153274547</v>
      </c>
      <c r="AR281" s="43">
        <f t="shared" si="123"/>
        <v>8558123.6419437937</v>
      </c>
      <c r="AS281" s="3"/>
      <c r="AT281" s="43">
        <f t="shared" si="133"/>
        <v>104048.00792079909</v>
      </c>
      <c r="AU281" s="43">
        <f t="shared" si="133"/>
        <v>110056.98847424109</v>
      </c>
      <c r="AV281" s="43">
        <f t="shared" si="133"/>
        <v>118386.10136197167</v>
      </c>
      <c r="AW281" s="43">
        <f t="shared" si="133"/>
        <v>121214.10855130643</v>
      </c>
      <c r="AX281" s="43">
        <f t="shared" si="133"/>
        <v>122781.64940309193</v>
      </c>
      <c r="AY281" s="3"/>
      <c r="AZ281" s="47">
        <f t="shared" si="125"/>
        <v>670558.19664717396</v>
      </c>
      <c r="BA281" s="47">
        <f t="shared" si="126"/>
        <v>863580.13595190377</v>
      </c>
      <c r="BB281" s="47">
        <f t="shared" si="127"/>
        <v>887720.52528174303</v>
      </c>
      <c r="BC281" s="47">
        <f t="shared" si="128"/>
        <v>858966.22854597366</v>
      </c>
      <c r="BD281" s="47">
        <f t="shared" si="129"/>
        <v>830262.92118061753</v>
      </c>
    </row>
    <row r="282" spans="2:56" s="230" customFormat="1">
      <c r="B282" s="37">
        <f>'12. Investeringen (bijschatten)'!B85</f>
        <v>66</v>
      </c>
      <c r="C282" s="48"/>
      <c r="D282" s="3"/>
      <c r="E282" s="48"/>
      <c r="F282" s="169">
        <f>'12. Investeringen (bijschatten)'!C85</f>
        <v>3092987.1234078766</v>
      </c>
      <c r="G282" s="3"/>
      <c r="H282" s="37">
        <f>'12. Investeringen (bijschatten)'!D85</f>
        <v>2022</v>
      </c>
      <c r="I282" s="37" t="str">
        <f>'12. Investeringen (bijschatten)'!E85</f>
        <v>17 Mengstations</v>
      </c>
      <c r="J282" s="169">
        <f>_xlfn.XLOOKUP(I282,'3. Input (des)investeringen '!$B$11:$B$81,'3. Input (des)investeringen '!$D$11:$D$81)</f>
        <v>30</v>
      </c>
      <c r="M282" s="43">
        <f t="shared" ref="M282:M290" si="135">IF($J282 = 0, 0, IF($H282&lt;=M$215,
VDB(ABS($F282),0,$J282,MAX(0,M$59-$H282-0.5),MIN($J282,M$59-$H282+0.5),1)*IF($F282&lt;0,-1,1)*INDEX(H$40:H$46,$H282-2019,1),
0))</f>
        <v>0</v>
      </c>
      <c r="N282" s="43">
        <f t="shared" ref="N282:N290" si="136">IF($J282 = 0, 0, IF($H282&lt;=N$215,
VDB(ABS($F282),0,$J282,MAX(0,N$59-$H282-0.5),MIN($J282,N$59-$H282+0.5),1)*IF($F282&lt;0,-1,1)*INDEX(I$40:I$46,$H282-2019,1),
0))</f>
        <v>0</v>
      </c>
      <c r="O282" s="3"/>
      <c r="P282" s="138">
        <f t="shared" ref="P282:P290" si="137">IF($J282=0, IF($H282 = M$215, $F282, 0), IF(OR($H282&gt;P$59,$H282+$J282&lt;=P$59),0,
F282-M282))</f>
        <v>0</v>
      </c>
      <c r="Q282" s="138">
        <f t="shared" ref="Q282:Q290" si="138">IF($J282=0, IF($H282 &gt; N$215, 0, IF($H282=N$215, $F282, $P282*I$40)), IF(OR($H282&gt;Q$59,$H282+$J282&lt;=Q$59),0,
IF($H282=Q$59,F282-N282,P282*I$40-N282)))</f>
        <v>0</v>
      </c>
      <c r="R282" s="3"/>
      <c r="S282" s="43">
        <f t="shared" ref="S282:S290" si="139">IF($J282=0, IF(H282&lt;=2021, $Q282, IF(H282&gt;=2022, $F282,0)), IF(H282&lt;=2021,Q282,F282))</f>
        <v>3092987.1234078766</v>
      </c>
      <c r="T282" s="38">
        <f t="shared" ref="T282:T290" si="140">IF($J282=0, 0, IF(H282&lt;2022,J282-2021+H282-0.5,J282))</f>
        <v>30</v>
      </c>
      <c r="U282" s="3"/>
      <c r="V282" s="43">
        <f t="shared" ref="V282:Z300" si="141">IF($J282=0, 0, IF(OR($H282&gt;V$59,$H282+$J282&lt;V$59),0,
IF(OR($H282=2020,$H282=2021),VDB(ABS($S282)*(1-$F$28),0,$T282,V$59-2022,MIN($T282,V$59-2021),$F$22),
VDB(ABS($S282)*(1-$F$28),0,$T282,MAX(0,V$59-$H282-0.5),MIN($T282,V$59-$H282+0.5),$F$22,FALSE))))*IF($F282&lt;0,-1,1)</f>
        <v>60313.248906453598</v>
      </c>
      <c r="W282" s="43">
        <f t="shared" si="141"/>
        <v>118012.92369362754</v>
      </c>
      <c r="X282" s="43">
        <f t="shared" si="141"/>
        <v>112899.03033357035</v>
      </c>
      <c r="Y282" s="43">
        <f t="shared" si="141"/>
        <v>108006.73901911563</v>
      </c>
      <c r="Z282" s="43">
        <f t="shared" si="141"/>
        <v>103326.44699495396</v>
      </c>
      <c r="AA282" s="3"/>
      <c r="AB282" s="43">
        <f t="shared" ref="AB282:AF300" si="142">IF($J282 = 0, 0, IF(OR($H282&gt;AB$59,$H282+$J282&lt;AB$59),0,
IF(OR($H282=2020,$H282=2021),VDB(ABS($S282)*$F$28,0,$T282,AB$59-2022,MIN($T282,AB$59-2021),1),
VDB(ABS($S282)*$F$28,0,$T282,MAX(0,AB$59-$H282-0.5),MIN($T282,AB$59-$H282+0.5),1))))*IF($F282&lt;0,-1,1)</f>
        <v>5154.9785390131283</v>
      </c>
      <c r="AC282" s="43">
        <f t="shared" si="142"/>
        <v>10309.957078026257</v>
      </c>
      <c r="AD282" s="43">
        <f t="shared" si="142"/>
        <v>10309.957078026257</v>
      </c>
      <c r="AE282" s="43">
        <f t="shared" si="142"/>
        <v>10309.957078026257</v>
      </c>
      <c r="AF282" s="43">
        <f t="shared" si="142"/>
        <v>10309.957078026257</v>
      </c>
      <c r="AG282" s="3"/>
      <c r="AH282" s="43">
        <f t="shared" ref="AH282:AH290" si="143">V282+AB282</f>
        <v>65468.227445466728</v>
      </c>
      <c r="AI282" s="43">
        <f t="shared" ref="AI282:AI290" si="144">W282+AC282</f>
        <v>128322.8807716538</v>
      </c>
      <c r="AJ282" s="43">
        <f t="shared" ref="AJ282:AJ290" si="145">X282+AD282</f>
        <v>123208.98741159661</v>
      </c>
      <c r="AK282" s="43">
        <f t="shared" ref="AK282:AK290" si="146">Y282+AE282</f>
        <v>118316.69609714189</v>
      </c>
      <c r="AL282" s="43">
        <f t="shared" ref="AL282:AL290" si="147">Z282+AF282</f>
        <v>113636.40407298022</v>
      </c>
      <c r="AM282" s="3"/>
      <c r="AN282" s="43">
        <f t="shared" si="134"/>
        <v>3027518.8959624097</v>
      </c>
      <c r="AO282" s="43">
        <f t="shared" ref="AO282:AO290" si="148">IF($J282 = 0, IF($H282 &gt; AO$215, 0, IF($H282=AO$215, $F282, AN282)), IF(OR($H282&gt;AO$59,$H282+$J282&lt;=AO$59),0,
IF($H282=AO$59,$S282-AI282,
AN282-AI282)))</f>
        <v>2899196.0151907559</v>
      </c>
      <c r="AP282" s="43">
        <f t="shared" ref="AP282:AP290" si="149">IF($J282 = 0, IF($H282 &gt; AP$215, 0, IF($H282=AP$215, $F282, AO282)), IF(OR($H282&gt;AP$59,$H282+$J282&lt;=AP$59),0,
IF($H282=AP$59,$S282-AJ282,
AO282-AJ282)))</f>
        <v>2775987.0277791591</v>
      </c>
      <c r="AQ282" s="43">
        <f t="shared" ref="AQ282:AQ290" si="150">IF($J282 = 0, IF($H282 &gt; AQ$215, 0, IF($H282=AQ$215, $F282, AP282)), IF(OR($H282&gt;AQ$59,$H282+$J282&lt;=AQ$59),0,
IF($H282=AQ$59,$S282-AK282,
AP282-AK282)))</f>
        <v>2657670.3316820171</v>
      </c>
      <c r="AR282" s="43">
        <f t="shared" ref="AR282:AR290" si="151">IF($J282 = 0, IF($H282 &gt; AR$215, 0, IF($H282=AR$215, $F282, AQ282)), IF(OR($H282&gt;AR$59,$H282+$J282&lt;=AR$59),0,
IF($H282=AR$59,$S282-AL282,
AQ282-AL282)))</f>
        <v>2544033.9276090367</v>
      </c>
      <c r="AS282" s="3"/>
      <c r="AT282" s="43">
        <f t="shared" ref="AT282:AX308" si="152">IF($H282&lt;=AT$215,$F282*INDEX($H$40:$N$46,$H282-2019,AT$215-2019)*INDEX($H$49:$N$55,$H282-2019,AT$215-2019)*$F$19,0)</f>
        <v>30929.871234078768</v>
      </c>
      <c r="AU282" s="43">
        <f t="shared" si="152"/>
        <v>32716.133157589287</v>
      </c>
      <c r="AV282" s="43">
        <f t="shared" si="152"/>
        <v>35192.090114955645</v>
      </c>
      <c r="AW282" s="43">
        <f t="shared" si="152"/>
        <v>36032.758763621699</v>
      </c>
      <c r="AX282" s="43">
        <f t="shared" si="152"/>
        <v>36498.73439995286</v>
      </c>
      <c r="AY282" s="3"/>
      <c r="AZ282" s="47">
        <f t="shared" ref="AZ282:AZ290" si="153">AH282+AN282*J$16+AT282</f>
        <v>199333.74114226745</v>
      </c>
      <c r="BA282" s="47">
        <f t="shared" ref="BA282:BA290" si="154">AI282+AO282*K$16+AU282</f>
        <v>256712.48243053805</v>
      </c>
      <c r="BB282" s="47">
        <f t="shared" ref="BB282:BB290" si="155">AJ282+AP282*L$16+AV282</f>
        <v>263888.58458216034</v>
      </c>
      <c r="BC282" s="47">
        <f t="shared" ref="BC282:BC290" si="156">AK282+AQ282*M$16+AW282</f>
        <v>255340.92746468025</v>
      </c>
      <c r="BD282" s="47">
        <f t="shared" ref="BD282:BD290" si="157">AL282+AR282*N$16+AX282</f>
        <v>246808.42772207648</v>
      </c>
    </row>
    <row r="283" spans="2:56" s="230" customFormat="1">
      <c r="B283" s="37">
        <f>'12. Investeringen (bijschatten)'!B86</f>
        <v>67</v>
      </c>
      <c r="C283" s="48"/>
      <c r="D283" s="3"/>
      <c r="E283" s="48"/>
      <c r="F283" s="169">
        <f>'12. Investeringen (bijschatten)'!C86</f>
        <v>1027512.2926749249</v>
      </c>
      <c r="G283" s="3"/>
      <c r="H283" s="37">
        <f>'12. Investeringen (bijschatten)'!D86</f>
        <v>2022</v>
      </c>
      <c r="I283" s="37" t="str">
        <f>'12. Investeringen (bijschatten)'!E86</f>
        <v>20 Kantoorgebouwen</v>
      </c>
      <c r="J283" s="169">
        <f>_xlfn.XLOOKUP(I283,'3. Input (des)investeringen '!$B$11:$B$81,'3. Input (des)investeringen '!$D$11:$D$81)</f>
        <v>30</v>
      </c>
      <c r="M283" s="43">
        <f t="shared" si="135"/>
        <v>0</v>
      </c>
      <c r="N283" s="43">
        <f t="shared" si="136"/>
        <v>0</v>
      </c>
      <c r="O283" s="3"/>
      <c r="P283" s="138">
        <f t="shared" si="137"/>
        <v>0</v>
      </c>
      <c r="Q283" s="138">
        <f t="shared" si="138"/>
        <v>0</v>
      </c>
      <c r="R283" s="3"/>
      <c r="S283" s="43">
        <f t="shared" si="139"/>
        <v>1027512.2926749249</v>
      </c>
      <c r="T283" s="38">
        <f t="shared" si="140"/>
        <v>30</v>
      </c>
      <c r="U283" s="3"/>
      <c r="V283" s="43">
        <f t="shared" si="141"/>
        <v>20036.489707161039</v>
      </c>
      <c r="W283" s="43">
        <f t="shared" si="141"/>
        <v>39204.731527011762</v>
      </c>
      <c r="X283" s="43">
        <f t="shared" si="141"/>
        <v>37505.85982750792</v>
      </c>
      <c r="Y283" s="43">
        <f t="shared" si="141"/>
        <v>35880.605901649251</v>
      </c>
      <c r="Z283" s="43">
        <f t="shared" si="141"/>
        <v>34325.779645911112</v>
      </c>
      <c r="AA283" s="3"/>
      <c r="AB283" s="43">
        <f t="shared" si="142"/>
        <v>1712.5204877915417</v>
      </c>
      <c r="AC283" s="43">
        <f t="shared" si="142"/>
        <v>3425.0409755830833</v>
      </c>
      <c r="AD283" s="43">
        <f t="shared" si="142"/>
        <v>3425.0409755830833</v>
      </c>
      <c r="AE283" s="43">
        <f t="shared" si="142"/>
        <v>3425.0409755830833</v>
      </c>
      <c r="AF283" s="43">
        <f t="shared" si="142"/>
        <v>3425.0409755830833</v>
      </c>
      <c r="AG283" s="3"/>
      <c r="AH283" s="43">
        <f t="shared" si="143"/>
        <v>21749.010194952582</v>
      </c>
      <c r="AI283" s="43">
        <f t="shared" si="144"/>
        <v>42629.772502594846</v>
      </c>
      <c r="AJ283" s="43">
        <f t="shared" si="145"/>
        <v>40930.900803091004</v>
      </c>
      <c r="AK283" s="43">
        <f t="shared" si="146"/>
        <v>39305.646877232335</v>
      </c>
      <c r="AL283" s="43">
        <f t="shared" si="147"/>
        <v>37750.820621494197</v>
      </c>
      <c r="AM283" s="3"/>
      <c r="AN283" s="43">
        <f t="shared" si="134"/>
        <v>1005763.2824799723</v>
      </c>
      <c r="AO283" s="43">
        <f t="shared" si="148"/>
        <v>963133.50997737749</v>
      </c>
      <c r="AP283" s="43">
        <f t="shared" si="149"/>
        <v>922202.60917428648</v>
      </c>
      <c r="AQ283" s="43">
        <f t="shared" si="150"/>
        <v>882896.96229705412</v>
      </c>
      <c r="AR283" s="43">
        <f t="shared" si="151"/>
        <v>845146.14167555992</v>
      </c>
      <c r="AS283" s="3"/>
      <c r="AT283" s="43">
        <f t="shared" si="152"/>
        <v>10275.122926749249</v>
      </c>
      <c r="AU283" s="43">
        <f t="shared" si="152"/>
        <v>10868.531826014872</v>
      </c>
      <c r="AV283" s="43">
        <f t="shared" si="152"/>
        <v>11691.062314607681</v>
      </c>
      <c r="AW283" s="43">
        <f t="shared" si="152"/>
        <v>11970.338411179027</v>
      </c>
      <c r="AX283" s="43">
        <f t="shared" si="152"/>
        <v>12125.138827512395</v>
      </c>
      <c r="AY283" s="3"/>
      <c r="AZ283" s="47">
        <f t="shared" si="153"/>
        <v>66220.084726020883</v>
      </c>
      <c r="BA283" s="47">
        <f t="shared" si="154"/>
        <v>85281.710157863185</v>
      </c>
      <c r="BB283" s="47">
        <f t="shared" si="155"/>
        <v>87665.662266321582</v>
      </c>
      <c r="BC283" s="47">
        <f t="shared" si="156"/>
        <v>84826.069855699403</v>
      </c>
      <c r="BD283" s="47">
        <f t="shared" si="157"/>
        <v>81991.512832677865</v>
      </c>
    </row>
    <row r="284" spans="2:56" s="230" customFormat="1">
      <c r="B284" s="37">
        <f>'12. Investeringen (bijschatten)'!B87</f>
        <v>68</v>
      </c>
      <c r="C284" s="48"/>
      <c r="D284" s="3"/>
      <c r="E284" s="48"/>
      <c r="F284" s="169">
        <f>'12. Investeringen (bijschatten)'!C87</f>
        <v>15717781.33321991</v>
      </c>
      <c r="G284" s="3"/>
      <c r="H284" s="37">
        <f>'12. Investeringen (bijschatten)'!D87</f>
        <v>2022</v>
      </c>
      <c r="I284" s="37" t="str">
        <f>'12. Investeringen (bijschatten)'!E87</f>
        <v>21 Hoofdtransportleiding</v>
      </c>
      <c r="J284" s="169">
        <f>_xlfn.XLOOKUP(I284,'3. Input (des)investeringen '!$B$11:$B$81,'3. Input (des)investeringen '!$D$11:$D$81)</f>
        <v>55</v>
      </c>
      <c r="M284" s="43">
        <f t="shared" si="135"/>
        <v>0</v>
      </c>
      <c r="N284" s="43">
        <f t="shared" si="136"/>
        <v>0</v>
      </c>
      <c r="O284" s="3"/>
      <c r="P284" s="138">
        <f t="shared" si="137"/>
        <v>0</v>
      </c>
      <c r="Q284" s="138">
        <f t="shared" si="138"/>
        <v>0</v>
      </c>
      <c r="R284" s="3"/>
      <c r="S284" s="43">
        <f t="shared" si="139"/>
        <v>15717781.33321991</v>
      </c>
      <c r="T284" s="38">
        <f t="shared" si="140"/>
        <v>55</v>
      </c>
      <c r="U284" s="3"/>
      <c r="V284" s="43">
        <f t="shared" si="141"/>
        <v>167180.03781697541</v>
      </c>
      <c r="W284" s="43">
        <f t="shared" si="141"/>
        <v>330408.54746736772</v>
      </c>
      <c r="X284" s="43">
        <f t="shared" si="141"/>
        <v>322598.89089086634</v>
      </c>
      <c r="Y284" s="43">
        <f t="shared" si="141"/>
        <v>314973.82619708224</v>
      </c>
      <c r="Z284" s="43">
        <f t="shared" si="141"/>
        <v>307528.99030515121</v>
      </c>
      <c r="AA284" s="3"/>
      <c r="AB284" s="43">
        <f t="shared" si="142"/>
        <v>14288.892121109011</v>
      </c>
      <c r="AC284" s="43">
        <f t="shared" si="142"/>
        <v>28577.784242218022</v>
      </c>
      <c r="AD284" s="43">
        <f t="shared" si="142"/>
        <v>28577.784242218022</v>
      </c>
      <c r="AE284" s="43">
        <f t="shared" si="142"/>
        <v>28577.784242218022</v>
      </c>
      <c r="AF284" s="43">
        <f t="shared" si="142"/>
        <v>28577.784242218022</v>
      </c>
      <c r="AG284" s="3"/>
      <c r="AH284" s="43">
        <f t="shared" si="143"/>
        <v>181468.92993808442</v>
      </c>
      <c r="AI284" s="43">
        <f t="shared" si="144"/>
        <v>358986.33170958573</v>
      </c>
      <c r="AJ284" s="43">
        <f t="shared" si="145"/>
        <v>351176.67513308435</v>
      </c>
      <c r="AK284" s="43">
        <f t="shared" si="146"/>
        <v>343551.61043930025</v>
      </c>
      <c r="AL284" s="43">
        <f t="shared" si="147"/>
        <v>336106.77454736922</v>
      </c>
      <c r="AM284" s="3"/>
      <c r="AN284" s="43">
        <f t="shared" si="134"/>
        <v>15536312.403281827</v>
      </c>
      <c r="AO284" s="43">
        <f t="shared" si="148"/>
        <v>15177326.07157224</v>
      </c>
      <c r="AP284" s="43">
        <f t="shared" si="149"/>
        <v>14826149.396439156</v>
      </c>
      <c r="AQ284" s="43">
        <f t="shared" si="150"/>
        <v>14482597.785999855</v>
      </c>
      <c r="AR284" s="43">
        <f t="shared" si="151"/>
        <v>14146491.011452485</v>
      </c>
      <c r="AS284" s="3"/>
      <c r="AT284" s="43">
        <f t="shared" si="152"/>
        <v>157177.81333219909</v>
      </c>
      <c r="AU284" s="43">
        <f t="shared" si="152"/>
        <v>166255.14640776027</v>
      </c>
      <c r="AV284" s="43">
        <f t="shared" si="152"/>
        <v>178837.33588789959</v>
      </c>
      <c r="AW284" s="43">
        <f t="shared" si="152"/>
        <v>183109.40216758969</v>
      </c>
      <c r="AX284" s="43">
        <f t="shared" si="152"/>
        <v>185477.37295642099</v>
      </c>
      <c r="AY284" s="3"/>
      <c r="AZ284" s="47">
        <f t="shared" si="153"/>
        <v>866881.36498186574</v>
      </c>
      <c r="BA284" s="47">
        <f t="shared" si="154"/>
        <v>1026093.2384792299</v>
      </c>
      <c r="BB284" s="47">
        <f t="shared" si="155"/>
        <v>1093407.688085672</v>
      </c>
      <c r="BC284" s="47">
        <f t="shared" si="156"/>
        <v>1076999.7284748843</v>
      </c>
      <c r="BD284" s="47">
        <f t="shared" si="157"/>
        <v>1059150.8059389847</v>
      </c>
    </row>
    <row r="285" spans="2:56" s="230" customFormat="1">
      <c r="B285" s="37">
        <f>'12. Investeringen (bijschatten)'!B88</f>
        <v>69</v>
      </c>
      <c r="C285" s="48"/>
      <c r="D285" s="3"/>
      <c r="E285" s="48"/>
      <c r="F285" s="169">
        <f>'12. Investeringen (bijschatten)'!C88</f>
        <v>4052946.4637069628</v>
      </c>
      <c r="G285" s="3"/>
      <c r="H285" s="37">
        <f>'12. Investeringen (bijschatten)'!D88</f>
        <v>2022</v>
      </c>
      <c r="I285" s="37" t="str">
        <f>'12. Investeringen (bijschatten)'!E88</f>
        <v>32 M&amp;R stations</v>
      </c>
      <c r="J285" s="169">
        <f>_xlfn.XLOOKUP(I285,'3. Input (des)investeringen '!$B$11:$B$81,'3. Input (des)investeringen '!$D$11:$D$81)</f>
        <v>30</v>
      </c>
      <c r="M285" s="43">
        <f t="shared" si="135"/>
        <v>0</v>
      </c>
      <c r="N285" s="43">
        <f t="shared" si="136"/>
        <v>0</v>
      </c>
      <c r="O285" s="3"/>
      <c r="P285" s="138">
        <f t="shared" si="137"/>
        <v>0</v>
      </c>
      <c r="Q285" s="138">
        <f t="shared" si="138"/>
        <v>0</v>
      </c>
      <c r="R285" s="3"/>
      <c r="S285" s="43">
        <f t="shared" si="139"/>
        <v>4052946.4637069628</v>
      </c>
      <c r="T285" s="38">
        <f t="shared" si="140"/>
        <v>30</v>
      </c>
      <c r="U285" s="3"/>
      <c r="V285" s="43">
        <f t="shared" si="141"/>
        <v>79032.456042285776</v>
      </c>
      <c r="W285" s="43">
        <f t="shared" si="141"/>
        <v>154640.17232273918</v>
      </c>
      <c r="X285" s="43">
        <f t="shared" si="141"/>
        <v>147939.09818875379</v>
      </c>
      <c r="Y285" s="43">
        <f t="shared" si="141"/>
        <v>141528.4039339078</v>
      </c>
      <c r="Z285" s="43">
        <f t="shared" si="141"/>
        <v>135395.50643010513</v>
      </c>
      <c r="AA285" s="3"/>
      <c r="AB285" s="43">
        <f t="shared" si="142"/>
        <v>6754.9107728449389</v>
      </c>
      <c r="AC285" s="43">
        <f t="shared" si="142"/>
        <v>13509.821545689878</v>
      </c>
      <c r="AD285" s="43">
        <f t="shared" si="142"/>
        <v>13509.821545689878</v>
      </c>
      <c r="AE285" s="43">
        <f t="shared" si="142"/>
        <v>13509.821545689878</v>
      </c>
      <c r="AF285" s="43">
        <f t="shared" si="142"/>
        <v>13509.821545689878</v>
      </c>
      <c r="AG285" s="3"/>
      <c r="AH285" s="43">
        <f t="shared" si="143"/>
        <v>85787.366815130721</v>
      </c>
      <c r="AI285" s="43">
        <f t="shared" si="144"/>
        <v>168149.99386842907</v>
      </c>
      <c r="AJ285" s="43">
        <f t="shared" si="145"/>
        <v>161448.91973444368</v>
      </c>
      <c r="AK285" s="43">
        <f t="shared" si="146"/>
        <v>155038.22547959769</v>
      </c>
      <c r="AL285" s="43">
        <f t="shared" si="147"/>
        <v>148905.32797579502</v>
      </c>
      <c r="AM285" s="3"/>
      <c r="AN285" s="43">
        <f t="shared" si="134"/>
        <v>3967159.0968918321</v>
      </c>
      <c r="AO285" s="43">
        <f t="shared" si="148"/>
        <v>3799009.1030234029</v>
      </c>
      <c r="AP285" s="43">
        <f t="shared" si="149"/>
        <v>3637560.1832889593</v>
      </c>
      <c r="AQ285" s="43">
        <f t="shared" si="150"/>
        <v>3482521.9578093616</v>
      </c>
      <c r="AR285" s="43">
        <f t="shared" si="151"/>
        <v>3333616.6298335665</v>
      </c>
      <c r="AS285" s="3"/>
      <c r="AT285" s="43">
        <f t="shared" si="152"/>
        <v>40529.464637069628</v>
      </c>
      <c r="AU285" s="43">
        <f t="shared" si="152"/>
        <v>42870.122278789677</v>
      </c>
      <c r="AV285" s="43">
        <f t="shared" si="152"/>
        <v>46114.53313284849</v>
      </c>
      <c r="AW285" s="43">
        <f t="shared" si="152"/>
        <v>47216.117100325966</v>
      </c>
      <c r="AX285" s="43">
        <f t="shared" si="152"/>
        <v>47826.715926667377</v>
      </c>
      <c r="AY285" s="3"/>
      <c r="AZ285" s="47">
        <f t="shared" si="153"/>
        <v>261200.24074652267</v>
      </c>
      <c r="BA285" s="47">
        <f t="shared" si="154"/>
        <v>336387.41654699104</v>
      </c>
      <c r="BB285" s="47">
        <f t="shared" si="155"/>
        <v>345790.73983227264</v>
      </c>
      <c r="BC285" s="47">
        <f t="shared" si="156"/>
        <v>334590.17697667936</v>
      </c>
      <c r="BD285" s="47">
        <f t="shared" si="157"/>
        <v>323409.47583613795</v>
      </c>
    </row>
    <row r="286" spans="2:56" s="230" customFormat="1">
      <c r="B286" s="37">
        <f>'12. Investeringen (bijschatten)'!B89</f>
        <v>70</v>
      </c>
      <c r="C286" s="48"/>
      <c r="D286" s="3"/>
      <c r="E286" s="48"/>
      <c r="F286" s="169">
        <f>'12. Investeringen (bijschatten)'!C89</f>
        <v>646.81735113356922</v>
      </c>
      <c r="G286" s="3"/>
      <c r="H286" s="37">
        <f>'12. Investeringen (bijschatten)'!D89</f>
        <v>2022</v>
      </c>
      <c r="I286" s="37" t="str">
        <f>'12. Investeringen (bijschatten)'!E89</f>
        <v>33 Exportstations</v>
      </c>
      <c r="J286" s="169">
        <f>_xlfn.XLOOKUP(I286,'3. Input (des)investeringen '!$B$11:$B$81,'3. Input (des)investeringen '!$D$11:$D$81)</f>
        <v>30</v>
      </c>
      <c r="M286" s="43">
        <f t="shared" si="135"/>
        <v>0</v>
      </c>
      <c r="N286" s="43">
        <f t="shared" si="136"/>
        <v>0</v>
      </c>
      <c r="O286" s="3"/>
      <c r="P286" s="138">
        <f t="shared" si="137"/>
        <v>0</v>
      </c>
      <c r="Q286" s="138">
        <f t="shared" si="138"/>
        <v>0</v>
      </c>
      <c r="R286" s="3"/>
      <c r="S286" s="43">
        <f t="shared" si="139"/>
        <v>646.81735113356922</v>
      </c>
      <c r="T286" s="38">
        <f t="shared" si="140"/>
        <v>30</v>
      </c>
      <c r="U286" s="3"/>
      <c r="V286" s="43">
        <f t="shared" si="141"/>
        <v>12.612938347104601</v>
      </c>
      <c r="W286" s="43">
        <f t="shared" si="141"/>
        <v>24.679316032501337</v>
      </c>
      <c r="X286" s="43">
        <f t="shared" si="141"/>
        <v>23.609879004426279</v>
      </c>
      <c r="Y286" s="43">
        <f t="shared" si="141"/>
        <v>22.586784247567806</v>
      </c>
      <c r="Z286" s="43">
        <f t="shared" si="141"/>
        <v>21.608023596839868</v>
      </c>
      <c r="AA286" s="3"/>
      <c r="AB286" s="43">
        <f t="shared" si="142"/>
        <v>1.0780289185559486</v>
      </c>
      <c r="AC286" s="43">
        <f t="shared" si="142"/>
        <v>2.1560578371118972</v>
      </c>
      <c r="AD286" s="43">
        <f t="shared" si="142"/>
        <v>2.1560578371118972</v>
      </c>
      <c r="AE286" s="43">
        <f t="shared" si="142"/>
        <v>2.1560578371118972</v>
      </c>
      <c r="AF286" s="43">
        <f t="shared" si="142"/>
        <v>2.1560578371118972</v>
      </c>
      <c r="AG286" s="3"/>
      <c r="AH286" s="43">
        <f t="shared" si="143"/>
        <v>13.69096726566055</v>
      </c>
      <c r="AI286" s="43">
        <f t="shared" si="144"/>
        <v>26.835373869613235</v>
      </c>
      <c r="AJ286" s="43">
        <f t="shared" si="145"/>
        <v>25.765936841538178</v>
      </c>
      <c r="AK286" s="43">
        <f t="shared" si="146"/>
        <v>24.742842084679705</v>
      </c>
      <c r="AL286" s="43">
        <f t="shared" si="147"/>
        <v>23.764081433951766</v>
      </c>
      <c r="AM286" s="3"/>
      <c r="AN286" s="43">
        <f t="shared" si="134"/>
        <v>633.12638386790866</v>
      </c>
      <c r="AO286" s="43">
        <f t="shared" si="148"/>
        <v>606.29100999829541</v>
      </c>
      <c r="AP286" s="43">
        <f t="shared" si="149"/>
        <v>580.52507315675723</v>
      </c>
      <c r="AQ286" s="43">
        <f t="shared" si="150"/>
        <v>555.78223107207748</v>
      </c>
      <c r="AR286" s="43">
        <f t="shared" si="151"/>
        <v>532.01814963812569</v>
      </c>
      <c r="AS286" s="3"/>
      <c r="AT286" s="43">
        <f t="shared" si="152"/>
        <v>6.4681735113356922</v>
      </c>
      <c r="AU286" s="43">
        <f t="shared" si="152"/>
        <v>6.8417234679623506</v>
      </c>
      <c r="AV286" s="43">
        <f t="shared" si="152"/>
        <v>7.3595051000177429</v>
      </c>
      <c r="AW286" s="43">
        <f t="shared" si="152"/>
        <v>7.5353089578469659</v>
      </c>
      <c r="AX286" s="43">
        <f t="shared" si="152"/>
        <v>7.6327555732898427</v>
      </c>
      <c r="AY286" s="3"/>
      <c r="AZ286" s="47">
        <f t="shared" si="153"/>
        <v>41.685437828505137</v>
      </c>
      <c r="BA286" s="47">
        <f t="shared" si="154"/>
        <v>53.684700667519337</v>
      </c>
      <c r="BB286" s="47">
        <f t="shared" si="155"/>
        <v>55.185394721512694</v>
      </c>
      <c r="BC286" s="47">
        <f t="shared" si="156"/>
        <v>53.397875823265615</v>
      </c>
      <c r="BD286" s="47">
        <f t="shared" si="157"/>
        <v>51.613526693490385</v>
      </c>
    </row>
    <row r="287" spans="2:56" s="230" customFormat="1">
      <c r="B287" s="37">
        <f>'12. Investeringen (bijschatten)'!B90</f>
        <v>71</v>
      </c>
      <c r="C287" s="48"/>
      <c r="D287" s="3"/>
      <c r="E287" s="48"/>
      <c r="F287" s="169">
        <f>'12. Investeringen (bijschatten)'!C90</f>
        <v>183674.23028357985</v>
      </c>
      <c r="G287" s="3"/>
      <c r="H287" s="37">
        <f>'12. Investeringen (bijschatten)'!D90</f>
        <v>2022</v>
      </c>
      <c r="I287" s="37" t="str">
        <f>'12. Investeringen (bijschatten)'!E90</f>
        <v>34 Reduceerstations</v>
      </c>
      <c r="J287" s="169">
        <f>_xlfn.XLOOKUP(I287,'3. Input (des)investeringen '!$B$11:$B$81,'3. Input (des)investeringen '!$D$11:$D$81)</f>
        <v>30</v>
      </c>
      <c r="M287" s="43">
        <f t="shared" si="135"/>
        <v>0</v>
      </c>
      <c r="N287" s="43">
        <f t="shared" si="136"/>
        <v>0</v>
      </c>
      <c r="O287" s="3"/>
      <c r="P287" s="138">
        <f t="shared" si="137"/>
        <v>0</v>
      </c>
      <c r="Q287" s="138">
        <f t="shared" si="138"/>
        <v>0</v>
      </c>
      <c r="R287" s="3"/>
      <c r="S287" s="43">
        <f t="shared" si="139"/>
        <v>183674.23028357985</v>
      </c>
      <c r="T287" s="38">
        <f t="shared" si="140"/>
        <v>30</v>
      </c>
      <c r="U287" s="3"/>
      <c r="V287" s="43">
        <f t="shared" si="141"/>
        <v>3581.6474905298073</v>
      </c>
      <c r="W287" s="43">
        <f t="shared" si="141"/>
        <v>7008.09025646999</v>
      </c>
      <c r="X287" s="43">
        <f t="shared" si="141"/>
        <v>6704.4063453562903</v>
      </c>
      <c r="Y287" s="43">
        <f t="shared" si="141"/>
        <v>6413.8820703908514</v>
      </c>
      <c r="Z287" s="43">
        <f t="shared" si="141"/>
        <v>6135.9471806739139</v>
      </c>
      <c r="AA287" s="3"/>
      <c r="AB287" s="43">
        <f t="shared" si="142"/>
        <v>306.12371713929974</v>
      </c>
      <c r="AC287" s="43">
        <f t="shared" si="142"/>
        <v>612.24743427859948</v>
      </c>
      <c r="AD287" s="43">
        <f t="shared" si="142"/>
        <v>612.24743427859948</v>
      </c>
      <c r="AE287" s="43">
        <f t="shared" si="142"/>
        <v>612.24743427859948</v>
      </c>
      <c r="AF287" s="43">
        <f t="shared" si="142"/>
        <v>612.24743427859948</v>
      </c>
      <c r="AG287" s="3"/>
      <c r="AH287" s="43">
        <f t="shared" si="143"/>
        <v>3887.7712076691068</v>
      </c>
      <c r="AI287" s="43">
        <f t="shared" si="144"/>
        <v>7620.337690748589</v>
      </c>
      <c r="AJ287" s="43">
        <f t="shared" si="145"/>
        <v>7316.6537796348894</v>
      </c>
      <c r="AK287" s="43">
        <f t="shared" si="146"/>
        <v>7026.1295046694504</v>
      </c>
      <c r="AL287" s="43">
        <f t="shared" si="147"/>
        <v>6748.1946149525138</v>
      </c>
      <c r="AM287" s="3"/>
      <c r="AN287" s="43">
        <f t="shared" si="134"/>
        <v>179786.45907591074</v>
      </c>
      <c r="AO287" s="43">
        <f t="shared" si="148"/>
        <v>172166.12138516214</v>
      </c>
      <c r="AP287" s="43">
        <f t="shared" si="149"/>
        <v>164849.46760552726</v>
      </c>
      <c r="AQ287" s="43">
        <f t="shared" si="150"/>
        <v>157823.3381008578</v>
      </c>
      <c r="AR287" s="43">
        <f t="shared" si="151"/>
        <v>151075.14348590528</v>
      </c>
      <c r="AS287" s="3"/>
      <c r="AT287" s="43">
        <f t="shared" si="152"/>
        <v>1836.7423028357985</v>
      </c>
      <c r="AU287" s="43">
        <f t="shared" si="152"/>
        <v>1942.8178443091717</v>
      </c>
      <c r="AV287" s="43">
        <f t="shared" si="152"/>
        <v>2089.8502987664901</v>
      </c>
      <c r="AW287" s="43">
        <f t="shared" si="152"/>
        <v>2139.772642703424</v>
      </c>
      <c r="AX287" s="43">
        <f t="shared" si="152"/>
        <v>2167.4441825188642</v>
      </c>
      <c r="AY287" s="3"/>
      <c r="AZ287" s="47">
        <f t="shared" si="153"/>
        <v>11837.253119085872</v>
      </c>
      <c r="BA287" s="47">
        <f t="shared" si="154"/>
        <v>15244.637540768112</v>
      </c>
      <c r="BB287" s="47">
        <f t="shared" si="155"/>
        <v>15670.783847411416</v>
      </c>
      <c r="BC287" s="47">
        <f t="shared" si="156"/>
        <v>15163.18899520547</v>
      </c>
      <c r="BD287" s="47">
        <f t="shared" si="157"/>
        <v>14656.494249935778</v>
      </c>
    </row>
    <row r="288" spans="2:56" s="230" customFormat="1">
      <c r="B288" s="37">
        <f>'12. Investeringen (bijschatten)'!B91</f>
        <v>72</v>
      </c>
      <c r="C288" s="48"/>
      <c r="D288" s="3"/>
      <c r="E288" s="48"/>
      <c r="F288" s="169">
        <f>'12. Investeringen (bijschatten)'!C91</f>
        <v>914035.73224221612</v>
      </c>
      <c r="G288" s="3"/>
      <c r="H288" s="37">
        <f>'12. Investeringen (bijschatten)'!D91</f>
        <v>2022</v>
      </c>
      <c r="I288" s="37" t="str">
        <f>'12. Investeringen (bijschatten)'!E91</f>
        <v>36 Luchtscheidingsunit</v>
      </c>
      <c r="J288" s="169">
        <f>_xlfn.XLOOKUP(I288,'3. Input (des)investeringen '!$B$11:$B$81,'3. Input (des)investeringen '!$D$11:$D$81)</f>
        <v>30</v>
      </c>
      <c r="M288" s="43">
        <f t="shared" si="135"/>
        <v>0</v>
      </c>
      <c r="N288" s="43">
        <f t="shared" si="136"/>
        <v>0</v>
      </c>
      <c r="O288" s="3"/>
      <c r="P288" s="138">
        <f t="shared" si="137"/>
        <v>0</v>
      </c>
      <c r="Q288" s="138">
        <f t="shared" si="138"/>
        <v>0</v>
      </c>
      <c r="R288" s="3"/>
      <c r="S288" s="43">
        <f t="shared" si="139"/>
        <v>914035.73224221612</v>
      </c>
      <c r="T288" s="38">
        <f t="shared" si="140"/>
        <v>30</v>
      </c>
      <c r="U288" s="3"/>
      <c r="V288" s="43">
        <f t="shared" si="141"/>
        <v>17823.696778723217</v>
      </c>
      <c r="W288" s="43">
        <f t="shared" si="141"/>
        <v>34875.033363701754</v>
      </c>
      <c r="X288" s="43">
        <f t="shared" si="141"/>
        <v>33363.781917941349</v>
      </c>
      <c r="Y288" s="43">
        <f t="shared" si="141"/>
        <v>31918.018034830555</v>
      </c>
      <c r="Z288" s="43">
        <f t="shared" si="141"/>
        <v>30534.903919987897</v>
      </c>
      <c r="AA288" s="3"/>
      <c r="AB288" s="43">
        <f t="shared" si="142"/>
        <v>1523.3928870703603</v>
      </c>
      <c r="AC288" s="43">
        <f t="shared" si="142"/>
        <v>3046.7857741407202</v>
      </c>
      <c r="AD288" s="43">
        <f t="shared" si="142"/>
        <v>3046.7857741407202</v>
      </c>
      <c r="AE288" s="43">
        <f t="shared" si="142"/>
        <v>3046.7857741407202</v>
      </c>
      <c r="AF288" s="43">
        <f t="shared" si="142"/>
        <v>3046.7857741407202</v>
      </c>
      <c r="AG288" s="3"/>
      <c r="AH288" s="43">
        <f t="shared" si="143"/>
        <v>19347.089665793577</v>
      </c>
      <c r="AI288" s="43">
        <f t="shared" si="144"/>
        <v>37921.819137842474</v>
      </c>
      <c r="AJ288" s="43">
        <f t="shared" si="145"/>
        <v>36410.56769208207</v>
      </c>
      <c r="AK288" s="43">
        <f t="shared" si="146"/>
        <v>34964.803808971272</v>
      </c>
      <c r="AL288" s="43">
        <f t="shared" si="147"/>
        <v>33581.689694128618</v>
      </c>
      <c r="AM288" s="3"/>
      <c r="AN288" s="43">
        <f t="shared" si="134"/>
        <v>894688.64257642254</v>
      </c>
      <c r="AO288" s="43">
        <f t="shared" si="148"/>
        <v>856766.82343858003</v>
      </c>
      <c r="AP288" s="43">
        <f t="shared" si="149"/>
        <v>820356.25574649801</v>
      </c>
      <c r="AQ288" s="43">
        <f t="shared" si="150"/>
        <v>785391.4519375267</v>
      </c>
      <c r="AR288" s="43">
        <f t="shared" si="151"/>
        <v>751809.76224339812</v>
      </c>
      <c r="AS288" s="3"/>
      <c r="AT288" s="43">
        <f t="shared" si="152"/>
        <v>9140.3573224221618</v>
      </c>
      <c r="AU288" s="43">
        <f t="shared" si="152"/>
        <v>9668.2312385066871</v>
      </c>
      <c r="AV288" s="43">
        <f t="shared" si="152"/>
        <v>10399.922978636874</v>
      </c>
      <c r="AW288" s="43">
        <f t="shared" si="152"/>
        <v>10648.356338750551</v>
      </c>
      <c r="AX288" s="43">
        <f t="shared" si="152"/>
        <v>10786.060882923273</v>
      </c>
      <c r="AY288" s="3"/>
      <c r="AZ288" s="47">
        <f t="shared" si="153"/>
        <v>58906.860835814106</v>
      </c>
      <c r="BA288" s="47">
        <f t="shared" si="154"/>
        <v>75863.355549822314</v>
      </c>
      <c r="BB288" s="47">
        <f t="shared" si="155"/>
        <v>77984.02838908587</v>
      </c>
      <c r="BC288" s="47">
        <f t="shared" si="156"/>
        <v>75458.035321347837</v>
      </c>
      <c r="BD288" s="47">
        <f t="shared" si="157"/>
        <v>72936.521542301023</v>
      </c>
    </row>
    <row r="289" spans="2:56" s="230" customFormat="1">
      <c r="B289" s="37">
        <f>'12. Investeringen (bijschatten)'!B92</f>
        <v>73</v>
      </c>
      <c r="C289" s="48"/>
      <c r="D289" s="3"/>
      <c r="E289" s="48"/>
      <c r="F289" s="169">
        <f>'12. Investeringen (bijschatten)'!C92</f>
        <v>-5587235.5025544362</v>
      </c>
      <c r="G289" s="3"/>
      <c r="H289" s="37">
        <f>'12. Investeringen (bijschatten)'!D92</f>
        <v>2022</v>
      </c>
      <c r="I289" s="37" t="str">
        <f>'12. Investeringen (bijschatten)'!E92</f>
        <v>42 Vulgas</v>
      </c>
      <c r="J289" s="169">
        <f>_xlfn.XLOOKUP(I289,'3. Input (des)investeringen '!$B$11:$B$81,'3. Input (des)investeringen '!$D$11:$D$81)</f>
        <v>0</v>
      </c>
      <c r="M289" s="43">
        <f t="shared" si="135"/>
        <v>0</v>
      </c>
      <c r="N289" s="43">
        <f t="shared" si="136"/>
        <v>0</v>
      </c>
      <c r="O289" s="3"/>
      <c r="P289" s="138">
        <f t="shared" si="137"/>
        <v>0</v>
      </c>
      <c r="Q289" s="138">
        <f t="shared" si="138"/>
        <v>0</v>
      </c>
      <c r="R289" s="3"/>
      <c r="S289" s="43">
        <f t="shared" si="139"/>
        <v>-5587235.5025544362</v>
      </c>
      <c r="T289" s="38">
        <f t="shared" si="140"/>
        <v>0</v>
      </c>
      <c r="U289" s="3"/>
      <c r="V289" s="43">
        <f t="shared" si="141"/>
        <v>0</v>
      </c>
      <c r="W289" s="43">
        <f t="shared" si="141"/>
        <v>0</v>
      </c>
      <c r="X289" s="43">
        <f t="shared" si="141"/>
        <v>0</v>
      </c>
      <c r="Y289" s="43">
        <f t="shared" si="141"/>
        <v>0</v>
      </c>
      <c r="Z289" s="43">
        <f t="shared" si="141"/>
        <v>0</v>
      </c>
      <c r="AA289" s="3"/>
      <c r="AB289" s="43">
        <f t="shared" si="142"/>
        <v>0</v>
      </c>
      <c r="AC289" s="43">
        <f t="shared" si="142"/>
        <v>0</v>
      </c>
      <c r="AD289" s="43">
        <f t="shared" si="142"/>
        <v>0</v>
      </c>
      <c r="AE289" s="43">
        <f t="shared" si="142"/>
        <v>0</v>
      </c>
      <c r="AF289" s="43">
        <f t="shared" si="142"/>
        <v>0</v>
      </c>
      <c r="AG289" s="3"/>
      <c r="AH289" s="43">
        <f t="shared" si="143"/>
        <v>0</v>
      </c>
      <c r="AI289" s="43">
        <f t="shared" si="144"/>
        <v>0</v>
      </c>
      <c r="AJ289" s="43">
        <f t="shared" si="145"/>
        <v>0</v>
      </c>
      <c r="AK289" s="43">
        <f t="shared" si="146"/>
        <v>0</v>
      </c>
      <c r="AL289" s="43">
        <f t="shared" si="147"/>
        <v>0</v>
      </c>
      <c r="AM289" s="3"/>
      <c r="AN289" s="43">
        <f t="shared" si="134"/>
        <v>-5587235.5025544362</v>
      </c>
      <c r="AO289" s="43">
        <f t="shared" si="148"/>
        <v>-5587235.5025544362</v>
      </c>
      <c r="AP289" s="43">
        <f t="shared" si="149"/>
        <v>-5587235.5025544362</v>
      </c>
      <c r="AQ289" s="43">
        <f t="shared" si="150"/>
        <v>-5587235.5025544362</v>
      </c>
      <c r="AR289" s="43">
        <f t="shared" si="151"/>
        <v>-5587235.5025544362</v>
      </c>
      <c r="AS289" s="3"/>
      <c r="AT289" s="43">
        <f t="shared" si="152"/>
        <v>-55872.355025544362</v>
      </c>
      <c r="AU289" s="43">
        <f t="shared" si="152"/>
        <v>-59099.095272979597</v>
      </c>
      <c r="AV289" s="43">
        <f t="shared" si="152"/>
        <v>-63571.714803238705</v>
      </c>
      <c r="AW289" s="43">
        <f t="shared" si="152"/>
        <v>-65090.315926458461</v>
      </c>
      <c r="AX289" s="43">
        <f t="shared" si="152"/>
        <v>-65932.063892019432</v>
      </c>
      <c r="AY289" s="3"/>
      <c r="AZ289" s="47">
        <f t="shared" si="153"/>
        <v>-245838.3621123952</v>
      </c>
      <c r="BA289" s="47">
        <f t="shared" si="154"/>
        <v>-243477.86685727601</v>
      </c>
      <c r="BB289" s="47">
        <f t="shared" si="155"/>
        <v>-275886.66390030726</v>
      </c>
      <c r="BC289" s="47">
        <f t="shared" si="156"/>
        <v>-277405.26502352703</v>
      </c>
      <c r="BD289" s="47">
        <f t="shared" si="157"/>
        <v>-278247.01298908802</v>
      </c>
    </row>
    <row r="290" spans="2:56" s="230" customFormat="1">
      <c r="B290" s="37">
        <f>'12. Investeringen (bijschatten)'!B93</f>
        <v>74</v>
      </c>
      <c r="C290" s="48"/>
      <c r="D290" s="3"/>
      <c r="E290" s="48"/>
      <c r="F290" s="169">
        <f>'12. Investeringen (bijschatten)'!C93</f>
        <v>622622.73355007381</v>
      </c>
      <c r="G290" s="3"/>
      <c r="H290" s="37">
        <f>'12. Investeringen (bijschatten)'!D93</f>
        <v>2022</v>
      </c>
      <c r="I290" s="37" t="str">
        <f>'12. Investeringen (bijschatten)'!E93</f>
        <v>45 Groen gas booster</v>
      </c>
      <c r="J290" s="169">
        <f>_xlfn.XLOOKUP(I290,'3. Input (des)investeringen '!$B$11:$B$81,'3. Input (des)investeringen '!$D$11:$D$81)</f>
        <v>30</v>
      </c>
      <c r="M290" s="43">
        <f t="shared" si="135"/>
        <v>0</v>
      </c>
      <c r="N290" s="43">
        <f t="shared" si="136"/>
        <v>0</v>
      </c>
      <c r="O290" s="3"/>
      <c r="P290" s="138">
        <f t="shared" si="137"/>
        <v>0</v>
      </c>
      <c r="Q290" s="138">
        <f t="shared" si="138"/>
        <v>0</v>
      </c>
      <c r="R290" s="3"/>
      <c r="S290" s="43">
        <f t="shared" si="139"/>
        <v>622622.73355007381</v>
      </c>
      <c r="T290" s="38">
        <f t="shared" si="140"/>
        <v>30</v>
      </c>
      <c r="U290" s="3"/>
      <c r="V290" s="43">
        <f t="shared" si="141"/>
        <v>12141.14330422644</v>
      </c>
      <c r="W290" s="43">
        <f t="shared" si="141"/>
        <v>23756.170398603066</v>
      </c>
      <c r="X290" s="43">
        <f t="shared" si="141"/>
        <v>22726.736347996932</v>
      </c>
      <c r="Y290" s="43">
        <f t="shared" si="141"/>
        <v>21741.911106250398</v>
      </c>
      <c r="Z290" s="43">
        <f t="shared" si="141"/>
        <v>20799.761624979546</v>
      </c>
      <c r="AA290" s="3"/>
      <c r="AB290" s="43">
        <f t="shared" si="142"/>
        <v>1037.7045559167898</v>
      </c>
      <c r="AC290" s="43">
        <f t="shared" si="142"/>
        <v>2075.4091118335796</v>
      </c>
      <c r="AD290" s="43">
        <f t="shared" si="142"/>
        <v>2075.4091118335796</v>
      </c>
      <c r="AE290" s="43">
        <f t="shared" si="142"/>
        <v>2075.4091118335796</v>
      </c>
      <c r="AF290" s="43">
        <f t="shared" si="142"/>
        <v>2075.4091118335796</v>
      </c>
      <c r="AG290" s="3"/>
      <c r="AH290" s="43">
        <f t="shared" si="143"/>
        <v>13178.847860143229</v>
      </c>
      <c r="AI290" s="43">
        <f t="shared" si="144"/>
        <v>25831.579510436644</v>
      </c>
      <c r="AJ290" s="43">
        <f t="shared" si="145"/>
        <v>24802.14545983051</v>
      </c>
      <c r="AK290" s="43">
        <f t="shared" si="146"/>
        <v>23817.320218083976</v>
      </c>
      <c r="AL290" s="43">
        <f t="shared" si="147"/>
        <v>22875.170736813125</v>
      </c>
      <c r="AM290" s="3"/>
      <c r="AN290" s="43">
        <f t="shared" si="134"/>
        <v>609443.88568993052</v>
      </c>
      <c r="AO290" s="43">
        <f t="shared" si="148"/>
        <v>583612.3061794939</v>
      </c>
      <c r="AP290" s="43">
        <f t="shared" si="149"/>
        <v>558810.16071966337</v>
      </c>
      <c r="AQ290" s="43">
        <f t="shared" si="150"/>
        <v>534992.84050157934</v>
      </c>
      <c r="AR290" s="43">
        <f t="shared" si="151"/>
        <v>512117.66976476624</v>
      </c>
      <c r="AS290" s="3"/>
      <c r="AT290" s="43">
        <f t="shared" si="152"/>
        <v>6226.2273355007383</v>
      </c>
      <c r="AU290" s="43">
        <f t="shared" si="152"/>
        <v>6585.8044165805777</v>
      </c>
      <c r="AV290" s="43">
        <f t="shared" si="152"/>
        <v>7084.2180948273954</v>
      </c>
      <c r="AW290" s="43">
        <f t="shared" si="152"/>
        <v>7253.4458966766324</v>
      </c>
      <c r="AX290" s="43">
        <f t="shared" si="152"/>
        <v>7347.2474590124539</v>
      </c>
      <c r="AY290" s="3"/>
      <c r="AZ290" s="47">
        <f t="shared" si="153"/>
        <v>40126.167309101598</v>
      </c>
      <c r="BA290" s="47">
        <f t="shared" si="154"/>
        <v>51676.590030940526</v>
      </c>
      <c r="BB290" s="47">
        <f t="shared" si="155"/>
        <v>53121.149662005111</v>
      </c>
      <c r="BC290" s="47">
        <f t="shared" si="156"/>
        <v>51400.494053820621</v>
      </c>
      <c r="BD290" s="47">
        <f t="shared" si="157"/>
        <v>49682.889646886695</v>
      </c>
    </row>
    <row r="291" spans="2:56">
      <c r="B291" s="37">
        <f>'12. Investeringen (bijschatten)'!B94</f>
        <v>75</v>
      </c>
      <c r="C291" s="48"/>
      <c r="E291" s="48"/>
      <c r="F291" s="169">
        <f>'12. Investeringen (bijschatten)'!C94</f>
        <v>35129736.152436331</v>
      </c>
      <c r="H291" s="37">
        <f>'12. Investeringen (bijschatten)'!D94</f>
        <v>2023</v>
      </c>
      <c r="I291" s="37" t="str">
        <f>'12. Investeringen (bijschatten)'!E94</f>
        <v>01 Regionale leidingen</v>
      </c>
      <c r="J291" s="169">
        <f>_xlfn.XLOOKUP(I291,'3. Input (des)investeringen '!$B$11:$B$81,'3. Input (des)investeringen '!$D$11:$D$81)</f>
        <v>55</v>
      </c>
      <c r="M291" s="43">
        <f t="shared" ref="M291:M299" si="158">IF($J291 = 0, 0, IF($H291&lt;=M$215,
VDB(ABS($F291),0,$J291,MAX(0,M$59-$H291-0.5),MIN($J291,M$59-$H291+0.5),1)*IF($F291&lt;0,-1,1)*INDEX(H$40:H$46,$H291-2019,1),
0))</f>
        <v>0</v>
      </c>
      <c r="N291" s="43">
        <f t="shared" ref="N291:N299" si="159">IF($J291 = 0, 0, IF($H291&lt;=N$215,
VDB(ABS($F291),0,$J291,MAX(0,N$59-$H291-0.5),MIN($J291,N$59-$H291+0.5),1)*IF($F291&lt;0,-1,1)*INDEX(I$40:I$46,$H291-2019,1),
0))</f>
        <v>0</v>
      </c>
      <c r="P291" s="138">
        <f t="shared" ref="P291:P299" si="160">IF($J291=0, IF($H291 = M$215, $F291, 0), IF(OR($H291&gt;P$59,$H291+$J291&lt;=P$59),0,
F291-M291))</f>
        <v>0</v>
      </c>
      <c r="Q291" s="138">
        <f t="shared" ref="Q291:Q299" si="161">IF($J291=0, IF($H291 &gt; N$215, 0, IF($H291=N$215, $F291, $P291*I$40)), IF(OR($H291&gt;Q$59,$H291+$J291&lt;=Q$59),0,
IF($H291=Q$59,F291-N291,P291*I$40-N291)))</f>
        <v>0</v>
      </c>
      <c r="S291" s="43">
        <f t="shared" ref="S291:S299" si="162">IF($J291=0, IF(H291&lt;=2021, $Q291, IF(H291&gt;=2022, $F291,0)), IF(H291&lt;=2021,Q291,F291))</f>
        <v>35129736.152436331</v>
      </c>
      <c r="T291" s="38">
        <f t="shared" ref="T291:T299" si="163">IF($J291=0, 0, IF(H291&lt;2022,J291-2021+H291-0.5,J291))</f>
        <v>55</v>
      </c>
      <c r="V291" s="43">
        <f t="shared" si="141"/>
        <v>0</v>
      </c>
      <c r="W291" s="43">
        <f t="shared" si="141"/>
        <v>373652.64816682279</v>
      </c>
      <c r="X291" s="43">
        <f t="shared" si="141"/>
        <v>738473.50646788429</v>
      </c>
      <c r="Y291" s="43">
        <f t="shared" si="141"/>
        <v>721018.67813318886</v>
      </c>
      <c r="Z291" s="43">
        <f t="shared" si="141"/>
        <v>703976.4184682226</v>
      </c>
      <c r="AB291" s="43">
        <f t="shared" si="142"/>
        <v>0</v>
      </c>
      <c r="AC291" s="43">
        <f t="shared" si="142"/>
        <v>31936.12377494212</v>
      </c>
      <c r="AD291" s="43">
        <f t="shared" si="142"/>
        <v>63872.247549884247</v>
      </c>
      <c r="AE291" s="43">
        <f t="shared" si="142"/>
        <v>63872.247549884247</v>
      </c>
      <c r="AF291" s="43">
        <f t="shared" si="142"/>
        <v>63872.247549884247</v>
      </c>
      <c r="AH291" s="43">
        <f t="shared" ref="AH291:AH299" si="164">V291+AB291</f>
        <v>0</v>
      </c>
      <c r="AI291" s="43">
        <f t="shared" ref="AI291:AI299" si="165">W291+AC291</f>
        <v>405588.77194176492</v>
      </c>
      <c r="AJ291" s="43">
        <f t="shared" ref="AJ291:AJ299" si="166">X291+AD291</f>
        <v>802345.75401776854</v>
      </c>
      <c r="AK291" s="43">
        <f t="shared" ref="AK291:AK299" si="167">Y291+AE291</f>
        <v>784890.92568307312</v>
      </c>
      <c r="AL291" s="43">
        <f t="shared" ref="AL291:AL299" si="168">Z291+AF291</f>
        <v>767848.66601810686</v>
      </c>
      <c r="AN291" s="43">
        <f t="shared" si="134"/>
        <v>0</v>
      </c>
      <c r="AO291" s="43">
        <f t="shared" ref="AO291:AO299" si="169">IF($J291 = 0, IF($H291 &gt; AO$215, 0, IF($H291=AO$215, $F291, AN291)), IF(OR($H291&gt;AO$59,$H291+$J291&lt;=AO$59),0,
IF($H291=AO$59,$S291-AI291,
AN291-AI291)))</f>
        <v>34724147.380494565</v>
      </c>
      <c r="AP291" s="43">
        <f t="shared" ref="AP291:AP299" si="170">IF($J291 = 0, IF($H291 &gt; AP$215, 0, IF($H291=AP$215, $F291, AO291)), IF(OR($H291&gt;AP$59,$H291+$J291&lt;=AP$59),0,
IF($H291=AP$59,$S291-AJ291,
AO291-AJ291)))</f>
        <v>33921801.626476794</v>
      </c>
      <c r="AQ291" s="43">
        <f t="shared" ref="AQ291:AQ299" si="171">IF($J291 = 0, IF($H291 &gt; AQ$215, 0, IF($H291=AQ$215, $F291, AP291)), IF(OR($H291&gt;AQ$59,$H291+$J291&lt;=AQ$59),0,
IF($H291=AQ$59,$S291-AK291,
AP291-AK291)))</f>
        <v>33136910.700793721</v>
      </c>
      <c r="AR291" s="43">
        <f t="shared" ref="AR291:AR299" si="172">IF($J291 = 0, IF($H291 &gt; AR$215, 0, IF($H291=AR$215, $F291, AQ291)), IF(OR($H291&gt;AR$59,$H291+$J291&lt;=AR$59),0,
IF($H291=AR$59,$S291-AL291,
AQ291-AL291)))</f>
        <v>32369062.034775615</v>
      </c>
      <c r="AT291" s="43">
        <f t="shared" si="152"/>
        <v>0</v>
      </c>
      <c r="AU291" s="43">
        <f t="shared" si="152"/>
        <v>351297.36152436334</v>
      </c>
      <c r="AV291" s="43">
        <f t="shared" si="152"/>
        <v>377883.54584452719</v>
      </c>
      <c r="AW291" s="43">
        <f t="shared" si="152"/>
        <v>386910.42798766121</v>
      </c>
      <c r="AX291" s="43">
        <f t="shared" si="152"/>
        <v>391913.9536423976</v>
      </c>
      <c r="AZ291" s="47">
        <f t="shared" ref="AZ291:AZ299" si="173">AH291+AN291*J$16+AT291</f>
        <v>0</v>
      </c>
      <c r="BA291" s="47">
        <f t="shared" ref="BA291:BA299" si="174">AI291+AO291*K$16+AU291</f>
        <v>1902782.997022449</v>
      </c>
      <c r="BB291" s="47">
        <f t="shared" ref="BB291:BB299" si="175">AJ291+AP291*L$16+AV291</f>
        <v>2469257.7616684139</v>
      </c>
      <c r="BC291" s="47">
        <f t="shared" ref="BC291:BC299" si="176">AK291+AQ291*M$16+AW291</f>
        <v>2431003.9603008959</v>
      </c>
      <c r="BD291" s="47">
        <f t="shared" ref="BD291:BD299" si="177">AL291+AR291*N$16+AX291</f>
        <v>2389786.9769819779</v>
      </c>
    </row>
    <row r="292" spans="2:56">
      <c r="B292" s="37">
        <f>'12. Investeringen (bijschatten)'!B95</f>
        <v>76</v>
      </c>
      <c r="C292" s="48"/>
      <c r="E292" s="48"/>
      <c r="F292" s="169">
        <f>'12. Investeringen (bijschatten)'!C95</f>
        <v>3911702.9434979558</v>
      </c>
      <c r="H292" s="37">
        <f>'12. Investeringen (bijschatten)'!D95</f>
        <v>2023</v>
      </c>
      <c r="I292" s="37" t="str">
        <f>'12. Investeringen (bijschatten)'!E95</f>
        <v>02 Gasontvangststations</v>
      </c>
      <c r="J292" s="169">
        <f>_xlfn.XLOOKUP(I292,'3. Input (des)investeringen '!$B$11:$B$81,'3. Input (des)investeringen '!$D$11:$D$81)</f>
        <v>30</v>
      </c>
      <c r="M292" s="43">
        <f t="shared" si="158"/>
        <v>0</v>
      </c>
      <c r="N292" s="43">
        <f t="shared" si="159"/>
        <v>0</v>
      </c>
      <c r="P292" s="138">
        <f t="shared" si="160"/>
        <v>0</v>
      </c>
      <c r="Q292" s="138">
        <f t="shared" si="161"/>
        <v>0</v>
      </c>
      <c r="S292" s="43">
        <f t="shared" si="162"/>
        <v>3911702.9434979558</v>
      </c>
      <c r="T292" s="38">
        <f t="shared" si="163"/>
        <v>30</v>
      </c>
      <c r="V292" s="43">
        <f t="shared" si="141"/>
        <v>0</v>
      </c>
      <c r="W292" s="43">
        <f t="shared" si="141"/>
        <v>76278.207398210143</v>
      </c>
      <c r="X292" s="43">
        <f t="shared" si="141"/>
        <v>149251.02580916451</v>
      </c>
      <c r="Y292" s="43">
        <f t="shared" si="141"/>
        <v>142783.48135743404</v>
      </c>
      <c r="Z292" s="43">
        <f t="shared" si="141"/>
        <v>136596.19716527857</v>
      </c>
      <c r="AB292" s="43">
        <f t="shared" si="142"/>
        <v>0</v>
      </c>
      <c r="AC292" s="43">
        <f t="shared" si="142"/>
        <v>6519.5049058299273</v>
      </c>
      <c r="AD292" s="43">
        <f t="shared" si="142"/>
        <v>13039.009811659855</v>
      </c>
      <c r="AE292" s="43">
        <f t="shared" si="142"/>
        <v>13039.009811659855</v>
      </c>
      <c r="AF292" s="43">
        <f t="shared" si="142"/>
        <v>13039.009811659855</v>
      </c>
      <c r="AH292" s="43">
        <f t="shared" si="164"/>
        <v>0</v>
      </c>
      <c r="AI292" s="43">
        <f t="shared" si="165"/>
        <v>82797.712304040077</v>
      </c>
      <c r="AJ292" s="43">
        <f t="shared" si="166"/>
        <v>162290.03562082438</v>
      </c>
      <c r="AK292" s="43">
        <f t="shared" si="167"/>
        <v>155822.4911690939</v>
      </c>
      <c r="AL292" s="43">
        <f t="shared" si="168"/>
        <v>149635.20697693844</v>
      </c>
      <c r="AN292" s="43">
        <f t="shared" si="134"/>
        <v>0</v>
      </c>
      <c r="AO292" s="43">
        <f t="shared" si="169"/>
        <v>3828905.2311939159</v>
      </c>
      <c r="AP292" s="43">
        <f t="shared" si="170"/>
        <v>3666615.1955730915</v>
      </c>
      <c r="AQ292" s="43">
        <f t="shared" si="171"/>
        <v>3510792.7044039974</v>
      </c>
      <c r="AR292" s="43">
        <f t="shared" si="172"/>
        <v>3361157.4974270589</v>
      </c>
      <c r="AT292" s="43">
        <f t="shared" si="152"/>
        <v>0</v>
      </c>
      <c r="AU292" s="43">
        <f t="shared" si="152"/>
        <v>39117.029434979559</v>
      </c>
      <c r="AV292" s="43">
        <f t="shared" si="152"/>
        <v>42077.406222618811</v>
      </c>
      <c r="AW292" s="43">
        <f t="shared" si="152"/>
        <v>43082.551302464737</v>
      </c>
      <c r="AX292" s="43">
        <f t="shared" si="152"/>
        <v>43639.694855908194</v>
      </c>
      <c r="AZ292" s="47">
        <f t="shared" si="173"/>
        <v>0</v>
      </c>
      <c r="BA292" s="47">
        <f t="shared" si="174"/>
        <v>248268.61436841887</v>
      </c>
      <c r="BB292" s="47">
        <f t="shared" si="175"/>
        <v>343698.81927522068</v>
      </c>
      <c r="BC292" s="47">
        <f t="shared" si="176"/>
        <v>332315.16523891053</v>
      </c>
      <c r="BD292" s="47">
        <f t="shared" si="177"/>
        <v>320998.8867350748</v>
      </c>
    </row>
    <row r="293" spans="2:56">
      <c r="B293" s="37">
        <f>'12. Investeringen (bijschatten)'!B96</f>
        <v>77</v>
      </c>
      <c r="C293" s="48"/>
      <c r="E293" s="48"/>
      <c r="F293" s="169">
        <f>'12. Investeringen (bijschatten)'!C96</f>
        <v>211106.04067513763</v>
      </c>
      <c r="H293" s="37">
        <f>'12. Investeringen (bijschatten)'!D96</f>
        <v>2023</v>
      </c>
      <c r="I293" s="37" t="str">
        <f>'12. Investeringen (bijschatten)'!E96</f>
        <v>05 Wegen en terreinvoorzieningen</v>
      </c>
      <c r="J293" s="169">
        <f>_xlfn.XLOOKUP(I293,'3. Input (des)investeringen '!$B$11:$B$81,'3. Input (des)investeringen '!$D$11:$D$81)</f>
        <v>10</v>
      </c>
      <c r="M293" s="43">
        <f t="shared" si="158"/>
        <v>0</v>
      </c>
      <c r="N293" s="43">
        <f t="shared" si="159"/>
        <v>0</v>
      </c>
      <c r="P293" s="138">
        <f t="shared" si="160"/>
        <v>0</v>
      </c>
      <c r="Q293" s="138">
        <f t="shared" si="161"/>
        <v>0</v>
      </c>
      <c r="S293" s="43">
        <f t="shared" si="162"/>
        <v>211106.04067513763</v>
      </c>
      <c r="T293" s="38">
        <f t="shared" si="163"/>
        <v>10</v>
      </c>
      <c r="V293" s="43">
        <f t="shared" si="141"/>
        <v>0</v>
      </c>
      <c r="W293" s="43">
        <f t="shared" si="141"/>
        <v>12349.703379495553</v>
      </c>
      <c r="X293" s="43">
        <f t="shared" si="141"/>
        <v>23093.945319656683</v>
      </c>
      <c r="Y293" s="43">
        <f t="shared" si="141"/>
        <v>20091.732428101313</v>
      </c>
      <c r="Z293" s="43">
        <f t="shared" si="141"/>
        <v>17928.007397382706</v>
      </c>
      <c r="AB293" s="43">
        <f t="shared" si="142"/>
        <v>0</v>
      </c>
      <c r="AC293" s="43">
        <f t="shared" si="142"/>
        <v>1055.5302033756882</v>
      </c>
      <c r="AD293" s="43">
        <f t="shared" si="142"/>
        <v>2111.0604067513764</v>
      </c>
      <c r="AE293" s="43">
        <f t="shared" si="142"/>
        <v>2111.0604067513764</v>
      </c>
      <c r="AF293" s="43">
        <f t="shared" si="142"/>
        <v>2111.0604067513764</v>
      </c>
      <c r="AH293" s="43">
        <f t="shared" si="164"/>
        <v>0</v>
      </c>
      <c r="AI293" s="43">
        <f t="shared" si="165"/>
        <v>13405.233582871242</v>
      </c>
      <c r="AJ293" s="43">
        <f t="shared" si="166"/>
        <v>25205.005726408061</v>
      </c>
      <c r="AK293" s="43">
        <f t="shared" si="167"/>
        <v>22202.792834852691</v>
      </c>
      <c r="AL293" s="43">
        <f t="shared" si="168"/>
        <v>20039.067804134083</v>
      </c>
      <c r="AN293" s="43">
        <f t="shared" si="134"/>
        <v>0</v>
      </c>
      <c r="AO293" s="43">
        <f t="shared" si="169"/>
        <v>197700.80709226639</v>
      </c>
      <c r="AP293" s="43">
        <f t="shared" si="170"/>
        <v>172495.80136585832</v>
      </c>
      <c r="AQ293" s="43">
        <f t="shared" si="171"/>
        <v>150293.00853100565</v>
      </c>
      <c r="AR293" s="43">
        <f t="shared" si="172"/>
        <v>130253.94072687156</v>
      </c>
      <c r="AT293" s="43">
        <f t="shared" si="152"/>
        <v>0</v>
      </c>
      <c r="AU293" s="43">
        <f t="shared" si="152"/>
        <v>2111.0604067513764</v>
      </c>
      <c r="AV293" s="43">
        <f t="shared" si="152"/>
        <v>2270.8254583343205</v>
      </c>
      <c r="AW293" s="43">
        <f t="shared" si="152"/>
        <v>2325.0709368830112</v>
      </c>
      <c r="AX293" s="43">
        <f t="shared" si="152"/>
        <v>2355.1387542387815</v>
      </c>
      <c r="AZ293" s="47">
        <f t="shared" si="173"/>
        <v>0</v>
      </c>
      <c r="BA293" s="47">
        <f t="shared" si="174"/>
        <v>22040.420623667411</v>
      </c>
      <c r="BB293" s="47">
        <f t="shared" si="175"/>
        <v>34030.671636644998</v>
      </c>
      <c r="BC293" s="47">
        <f t="shared" si="176"/>
        <v>30238.998095913917</v>
      </c>
      <c r="BD293" s="47">
        <f t="shared" si="177"/>
        <v>27343.856305993984</v>
      </c>
    </row>
    <row r="294" spans="2:56">
      <c r="B294" s="37">
        <f>'12. Investeringen (bijschatten)'!B97</f>
        <v>78</v>
      </c>
      <c r="C294" s="48"/>
      <c r="E294" s="48"/>
      <c r="F294" s="169">
        <f>'12. Investeringen (bijschatten)'!C97</f>
        <v>87365.41867156743</v>
      </c>
      <c r="H294" s="37">
        <f>'12. Investeringen (bijschatten)'!D97</f>
        <v>2023</v>
      </c>
      <c r="I294" s="37" t="str">
        <f>'12. Investeringen (bijschatten)'!E97</f>
        <v>06 Utiliteitsgebouwen</v>
      </c>
      <c r="J294" s="169">
        <f>_xlfn.XLOOKUP(I294,'3. Input (des)investeringen '!$B$11:$B$81,'3. Input (des)investeringen '!$D$11:$D$81)</f>
        <v>30</v>
      </c>
      <c r="M294" s="43">
        <f t="shared" si="158"/>
        <v>0</v>
      </c>
      <c r="N294" s="43">
        <f t="shared" si="159"/>
        <v>0</v>
      </c>
      <c r="P294" s="138">
        <f t="shared" si="160"/>
        <v>0</v>
      </c>
      <c r="Q294" s="138">
        <f t="shared" si="161"/>
        <v>0</v>
      </c>
      <c r="S294" s="43">
        <f t="shared" si="162"/>
        <v>87365.41867156743</v>
      </c>
      <c r="T294" s="38">
        <f t="shared" si="163"/>
        <v>30</v>
      </c>
      <c r="V294" s="43">
        <f t="shared" si="141"/>
        <v>0</v>
      </c>
      <c r="W294" s="43">
        <f t="shared" si="141"/>
        <v>1703.6256640955648</v>
      </c>
      <c r="X294" s="43">
        <f t="shared" si="141"/>
        <v>3333.427549413655</v>
      </c>
      <c r="Y294" s="43">
        <f t="shared" si="141"/>
        <v>3188.9790222723968</v>
      </c>
      <c r="Z294" s="43">
        <f t="shared" si="141"/>
        <v>3050.7899313072594</v>
      </c>
      <c r="AB294" s="43">
        <f t="shared" si="142"/>
        <v>0</v>
      </c>
      <c r="AC294" s="43">
        <f t="shared" si="142"/>
        <v>145.60903111927908</v>
      </c>
      <c r="AD294" s="43">
        <f t="shared" si="142"/>
        <v>291.21806223855816</v>
      </c>
      <c r="AE294" s="43">
        <f t="shared" si="142"/>
        <v>291.21806223855816</v>
      </c>
      <c r="AF294" s="43">
        <f t="shared" si="142"/>
        <v>291.21806223855816</v>
      </c>
      <c r="AH294" s="43">
        <f t="shared" si="164"/>
        <v>0</v>
      </c>
      <c r="AI294" s="43">
        <f t="shared" si="165"/>
        <v>1849.2346952148439</v>
      </c>
      <c r="AJ294" s="43">
        <f t="shared" si="166"/>
        <v>3624.6456116522131</v>
      </c>
      <c r="AK294" s="43">
        <f t="shared" si="167"/>
        <v>3480.1970845109549</v>
      </c>
      <c r="AL294" s="43">
        <f t="shared" si="168"/>
        <v>3342.0079935458175</v>
      </c>
      <c r="AN294" s="43">
        <f t="shared" si="134"/>
        <v>0</v>
      </c>
      <c r="AO294" s="43">
        <f t="shared" si="169"/>
        <v>85516.183976352579</v>
      </c>
      <c r="AP294" s="43">
        <f t="shared" si="170"/>
        <v>81891.538364700362</v>
      </c>
      <c r="AQ294" s="43">
        <f t="shared" si="171"/>
        <v>78411.341280189401</v>
      </c>
      <c r="AR294" s="43">
        <f t="shared" si="172"/>
        <v>75069.333286643581</v>
      </c>
      <c r="AT294" s="43">
        <f t="shared" si="152"/>
        <v>0</v>
      </c>
      <c r="AU294" s="43">
        <f t="shared" si="152"/>
        <v>873.65418671567431</v>
      </c>
      <c r="AV294" s="43">
        <f t="shared" si="152"/>
        <v>939.77233556631666</v>
      </c>
      <c r="AW294" s="43">
        <f t="shared" si="152"/>
        <v>962.22161711832484</v>
      </c>
      <c r="AX294" s="43">
        <f t="shared" si="152"/>
        <v>974.66506707089877</v>
      </c>
      <c r="AZ294" s="47">
        <f t="shared" si="173"/>
        <v>0</v>
      </c>
      <c r="BA294" s="47">
        <f t="shared" si="174"/>
        <v>5544.9229531501533</v>
      </c>
      <c r="BB294" s="47">
        <f t="shared" si="175"/>
        <v>7676.2964050771434</v>
      </c>
      <c r="BC294" s="47">
        <f t="shared" si="176"/>
        <v>7422.0496702764767</v>
      </c>
      <c r="BD294" s="47">
        <f t="shared" si="177"/>
        <v>7169.3077255091721</v>
      </c>
    </row>
    <row r="295" spans="2:56">
      <c r="B295" s="37">
        <f>'12. Investeringen (bijschatten)'!B98</f>
        <v>79</v>
      </c>
      <c r="C295" s="48"/>
      <c r="E295" s="48"/>
      <c r="F295" s="169">
        <f>'12. Investeringen (bijschatten)'!C98</f>
        <v>512.30039495694564</v>
      </c>
      <c r="H295" s="37">
        <f>'12. Investeringen (bijschatten)'!D98</f>
        <v>2023</v>
      </c>
      <c r="I295" s="37" t="str">
        <f>'12. Investeringen (bijschatten)'!E98</f>
        <v>08 Inrichting gebouwen</v>
      </c>
      <c r="J295" s="169">
        <f>_xlfn.XLOOKUP(I295,'3. Input (des)investeringen '!$B$11:$B$81,'3. Input (des)investeringen '!$D$11:$D$81)</f>
        <v>10</v>
      </c>
      <c r="M295" s="43">
        <f t="shared" si="158"/>
        <v>0</v>
      </c>
      <c r="N295" s="43">
        <f t="shared" si="159"/>
        <v>0</v>
      </c>
      <c r="P295" s="138">
        <f t="shared" si="160"/>
        <v>0</v>
      </c>
      <c r="Q295" s="138">
        <f t="shared" si="161"/>
        <v>0</v>
      </c>
      <c r="S295" s="43">
        <f t="shared" si="162"/>
        <v>512.30039495694564</v>
      </c>
      <c r="T295" s="38">
        <f t="shared" si="163"/>
        <v>10</v>
      </c>
      <c r="V295" s="43">
        <f t="shared" si="141"/>
        <v>0</v>
      </c>
      <c r="W295" s="43">
        <f t="shared" si="141"/>
        <v>29.969573104981322</v>
      </c>
      <c r="X295" s="43">
        <f t="shared" si="141"/>
        <v>56.04310170631507</v>
      </c>
      <c r="Y295" s="43">
        <f t="shared" si="141"/>
        <v>48.757498484494114</v>
      </c>
      <c r="Z295" s="43">
        <f t="shared" si="141"/>
        <v>43.506690955394745</v>
      </c>
      <c r="AB295" s="43">
        <f t="shared" si="142"/>
        <v>0</v>
      </c>
      <c r="AC295" s="43">
        <f t="shared" si="142"/>
        <v>2.5615019747847287</v>
      </c>
      <c r="AD295" s="43">
        <f t="shared" si="142"/>
        <v>5.1230039495694575</v>
      </c>
      <c r="AE295" s="43">
        <f t="shared" si="142"/>
        <v>5.1230039495694575</v>
      </c>
      <c r="AF295" s="43">
        <f t="shared" si="142"/>
        <v>5.1230039495694575</v>
      </c>
      <c r="AH295" s="43">
        <f t="shared" si="164"/>
        <v>0</v>
      </c>
      <c r="AI295" s="43">
        <f t="shared" si="165"/>
        <v>32.531075079766048</v>
      </c>
      <c r="AJ295" s="43">
        <f t="shared" si="166"/>
        <v>61.166105655884529</v>
      </c>
      <c r="AK295" s="43">
        <f t="shared" si="167"/>
        <v>53.880502434063573</v>
      </c>
      <c r="AL295" s="43">
        <f t="shared" si="168"/>
        <v>48.629694904964204</v>
      </c>
      <c r="AN295" s="43">
        <f t="shared" si="134"/>
        <v>0</v>
      </c>
      <c r="AO295" s="43">
        <f t="shared" si="169"/>
        <v>479.76931987717961</v>
      </c>
      <c r="AP295" s="43">
        <f t="shared" si="170"/>
        <v>418.6032142212951</v>
      </c>
      <c r="AQ295" s="43">
        <f t="shared" si="171"/>
        <v>364.72271178723156</v>
      </c>
      <c r="AR295" s="43">
        <f t="shared" si="172"/>
        <v>316.09301688226736</v>
      </c>
      <c r="AT295" s="43">
        <f t="shared" si="152"/>
        <v>0</v>
      </c>
      <c r="AU295" s="43">
        <f t="shared" si="152"/>
        <v>5.1230039495694566</v>
      </c>
      <c r="AV295" s="43">
        <f t="shared" si="152"/>
        <v>5.5107128884728738</v>
      </c>
      <c r="AW295" s="43">
        <f t="shared" si="152"/>
        <v>5.6423527979527135</v>
      </c>
      <c r="AX295" s="43">
        <f t="shared" si="152"/>
        <v>5.7153197043358368</v>
      </c>
      <c r="AZ295" s="47">
        <f t="shared" si="173"/>
        <v>0</v>
      </c>
      <c r="BA295" s="47">
        <f t="shared" si="174"/>
        <v>53.486466585282436</v>
      </c>
      <c r="BB295" s="47">
        <f t="shared" si="175"/>
        <v>82.58374068476661</v>
      </c>
      <c r="BC295" s="47">
        <f t="shared" si="176"/>
        <v>73.382318279931084</v>
      </c>
      <c r="BD295" s="47">
        <f t="shared" si="177"/>
        <v>66.356549250826205</v>
      </c>
    </row>
    <row r="296" spans="2:56">
      <c r="B296" s="37">
        <f>'12. Investeringen (bijschatten)'!B99</f>
        <v>80</v>
      </c>
      <c r="C296" s="48"/>
      <c r="E296" s="48"/>
      <c r="F296" s="169">
        <f>'12. Investeringen (bijschatten)'!C99</f>
        <v>52227.302738377963</v>
      </c>
      <c r="H296" s="37">
        <f>'12. Investeringen (bijschatten)'!D99</f>
        <v>2023</v>
      </c>
      <c r="I296" s="37" t="str">
        <f>'12. Investeringen (bijschatten)'!E99</f>
        <v>15 Compressorstations (KC)</v>
      </c>
      <c r="J296" s="169">
        <f>_xlfn.XLOOKUP(I296,'3. Input (des)investeringen '!$B$11:$B$81,'3. Input (des)investeringen '!$D$11:$D$81)</f>
        <v>30</v>
      </c>
      <c r="M296" s="43">
        <f t="shared" si="158"/>
        <v>0</v>
      </c>
      <c r="N296" s="43">
        <f t="shared" si="159"/>
        <v>0</v>
      </c>
      <c r="P296" s="138">
        <f t="shared" si="160"/>
        <v>0</v>
      </c>
      <c r="Q296" s="138">
        <f t="shared" si="161"/>
        <v>0</v>
      </c>
      <c r="S296" s="43">
        <f t="shared" si="162"/>
        <v>52227.302738377963</v>
      </c>
      <c r="T296" s="38">
        <f t="shared" si="163"/>
        <v>30</v>
      </c>
      <c r="V296" s="43">
        <f t="shared" si="141"/>
        <v>0</v>
      </c>
      <c r="W296" s="43">
        <f t="shared" si="141"/>
        <v>1018.4324033983703</v>
      </c>
      <c r="X296" s="43">
        <f t="shared" si="141"/>
        <v>1992.7327359828112</v>
      </c>
      <c r="Y296" s="43">
        <f t="shared" si="141"/>
        <v>1906.3809840902225</v>
      </c>
      <c r="Z296" s="43">
        <f t="shared" si="141"/>
        <v>1823.7711414463129</v>
      </c>
      <c r="AB296" s="43">
        <f t="shared" si="142"/>
        <v>0</v>
      </c>
      <c r="AC296" s="43">
        <f t="shared" si="142"/>
        <v>87.045504563963277</v>
      </c>
      <c r="AD296" s="43">
        <f t="shared" si="142"/>
        <v>174.09100912792658</v>
      </c>
      <c r="AE296" s="43">
        <f t="shared" si="142"/>
        <v>174.09100912792658</v>
      </c>
      <c r="AF296" s="43">
        <f t="shared" si="142"/>
        <v>174.09100912792658</v>
      </c>
      <c r="AH296" s="43">
        <f t="shared" si="164"/>
        <v>0</v>
      </c>
      <c r="AI296" s="43">
        <f t="shared" si="165"/>
        <v>1105.4779079623336</v>
      </c>
      <c r="AJ296" s="43">
        <f t="shared" si="166"/>
        <v>2166.8237451107379</v>
      </c>
      <c r="AK296" s="43">
        <f t="shared" si="167"/>
        <v>2080.4719932181492</v>
      </c>
      <c r="AL296" s="43">
        <f t="shared" si="168"/>
        <v>1997.8621505742394</v>
      </c>
      <c r="AN296" s="43">
        <f t="shared" si="134"/>
        <v>0</v>
      </c>
      <c r="AO296" s="43">
        <f t="shared" si="169"/>
        <v>51121.82483041563</v>
      </c>
      <c r="AP296" s="43">
        <f t="shared" si="170"/>
        <v>48955.001085304888</v>
      </c>
      <c r="AQ296" s="43">
        <f t="shared" si="171"/>
        <v>46874.529092086741</v>
      </c>
      <c r="AR296" s="43">
        <f t="shared" si="172"/>
        <v>44876.6669415125</v>
      </c>
      <c r="AT296" s="43">
        <f t="shared" si="152"/>
        <v>0</v>
      </c>
      <c r="AU296" s="43">
        <f t="shared" si="152"/>
        <v>522.27302738377966</v>
      </c>
      <c r="AV296" s="43">
        <f t="shared" si="152"/>
        <v>561.79865009618413</v>
      </c>
      <c r="AW296" s="43">
        <f t="shared" si="152"/>
        <v>575.21889624968185</v>
      </c>
      <c r="AX296" s="43">
        <f t="shared" si="152"/>
        <v>582.65762701598248</v>
      </c>
      <c r="AZ296" s="47">
        <f t="shared" si="173"/>
        <v>0</v>
      </c>
      <c r="BA296" s="47">
        <f t="shared" si="174"/>
        <v>3314.7711547498293</v>
      </c>
      <c r="BB296" s="47">
        <f t="shared" si="175"/>
        <v>4588.9124364485078</v>
      </c>
      <c r="BC296" s="47">
        <f t="shared" si="176"/>
        <v>4436.9229949671271</v>
      </c>
      <c r="BD296" s="47">
        <f t="shared" si="177"/>
        <v>4285.8331213676965</v>
      </c>
    </row>
    <row r="297" spans="2:56">
      <c r="B297" s="37">
        <f>'12. Investeringen (bijschatten)'!B100</f>
        <v>81</v>
      </c>
      <c r="C297" s="48"/>
      <c r="E297" s="48"/>
      <c r="F297" s="169">
        <f>'12. Investeringen (bijschatten)'!C100</f>
        <v>1503868.6390986054</v>
      </c>
      <c r="H297" s="37">
        <f>'12. Investeringen (bijschatten)'!D100</f>
        <v>2023</v>
      </c>
      <c r="I297" s="37" t="str">
        <f>'12. Investeringen (bijschatten)'!E100</f>
        <v>15 Compressorstations (TT-BT-AT)</v>
      </c>
      <c r="J297" s="169">
        <f>_xlfn.XLOOKUP(I297,'3. Input (des)investeringen '!$B$11:$B$81,'3. Input (des)investeringen '!$D$11:$D$81)</f>
        <v>30</v>
      </c>
      <c r="M297" s="43">
        <f t="shared" si="158"/>
        <v>0</v>
      </c>
      <c r="N297" s="43">
        <f t="shared" si="159"/>
        <v>0</v>
      </c>
      <c r="P297" s="138">
        <f t="shared" si="160"/>
        <v>0</v>
      </c>
      <c r="Q297" s="138">
        <f t="shared" si="161"/>
        <v>0</v>
      </c>
      <c r="S297" s="43">
        <f t="shared" si="162"/>
        <v>1503868.6390986054</v>
      </c>
      <c r="T297" s="38">
        <f t="shared" si="163"/>
        <v>30</v>
      </c>
      <c r="V297" s="43">
        <f t="shared" si="141"/>
        <v>0</v>
      </c>
      <c r="W297" s="43">
        <f t="shared" si="141"/>
        <v>29325.438462422804</v>
      </c>
      <c r="X297" s="43">
        <f t="shared" si="141"/>
        <v>57380.107924807293</v>
      </c>
      <c r="Y297" s="43">
        <f t="shared" si="141"/>
        <v>54893.636581398976</v>
      </c>
      <c r="Z297" s="43">
        <f t="shared" si="141"/>
        <v>52514.912329538347</v>
      </c>
      <c r="AB297" s="43">
        <f t="shared" si="142"/>
        <v>0</v>
      </c>
      <c r="AC297" s="43">
        <f t="shared" si="142"/>
        <v>2506.4477318310092</v>
      </c>
      <c r="AD297" s="43">
        <f t="shared" si="142"/>
        <v>5012.8954636620192</v>
      </c>
      <c r="AE297" s="43">
        <f t="shared" si="142"/>
        <v>5012.8954636620192</v>
      </c>
      <c r="AF297" s="43">
        <f t="shared" si="142"/>
        <v>5012.8954636620192</v>
      </c>
      <c r="AH297" s="43">
        <f t="shared" si="164"/>
        <v>0</v>
      </c>
      <c r="AI297" s="43">
        <f t="shared" si="165"/>
        <v>31831.886194253813</v>
      </c>
      <c r="AJ297" s="43">
        <f t="shared" si="166"/>
        <v>62393.003388469311</v>
      </c>
      <c r="AK297" s="43">
        <f t="shared" si="167"/>
        <v>59906.532045060994</v>
      </c>
      <c r="AL297" s="43">
        <f t="shared" si="168"/>
        <v>57527.807793200365</v>
      </c>
      <c r="AN297" s="43">
        <f t="shared" si="134"/>
        <v>0</v>
      </c>
      <c r="AO297" s="43">
        <f t="shared" si="169"/>
        <v>1472036.7529043516</v>
      </c>
      <c r="AP297" s="43">
        <f t="shared" si="170"/>
        <v>1409643.7495158822</v>
      </c>
      <c r="AQ297" s="43">
        <f t="shared" si="171"/>
        <v>1349737.2174708212</v>
      </c>
      <c r="AR297" s="43">
        <f t="shared" si="172"/>
        <v>1292209.409677621</v>
      </c>
      <c r="AT297" s="43">
        <f t="shared" si="152"/>
        <v>0</v>
      </c>
      <c r="AU297" s="43">
        <f t="shared" si="152"/>
        <v>15038.686390986055</v>
      </c>
      <c r="AV297" s="43">
        <f t="shared" si="152"/>
        <v>16176.814177055878</v>
      </c>
      <c r="AW297" s="43">
        <f t="shared" si="152"/>
        <v>16563.245914117393</v>
      </c>
      <c r="AX297" s="43">
        <f t="shared" si="152"/>
        <v>16777.441810278753</v>
      </c>
      <c r="AZ297" s="47">
        <f t="shared" si="173"/>
        <v>0</v>
      </c>
      <c r="BA297" s="47">
        <f t="shared" si="174"/>
        <v>95447.785431083466</v>
      </c>
      <c r="BB297" s="47">
        <f t="shared" si="175"/>
        <v>132136.2800471287</v>
      </c>
      <c r="BC297" s="47">
        <f t="shared" si="176"/>
        <v>127759.7922230696</v>
      </c>
      <c r="BD297" s="47">
        <f t="shared" si="177"/>
        <v>123409.20717122871</v>
      </c>
    </row>
    <row r="298" spans="2:56">
      <c r="B298" s="37">
        <f>'12. Investeringen (bijschatten)'!B101</f>
        <v>82</v>
      </c>
      <c r="C298" s="48"/>
      <c r="E298" s="48"/>
      <c r="F298" s="169">
        <f>'12. Investeringen (bijschatten)'!C101</f>
        <v>2183439.2423609141</v>
      </c>
      <c r="H298" s="37">
        <f>'12. Investeringen (bijschatten)'!D101</f>
        <v>2023</v>
      </c>
      <c r="I298" s="37" t="str">
        <f>'12. Investeringen (bijschatten)'!E101</f>
        <v>16 LNG installaties</v>
      </c>
      <c r="J298" s="169">
        <f>_xlfn.XLOOKUP(I298,'3. Input (des)investeringen '!$B$11:$B$81,'3. Input (des)investeringen '!$D$11:$D$81)</f>
        <v>30</v>
      </c>
      <c r="M298" s="43">
        <f t="shared" si="158"/>
        <v>0</v>
      </c>
      <c r="N298" s="43">
        <f t="shared" si="159"/>
        <v>0</v>
      </c>
      <c r="P298" s="138">
        <f t="shared" si="160"/>
        <v>0</v>
      </c>
      <c r="Q298" s="138">
        <f t="shared" si="161"/>
        <v>0</v>
      </c>
      <c r="S298" s="43">
        <f t="shared" si="162"/>
        <v>2183439.2423609141</v>
      </c>
      <c r="T298" s="38">
        <f t="shared" si="163"/>
        <v>30</v>
      </c>
      <c r="V298" s="43">
        <f t="shared" si="141"/>
        <v>0</v>
      </c>
      <c r="W298" s="43">
        <f t="shared" si="141"/>
        <v>42577.065226037827</v>
      </c>
      <c r="X298" s="43">
        <f t="shared" si="141"/>
        <v>83309.124292280685</v>
      </c>
      <c r="Y298" s="43">
        <f t="shared" si="141"/>
        <v>79699.062239615188</v>
      </c>
      <c r="Z298" s="43">
        <f t="shared" si="141"/>
        <v>76245.436209231862</v>
      </c>
      <c r="AB298" s="43">
        <f t="shared" si="142"/>
        <v>0</v>
      </c>
      <c r="AC298" s="43">
        <f t="shared" si="142"/>
        <v>3639.0654039348574</v>
      </c>
      <c r="AD298" s="43">
        <f t="shared" si="142"/>
        <v>7278.1308078697148</v>
      </c>
      <c r="AE298" s="43">
        <f t="shared" si="142"/>
        <v>7278.1308078697148</v>
      </c>
      <c r="AF298" s="43">
        <f t="shared" si="142"/>
        <v>7278.1308078697148</v>
      </c>
      <c r="AH298" s="43">
        <f t="shared" si="164"/>
        <v>0</v>
      </c>
      <c r="AI298" s="43">
        <f t="shared" si="165"/>
        <v>46216.130629972686</v>
      </c>
      <c r="AJ298" s="43">
        <f t="shared" si="166"/>
        <v>90587.255100150403</v>
      </c>
      <c r="AK298" s="43">
        <f t="shared" si="167"/>
        <v>86977.193047484907</v>
      </c>
      <c r="AL298" s="43">
        <f t="shared" si="168"/>
        <v>83523.567017101581</v>
      </c>
      <c r="AN298" s="43">
        <f t="shared" si="134"/>
        <v>0</v>
      </c>
      <c r="AO298" s="43">
        <f t="shared" si="169"/>
        <v>2137223.1117309416</v>
      </c>
      <c r="AP298" s="43">
        <f t="shared" si="170"/>
        <v>2046635.8566307912</v>
      </c>
      <c r="AQ298" s="43">
        <f t="shared" si="171"/>
        <v>1959658.6635833064</v>
      </c>
      <c r="AR298" s="43">
        <f t="shared" si="172"/>
        <v>1876135.0965662047</v>
      </c>
      <c r="AT298" s="43">
        <f t="shared" si="152"/>
        <v>0</v>
      </c>
      <c r="AU298" s="43">
        <f t="shared" si="152"/>
        <v>21834.392423609141</v>
      </c>
      <c r="AV298" s="43">
        <f t="shared" si="152"/>
        <v>23486.819242227884</v>
      </c>
      <c r="AW298" s="43">
        <f t="shared" si="152"/>
        <v>24047.872380286226</v>
      </c>
      <c r="AX298" s="43">
        <f t="shared" si="152"/>
        <v>24358.859465908077</v>
      </c>
      <c r="AZ298" s="47">
        <f t="shared" si="173"/>
        <v>0</v>
      </c>
      <c r="BA298" s="47">
        <f t="shared" si="174"/>
        <v>138578.88574070291</v>
      </c>
      <c r="BB298" s="47">
        <f t="shared" si="175"/>
        <v>191846.23689434835</v>
      </c>
      <c r="BC298" s="47">
        <f t="shared" si="176"/>
        <v>185492.09464393678</v>
      </c>
      <c r="BD298" s="47">
        <f t="shared" si="177"/>
        <v>179175.56015252543</v>
      </c>
    </row>
    <row r="299" spans="2:56">
      <c r="B299" s="37">
        <f>'12. Investeringen (bijschatten)'!B102</f>
        <v>83</v>
      </c>
      <c r="C299" s="48"/>
      <c r="E299" s="48"/>
      <c r="F299" s="169">
        <f>'12. Investeringen (bijschatten)'!C102</f>
        <v>999432.73169850267</v>
      </c>
      <c r="H299" s="37">
        <f>'12. Investeringen (bijschatten)'!D102</f>
        <v>2023</v>
      </c>
      <c r="I299" s="37" t="str">
        <f>'12. Investeringen (bijschatten)'!E102</f>
        <v>17 Mengstations</v>
      </c>
      <c r="J299" s="169">
        <f>_xlfn.XLOOKUP(I299,'3. Input (des)investeringen '!$B$11:$B$81,'3. Input (des)investeringen '!$D$11:$D$81)</f>
        <v>30</v>
      </c>
      <c r="M299" s="43">
        <f t="shared" si="158"/>
        <v>0</v>
      </c>
      <c r="N299" s="43">
        <f t="shared" si="159"/>
        <v>0</v>
      </c>
      <c r="P299" s="138">
        <f t="shared" si="160"/>
        <v>0</v>
      </c>
      <c r="Q299" s="138">
        <f t="shared" si="161"/>
        <v>0</v>
      </c>
      <c r="S299" s="43">
        <f t="shared" si="162"/>
        <v>999432.73169850267</v>
      </c>
      <c r="T299" s="38">
        <f t="shared" si="163"/>
        <v>30</v>
      </c>
      <c r="V299" s="43">
        <f t="shared" si="141"/>
        <v>0</v>
      </c>
      <c r="W299" s="43">
        <f t="shared" si="141"/>
        <v>19488.938268120804</v>
      </c>
      <c r="X299" s="43">
        <f t="shared" si="141"/>
        <v>38133.355877956375</v>
      </c>
      <c r="Y299" s="43">
        <f t="shared" si="141"/>
        <v>36480.910456578262</v>
      </c>
      <c r="Z299" s="43">
        <f t="shared" si="141"/>
        <v>34900.071003459874</v>
      </c>
      <c r="AB299" s="43">
        <f t="shared" si="142"/>
        <v>0</v>
      </c>
      <c r="AC299" s="43">
        <f t="shared" si="142"/>
        <v>1665.7212194975045</v>
      </c>
      <c r="AD299" s="43">
        <f t="shared" si="142"/>
        <v>3331.4424389950095</v>
      </c>
      <c r="AE299" s="43">
        <f t="shared" si="142"/>
        <v>3331.4424389950095</v>
      </c>
      <c r="AF299" s="43">
        <f t="shared" si="142"/>
        <v>3331.4424389950095</v>
      </c>
      <c r="AH299" s="43">
        <f t="shared" si="164"/>
        <v>0</v>
      </c>
      <c r="AI299" s="43">
        <f t="shared" si="165"/>
        <v>21154.659487618308</v>
      </c>
      <c r="AJ299" s="43">
        <f t="shared" si="166"/>
        <v>41464.798316951383</v>
      </c>
      <c r="AK299" s="43">
        <f t="shared" si="167"/>
        <v>39812.352895573269</v>
      </c>
      <c r="AL299" s="43">
        <f t="shared" si="168"/>
        <v>38231.513442454881</v>
      </c>
      <c r="AN299" s="43">
        <f t="shared" si="134"/>
        <v>0</v>
      </c>
      <c r="AO299" s="43">
        <f t="shared" si="169"/>
        <v>978278.07221088442</v>
      </c>
      <c r="AP299" s="43">
        <f t="shared" si="170"/>
        <v>936813.27389393304</v>
      </c>
      <c r="AQ299" s="43">
        <f t="shared" si="171"/>
        <v>897000.9209983598</v>
      </c>
      <c r="AR299" s="43">
        <f t="shared" si="172"/>
        <v>858769.40755590494</v>
      </c>
      <c r="AT299" s="43">
        <f t="shared" si="152"/>
        <v>0</v>
      </c>
      <c r="AU299" s="43">
        <f t="shared" si="152"/>
        <v>9994.3273169850272</v>
      </c>
      <c r="AV299" s="43">
        <f t="shared" si="152"/>
        <v>10750.698008334455</v>
      </c>
      <c r="AW299" s="43">
        <f t="shared" si="152"/>
        <v>11007.51068235755</v>
      </c>
      <c r="AX299" s="43">
        <f t="shared" si="152"/>
        <v>11149.859810501794</v>
      </c>
      <c r="AZ299" s="47">
        <f t="shared" si="173"/>
        <v>0</v>
      </c>
      <c r="BA299" s="47">
        <f t="shared" si="174"/>
        <v>63432.163187562524</v>
      </c>
      <c r="BB299" s="47">
        <f t="shared" si="175"/>
        <v>87814.400733255301</v>
      </c>
      <c r="BC299" s="47">
        <f t="shared" si="176"/>
        <v>84905.898575868487</v>
      </c>
      <c r="BD299" s="47">
        <f t="shared" si="177"/>
        <v>82014.610740081058</v>
      </c>
    </row>
    <row r="300" spans="2:56">
      <c r="B300" s="37">
        <f>'12. Investeringen (bijschatten)'!B103</f>
        <v>84</v>
      </c>
      <c r="C300" s="48"/>
      <c r="E300" s="48"/>
      <c r="F300" s="169">
        <f>'12. Investeringen (bijschatten)'!C103</f>
        <v>1817413.6692713664</v>
      </c>
      <c r="H300" s="37">
        <f>'12. Investeringen (bijschatten)'!D103</f>
        <v>2023</v>
      </c>
      <c r="I300" s="37" t="str">
        <f>'12. Investeringen (bijschatten)'!E103</f>
        <v>20 Kantoorgebouwen</v>
      </c>
      <c r="J300" s="169">
        <f>_xlfn.XLOOKUP(I300,'3. Input (des)investeringen '!$B$11:$B$81,'3. Input (des)investeringen '!$D$11:$D$81)</f>
        <v>30</v>
      </c>
      <c r="M300" s="43">
        <f t="shared" ref="M300:M307" si="178">IF($J300 = 0, 0, IF($H300&lt;=M$215,
VDB(ABS($F300),0,$J300,MAX(0,M$59-$H300-0.5),MIN($J300,M$59-$H300+0.5),1)*IF($F300&lt;0,-1,1)*INDEX(H$40:H$46,$H300-2019,1),
0))</f>
        <v>0</v>
      </c>
      <c r="N300" s="43">
        <f t="shared" ref="N300:N307" si="179">IF($J300 = 0, 0, IF($H300&lt;=N$215,
VDB(ABS($F300),0,$J300,MAX(0,N$59-$H300-0.5),MIN($J300,N$59-$H300+0.5),1)*IF($F300&lt;0,-1,1)*INDEX(I$40:I$46,$H300-2019,1),
0))</f>
        <v>0</v>
      </c>
      <c r="P300" s="138">
        <f t="shared" ref="P300:P307" si="180">IF($J300=0, IF($H300 = M$215, $F300, 0), IF(OR($H300&gt;P$59,$H300+$J300&lt;=P$59),0,
F300-M300))</f>
        <v>0</v>
      </c>
      <c r="Q300" s="138">
        <f t="shared" ref="Q300:Q307" si="181">IF($J300=0, IF($H300 &gt; N$215, 0, IF($H300=N$215, $F300, $P300*I$40)), IF(OR($H300&gt;Q$59,$H300+$J300&lt;=Q$59),0,
IF($H300=Q$59,F300-N300,P300*I$40-N300)))</f>
        <v>0</v>
      </c>
      <c r="S300" s="43">
        <f t="shared" ref="S300:S307" si="182">IF($J300=0, IF(H300&lt;=2021, $Q300, IF(H300&gt;=2022, $F300,0)), IF(H300&lt;=2021,Q300,F300))</f>
        <v>1817413.6692713664</v>
      </c>
      <c r="T300" s="38">
        <f t="shared" ref="T300:T307" si="183">IF($J300=0, 0, IF(H300&lt;2022,J300-2021+H300-0.5,J300))</f>
        <v>30</v>
      </c>
      <c r="V300" s="43">
        <f t="shared" si="141"/>
        <v>0</v>
      </c>
      <c r="W300" s="43">
        <f t="shared" si="141"/>
        <v>35439.566550791649</v>
      </c>
      <c r="X300" s="43">
        <f t="shared" si="141"/>
        <v>69343.418551048977</v>
      </c>
      <c r="Y300" s="43">
        <f t="shared" si="141"/>
        <v>66338.537080503535</v>
      </c>
      <c r="Z300" s="43">
        <f t="shared" si="141"/>
        <v>63463.867140348375</v>
      </c>
      <c r="AB300" s="43">
        <f t="shared" si="142"/>
        <v>0</v>
      </c>
      <c r="AC300" s="43">
        <f t="shared" si="142"/>
        <v>3029.0227821189446</v>
      </c>
      <c r="AD300" s="43">
        <f t="shared" si="142"/>
        <v>6058.0455642378893</v>
      </c>
      <c r="AE300" s="43">
        <f t="shared" si="142"/>
        <v>6058.0455642378893</v>
      </c>
      <c r="AF300" s="43">
        <f t="shared" si="142"/>
        <v>6058.0455642378893</v>
      </c>
      <c r="AH300" s="43">
        <f t="shared" ref="AH300:AH307" si="184">V300+AB300</f>
        <v>0</v>
      </c>
      <c r="AI300" s="43">
        <f t="shared" ref="AI300:AI307" si="185">W300+AC300</f>
        <v>38468.589332910597</v>
      </c>
      <c r="AJ300" s="43">
        <f t="shared" ref="AJ300:AJ307" si="186">X300+AD300</f>
        <v>75401.464115286872</v>
      </c>
      <c r="AK300" s="43">
        <f t="shared" ref="AK300:AK307" si="187">Y300+AE300</f>
        <v>72396.582644741429</v>
      </c>
      <c r="AL300" s="43">
        <f t="shared" ref="AL300:AL307" si="188">Z300+AF300</f>
        <v>69521.91270458627</v>
      </c>
      <c r="AN300" s="43">
        <f t="shared" si="134"/>
        <v>0</v>
      </c>
      <c r="AO300" s="43">
        <f t="shared" ref="AO300:AO307" si="189">IF($J300 = 0, IF($H300 &gt; AO$215, 0, IF($H300=AO$215, $F300, AN300)), IF(OR($H300&gt;AO$59,$H300+$J300&lt;=AO$59),0,
IF($H300=AO$59,$S300-AI300,
AN300-AI300)))</f>
        <v>1778945.079938456</v>
      </c>
      <c r="AP300" s="43">
        <f t="shared" ref="AP300:AP307" si="190">IF($J300 = 0, IF($H300 &gt; AP$215, 0, IF($H300=AP$215, $F300, AO300)), IF(OR($H300&gt;AP$59,$H300+$J300&lt;=AP$59),0,
IF($H300=AP$59,$S300-AJ300,
AO300-AJ300)))</f>
        <v>1703543.615823169</v>
      </c>
      <c r="AQ300" s="43">
        <f t="shared" ref="AQ300:AQ307" si="191">IF($J300 = 0, IF($H300 &gt; AQ$215, 0, IF($H300=AQ$215, $F300, AP300)), IF(OR($H300&gt;AQ$59,$H300+$J300&lt;=AQ$59),0,
IF($H300=AQ$59,$S300-AK300,
AP300-AK300)))</f>
        <v>1631147.0331784275</v>
      </c>
      <c r="AR300" s="43">
        <f t="shared" ref="AR300:AR307" si="192">IF($J300 = 0, IF($H300 &gt; AR$215, 0, IF($H300=AR$215, $F300, AQ300)), IF(OR($H300&gt;AR$59,$H300+$J300&lt;=AR$59),0,
IF($H300=AR$59,$S300-AL300,
AQ300-AL300)))</f>
        <v>1561625.1204738412</v>
      </c>
      <c r="AT300" s="43">
        <f t="shared" si="152"/>
        <v>0</v>
      </c>
      <c r="AU300" s="43">
        <f t="shared" si="152"/>
        <v>18174.136692713666</v>
      </c>
      <c r="AV300" s="43">
        <f t="shared" si="152"/>
        <v>19549.555357618236</v>
      </c>
      <c r="AW300" s="43">
        <f t="shared" si="152"/>
        <v>20016.555136001021</v>
      </c>
      <c r="AX300" s="43">
        <f t="shared" si="152"/>
        <v>20275.409227019783</v>
      </c>
      <c r="AZ300" s="47">
        <f t="shared" ref="AZ300:AZ307" si="193">AH300+AN300*J$16+AT300</f>
        <v>0</v>
      </c>
      <c r="BA300" s="47">
        <f t="shared" ref="BA300:BA307" si="194">AI300+AO300*K$16+AU300</f>
        <v>115347.91366359331</v>
      </c>
      <c r="BB300" s="47">
        <f t="shared" ref="BB300:BB307" si="195">AJ300+AP300*L$16+AV300</f>
        <v>159685.67687418553</v>
      </c>
      <c r="BC300" s="47">
        <f t="shared" ref="BC300:BC307" si="196">AK300+AQ300*M$16+AW300</f>
        <v>154396.7250415227</v>
      </c>
      <c r="BD300" s="47">
        <f t="shared" ref="BD300:BD307" si="197">AL300+AR300*N$16+AX300</f>
        <v>149139.07650961203</v>
      </c>
    </row>
    <row r="301" spans="2:56">
      <c r="B301" s="37">
        <f>'12. Investeringen (bijschatten)'!B104</f>
        <v>85</v>
      </c>
      <c r="C301" s="48"/>
      <c r="E301" s="48"/>
      <c r="F301" s="169">
        <f>'12. Investeringen (bijschatten)'!C104</f>
        <v>22543419.613286749</v>
      </c>
      <c r="H301" s="37">
        <f>'12. Investeringen (bijschatten)'!D104</f>
        <v>2023</v>
      </c>
      <c r="I301" s="37" t="str">
        <f>'12. Investeringen (bijschatten)'!E104</f>
        <v>21 Hoofdtransportleiding</v>
      </c>
      <c r="J301" s="169">
        <f>_xlfn.XLOOKUP(I301,'3. Input (des)investeringen '!$B$11:$B$81,'3. Input (des)investeringen '!$D$11:$D$81)</f>
        <v>55</v>
      </c>
      <c r="M301" s="43">
        <f t="shared" si="178"/>
        <v>0</v>
      </c>
      <c r="N301" s="43">
        <f t="shared" si="179"/>
        <v>0</v>
      </c>
      <c r="P301" s="138">
        <f t="shared" si="180"/>
        <v>0</v>
      </c>
      <c r="Q301" s="138">
        <f t="shared" si="181"/>
        <v>0</v>
      </c>
      <c r="S301" s="43">
        <f t="shared" si="182"/>
        <v>22543419.613286749</v>
      </c>
      <c r="T301" s="38">
        <f t="shared" si="183"/>
        <v>55</v>
      </c>
      <c r="V301" s="43">
        <f t="shared" ref="V301:Z316" si="198">IF($J301=0, 0, IF(OR($H301&gt;V$59,$H301+$J301&lt;V$59),0,
IF(OR($H301=2020,$H301=2021),VDB(ABS($S301)*(1-$F$28),0,$T301,V$59-2022,MIN($T301,V$59-2021),$F$22),
VDB(ABS($S301)*(1-$F$28),0,$T301,MAX(0,V$59-$H301-0.5),MIN($T301,V$59-$H301+0.5),$F$22,FALSE))))*IF($F301&lt;0,-1,1)</f>
        <v>0</v>
      </c>
      <c r="W301" s="43">
        <f t="shared" si="198"/>
        <v>239780.00861404996</v>
      </c>
      <c r="X301" s="43">
        <f t="shared" si="198"/>
        <v>473892.48975176789</v>
      </c>
      <c r="Y301" s="43">
        <f t="shared" si="198"/>
        <v>462691.39453945338</v>
      </c>
      <c r="Z301" s="43">
        <f t="shared" si="198"/>
        <v>451755.05248670268</v>
      </c>
      <c r="AB301" s="43">
        <f t="shared" ref="AB301:AF316" si="199">IF($J301 = 0, 0, IF(OR($H301&gt;AB$59,$H301+$J301&lt;AB$59),0,
IF(OR($H301=2020,$H301=2021),VDB(ABS($S301)*$F$28,0,$T301,AB$59-2022,MIN($T301,AB$59-2021),1),
VDB(ABS($S301)*$F$28,0,$T301,MAX(0,AB$59-$H301-0.5),MIN($T301,AB$59-$H301+0.5),1))))*IF($F301&lt;0,-1,1)</f>
        <v>0</v>
      </c>
      <c r="AC301" s="43">
        <f t="shared" si="199"/>
        <v>20494.017830260684</v>
      </c>
      <c r="AD301" s="43">
        <f t="shared" si="199"/>
        <v>40988.035660521367</v>
      </c>
      <c r="AE301" s="43">
        <f t="shared" si="199"/>
        <v>40988.035660521367</v>
      </c>
      <c r="AF301" s="43">
        <f t="shared" si="199"/>
        <v>40988.035660521367</v>
      </c>
      <c r="AH301" s="43">
        <f t="shared" si="184"/>
        <v>0</v>
      </c>
      <c r="AI301" s="43">
        <f t="shared" si="185"/>
        <v>260274.02644431064</v>
      </c>
      <c r="AJ301" s="43">
        <f t="shared" si="186"/>
        <v>514880.52541228925</v>
      </c>
      <c r="AK301" s="43">
        <f t="shared" si="187"/>
        <v>503679.43019997474</v>
      </c>
      <c r="AL301" s="43">
        <f t="shared" si="188"/>
        <v>492743.08814722404</v>
      </c>
      <c r="AN301" s="43">
        <f t="shared" si="134"/>
        <v>0</v>
      </c>
      <c r="AO301" s="43">
        <f t="shared" si="189"/>
        <v>22283145.586842436</v>
      </c>
      <c r="AP301" s="43">
        <f t="shared" si="190"/>
        <v>21768265.061430149</v>
      </c>
      <c r="AQ301" s="43">
        <f t="shared" si="191"/>
        <v>21264585.631230175</v>
      </c>
      <c r="AR301" s="43">
        <f t="shared" si="192"/>
        <v>20771842.543082952</v>
      </c>
      <c r="AT301" s="43">
        <f t="shared" si="152"/>
        <v>0</v>
      </c>
      <c r="AU301" s="43">
        <f t="shared" si="152"/>
        <v>225434.19613286748</v>
      </c>
      <c r="AV301" s="43">
        <f t="shared" si="152"/>
        <v>242495.05609620293</v>
      </c>
      <c r="AW301" s="43">
        <f t="shared" si="152"/>
        <v>248287.77799622904</v>
      </c>
      <c r="AX301" s="43">
        <f t="shared" si="152"/>
        <v>251498.63554127622</v>
      </c>
      <c r="AZ301" s="47">
        <f t="shared" si="193"/>
        <v>0</v>
      </c>
      <c r="BA301" s="47">
        <f t="shared" si="194"/>
        <v>1221052.0269429786</v>
      </c>
      <c r="BB301" s="47">
        <f t="shared" si="195"/>
        <v>1584569.6538428378</v>
      </c>
      <c r="BC301" s="47">
        <f t="shared" si="196"/>
        <v>1560021.4621829505</v>
      </c>
      <c r="BD301" s="47">
        <f t="shared" si="197"/>
        <v>1533571.7403256525</v>
      </c>
    </row>
    <row r="302" spans="2:56">
      <c r="B302" s="37">
        <f>'12. Investeringen (bijschatten)'!B105</f>
        <v>86</v>
      </c>
      <c r="C302" s="48"/>
      <c r="E302" s="48"/>
      <c r="F302" s="169">
        <f>'12. Investeringen (bijschatten)'!C105</f>
        <v>1283661.605903188</v>
      </c>
      <c r="H302" s="37">
        <f>'12. Investeringen (bijschatten)'!D105</f>
        <v>2023</v>
      </c>
      <c r="I302" s="37" t="str">
        <f>'12. Investeringen (bijschatten)'!E105</f>
        <v>32 M&amp;R stations</v>
      </c>
      <c r="J302" s="169">
        <f>_xlfn.XLOOKUP(I302,'3. Input (des)investeringen '!$B$11:$B$81,'3. Input (des)investeringen '!$D$11:$D$81)</f>
        <v>30</v>
      </c>
      <c r="M302" s="43">
        <f t="shared" si="178"/>
        <v>0</v>
      </c>
      <c r="N302" s="43">
        <f t="shared" si="179"/>
        <v>0</v>
      </c>
      <c r="P302" s="138">
        <f t="shared" si="180"/>
        <v>0</v>
      </c>
      <c r="Q302" s="138">
        <f t="shared" si="181"/>
        <v>0</v>
      </c>
      <c r="S302" s="43">
        <f t="shared" si="182"/>
        <v>1283661.605903188</v>
      </c>
      <c r="T302" s="38">
        <f t="shared" si="183"/>
        <v>30</v>
      </c>
      <c r="V302" s="43">
        <f t="shared" si="198"/>
        <v>0</v>
      </c>
      <c r="W302" s="43">
        <f t="shared" si="198"/>
        <v>25031.401315112169</v>
      </c>
      <c r="X302" s="43">
        <f t="shared" si="198"/>
        <v>48978.108573236146</v>
      </c>
      <c r="Y302" s="43">
        <f t="shared" si="198"/>
        <v>46855.723868395915</v>
      </c>
      <c r="Z302" s="43">
        <f t="shared" si="198"/>
        <v>44825.309167432097</v>
      </c>
      <c r="AB302" s="43">
        <f t="shared" si="199"/>
        <v>0</v>
      </c>
      <c r="AC302" s="43">
        <f t="shared" si="199"/>
        <v>2139.4360098386469</v>
      </c>
      <c r="AD302" s="43">
        <f t="shared" si="199"/>
        <v>4278.8720196772929</v>
      </c>
      <c r="AE302" s="43">
        <f t="shared" si="199"/>
        <v>4278.8720196772929</v>
      </c>
      <c r="AF302" s="43">
        <f t="shared" si="199"/>
        <v>4278.8720196772929</v>
      </c>
      <c r="AH302" s="43">
        <f t="shared" si="184"/>
        <v>0</v>
      </c>
      <c r="AI302" s="43">
        <f t="shared" si="185"/>
        <v>27170.837324950815</v>
      </c>
      <c r="AJ302" s="43">
        <f t="shared" si="186"/>
        <v>53256.980592913438</v>
      </c>
      <c r="AK302" s="43">
        <f t="shared" si="187"/>
        <v>51134.595888073207</v>
      </c>
      <c r="AL302" s="43">
        <f t="shared" si="188"/>
        <v>49104.181187109389</v>
      </c>
      <c r="AN302" s="43">
        <f t="shared" si="134"/>
        <v>0</v>
      </c>
      <c r="AO302" s="43">
        <f t="shared" si="189"/>
        <v>1256490.7685782372</v>
      </c>
      <c r="AP302" s="43">
        <f t="shared" si="190"/>
        <v>1203233.7879853237</v>
      </c>
      <c r="AQ302" s="43">
        <f t="shared" si="191"/>
        <v>1152099.1920972504</v>
      </c>
      <c r="AR302" s="43">
        <f t="shared" si="192"/>
        <v>1102995.010910141</v>
      </c>
      <c r="AT302" s="43">
        <f t="shared" si="152"/>
        <v>0</v>
      </c>
      <c r="AU302" s="43">
        <f t="shared" si="152"/>
        <v>12836.61605903188</v>
      </c>
      <c r="AV302" s="43">
        <f t="shared" si="152"/>
        <v>13808.091162379415</v>
      </c>
      <c r="AW302" s="43">
        <f t="shared" si="152"/>
        <v>14137.938844066335</v>
      </c>
      <c r="AX302" s="43">
        <f t="shared" si="152"/>
        <v>14320.770669197796</v>
      </c>
      <c r="AZ302" s="47">
        <f t="shared" si="193"/>
        <v>0</v>
      </c>
      <c r="BA302" s="47">
        <f t="shared" si="194"/>
        <v>81471.648747064522</v>
      </c>
      <c r="BB302" s="47">
        <f t="shared" si="195"/>
        <v>112787.95569873515</v>
      </c>
      <c r="BC302" s="47">
        <f t="shared" si="196"/>
        <v>109052.30403183505</v>
      </c>
      <c r="BD302" s="47">
        <f t="shared" si="197"/>
        <v>105338.76227089255</v>
      </c>
    </row>
    <row r="303" spans="2:56">
      <c r="B303" s="37">
        <f>'12. Investeringen (bijschatten)'!B106</f>
        <v>87</v>
      </c>
      <c r="C303" s="48"/>
      <c r="E303" s="48"/>
      <c r="F303" s="169">
        <f>'12. Investeringen (bijschatten)'!C106</f>
        <v>403062.53576066508</v>
      </c>
      <c r="H303" s="37">
        <f>'12. Investeringen (bijschatten)'!D106</f>
        <v>2023</v>
      </c>
      <c r="I303" s="37" t="str">
        <f>'12. Investeringen (bijschatten)'!E106</f>
        <v>33 Exportstations</v>
      </c>
      <c r="J303" s="169">
        <f>_xlfn.XLOOKUP(I303,'3. Input (des)investeringen '!$B$11:$B$81,'3. Input (des)investeringen '!$D$11:$D$81)</f>
        <v>30</v>
      </c>
      <c r="M303" s="43">
        <f t="shared" si="178"/>
        <v>0</v>
      </c>
      <c r="N303" s="43">
        <f t="shared" si="179"/>
        <v>0</v>
      </c>
      <c r="P303" s="138">
        <f t="shared" si="180"/>
        <v>0</v>
      </c>
      <c r="Q303" s="138">
        <f t="shared" si="181"/>
        <v>0</v>
      </c>
      <c r="S303" s="43">
        <f t="shared" si="182"/>
        <v>403062.53576066508</v>
      </c>
      <c r="T303" s="38">
        <f t="shared" si="183"/>
        <v>30</v>
      </c>
      <c r="V303" s="43">
        <f t="shared" si="198"/>
        <v>0</v>
      </c>
      <c r="W303" s="43">
        <f t="shared" si="198"/>
        <v>7859.7194473329691</v>
      </c>
      <c r="X303" s="43">
        <f t="shared" si="198"/>
        <v>15378.851051948177</v>
      </c>
      <c r="Y303" s="43">
        <f t="shared" si="198"/>
        <v>14712.434173030424</v>
      </c>
      <c r="Z303" s="43">
        <f t="shared" si="198"/>
        <v>14074.895358865771</v>
      </c>
      <c r="AB303" s="43">
        <f t="shared" si="199"/>
        <v>0</v>
      </c>
      <c r="AC303" s="43">
        <f t="shared" si="199"/>
        <v>671.77089293444192</v>
      </c>
      <c r="AD303" s="43">
        <f t="shared" si="199"/>
        <v>1343.5417858688836</v>
      </c>
      <c r="AE303" s="43">
        <f t="shared" si="199"/>
        <v>1343.5417858688836</v>
      </c>
      <c r="AF303" s="43">
        <f t="shared" si="199"/>
        <v>1343.5417858688836</v>
      </c>
      <c r="AH303" s="43">
        <f t="shared" si="184"/>
        <v>0</v>
      </c>
      <c r="AI303" s="43">
        <f t="shared" si="185"/>
        <v>8531.4903402674117</v>
      </c>
      <c r="AJ303" s="43">
        <f t="shared" si="186"/>
        <v>16722.39283781706</v>
      </c>
      <c r="AK303" s="43">
        <f t="shared" si="187"/>
        <v>16055.975958899307</v>
      </c>
      <c r="AL303" s="43">
        <f t="shared" si="188"/>
        <v>15418.437144734655</v>
      </c>
      <c r="AN303" s="43">
        <f t="shared" si="134"/>
        <v>0</v>
      </c>
      <c r="AO303" s="43">
        <f t="shared" si="189"/>
        <v>394531.04542039766</v>
      </c>
      <c r="AP303" s="43">
        <f t="shared" si="190"/>
        <v>377808.65258258057</v>
      </c>
      <c r="AQ303" s="43">
        <f t="shared" si="191"/>
        <v>361752.67662368127</v>
      </c>
      <c r="AR303" s="43">
        <f t="shared" si="192"/>
        <v>346334.23947894661</v>
      </c>
      <c r="AT303" s="43">
        <f t="shared" si="152"/>
        <v>0</v>
      </c>
      <c r="AU303" s="43">
        <f t="shared" si="152"/>
        <v>4030.6253576066511</v>
      </c>
      <c r="AV303" s="43">
        <f t="shared" si="152"/>
        <v>4335.663084670322</v>
      </c>
      <c r="AW303" s="43">
        <f t="shared" si="152"/>
        <v>4439.2334044369272</v>
      </c>
      <c r="AX303" s="43">
        <f t="shared" si="152"/>
        <v>4496.6415708231052</v>
      </c>
      <c r="AZ303" s="47">
        <f t="shared" si="193"/>
        <v>0</v>
      </c>
      <c r="BA303" s="47">
        <f t="shared" si="194"/>
        <v>25581.640196747187</v>
      </c>
      <c r="BB303" s="47">
        <f t="shared" si="195"/>
        <v>35414.784720625445</v>
      </c>
      <c r="BC303" s="47">
        <f t="shared" si="196"/>
        <v>34241.811075036123</v>
      </c>
      <c r="BD303" s="47">
        <f t="shared" si="197"/>
        <v>33075.779815757734</v>
      </c>
    </row>
    <row r="304" spans="2:56">
      <c r="B304" s="37">
        <f>'12. Investeringen (bijschatten)'!B107</f>
        <v>88</v>
      </c>
      <c r="C304" s="48"/>
      <c r="E304" s="48"/>
      <c r="F304" s="169">
        <f>'12. Investeringen (bijschatten)'!C107</f>
        <v>141832.85648723919</v>
      </c>
      <c r="H304" s="37">
        <f>'12. Investeringen (bijschatten)'!D107</f>
        <v>2023</v>
      </c>
      <c r="I304" s="37" t="str">
        <f>'12. Investeringen (bijschatten)'!E107</f>
        <v>34 Reduceerstations</v>
      </c>
      <c r="J304" s="169">
        <f>_xlfn.XLOOKUP(I304,'3. Input (des)investeringen '!$B$11:$B$81,'3. Input (des)investeringen '!$D$11:$D$81)</f>
        <v>30</v>
      </c>
      <c r="M304" s="43">
        <f t="shared" si="178"/>
        <v>0</v>
      </c>
      <c r="N304" s="43">
        <f t="shared" si="179"/>
        <v>0</v>
      </c>
      <c r="P304" s="138">
        <f t="shared" si="180"/>
        <v>0</v>
      </c>
      <c r="Q304" s="138">
        <f t="shared" si="181"/>
        <v>0</v>
      </c>
      <c r="S304" s="43">
        <f t="shared" si="182"/>
        <v>141832.85648723919</v>
      </c>
      <c r="T304" s="38">
        <f t="shared" si="183"/>
        <v>30</v>
      </c>
      <c r="V304" s="43">
        <f t="shared" si="198"/>
        <v>0</v>
      </c>
      <c r="W304" s="43">
        <f t="shared" si="198"/>
        <v>2765.740701501164</v>
      </c>
      <c r="X304" s="43">
        <f t="shared" si="198"/>
        <v>5411.6326392706114</v>
      </c>
      <c r="Y304" s="43">
        <f t="shared" si="198"/>
        <v>5177.1285582355513</v>
      </c>
      <c r="Z304" s="43">
        <f t="shared" si="198"/>
        <v>4952.7863207120108</v>
      </c>
      <c r="AB304" s="43">
        <f t="shared" si="199"/>
        <v>0</v>
      </c>
      <c r="AC304" s="43">
        <f t="shared" si="199"/>
        <v>236.38809414539864</v>
      </c>
      <c r="AD304" s="43">
        <f t="shared" si="199"/>
        <v>472.77618829079728</v>
      </c>
      <c r="AE304" s="43">
        <f t="shared" si="199"/>
        <v>472.77618829079728</v>
      </c>
      <c r="AF304" s="43">
        <f t="shared" si="199"/>
        <v>472.77618829079728</v>
      </c>
      <c r="AH304" s="43">
        <f t="shared" si="184"/>
        <v>0</v>
      </c>
      <c r="AI304" s="43">
        <f t="shared" si="185"/>
        <v>3002.1287956465626</v>
      </c>
      <c r="AJ304" s="43">
        <f t="shared" si="186"/>
        <v>5884.4088275614085</v>
      </c>
      <c r="AK304" s="43">
        <f t="shared" si="187"/>
        <v>5649.9047465263484</v>
      </c>
      <c r="AL304" s="43">
        <f t="shared" si="188"/>
        <v>5425.5625090028079</v>
      </c>
      <c r="AN304" s="43">
        <f t="shared" si="134"/>
        <v>0</v>
      </c>
      <c r="AO304" s="43">
        <f t="shared" si="189"/>
        <v>138830.72769159262</v>
      </c>
      <c r="AP304" s="43">
        <f t="shared" si="190"/>
        <v>132946.3188640312</v>
      </c>
      <c r="AQ304" s="43">
        <f t="shared" si="191"/>
        <v>127296.41411750486</v>
      </c>
      <c r="AR304" s="43">
        <f t="shared" si="192"/>
        <v>121870.85160850205</v>
      </c>
      <c r="AT304" s="43">
        <f t="shared" si="152"/>
        <v>0</v>
      </c>
      <c r="AU304" s="43">
        <f t="shared" si="152"/>
        <v>1418.328564872392</v>
      </c>
      <c r="AV304" s="43">
        <f t="shared" si="152"/>
        <v>1525.6676706619346</v>
      </c>
      <c r="AW304" s="43">
        <f t="shared" si="152"/>
        <v>1562.1128199787072</v>
      </c>
      <c r="AX304" s="43">
        <f t="shared" si="152"/>
        <v>1582.3140629666711</v>
      </c>
      <c r="AZ304" s="47">
        <f t="shared" si="193"/>
        <v>0</v>
      </c>
      <c r="BA304" s="47">
        <f t="shared" si="194"/>
        <v>9001.8713743415119</v>
      </c>
      <c r="BB304" s="47">
        <f t="shared" si="195"/>
        <v>12462.03661505653</v>
      </c>
      <c r="BC304" s="47">
        <f t="shared" si="196"/>
        <v>12049.281302970239</v>
      </c>
      <c r="BD304" s="47">
        <f t="shared" si="197"/>
        <v>11638.968933092558</v>
      </c>
    </row>
    <row r="305" spans="1:56">
      <c r="B305" s="37">
        <f>'12. Investeringen (bijschatten)'!B108</f>
        <v>89</v>
      </c>
      <c r="C305" s="48"/>
      <c r="E305" s="48"/>
      <c r="F305" s="169">
        <f>'12. Investeringen (bijschatten)'!C108</f>
        <v>106149.96916572338</v>
      </c>
      <c r="H305" s="37">
        <f>'12. Investeringen (bijschatten)'!D108</f>
        <v>2023</v>
      </c>
      <c r="I305" s="37" t="str">
        <f>'12. Investeringen (bijschatten)'!E108</f>
        <v>35 Injectiestations</v>
      </c>
      <c r="J305" s="169">
        <f>_xlfn.XLOOKUP(I305,'3. Input (des)investeringen '!$B$11:$B$81,'3. Input (des)investeringen '!$D$11:$D$81)</f>
        <v>30</v>
      </c>
      <c r="M305" s="43">
        <f t="shared" si="178"/>
        <v>0</v>
      </c>
      <c r="N305" s="43">
        <f t="shared" si="179"/>
        <v>0</v>
      </c>
      <c r="P305" s="138">
        <f t="shared" si="180"/>
        <v>0</v>
      </c>
      <c r="Q305" s="138">
        <f t="shared" si="181"/>
        <v>0</v>
      </c>
      <c r="S305" s="43">
        <f t="shared" si="182"/>
        <v>106149.96916572338</v>
      </c>
      <c r="T305" s="38">
        <f t="shared" si="183"/>
        <v>30</v>
      </c>
      <c r="V305" s="43">
        <f t="shared" si="198"/>
        <v>0</v>
      </c>
      <c r="W305" s="43">
        <f t="shared" si="198"/>
        <v>2069.9243987316063</v>
      </c>
      <c r="X305" s="43">
        <f t="shared" si="198"/>
        <v>4050.1520735181762</v>
      </c>
      <c r="Y305" s="43">
        <f t="shared" si="198"/>
        <v>3874.6454836657222</v>
      </c>
      <c r="Z305" s="43">
        <f t="shared" si="198"/>
        <v>3706.7441793735411</v>
      </c>
      <c r="AB305" s="43">
        <f t="shared" si="199"/>
        <v>0</v>
      </c>
      <c r="AC305" s="43">
        <f t="shared" si="199"/>
        <v>176.91661527620562</v>
      </c>
      <c r="AD305" s="43">
        <f t="shared" si="199"/>
        <v>353.83323055241124</v>
      </c>
      <c r="AE305" s="43">
        <f t="shared" si="199"/>
        <v>353.83323055241124</v>
      </c>
      <c r="AF305" s="43">
        <f t="shared" si="199"/>
        <v>353.83323055241124</v>
      </c>
      <c r="AH305" s="43">
        <f t="shared" si="184"/>
        <v>0</v>
      </c>
      <c r="AI305" s="43">
        <f t="shared" si="185"/>
        <v>2246.8410140078117</v>
      </c>
      <c r="AJ305" s="43">
        <f t="shared" si="186"/>
        <v>4403.9853040705875</v>
      </c>
      <c r="AK305" s="43">
        <f t="shared" si="187"/>
        <v>4228.4787142181331</v>
      </c>
      <c r="AL305" s="43">
        <f t="shared" si="188"/>
        <v>4060.5774099259525</v>
      </c>
      <c r="AN305" s="43">
        <f t="shared" si="134"/>
        <v>0</v>
      </c>
      <c r="AO305" s="43">
        <f t="shared" si="189"/>
        <v>103903.12815171557</v>
      </c>
      <c r="AP305" s="43">
        <f t="shared" si="190"/>
        <v>99499.14284764498</v>
      </c>
      <c r="AQ305" s="43">
        <f t="shared" si="191"/>
        <v>95270.66413342685</v>
      </c>
      <c r="AR305" s="43">
        <f t="shared" si="192"/>
        <v>91210.086723500892</v>
      </c>
      <c r="AT305" s="43">
        <f t="shared" si="152"/>
        <v>0</v>
      </c>
      <c r="AU305" s="43">
        <f t="shared" si="152"/>
        <v>1061.4996916572338</v>
      </c>
      <c r="AV305" s="43">
        <f t="shared" si="152"/>
        <v>1141.8339883218532</v>
      </c>
      <c r="AW305" s="43">
        <f t="shared" si="152"/>
        <v>1169.1101186348858</v>
      </c>
      <c r="AX305" s="43">
        <f t="shared" si="152"/>
        <v>1184.229050689072</v>
      </c>
      <c r="AZ305" s="47">
        <f t="shared" si="193"/>
        <v>0</v>
      </c>
      <c r="BA305" s="47">
        <f t="shared" si="194"/>
        <v>6737.1439346716588</v>
      </c>
      <c r="BB305" s="47">
        <f t="shared" si="195"/>
        <v>9326.7867206029514</v>
      </c>
      <c r="BC305" s="47">
        <f t="shared" si="196"/>
        <v>9017.8740699232385</v>
      </c>
      <c r="BD305" s="47">
        <f t="shared" si="197"/>
        <v>8710.7897561080572</v>
      </c>
    </row>
    <row r="306" spans="1:56">
      <c r="B306" s="37">
        <f>'12. Investeringen (bijschatten)'!B109</f>
        <v>90</v>
      </c>
      <c r="C306" s="48"/>
      <c r="E306" s="48"/>
      <c r="F306" s="169">
        <f>'12. Investeringen (bijschatten)'!C109</f>
        <v>22782.771765883743</v>
      </c>
      <c r="H306" s="37">
        <f>'12. Investeringen (bijschatten)'!D109</f>
        <v>2023</v>
      </c>
      <c r="I306" s="37" t="str">
        <f>'12. Investeringen (bijschatten)'!E109</f>
        <v>36 Luchtscheidingsunit</v>
      </c>
      <c r="J306" s="169">
        <f>_xlfn.XLOOKUP(I306,'3. Input (des)investeringen '!$B$11:$B$81,'3. Input (des)investeringen '!$D$11:$D$81)</f>
        <v>30</v>
      </c>
      <c r="M306" s="43">
        <f t="shared" si="178"/>
        <v>0</v>
      </c>
      <c r="N306" s="43">
        <f t="shared" si="179"/>
        <v>0</v>
      </c>
      <c r="P306" s="138">
        <f t="shared" si="180"/>
        <v>0</v>
      </c>
      <c r="Q306" s="138">
        <f t="shared" si="181"/>
        <v>0</v>
      </c>
      <c r="S306" s="43">
        <f t="shared" si="182"/>
        <v>22782.771765883743</v>
      </c>
      <c r="T306" s="38">
        <f t="shared" si="183"/>
        <v>30</v>
      </c>
      <c r="V306" s="43">
        <f t="shared" si="198"/>
        <v>0</v>
      </c>
      <c r="W306" s="43">
        <f t="shared" si="198"/>
        <v>444.26404943473301</v>
      </c>
      <c r="X306" s="43">
        <f t="shared" si="198"/>
        <v>869.27665672729427</v>
      </c>
      <c r="Y306" s="43">
        <f t="shared" si="198"/>
        <v>831.6080016024448</v>
      </c>
      <c r="Z306" s="43">
        <f t="shared" si="198"/>
        <v>795.5716548663388</v>
      </c>
      <c r="AB306" s="43">
        <f t="shared" si="199"/>
        <v>0</v>
      </c>
      <c r="AC306" s="43">
        <f t="shared" si="199"/>
        <v>37.97128627647291</v>
      </c>
      <c r="AD306" s="43">
        <f t="shared" si="199"/>
        <v>75.942572552945819</v>
      </c>
      <c r="AE306" s="43">
        <f t="shared" si="199"/>
        <v>75.942572552945819</v>
      </c>
      <c r="AF306" s="43">
        <f t="shared" si="199"/>
        <v>75.942572552945819</v>
      </c>
      <c r="AH306" s="43">
        <f t="shared" si="184"/>
        <v>0</v>
      </c>
      <c r="AI306" s="43">
        <f t="shared" si="185"/>
        <v>482.23533571120595</v>
      </c>
      <c r="AJ306" s="43">
        <f t="shared" si="186"/>
        <v>945.21922928024014</v>
      </c>
      <c r="AK306" s="43">
        <f t="shared" si="187"/>
        <v>907.55057415539068</v>
      </c>
      <c r="AL306" s="43">
        <f t="shared" si="188"/>
        <v>871.51422741928468</v>
      </c>
      <c r="AN306" s="43">
        <f t="shared" si="134"/>
        <v>0</v>
      </c>
      <c r="AO306" s="43">
        <f t="shared" si="189"/>
        <v>22300.536430172539</v>
      </c>
      <c r="AP306" s="43">
        <f t="shared" si="190"/>
        <v>21355.317200892299</v>
      </c>
      <c r="AQ306" s="43">
        <f t="shared" si="191"/>
        <v>20447.76662673691</v>
      </c>
      <c r="AR306" s="43">
        <f t="shared" si="192"/>
        <v>19576.252399317626</v>
      </c>
      <c r="AT306" s="43">
        <f t="shared" si="152"/>
        <v>0</v>
      </c>
      <c r="AU306" s="43">
        <f t="shared" si="152"/>
        <v>227.82771765883743</v>
      </c>
      <c r="AV306" s="43">
        <f t="shared" si="152"/>
        <v>245.06971933125828</v>
      </c>
      <c r="AW306" s="43">
        <f t="shared" si="152"/>
        <v>250.92394478664337</v>
      </c>
      <c r="AX306" s="43">
        <f t="shared" si="152"/>
        <v>254.16889324062421</v>
      </c>
      <c r="AZ306" s="47">
        <f t="shared" si="193"/>
        <v>0</v>
      </c>
      <c r="BA306" s="47">
        <f t="shared" si="194"/>
        <v>1445.9807555657371</v>
      </c>
      <c r="BB306" s="47">
        <f t="shared" si="195"/>
        <v>2001.7910022454059</v>
      </c>
      <c r="BC306" s="47">
        <f t="shared" si="196"/>
        <v>1935.4896507580365</v>
      </c>
      <c r="BD306" s="47">
        <f t="shared" si="197"/>
        <v>1869.5807118339785</v>
      </c>
    </row>
    <row r="307" spans="1:56">
      <c r="B307" s="37">
        <f>'12. Investeringen (bijschatten)'!B110</f>
        <v>91</v>
      </c>
      <c r="C307" s="48"/>
      <c r="E307" s="48"/>
      <c r="F307" s="169">
        <f>'12. Investeringen (bijschatten)'!C110</f>
        <v>-7843704.5403578533</v>
      </c>
      <c r="H307" s="37">
        <f>'12. Investeringen (bijschatten)'!D110</f>
        <v>2023</v>
      </c>
      <c r="I307" s="37" t="str">
        <f>'12. Investeringen (bijschatten)'!E110</f>
        <v>42 Vulgas</v>
      </c>
      <c r="J307" s="169">
        <f>_xlfn.XLOOKUP(I307,'3. Input (des)investeringen '!$B$11:$B$81,'3. Input (des)investeringen '!$D$11:$D$81)</f>
        <v>0</v>
      </c>
      <c r="M307" s="43">
        <f t="shared" si="178"/>
        <v>0</v>
      </c>
      <c r="N307" s="43">
        <f t="shared" si="179"/>
        <v>0</v>
      </c>
      <c r="P307" s="138">
        <f t="shared" si="180"/>
        <v>0</v>
      </c>
      <c r="Q307" s="138">
        <f t="shared" si="181"/>
        <v>0</v>
      </c>
      <c r="S307" s="43">
        <f t="shared" si="182"/>
        <v>-7843704.5403578533</v>
      </c>
      <c r="T307" s="38">
        <f t="shared" si="183"/>
        <v>0</v>
      </c>
      <c r="V307" s="43">
        <f t="shared" si="198"/>
        <v>0</v>
      </c>
      <c r="W307" s="43">
        <f t="shared" si="198"/>
        <v>0</v>
      </c>
      <c r="X307" s="43">
        <f t="shared" si="198"/>
        <v>0</v>
      </c>
      <c r="Y307" s="43">
        <f t="shared" si="198"/>
        <v>0</v>
      </c>
      <c r="Z307" s="43">
        <f t="shared" si="198"/>
        <v>0</v>
      </c>
      <c r="AB307" s="43">
        <f t="shared" si="199"/>
        <v>0</v>
      </c>
      <c r="AC307" s="43">
        <f t="shared" si="199"/>
        <v>0</v>
      </c>
      <c r="AD307" s="43">
        <f t="shared" si="199"/>
        <v>0</v>
      </c>
      <c r="AE307" s="43">
        <f t="shared" si="199"/>
        <v>0</v>
      </c>
      <c r="AF307" s="43">
        <f t="shared" si="199"/>
        <v>0</v>
      </c>
      <c r="AH307" s="43">
        <f t="shared" si="184"/>
        <v>0</v>
      </c>
      <c r="AI307" s="43">
        <f t="shared" si="185"/>
        <v>0</v>
      </c>
      <c r="AJ307" s="43">
        <f t="shared" si="186"/>
        <v>0</v>
      </c>
      <c r="AK307" s="43">
        <f t="shared" si="187"/>
        <v>0</v>
      </c>
      <c r="AL307" s="43">
        <f t="shared" si="188"/>
        <v>0</v>
      </c>
      <c r="AN307" s="43">
        <f t="shared" si="134"/>
        <v>0</v>
      </c>
      <c r="AO307" s="43">
        <f t="shared" si="189"/>
        <v>-7843704.5403578533</v>
      </c>
      <c r="AP307" s="43">
        <f t="shared" si="190"/>
        <v>-7843704.5403578533</v>
      </c>
      <c r="AQ307" s="43">
        <f t="shared" si="191"/>
        <v>-7843704.5403578533</v>
      </c>
      <c r="AR307" s="43">
        <f t="shared" si="192"/>
        <v>-7843704.5403578533</v>
      </c>
      <c r="AT307" s="43">
        <f t="shared" si="152"/>
        <v>0</v>
      </c>
      <c r="AU307" s="43">
        <f t="shared" si="152"/>
        <v>-78437.045403578537</v>
      </c>
      <c r="AV307" s="43">
        <f t="shared" si="152"/>
        <v>-84373.160999721367</v>
      </c>
      <c r="AW307" s="43">
        <f t="shared" si="152"/>
        <v>-86388.667069682706</v>
      </c>
      <c r="AX307" s="43">
        <f t="shared" si="152"/>
        <v>-87505.84531222783</v>
      </c>
      <c r="AZ307" s="47">
        <f t="shared" si="193"/>
        <v>0</v>
      </c>
      <c r="BA307" s="47">
        <f t="shared" si="194"/>
        <v>-337279.29523538769</v>
      </c>
      <c r="BB307" s="47">
        <f t="shared" si="195"/>
        <v>-382433.9335333198</v>
      </c>
      <c r="BC307" s="47">
        <f t="shared" si="196"/>
        <v>-384449.43960328109</v>
      </c>
      <c r="BD307" s="47">
        <f t="shared" si="197"/>
        <v>-385566.61784582626</v>
      </c>
    </row>
    <row r="308" spans="1:56" s="230" customFormat="1">
      <c r="A308" s="3"/>
      <c r="B308" s="37">
        <f>'12. Investeringen (bijschatten)'!B111</f>
        <v>92</v>
      </c>
      <c r="C308" s="48"/>
      <c r="D308" s="3"/>
      <c r="E308" s="48"/>
      <c r="F308" s="169">
        <f>'12. Investeringen (bijschatten)'!C111</f>
        <v>34638760.530000001</v>
      </c>
      <c r="G308" s="3"/>
      <c r="H308" s="37">
        <f>'12. Investeringen (bijschatten)'!D111</f>
        <v>2024</v>
      </c>
      <c r="I308" s="37" t="str">
        <f>'12. Investeringen (bijschatten)'!E111</f>
        <v>01 Regionale leidingen</v>
      </c>
      <c r="J308" s="169">
        <f>_xlfn.XLOOKUP(I308,'3. Input (des)investeringen '!$B$11:$B$81,'3. Input (des)investeringen '!$D$11:$D$81)</f>
        <v>55</v>
      </c>
      <c r="M308" s="43">
        <f t="shared" ref="M308:M323" si="200">IF($J308 = 0, 0, IF($H308&lt;=M$215,
VDB(ABS($F308),0,$J308,MAX(0,M$59-$H308-0.5),MIN($J308,M$59-$H308+0.5),1)*IF($F308&lt;0,-1,1)*INDEX(H$40:H$46,$H308-2019,1),
0))</f>
        <v>0</v>
      </c>
      <c r="N308" s="43">
        <f t="shared" ref="N308:N323" si="201">IF($J308 = 0, 0, IF($H308&lt;=N$215,
VDB(ABS($F308),0,$J308,MAX(0,N$59-$H308-0.5),MIN($J308,N$59-$H308+0.5),1)*IF($F308&lt;0,-1,1)*INDEX(I$40:I$46,$H308-2019,1),
0))</f>
        <v>0</v>
      </c>
      <c r="O308" s="3"/>
      <c r="P308" s="138">
        <f t="shared" ref="P308:P323" si="202">IF($J308=0, IF($H308 = M$215, $F308, 0), IF(OR($H308&gt;P$59,$H308+$J308&lt;=P$59),0,
F308-M308))</f>
        <v>0</v>
      </c>
      <c r="Q308" s="138">
        <f t="shared" ref="Q308:Q323" si="203">IF($J308=0, IF($H308 &gt; N$215, 0, IF($H308=N$215, $F308, $P308*I$40)), IF(OR($H308&gt;Q$59,$H308+$J308&lt;=Q$59),0,
IF($H308=Q$59,F308-N308,P308*I$40-N308)))</f>
        <v>0</v>
      </c>
      <c r="R308" s="3"/>
      <c r="S308" s="43">
        <f t="shared" ref="S308:S323" si="204">IF($J308=0, IF(H308&lt;=2021, $Q308, IF(H308&gt;=2022, $F308,0)), IF(H308&lt;=2021,Q308,F308))</f>
        <v>34638760.530000001</v>
      </c>
      <c r="T308" s="38">
        <f t="shared" ref="T308:T323" si="205">IF($J308=0, 0, IF(H308&lt;2022,J308-2021+H308-0.5,J308))</f>
        <v>55</v>
      </c>
      <c r="U308" s="3"/>
      <c r="V308" s="43">
        <f t="shared" si="198"/>
        <v>0</v>
      </c>
      <c r="W308" s="43">
        <f t="shared" si="198"/>
        <v>0</v>
      </c>
      <c r="X308" s="43">
        <f t="shared" si="198"/>
        <v>368430.45290999999</v>
      </c>
      <c r="Y308" s="43">
        <f t="shared" si="198"/>
        <v>728152.5496603091</v>
      </c>
      <c r="Z308" s="43">
        <f t="shared" si="198"/>
        <v>710941.67121379275</v>
      </c>
      <c r="AA308" s="3"/>
      <c r="AB308" s="43">
        <f t="shared" si="199"/>
        <v>0</v>
      </c>
      <c r="AC308" s="43">
        <f t="shared" si="199"/>
        <v>0</v>
      </c>
      <c r="AD308" s="43">
        <f t="shared" si="199"/>
        <v>31489.782300000003</v>
      </c>
      <c r="AE308" s="43">
        <f t="shared" si="199"/>
        <v>62979.564600000005</v>
      </c>
      <c r="AF308" s="43">
        <f t="shared" si="199"/>
        <v>62979.564600000005</v>
      </c>
      <c r="AG308" s="3"/>
      <c r="AH308" s="43">
        <f t="shared" ref="AH308:AH323" si="206">V308+AB308</f>
        <v>0</v>
      </c>
      <c r="AI308" s="43">
        <f t="shared" ref="AI308:AI323" si="207">W308+AC308</f>
        <v>0</v>
      </c>
      <c r="AJ308" s="43">
        <f t="shared" ref="AJ308:AJ323" si="208">X308+AD308</f>
        <v>399920.23521000001</v>
      </c>
      <c r="AK308" s="43">
        <f t="shared" ref="AK308:AK323" si="209">Y308+AE308</f>
        <v>791132.11426030914</v>
      </c>
      <c r="AL308" s="43">
        <f t="shared" ref="AL308:AL323" si="210">Z308+AF308</f>
        <v>773921.23581379279</v>
      </c>
      <c r="AM308" s="3"/>
      <c r="AN308" s="43">
        <f t="shared" ref="AN308:AN323" si="211">IF($J308=0,IF($H308 &gt; AN$215, 0,$S308),IF(OR($H308&gt;AN$59,$H308+$J308&lt;=AN$59),0,
IF($H308=AN$59,$S308-AH308,
S308-AH308)))</f>
        <v>0</v>
      </c>
      <c r="AO308" s="43">
        <f t="shared" ref="AO308:AO323" si="212">IF($J308 = 0, IF($H308 &gt; AO$215, 0, IF($H308=AO$215, $F308, AN308)), IF(OR($H308&gt;AO$59,$H308+$J308&lt;=AO$59),0,
IF($H308=AO$59,$S308-AI308,
AN308-AI308)))</f>
        <v>0</v>
      </c>
      <c r="AP308" s="43">
        <f t="shared" ref="AP308:AP323" si="213">IF($J308 = 0, IF($H308 &gt; AP$215, 0, IF($H308=AP$215, $F308, AO308)), IF(OR($H308&gt;AP$59,$H308+$J308&lt;=AP$59),0,
IF($H308=AP$59,$S308-AJ308,
AO308-AJ308)))</f>
        <v>34238840.29479</v>
      </c>
      <c r="AQ308" s="43">
        <f t="shared" ref="AQ308:AQ323" si="214">IF($J308 = 0, IF($H308 &gt; AQ$215, 0, IF($H308=AQ$215, $F308, AP308)), IF(OR($H308&gt;AQ$59,$H308+$J308&lt;=AQ$59),0,
IF($H308=AQ$59,$S308-AK308,
AP308-AK308)))</f>
        <v>33447708.180529691</v>
      </c>
      <c r="AR308" s="43">
        <f t="shared" ref="AR308:AR323" si="215">IF($J308 = 0, IF($H308 &gt; AR$215, 0, IF($H308=AR$215, $F308, AQ308)), IF(OR($H308&gt;AR$59,$H308+$J308&lt;=AR$59),0,
IF($H308=AR$59,$S308-AL308,
AQ308-AL308)))</f>
        <v>32673786.944715898</v>
      </c>
      <c r="AS308" s="3"/>
      <c r="AT308" s="43">
        <f t="shared" si="152"/>
        <v>0</v>
      </c>
      <c r="AU308" s="43">
        <f t="shared" si="152"/>
        <v>0</v>
      </c>
      <c r="AV308" s="43">
        <f t="shared" si="152"/>
        <v>346387.6053</v>
      </c>
      <c r="AW308" s="43">
        <f t="shared" si="152"/>
        <v>354662.11241540639</v>
      </c>
      <c r="AX308" s="43">
        <f t="shared" si="152"/>
        <v>359248.60285316239</v>
      </c>
      <c r="AY308" s="3"/>
      <c r="AZ308" s="47">
        <f t="shared" ref="AZ308:AZ323" si="216">AH308+AN308*J$16+AT308</f>
        <v>0</v>
      </c>
      <c r="BA308" s="47">
        <f t="shared" ref="BA308:BA323" si="217">AI308+AO308*K$16+AU308</f>
        <v>0</v>
      </c>
      <c r="BB308" s="47">
        <f t="shared" ref="BB308:BB323" si="218">AJ308+AP308*L$16+AV308</f>
        <v>2047383.77171202</v>
      </c>
      <c r="BC308" s="47">
        <f t="shared" ref="BC308:BC323" si="219">AK308+AQ308*M$16+AW308</f>
        <v>2416807.137535844</v>
      </c>
      <c r="BD308" s="47">
        <f t="shared" ref="BD308:BD323" si="220">AL308+AR308*N$16+AX308</f>
        <v>2374773.7425661595</v>
      </c>
    </row>
    <row r="309" spans="1:56" s="230" customFormat="1">
      <c r="A309" s="3"/>
      <c r="B309" s="37">
        <f>'12. Investeringen (bijschatten)'!B112</f>
        <v>93</v>
      </c>
      <c r="C309" s="48"/>
      <c r="D309" s="3"/>
      <c r="E309" s="48"/>
      <c r="F309" s="169">
        <f>'12. Investeringen (bijschatten)'!C112</f>
        <v>7519513.5300000003</v>
      </c>
      <c r="G309" s="3"/>
      <c r="H309" s="37">
        <f>'12. Investeringen (bijschatten)'!D112</f>
        <v>2024</v>
      </c>
      <c r="I309" s="37" t="str">
        <f>'12. Investeringen (bijschatten)'!E112</f>
        <v>02 Gasontvangststations</v>
      </c>
      <c r="J309" s="169">
        <f>_xlfn.XLOOKUP(I309,'3. Input (des)investeringen '!$B$11:$B$81,'3. Input (des)investeringen '!$D$11:$D$81)</f>
        <v>30</v>
      </c>
      <c r="M309" s="43">
        <f t="shared" si="200"/>
        <v>0</v>
      </c>
      <c r="N309" s="43">
        <f t="shared" si="201"/>
        <v>0</v>
      </c>
      <c r="O309" s="3"/>
      <c r="P309" s="138">
        <f t="shared" si="202"/>
        <v>0</v>
      </c>
      <c r="Q309" s="138">
        <f t="shared" si="203"/>
        <v>0</v>
      </c>
      <c r="R309" s="3"/>
      <c r="S309" s="43">
        <f t="shared" si="204"/>
        <v>7519513.5300000003</v>
      </c>
      <c r="T309" s="38">
        <f t="shared" si="205"/>
        <v>30</v>
      </c>
      <c r="U309" s="3"/>
      <c r="V309" s="43">
        <f t="shared" si="198"/>
        <v>0</v>
      </c>
      <c r="W309" s="43">
        <f t="shared" si="198"/>
        <v>0</v>
      </c>
      <c r="X309" s="43">
        <f t="shared" si="198"/>
        <v>146630.51383500002</v>
      </c>
      <c r="Y309" s="43">
        <f t="shared" si="198"/>
        <v>286907.03873715003</v>
      </c>
      <c r="Z309" s="43">
        <f t="shared" si="198"/>
        <v>274474.4003918735</v>
      </c>
      <c r="AA309" s="3"/>
      <c r="AB309" s="43">
        <f t="shared" si="199"/>
        <v>0</v>
      </c>
      <c r="AC309" s="43">
        <f t="shared" si="199"/>
        <v>0</v>
      </c>
      <c r="AD309" s="43">
        <f t="shared" si="199"/>
        <v>12532.522550000002</v>
      </c>
      <c r="AE309" s="43">
        <f t="shared" si="199"/>
        <v>25065.045100000003</v>
      </c>
      <c r="AF309" s="43">
        <f t="shared" si="199"/>
        <v>25065.045100000003</v>
      </c>
      <c r="AG309" s="3"/>
      <c r="AH309" s="43">
        <f t="shared" si="206"/>
        <v>0</v>
      </c>
      <c r="AI309" s="43">
        <f t="shared" si="207"/>
        <v>0</v>
      </c>
      <c r="AJ309" s="43">
        <f t="shared" si="208"/>
        <v>159163.03638500001</v>
      </c>
      <c r="AK309" s="43">
        <f t="shared" si="209"/>
        <v>311972.08383715001</v>
      </c>
      <c r="AL309" s="43">
        <f t="shared" si="210"/>
        <v>299539.44549187348</v>
      </c>
      <c r="AM309" s="3"/>
      <c r="AN309" s="43">
        <f t="shared" si="211"/>
        <v>0</v>
      </c>
      <c r="AO309" s="43">
        <f t="shared" si="212"/>
        <v>0</v>
      </c>
      <c r="AP309" s="43">
        <f t="shared" si="213"/>
        <v>7360350.4936150005</v>
      </c>
      <c r="AQ309" s="43">
        <f t="shared" si="214"/>
        <v>7048378.4097778508</v>
      </c>
      <c r="AR309" s="43">
        <f t="shared" si="215"/>
        <v>6748838.9642859772</v>
      </c>
      <c r="AS309" s="3"/>
      <c r="AT309" s="43">
        <f t="shared" ref="AT309:AX323" si="221">IF($H309&lt;=AT$215,$F309*INDEX($H$40:$N$46,$H309-2019,AT$215-2019)*INDEX($H$49:$N$55,$H309-2019,AT$215-2019)*$F$19,0)</f>
        <v>0</v>
      </c>
      <c r="AU309" s="43">
        <f t="shared" si="221"/>
        <v>0</v>
      </c>
      <c r="AV309" s="43">
        <f t="shared" si="221"/>
        <v>75195.135300000009</v>
      </c>
      <c r="AW309" s="43">
        <f t="shared" si="221"/>
        <v>76991.396692046401</v>
      </c>
      <c r="AX309" s="43">
        <f t="shared" si="221"/>
        <v>77987.049434067943</v>
      </c>
      <c r="AY309" s="3"/>
      <c r="AZ309" s="47">
        <f t="shared" si="216"/>
        <v>0</v>
      </c>
      <c r="BA309" s="47">
        <f t="shared" si="217"/>
        <v>0</v>
      </c>
      <c r="BB309" s="47">
        <f t="shared" si="218"/>
        <v>514051.49044237001</v>
      </c>
      <c r="BC309" s="47">
        <f t="shared" si="219"/>
        <v>656801.86010075477</v>
      </c>
      <c r="BD309" s="47">
        <f t="shared" si="220"/>
        <v>633982.37556880852</v>
      </c>
    </row>
    <row r="310" spans="1:56" s="230" customFormat="1">
      <c r="A310" s="3"/>
      <c r="B310" s="37">
        <f>'12. Investeringen (bijschatten)'!B113</f>
        <v>94</v>
      </c>
      <c r="C310" s="48"/>
      <c r="D310" s="3"/>
      <c r="E310" s="48"/>
      <c r="F310" s="169">
        <f>'12. Investeringen (bijschatten)'!C113</f>
        <v>1572406.76</v>
      </c>
      <c r="G310" s="3"/>
      <c r="H310" s="37">
        <f>'12. Investeringen (bijschatten)'!D113</f>
        <v>2024</v>
      </c>
      <c r="I310" s="37" t="str">
        <f>'12. Investeringen (bijschatten)'!E113</f>
        <v>05 Wegen en terreinvoorzieningen</v>
      </c>
      <c r="J310" s="169">
        <f>_xlfn.XLOOKUP(I310,'3. Input (des)investeringen '!$B$11:$B$81,'3. Input (des)investeringen '!$D$11:$D$81)</f>
        <v>10</v>
      </c>
      <c r="M310" s="43">
        <f t="shared" si="200"/>
        <v>0</v>
      </c>
      <c r="N310" s="43">
        <f t="shared" si="201"/>
        <v>0</v>
      </c>
      <c r="O310" s="3"/>
      <c r="P310" s="138">
        <f t="shared" si="202"/>
        <v>0</v>
      </c>
      <c r="Q310" s="138">
        <f t="shared" si="203"/>
        <v>0</v>
      </c>
      <c r="R310" s="3"/>
      <c r="S310" s="43">
        <f t="shared" si="204"/>
        <v>1572406.76</v>
      </c>
      <c r="T310" s="38">
        <f t="shared" si="205"/>
        <v>10</v>
      </c>
      <c r="U310" s="3"/>
      <c r="V310" s="43">
        <f t="shared" si="198"/>
        <v>0</v>
      </c>
      <c r="W310" s="43">
        <f t="shared" si="198"/>
        <v>0</v>
      </c>
      <c r="X310" s="43">
        <f t="shared" si="198"/>
        <v>91985.795460000008</v>
      </c>
      <c r="Y310" s="43">
        <f t="shared" si="198"/>
        <v>172013.43751020002</v>
      </c>
      <c r="Z310" s="43">
        <f t="shared" si="198"/>
        <v>149651.69063387401</v>
      </c>
      <c r="AA310" s="3"/>
      <c r="AB310" s="43">
        <f t="shared" si="199"/>
        <v>0</v>
      </c>
      <c r="AC310" s="43">
        <f t="shared" si="199"/>
        <v>0</v>
      </c>
      <c r="AD310" s="43">
        <f t="shared" si="199"/>
        <v>7862.0338000000011</v>
      </c>
      <c r="AE310" s="43">
        <f t="shared" si="199"/>
        <v>15724.0676</v>
      </c>
      <c r="AF310" s="43">
        <f t="shared" si="199"/>
        <v>15724.0676</v>
      </c>
      <c r="AG310" s="3"/>
      <c r="AH310" s="43">
        <f t="shared" si="206"/>
        <v>0</v>
      </c>
      <c r="AI310" s="43">
        <f t="shared" si="207"/>
        <v>0</v>
      </c>
      <c r="AJ310" s="43">
        <f t="shared" si="208"/>
        <v>99847.829260000013</v>
      </c>
      <c r="AK310" s="43">
        <f t="shared" si="209"/>
        <v>187737.50511020003</v>
      </c>
      <c r="AL310" s="43">
        <f t="shared" si="210"/>
        <v>165375.75823387402</v>
      </c>
      <c r="AM310" s="3"/>
      <c r="AN310" s="43">
        <f t="shared" si="211"/>
        <v>0</v>
      </c>
      <c r="AO310" s="43">
        <f t="shared" si="212"/>
        <v>0</v>
      </c>
      <c r="AP310" s="43">
        <f t="shared" si="213"/>
        <v>1472558.93074</v>
      </c>
      <c r="AQ310" s="43">
        <f t="shared" si="214"/>
        <v>1284821.4256298</v>
      </c>
      <c r="AR310" s="43">
        <f t="shared" si="215"/>
        <v>1119445.6673959258</v>
      </c>
      <c r="AS310" s="3"/>
      <c r="AT310" s="43">
        <f t="shared" si="221"/>
        <v>0</v>
      </c>
      <c r="AU310" s="43">
        <f t="shared" si="221"/>
        <v>0</v>
      </c>
      <c r="AV310" s="43">
        <f t="shared" si="221"/>
        <v>15724.0676</v>
      </c>
      <c r="AW310" s="43">
        <f t="shared" si="221"/>
        <v>16099.684126828799</v>
      </c>
      <c r="AX310" s="43">
        <f t="shared" si="221"/>
        <v>16307.885241956948</v>
      </c>
      <c r="AY310" s="3"/>
      <c r="AZ310" s="47">
        <f t="shared" si="216"/>
        <v>0</v>
      </c>
      <c r="BA310" s="47">
        <f t="shared" si="217"/>
        <v>0</v>
      </c>
      <c r="BB310" s="47">
        <f t="shared" si="218"/>
        <v>171529.13622812001</v>
      </c>
      <c r="BC310" s="47">
        <f t="shared" si="219"/>
        <v>252660.40341096121</v>
      </c>
      <c r="BD310" s="47">
        <f t="shared" si="220"/>
        <v>224222.57883687614</v>
      </c>
    </row>
    <row r="311" spans="1:56" s="230" customFormat="1">
      <c r="A311" s="3"/>
      <c r="B311" s="37">
        <f>'12. Investeringen (bijschatten)'!B114</f>
        <v>95</v>
      </c>
      <c r="C311" s="48"/>
      <c r="D311" s="3"/>
      <c r="E311" s="48"/>
      <c r="F311" s="169">
        <f>'12. Investeringen (bijschatten)'!C114</f>
        <v>4287092.05</v>
      </c>
      <c r="G311" s="3"/>
      <c r="H311" s="37">
        <f>'12. Investeringen (bijschatten)'!D114</f>
        <v>2024</v>
      </c>
      <c r="I311" s="37" t="str">
        <f>'12. Investeringen (bijschatten)'!E114</f>
        <v>06 Utiliteitsgebouwen</v>
      </c>
      <c r="J311" s="169">
        <f>_xlfn.XLOOKUP(I311,'3. Input (des)investeringen '!$B$11:$B$81,'3. Input (des)investeringen '!$D$11:$D$81)</f>
        <v>30</v>
      </c>
      <c r="M311" s="43">
        <f t="shared" si="200"/>
        <v>0</v>
      </c>
      <c r="N311" s="43">
        <f t="shared" si="201"/>
        <v>0</v>
      </c>
      <c r="O311" s="3"/>
      <c r="P311" s="138">
        <f t="shared" si="202"/>
        <v>0</v>
      </c>
      <c r="Q311" s="138">
        <f t="shared" si="203"/>
        <v>0</v>
      </c>
      <c r="R311" s="3"/>
      <c r="S311" s="43">
        <f t="shared" si="204"/>
        <v>4287092.05</v>
      </c>
      <c r="T311" s="38">
        <f t="shared" si="205"/>
        <v>30</v>
      </c>
      <c r="U311" s="3"/>
      <c r="V311" s="43">
        <f t="shared" si="198"/>
        <v>0</v>
      </c>
      <c r="W311" s="43">
        <f t="shared" si="198"/>
        <v>0</v>
      </c>
      <c r="X311" s="43">
        <f t="shared" si="198"/>
        <v>83598.294974999997</v>
      </c>
      <c r="Y311" s="43">
        <f t="shared" si="198"/>
        <v>163573.99716775</v>
      </c>
      <c r="Z311" s="43">
        <f t="shared" si="198"/>
        <v>156485.79062381416</v>
      </c>
      <c r="AA311" s="3"/>
      <c r="AB311" s="43">
        <f t="shared" si="199"/>
        <v>0</v>
      </c>
      <c r="AC311" s="43">
        <f t="shared" si="199"/>
        <v>0</v>
      </c>
      <c r="AD311" s="43">
        <f t="shared" si="199"/>
        <v>7145.153416666667</v>
      </c>
      <c r="AE311" s="43">
        <f t="shared" si="199"/>
        <v>14290.306833333334</v>
      </c>
      <c r="AF311" s="43">
        <f t="shared" si="199"/>
        <v>14290.306833333334</v>
      </c>
      <c r="AG311" s="3"/>
      <c r="AH311" s="43">
        <f t="shared" si="206"/>
        <v>0</v>
      </c>
      <c r="AI311" s="43">
        <f t="shared" si="207"/>
        <v>0</v>
      </c>
      <c r="AJ311" s="43">
        <f t="shared" si="208"/>
        <v>90743.448391666665</v>
      </c>
      <c r="AK311" s="43">
        <f t="shared" si="209"/>
        <v>177864.30400108334</v>
      </c>
      <c r="AL311" s="43">
        <f t="shared" si="210"/>
        <v>170776.09745714749</v>
      </c>
      <c r="AM311" s="3"/>
      <c r="AN311" s="43">
        <f t="shared" si="211"/>
        <v>0</v>
      </c>
      <c r="AO311" s="43">
        <f t="shared" si="212"/>
        <v>0</v>
      </c>
      <c r="AP311" s="43">
        <f t="shared" si="213"/>
        <v>4196348.6016083332</v>
      </c>
      <c r="AQ311" s="43">
        <f t="shared" si="214"/>
        <v>4018484.29760725</v>
      </c>
      <c r="AR311" s="43">
        <f t="shared" si="215"/>
        <v>3847708.2001501024</v>
      </c>
      <c r="AS311" s="3"/>
      <c r="AT311" s="43">
        <f t="shared" si="221"/>
        <v>0</v>
      </c>
      <c r="AU311" s="43">
        <f t="shared" si="221"/>
        <v>0</v>
      </c>
      <c r="AV311" s="43">
        <f t="shared" si="221"/>
        <v>42870.9205</v>
      </c>
      <c r="AW311" s="43">
        <f t="shared" si="221"/>
        <v>43895.021048903996</v>
      </c>
      <c r="AX311" s="43">
        <f t="shared" si="221"/>
        <v>44462.671461108424</v>
      </c>
      <c r="AY311" s="3"/>
      <c r="AZ311" s="47">
        <f t="shared" si="216"/>
        <v>0</v>
      </c>
      <c r="BA311" s="47">
        <f t="shared" si="217"/>
        <v>0</v>
      </c>
      <c r="BB311" s="47">
        <f t="shared" si="218"/>
        <v>293075.61575278331</v>
      </c>
      <c r="BC311" s="47">
        <f t="shared" si="219"/>
        <v>374461.72835906286</v>
      </c>
      <c r="BD311" s="47">
        <f t="shared" si="220"/>
        <v>361451.6805239598</v>
      </c>
    </row>
    <row r="312" spans="1:56" s="230" customFormat="1">
      <c r="A312" s="3"/>
      <c r="B312" s="37">
        <f>'12. Investeringen (bijschatten)'!B115</f>
        <v>96</v>
      </c>
      <c r="C312" s="48"/>
      <c r="D312" s="3"/>
      <c r="E312" s="48"/>
      <c r="F312" s="169">
        <f>'12. Investeringen (bijschatten)'!C115</f>
        <v>292.68</v>
      </c>
      <c r="G312" s="3"/>
      <c r="H312" s="37">
        <f>'12. Investeringen (bijschatten)'!D115</f>
        <v>2024</v>
      </c>
      <c r="I312" s="37" t="str">
        <f>'12. Investeringen (bijschatten)'!E115</f>
        <v>08 Inrichting gebouwen</v>
      </c>
      <c r="J312" s="169">
        <f>_xlfn.XLOOKUP(I312,'3. Input (des)investeringen '!$B$11:$B$81,'3. Input (des)investeringen '!$D$11:$D$81)</f>
        <v>10</v>
      </c>
      <c r="M312" s="43">
        <f t="shared" si="200"/>
        <v>0</v>
      </c>
      <c r="N312" s="43">
        <f t="shared" si="201"/>
        <v>0</v>
      </c>
      <c r="O312" s="3"/>
      <c r="P312" s="138">
        <f t="shared" si="202"/>
        <v>0</v>
      </c>
      <c r="Q312" s="138">
        <f t="shared" si="203"/>
        <v>0</v>
      </c>
      <c r="R312" s="3"/>
      <c r="S312" s="43">
        <f t="shared" si="204"/>
        <v>292.68</v>
      </c>
      <c r="T312" s="38">
        <f t="shared" si="205"/>
        <v>10</v>
      </c>
      <c r="U312" s="3"/>
      <c r="V312" s="43">
        <f t="shared" si="198"/>
        <v>0</v>
      </c>
      <c r="W312" s="43">
        <f t="shared" si="198"/>
        <v>0</v>
      </c>
      <c r="X312" s="43">
        <f t="shared" si="198"/>
        <v>17.121780000000001</v>
      </c>
      <c r="Y312" s="43">
        <f t="shared" si="198"/>
        <v>32.017728600000005</v>
      </c>
      <c r="Z312" s="43">
        <f t="shared" si="198"/>
        <v>27.855423882000007</v>
      </c>
      <c r="AA312" s="3"/>
      <c r="AB312" s="43">
        <f t="shared" si="199"/>
        <v>0</v>
      </c>
      <c r="AC312" s="43">
        <f t="shared" si="199"/>
        <v>0</v>
      </c>
      <c r="AD312" s="43">
        <f t="shared" si="199"/>
        <v>1.4634</v>
      </c>
      <c r="AE312" s="43">
        <f t="shared" si="199"/>
        <v>2.9268000000000001</v>
      </c>
      <c r="AF312" s="43">
        <f t="shared" si="199"/>
        <v>2.9268000000000001</v>
      </c>
      <c r="AG312" s="3"/>
      <c r="AH312" s="43">
        <f t="shared" si="206"/>
        <v>0</v>
      </c>
      <c r="AI312" s="43">
        <f t="shared" si="207"/>
        <v>0</v>
      </c>
      <c r="AJ312" s="43">
        <f t="shared" si="208"/>
        <v>18.585180000000001</v>
      </c>
      <c r="AK312" s="43">
        <f t="shared" si="209"/>
        <v>34.944528600000005</v>
      </c>
      <c r="AL312" s="43">
        <f t="shared" si="210"/>
        <v>30.782223882000007</v>
      </c>
      <c r="AM312" s="3"/>
      <c r="AN312" s="43">
        <f t="shared" si="211"/>
        <v>0</v>
      </c>
      <c r="AO312" s="43">
        <f t="shared" si="212"/>
        <v>0</v>
      </c>
      <c r="AP312" s="43">
        <f t="shared" si="213"/>
        <v>274.09482000000003</v>
      </c>
      <c r="AQ312" s="43">
        <f t="shared" si="214"/>
        <v>239.15029140000001</v>
      </c>
      <c r="AR312" s="43">
        <f t="shared" si="215"/>
        <v>208.368067518</v>
      </c>
      <c r="AS312" s="3"/>
      <c r="AT312" s="43">
        <f t="shared" si="221"/>
        <v>0</v>
      </c>
      <c r="AU312" s="43">
        <f t="shared" si="221"/>
        <v>0</v>
      </c>
      <c r="AV312" s="43">
        <f t="shared" si="221"/>
        <v>2.9268000000000001</v>
      </c>
      <c r="AW312" s="43">
        <f t="shared" si="221"/>
        <v>2.9967153984000006</v>
      </c>
      <c r="AX312" s="43">
        <f t="shared" si="221"/>
        <v>3.0354689219321087</v>
      </c>
      <c r="AY312" s="3"/>
      <c r="AZ312" s="47">
        <f t="shared" si="216"/>
        <v>0</v>
      </c>
      <c r="BA312" s="47">
        <f t="shared" si="217"/>
        <v>0</v>
      </c>
      <c r="BB312" s="47">
        <f t="shared" si="218"/>
        <v>31.927583160000005</v>
      </c>
      <c r="BC312" s="47">
        <f t="shared" si="219"/>
        <v>47.028955071600002</v>
      </c>
      <c r="BD312" s="47">
        <f t="shared" si="220"/>
        <v>41.735679369616115</v>
      </c>
    </row>
    <row r="313" spans="1:56" s="230" customFormat="1">
      <c r="A313" s="3"/>
      <c r="B313" s="37">
        <f>'12. Investeringen (bijschatten)'!B116</f>
        <v>97</v>
      </c>
      <c r="C313" s="48"/>
      <c r="D313" s="3"/>
      <c r="E313" s="48"/>
      <c r="F313" s="169">
        <f>'12. Investeringen (bijschatten)'!C116</f>
        <v>315351.99</v>
      </c>
      <c r="G313" s="3"/>
      <c r="H313" s="37">
        <f>'12. Investeringen (bijschatten)'!D116</f>
        <v>2024</v>
      </c>
      <c r="I313" s="37" t="str">
        <f>'12. Investeringen (bijschatten)'!E116</f>
        <v>15 Compressorstations (KC)</v>
      </c>
      <c r="J313" s="169">
        <f>_xlfn.XLOOKUP(I313,'3. Input (des)investeringen '!$B$11:$B$81,'3. Input (des)investeringen '!$D$11:$D$81)</f>
        <v>30</v>
      </c>
      <c r="M313" s="43">
        <f t="shared" si="200"/>
        <v>0</v>
      </c>
      <c r="N313" s="43">
        <f t="shared" si="201"/>
        <v>0</v>
      </c>
      <c r="O313" s="3"/>
      <c r="P313" s="138">
        <f t="shared" si="202"/>
        <v>0</v>
      </c>
      <c r="Q313" s="138">
        <f t="shared" si="203"/>
        <v>0</v>
      </c>
      <c r="R313" s="3"/>
      <c r="S313" s="43">
        <f t="shared" si="204"/>
        <v>315351.99</v>
      </c>
      <c r="T313" s="38">
        <f t="shared" si="205"/>
        <v>30</v>
      </c>
      <c r="U313" s="3"/>
      <c r="V313" s="43">
        <f t="shared" si="198"/>
        <v>0</v>
      </c>
      <c r="W313" s="43">
        <f t="shared" si="198"/>
        <v>0</v>
      </c>
      <c r="X313" s="43">
        <f t="shared" si="198"/>
        <v>6149.3638050000009</v>
      </c>
      <c r="Y313" s="43">
        <f t="shared" si="198"/>
        <v>12032.255178450001</v>
      </c>
      <c r="Z313" s="43">
        <f t="shared" si="198"/>
        <v>11510.8574540505</v>
      </c>
      <c r="AA313" s="3"/>
      <c r="AB313" s="43">
        <f t="shared" si="199"/>
        <v>0</v>
      </c>
      <c r="AC313" s="43">
        <f t="shared" si="199"/>
        <v>0</v>
      </c>
      <c r="AD313" s="43">
        <f t="shared" si="199"/>
        <v>525.58664999999996</v>
      </c>
      <c r="AE313" s="43">
        <f t="shared" si="199"/>
        <v>1051.1732999999999</v>
      </c>
      <c r="AF313" s="43">
        <f t="shared" si="199"/>
        <v>1051.1732999999999</v>
      </c>
      <c r="AG313" s="3"/>
      <c r="AH313" s="43">
        <f t="shared" si="206"/>
        <v>0</v>
      </c>
      <c r="AI313" s="43">
        <f t="shared" si="207"/>
        <v>0</v>
      </c>
      <c r="AJ313" s="43">
        <f t="shared" si="208"/>
        <v>6674.9504550000011</v>
      </c>
      <c r="AK313" s="43">
        <f t="shared" si="209"/>
        <v>13083.428478450001</v>
      </c>
      <c r="AL313" s="43">
        <f t="shared" si="210"/>
        <v>12562.0307540505</v>
      </c>
      <c r="AM313" s="3"/>
      <c r="AN313" s="43">
        <f t="shared" si="211"/>
        <v>0</v>
      </c>
      <c r="AO313" s="43">
        <f t="shared" si="212"/>
        <v>0</v>
      </c>
      <c r="AP313" s="43">
        <f t="shared" si="213"/>
        <v>308677.03954500001</v>
      </c>
      <c r="AQ313" s="43">
        <f t="shared" si="214"/>
        <v>295593.61106655002</v>
      </c>
      <c r="AR313" s="43">
        <f t="shared" si="215"/>
        <v>283031.58031249954</v>
      </c>
      <c r="AS313" s="3"/>
      <c r="AT313" s="43">
        <f t="shared" si="221"/>
        <v>0</v>
      </c>
      <c r="AU313" s="43">
        <f t="shared" si="221"/>
        <v>0</v>
      </c>
      <c r="AV313" s="43">
        <f t="shared" si="221"/>
        <v>3153.5198999999998</v>
      </c>
      <c r="AW313" s="43">
        <f t="shared" si="221"/>
        <v>3228.8511833712</v>
      </c>
      <c r="AX313" s="43">
        <f t="shared" si="221"/>
        <v>3270.6066868745561</v>
      </c>
      <c r="AY313" s="3"/>
      <c r="AZ313" s="47">
        <f t="shared" si="216"/>
        <v>0</v>
      </c>
      <c r="BA313" s="47">
        <f t="shared" si="217"/>
        <v>0</v>
      </c>
      <c r="BB313" s="47">
        <f t="shared" si="218"/>
        <v>21558.197857710002</v>
      </c>
      <c r="BC313" s="47">
        <f t="shared" si="219"/>
        <v>27544.836882350104</v>
      </c>
      <c r="BD313" s="47">
        <f t="shared" si="220"/>
        <v>26587.837492800038</v>
      </c>
    </row>
    <row r="314" spans="1:56" s="230" customFormat="1">
      <c r="A314" s="3"/>
      <c r="B314" s="37">
        <f>'12. Investeringen (bijschatten)'!B117</f>
        <v>98</v>
      </c>
      <c r="C314" s="48"/>
      <c r="D314" s="3"/>
      <c r="E314" s="48"/>
      <c r="F314" s="169">
        <f>'12. Investeringen (bijschatten)'!C117</f>
        <v>3902230.05</v>
      </c>
      <c r="G314" s="3"/>
      <c r="H314" s="37">
        <f>'12. Investeringen (bijschatten)'!D117</f>
        <v>2024</v>
      </c>
      <c r="I314" s="37" t="str">
        <f>'12. Investeringen (bijschatten)'!E117</f>
        <v>15 Compressorstations (TT-BT-AT)</v>
      </c>
      <c r="J314" s="169">
        <f>_xlfn.XLOOKUP(I314,'3. Input (des)investeringen '!$B$11:$B$81,'3. Input (des)investeringen '!$D$11:$D$81)</f>
        <v>30</v>
      </c>
      <c r="M314" s="43">
        <f t="shared" si="200"/>
        <v>0</v>
      </c>
      <c r="N314" s="43">
        <f t="shared" si="201"/>
        <v>0</v>
      </c>
      <c r="O314" s="3"/>
      <c r="P314" s="138">
        <f t="shared" si="202"/>
        <v>0</v>
      </c>
      <c r="Q314" s="138">
        <f t="shared" si="203"/>
        <v>0</v>
      </c>
      <c r="R314" s="3"/>
      <c r="S314" s="43">
        <f t="shared" si="204"/>
        <v>3902230.05</v>
      </c>
      <c r="T314" s="38">
        <f t="shared" si="205"/>
        <v>30</v>
      </c>
      <c r="U314" s="3"/>
      <c r="V314" s="43">
        <f t="shared" si="198"/>
        <v>0</v>
      </c>
      <c r="W314" s="43">
        <f t="shared" si="198"/>
        <v>0</v>
      </c>
      <c r="X314" s="43">
        <f t="shared" si="198"/>
        <v>76093.485975000003</v>
      </c>
      <c r="Y314" s="43">
        <f t="shared" si="198"/>
        <v>148889.58755775</v>
      </c>
      <c r="Z314" s="43">
        <f t="shared" si="198"/>
        <v>142437.7054302475</v>
      </c>
      <c r="AA314" s="3"/>
      <c r="AB314" s="43">
        <f t="shared" si="199"/>
        <v>0</v>
      </c>
      <c r="AC314" s="43">
        <f t="shared" si="199"/>
        <v>0</v>
      </c>
      <c r="AD314" s="43">
        <f t="shared" si="199"/>
        <v>6503.7167500000005</v>
      </c>
      <c r="AE314" s="43">
        <f t="shared" si="199"/>
        <v>13007.433500000001</v>
      </c>
      <c r="AF314" s="43">
        <f t="shared" si="199"/>
        <v>13007.433500000001</v>
      </c>
      <c r="AG314" s="3"/>
      <c r="AH314" s="43">
        <f t="shared" si="206"/>
        <v>0</v>
      </c>
      <c r="AI314" s="43">
        <f t="shared" si="207"/>
        <v>0</v>
      </c>
      <c r="AJ314" s="43">
        <f t="shared" si="208"/>
        <v>82597.20272500001</v>
      </c>
      <c r="AK314" s="43">
        <f t="shared" si="209"/>
        <v>161897.02105775001</v>
      </c>
      <c r="AL314" s="43">
        <f t="shared" si="210"/>
        <v>155445.13893024751</v>
      </c>
      <c r="AM314" s="3"/>
      <c r="AN314" s="43">
        <f t="shared" si="211"/>
        <v>0</v>
      </c>
      <c r="AO314" s="43">
        <f t="shared" si="212"/>
        <v>0</v>
      </c>
      <c r="AP314" s="43">
        <f t="shared" si="213"/>
        <v>3819632.8472749996</v>
      </c>
      <c r="AQ314" s="43">
        <f t="shared" si="214"/>
        <v>3657735.8262172495</v>
      </c>
      <c r="AR314" s="43">
        <f t="shared" si="215"/>
        <v>3502290.6872870019</v>
      </c>
      <c r="AS314" s="3"/>
      <c r="AT314" s="43">
        <f t="shared" si="221"/>
        <v>0</v>
      </c>
      <c r="AU314" s="43">
        <f t="shared" si="221"/>
        <v>0</v>
      </c>
      <c r="AV314" s="43">
        <f t="shared" si="221"/>
        <v>39022.300499999998</v>
      </c>
      <c r="AW314" s="43">
        <f t="shared" si="221"/>
        <v>39954.465214343996</v>
      </c>
      <c r="AX314" s="43">
        <f t="shared" si="221"/>
        <v>40471.156358495893</v>
      </c>
      <c r="AY314" s="3"/>
      <c r="AZ314" s="47">
        <f t="shared" si="216"/>
        <v>0</v>
      </c>
      <c r="BA314" s="47">
        <f t="shared" si="217"/>
        <v>0</v>
      </c>
      <c r="BB314" s="47">
        <f t="shared" si="218"/>
        <v>266765.55142144999</v>
      </c>
      <c r="BC314" s="47">
        <f t="shared" si="219"/>
        <v>340845.44766834949</v>
      </c>
      <c r="BD314" s="47">
        <f t="shared" si="220"/>
        <v>329003.34140564949</v>
      </c>
    </row>
    <row r="315" spans="1:56" s="230" customFormat="1">
      <c r="A315" s="3"/>
      <c r="B315" s="37">
        <f>'12. Investeringen (bijschatten)'!B118</f>
        <v>99</v>
      </c>
      <c r="C315" s="48"/>
      <c r="D315" s="3"/>
      <c r="E315" s="48"/>
      <c r="F315" s="169">
        <f>'12. Investeringen (bijschatten)'!C118</f>
        <v>324403.28999999998</v>
      </c>
      <c r="G315" s="3"/>
      <c r="H315" s="37">
        <f>'12. Investeringen (bijschatten)'!D118</f>
        <v>2024</v>
      </c>
      <c r="I315" s="37" t="str">
        <f>'12. Investeringen (bijschatten)'!E118</f>
        <v>16 LNG installaties</v>
      </c>
      <c r="J315" s="169">
        <f>_xlfn.XLOOKUP(I315,'3. Input (des)investeringen '!$B$11:$B$81,'3. Input (des)investeringen '!$D$11:$D$81)</f>
        <v>30</v>
      </c>
      <c r="M315" s="43">
        <f t="shared" si="200"/>
        <v>0</v>
      </c>
      <c r="N315" s="43">
        <f t="shared" si="201"/>
        <v>0</v>
      </c>
      <c r="O315" s="3"/>
      <c r="P315" s="138">
        <f t="shared" si="202"/>
        <v>0</v>
      </c>
      <c r="Q315" s="138">
        <f t="shared" si="203"/>
        <v>0</v>
      </c>
      <c r="R315" s="3"/>
      <c r="S315" s="43">
        <f t="shared" si="204"/>
        <v>324403.28999999998</v>
      </c>
      <c r="T315" s="38">
        <f t="shared" si="205"/>
        <v>30</v>
      </c>
      <c r="U315" s="3"/>
      <c r="V315" s="43">
        <f t="shared" si="198"/>
        <v>0</v>
      </c>
      <c r="W315" s="43">
        <f t="shared" si="198"/>
        <v>0</v>
      </c>
      <c r="X315" s="43">
        <f t="shared" si="198"/>
        <v>6325.8641550000002</v>
      </c>
      <c r="Y315" s="43">
        <f t="shared" si="198"/>
        <v>12377.607529950001</v>
      </c>
      <c r="Z315" s="43">
        <f t="shared" si="198"/>
        <v>11841.244536985501</v>
      </c>
      <c r="AA315" s="3"/>
      <c r="AB315" s="43">
        <f t="shared" si="199"/>
        <v>0</v>
      </c>
      <c r="AC315" s="43">
        <f t="shared" si="199"/>
        <v>0</v>
      </c>
      <c r="AD315" s="43">
        <f t="shared" si="199"/>
        <v>540.67214999999999</v>
      </c>
      <c r="AE315" s="43">
        <f t="shared" si="199"/>
        <v>1081.3443</v>
      </c>
      <c r="AF315" s="43">
        <f t="shared" si="199"/>
        <v>1081.3443</v>
      </c>
      <c r="AG315" s="3"/>
      <c r="AH315" s="43">
        <f t="shared" si="206"/>
        <v>0</v>
      </c>
      <c r="AI315" s="43">
        <f t="shared" si="207"/>
        <v>0</v>
      </c>
      <c r="AJ315" s="43">
        <f t="shared" si="208"/>
        <v>6866.5363050000005</v>
      </c>
      <c r="AK315" s="43">
        <f t="shared" si="209"/>
        <v>13458.951829950001</v>
      </c>
      <c r="AL315" s="43">
        <f t="shared" si="210"/>
        <v>12922.588836985502</v>
      </c>
      <c r="AM315" s="3"/>
      <c r="AN315" s="43">
        <f t="shared" si="211"/>
        <v>0</v>
      </c>
      <c r="AO315" s="43">
        <f t="shared" si="212"/>
        <v>0</v>
      </c>
      <c r="AP315" s="43">
        <f t="shared" si="213"/>
        <v>317536.75369499996</v>
      </c>
      <c r="AQ315" s="43">
        <f t="shared" si="214"/>
        <v>304077.80186504999</v>
      </c>
      <c r="AR315" s="43">
        <f t="shared" si="215"/>
        <v>291155.21302806446</v>
      </c>
      <c r="AS315" s="3"/>
      <c r="AT315" s="43">
        <f t="shared" si="221"/>
        <v>0</v>
      </c>
      <c r="AU315" s="43">
        <f t="shared" si="221"/>
        <v>0</v>
      </c>
      <c r="AV315" s="43">
        <f t="shared" si="221"/>
        <v>3244.0328999999997</v>
      </c>
      <c r="AW315" s="43">
        <f t="shared" si="221"/>
        <v>3321.5263579151997</v>
      </c>
      <c r="AX315" s="43">
        <f t="shared" si="221"/>
        <v>3364.480336775759</v>
      </c>
      <c r="AY315" s="3"/>
      <c r="AZ315" s="47">
        <f t="shared" si="216"/>
        <v>0</v>
      </c>
      <c r="BA315" s="47">
        <f t="shared" si="217"/>
        <v>0</v>
      </c>
      <c r="BB315" s="47">
        <f t="shared" si="218"/>
        <v>22176.965845409995</v>
      </c>
      <c r="BC315" s="47">
        <f t="shared" si="219"/>
        <v>28335.434658737104</v>
      </c>
      <c r="BD315" s="47">
        <f t="shared" si="220"/>
        <v>27350.96726882771</v>
      </c>
    </row>
    <row r="316" spans="1:56" s="230" customFormat="1">
      <c r="A316" s="3"/>
      <c r="B316" s="37">
        <f>'12. Investeringen (bijschatten)'!B119</f>
        <v>100</v>
      </c>
      <c r="C316" s="48"/>
      <c r="D316" s="3"/>
      <c r="E316" s="48"/>
      <c r="F316" s="169">
        <f>'12. Investeringen (bijschatten)'!C119</f>
        <v>1863550.44</v>
      </c>
      <c r="G316" s="3"/>
      <c r="H316" s="37">
        <f>'12. Investeringen (bijschatten)'!D119</f>
        <v>2024</v>
      </c>
      <c r="I316" s="37" t="str">
        <f>'12. Investeringen (bijschatten)'!E119</f>
        <v>17 Mengstations</v>
      </c>
      <c r="J316" s="169">
        <f>_xlfn.XLOOKUP(I316,'3. Input (des)investeringen '!$B$11:$B$81,'3. Input (des)investeringen '!$D$11:$D$81)</f>
        <v>30</v>
      </c>
      <c r="M316" s="43">
        <f t="shared" si="200"/>
        <v>0</v>
      </c>
      <c r="N316" s="43">
        <f t="shared" si="201"/>
        <v>0</v>
      </c>
      <c r="O316" s="3"/>
      <c r="P316" s="138">
        <f t="shared" si="202"/>
        <v>0</v>
      </c>
      <c r="Q316" s="138">
        <f t="shared" si="203"/>
        <v>0</v>
      </c>
      <c r="R316" s="3"/>
      <c r="S316" s="43">
        <f t="shared" si="204"/>
        <v>1863550.44</v>
      </c>
      <c r="T316" s="38">
        <f t="shared" si="205"/>
        <v>30</v>
      </c>
      <c r="U316" s="3"/>
      <c r="V316" s="43">
        <f t="shared" si="198"/>
        <v>0</v>
      </c>
      <c r="W316" s="43">
        <f t="shared" si="198"/>
        <v>0</v>
      </c>
      <c r="X316" s="43">
        <f t="shared" si="198"/>
        <v>36339.23358</v>
      </c>
      <c r="Y316" s="43">
        <f t="shared" si="198"/>
        <v>71103.767038200007</v>
      </c>
      <c r="Z316" s="43">
        <f t="shared" si="198"/>
        <v>68022.603799877994</v>
      </c>
      <c r="AA316" s="3"/>
      <c r="AB316" s="43">
        <f t="shared" si="199"/>
        <v>0</v>
      </c>
      <c r="AC316" s="43">
        <f t="shared" si="199"/>
        <v>0</v>
      </c>
      <c r="AD316" s="43">
        <f t="shared" si="199"/>
        <v>3105.9173999999998</v>
      </c>
      <c r="AE316" s="43">
        <f t="shared" si="199"/>
        <v>6211.8347999999996</v>
      </c>
      <c r="AF316" s="43">
        <f t="shared" si="199"/>
        <v>6211.8347999999996</v>
      </c>
      <c r="AG316" s="3"/>
      <c r="AH316" s="43">
        <f t="shared" si="206"/>
        <v>0</v>
      </c>
      <c r="AI316" s="43">
        <f t="shared" si="207"/>
        <v>0</v>
      </c>
      <c r="AJ316" s="43">
        <f t="shared" si="208"/>
        <v>39445.150979999999</v>
      </c>
      <c r="AK316" s="43">
        <f t="shared" si="209"/>
        <v>77315.601838200004</v>
      </c>
      <c r="AL316" s="43">
        <f t="shared" si="210"/>
        <v>74234.438599877991</v>
      </c>
      <c r="AM316" s="3"/>
      <c r="AN316" s="43">
        <f t="shared" si="211"/>
        <v>0</v>
      </c>
      <c r="AO316" s="43">
        <f t="shared" si="212"/>
        <v>0</v>
      </c>
      <c r="AP316" s="43">
        <f t="shared" si="213"/>
        <v>1824105.28902</v>
      </c>
      <c r="AQ316" s="43">
        <f t="shared" si="214"/>
        <v>1746789.6871818001</v>
      </c>
      <c r="AR316" s="43">
        <f t="shared" si="215"/>
        <v>1672555.2485819221</v>
      </c>
      <c r="AS316" s="3"/>
      <c r="AT316" s="43">
        <f t="shared" si="221"/>
        <v>0</v>
      </c>
      <c r="AU316" s="43">
        <f t="shared" si="221"/>
        <v>0</v>
      </c>
      <c r="AV316" s="43">
        <f t="shared" si="221"/>
        <v>18635.504400000002</v>
      </c>
      <c r="AW316" s="43">
        <f t="shared" si="221"/>
        <v>19080.669329107201</v>
      </c>
      <c r="AX316" s="43">
        <f t="shared" si="221"/>
        <v>19327.420544871213</v>
      </c>
      <c r="AY316" s="3"/>
      <c r="AZ316" s="47">
        <f t="shared" si="216"/>
        <v>0</v>
      </c>
      <c r="BA316" s="47">
        <f t="shared" si="217"/>
        <v>0</v>
      </c>
      <c r="BB316" s="47">
        <f t="shared" si="218"/>
        <v>127396.65636276</v>
      </c>
      <c r="BC316" s="47">
        <f t="shared" si="219"/>
        <v>162774.27928021562</v>
      </c>
      <c r="BD316" s="47">
        <f t="shared" si="220"/>
        <v>157118.95859086225</v>
      </c>
    </row>
    <row r="317" spans="1:56" s="230" customFormat="1">
      <c r="A317" s="3"/>
      <c r="B317" s="37">
        <f>'12. Investeringen (bijschatten)'!B120</f>
        <v>101</v>
      </c>
      <c r="C317" s="48"/>
      <c r="D317" s="3"/>
      <c r="E317" s="48"/>
      <c r="F317" s="169">
        <f>'12. Investeringen (bijschatten)'!C120</f>
        <v>9517259.8200000003</v>
      </c>
      <c r="G317" s="3"/>
      <c r="H317" s="37">
        <f>'12. Investeringen (bijschatten)'!D120</f>
        <v>2024</v>
      </c>
      <c r="I317" s="37" t="str">
        <f>'12. Investeringen (bijschatten)'!E120</f>
        <v>21 Hoofdtransportleiding</v>
      </c>
      <c r="J317" s="169">
        <f>_xlfn.XLOOKUP(I317,'3. Input (des)investeringen '!$B$11:$B$81,'3. Input (des)investeringen '!$D$11:$D$81)</f>
        <v>55</v>
      </c>
      <c r="M317" s="43">
        <f t="shared" si="200"/>
        <v>0</v>
      </c>
      <c r="N317" s="43">
        <f t="shared" si="201"/>
        <v>0</v>
      </c>
      <c r="O317" s="3"/>
      <c r="P317" s="138">
        <f t="shared" si="202"/>
        <v>0</v>
      </c>
      <c r="Q317" s="138">
        <f t="shared" si="203"/>
        <v>0</v>
      </c>
      <c r="R317" s="3"/>
      <c r="S317" s="43">
        <f t="shared" si="204"/>
        <v>9517259.8200000003</v>
      </c>
      <c r="T317" s="38">
        <f t="shared" si="205"/>
        <v>55</v>
      </c>
      <c r="U317" s="3"/>
      <c r="V317" s="43">
        <f t="shared" ref="V317:Z323" si="222">IF($J317=0, 0, IF(OR($H317&gt;V$59,$H317+$J317&lt;V$59),0,
IF(OR($H317=2020,$H317=2021),VDB(ABS($S317)*(1-$F$28),0,$T317,V$59-2022,MIN($T317,V$59-2021),$F$22),
VDB(ABS($S317)*(1-$F$28),0,$T317,MAX(0,V$59-$H317-0.5),MIN($T317,V$59-$H317+0.5),$F$22,FALSE))))*IF($F317&lt;0,-1,1)</f>
        <v>0</v>
      </c>
      <c r="W317" s="43">
        <f t="shared" si="222"/>
        <v>0</v>
      </c>
      <c r="X317" s="43">
        <f t="shared" si="222"/>
        <v>101229.03626727274</v>
      </c>
      <c r="Y317" s="43">
        <f t="shared" si="222"/>
        <v>200065.38622277358</v>
      </c>
      <c r="Z317" s="43">
        <f t="shared" si="222"/>
        <v>195336.56800296257</v>
      </c>
      <c r="AA317" s="3"/>
      <c r="AB317" s="43">
        <f t="shared" ref="AB317:AF323" si="223">IF($J317 = 0, 0, IF(OR($H317&gt;AB$59,$H317+$J317&lt;AB$59),0,
IF(OR($H317=2020,$H317=2021),VDB(ABS($S317)*$F$28,0,$T317,AB$59-2022,MIN($T317,AB$59-2021),1),
VDB(ABS($S317)*$F$28,0,$T317,MAX(0,AB$59-$H317-0.5),MIN($T317,AB$59-$H317+0.5),1))))*IF($F317&lt;0,-1,1)</f>
        <v>0</v>
      </c>
      <c r="AC317" s="43">
        <f t="shared" si="223"/>
        <v>0</v>
      </c>
      <c r="AD317" s="43">
        <f t="shared" si="223"/>
        <v>8652.0543818181832</v>
      </c>
      <c r="AE317" s="43">
        <f t="shared" si="223"/>
        <v>17304.108763636366</v>
      </c>
      <c r="AF317" s="43">
        <f t="shared" si="223"/>
        <v>17304.108763636366</v>
      </c>
      <c r="AG317" s="3"/>
      <c r="AH317" s="43">
        <f t="shared" si="206"/>
        <v>0</v>
      </c>
      <c r="AI317" s="43">
        <f t="shared" si="207"/>
        <v>0</v>
      </c>
      <c r="AJ317" s="43">
        <f t="shared" si="208"/>
        <v>109881.09064909091</v>
      </c>
      <c r="AK317" s="43">
        <f t="shared" si="209"/>
        <v>217369.49498640996</v>
      </c>
      <c r="AL317" s="43">
        <f t="shared" si="210"/>
        <v>212640.67676659895</v>
      </c>
      <c r="AM317" s="3"/>
      <c r="AN317" s="43">
        <f t="shared" si="211"/>
        <v>0</v>
      </c>
      <c r="AO317" s="43">
        <f t="shared" si="212"/>
        <v>0</v>
      </c>
      <c r="AP317" s="43">
        <f t="shared" si="213"/>
        <v>9407378.7293509096</v>
      </c>
      <c r="AQ317" s="43">
        <f t="shared" si="214"/>
        <v>9190009.2343645003</v>
      </c>
      <c r="AR317" s="43">
        <f t="shared" si="215"/>
        <v>8977368.5575979017</v>
      </c>
      <c r="AS317" s="3"/>
      <c r="AT317" s="43">
        <f t="shared" si="221"/>
        <v>0</v>
      </c>
      <c r="AU317" s="43">
        <f t="shared" si="221"/>
        <v>0</v>
      </c>
      <c r="AV317" s="43">
        <f t="shared" si="221"/>
        <v>95172.598200000008</v>
      </c>
      <c r="AW317" s="43">
        <f t="shared" si="221"/>
        <v>97446.081225801594</v>
      </c>
      <c r="AX317" s="43">
        <f t="shared" si="221"/>
        <v>98706.253948213664</v>
      </c>
      <c r="AY317" s="3"/>
      <c r="AZ317" s="47">
        <f t="shared" si="216"/>
        <v>0</v>
      </c>
      <c r="BA317" s="47">
        <f t="shared" si="217"/>
        <v>0</v>
      </c>
      <c r="BB317" s="47">
        <f t="shared" si="218"/>
        <v>562534.08056442544</v>
      </c>
      <c r="BC317" s="47">
        <f t="shared" si="219"/>
        <v>664035.92711806262</v>
      </c>
      <c r="BD317" s="47">
        <f t="shared" si="220"/>
        <v>652486.93590353278</v>
      </c>
    </row>
    <row r="318" spans="1:56" s="230" customFormat="1">
      <c r="A318" s="3"/>
      <c r="B318" s="37">
        <f>'12. Investeringen (bijschatten)'!B121</f>
        <v>102</v>
      </c>
      <c r="C318" s="48"/>
      <c r="D318" s="3"/>
      <c r="E318" s="48"/>
      <c r="F318" s="169">
        <f>'12. Investeringen (bijschatten)'!C121</f>
        <v>383647.64</v>
      </c>
      <c r="G318" s="3"/>
      <c r="H318" s="37">
        <f>'12. Investeringen (bijschatten)'!D121</f>
        <v>2024</v>
      </c>
      <c r="I318" s="37" t="str">
        <f>'12. Investeringen (bijschatten)'!E121</f>
        <v>32 M&amp;R stations</v>
      </c>
      <c r="J318" s="169">
        <f>_xlfn.XLOOKUP(I318,'3. Input (des)investeringen '!$B$11:$B$81,'3. Input (des)investeringen '!$D$11:$D$81)</f>
        <v>30</v>
      </c>
      <c r="M318" s="43">
        <f t="shared" si="200"/>
        <v>0</v>
      </c>
      <c r="N318" s="43">
        <f t="shared" si="201"/>
        <v>0</v>
      </c>
      <c r="O318" s="3"/>
      <c r="P318" s="138">
        <f t="shared" si="202"/>
        <v>0</v>
      </c>
      <c r="Q318" s="138">
        <f t="shared" si="203"/>
        <v>0</v>
      </c>
      <c r="R318" s="3"/>
      <c r="S318" s="43">
        <f t="shared" si="204"/>
        <v>383647.64</v>
      </c>
      <c r="T318" s="38">
        <f t="shared" si="205"/>
        <v>30</v>
      </c>
      <c r="U318" s="3"/>
      <c r="V318" s="43">
        <f t="shared" si="222"/>
        <v>0</v>
      </c>
      <c r="W318" s="43">
        <f t="shared" si="222"/>
        <v>0</v>
      </c>
      <c r="X318" s="43">
        <f t="shared" si="222"/>
        <v>7481.1289800000013</v>
      </c>
      <c r="Y318" s="43">
        <f t="shared" si="222"/>
        <v>14638.075704200004</v>
      </c>
      <c r="Z318" s="43">
        <f t="shared" si="222"/>
        <v>14003.759090351336</v>
      </c>
      <c r="AA318" s="3"/>
      <c r="AB318" s="43">
        <f t="shared" si="223"/>
        <v>0</v>
      </c>
      <c r="AC318" s="43">
        <f t="shared" si="223"/>
        <v>0</v>
      </c>
      <c r="AD318" s="43">
        <f t="shared" si="223"/>
        <v>639.41273333333334</v>
      </c>
      <c r="AE318" s="43">
        <f t="shared" si="223"/>
        <v>1278.8254666666669</v>
      </c>
      <c r="AF318" s="43">
        <f t="shared" si="223"/>
        <v>1278.8254666666669</v>
      </c>
      <c r="AG318" s="3"/>
      <c r="AH318" s="43">
        <f t="shared" si="206"/>
        <v>0</v>
      </c>
      <c r="AI318" s="43">
        <f t="shared" si="207"/>
        <v>0</v>
      </c>
      <c r="AJ318" s="43">
        <f t="shared" si="208"/>
        <v>8120.5417133333349</v>
      </c>
      <c r="AK318" s="43">
        <f t="shared" si="209"/>
        <v>15916.901170866671</v>
      </c>
      <c r="AL318" s="43">
        <f t="shared" si="210"/>
        <v>15282.584557018003</v>
      </c>
      <c r="AM318" s="3"/>
      <c r="AN318" s="43">
        <f t="shared" si="211"/>
        <v>0</v>
      </c>
      <c r="AO318" s="43">
        <f t="shared" si="212"/>
        <v>0</v>
      </c>
      <c r="AP318" s="43">
        <f t="shared" si="213"/>
        <v>375527.09828666667</v>
      </c>
      <c r="AQ318" s="43">
        <f t="shared" si="214"/>
        <v>359610.19711579999</v>
      </c>
      <c r="AR318" s="43">
        <f t="shared" si="215"/>
        <v>344327.61255878198</v>
      </c>
      <c r="AS318" s="3"/>
      <c r="AT318" s="43">
        <f t="shared" si="221"/>
        <v>0</v>
      </c>
      <c r="AU318" s="43">
        <f t="shared" si="221"/>
        <v>0</v>
      </c>
      <c r="AV318" s="43">
        <f t="shared" si="221"/>
        <v>3836.4764</v>
      </c>
      <c r="AW318" s="43">
        <f t="shared" si="221"/>
        <v>3928.1221482432002</v>
      </c>
      <c r="AX318" s="43">
        <f t="shared" si="221"/>
        <v>3978.9206238642805</v>
      </c>
      <c r="AY318" s="3"/>
      <c r="AZ318" s="47">
        <f t="shared" si="216"/>
        <v>0</v>
      </c>
      <c r="BA318" s="47">
        <f t="shared" si="217"/>
        <v>0</v>
      </c>
      <c r="BB318" s="47">
        <f t="shared" si="218"/>
        <v>26227.047848226666</v>
      </c>
      <c r="BC318" s="47">
        <f t="shared" si="219"/>
        <v>33510.210809510274</v>
      </c>
      <c r="BD318" s="47">
        <f t="shared" si="220"/>
        <v>32345.954458115997</v>
      </c>
    </row>
    <row r="319" spans="1:56" s="230" customFormat="1">
      <c r="A319" s="3"/>
      <c r="B319" s="37">
        <f>'12. Investeringen (bijschatten)'!B122</f>
        <v>103</v>
      </c>
      <c r="C319" s="48"/>
      <c r="D319" s="3"/>
      <c r="E319" s="48"/>
      <c r="F319" s="169">
        <f>'12. Investeringen (bijschatten)'!C122</f>
        <v>319917.19</v>
      </c>
      <c r="G319" s="3"/>
      <c r="H319" s="37">
        <f>'12. Investeringen (bijschatten)'!D122</f>
        <v>2024</v>
      </c>
      <c r="I319" s="37" t="str">
        <f>'12. Investeringen (bijschatten)'!E122</f>
        <v>33 Exportstations</v>
      </c>
      <c r="J319" s="169">
        <f>_xlfn.XLOOKUP(I319,'3. Input (des)investeringen '!$B$11:$B$81,'3. Input (des)investeringen '!$D$11:$D$81)</f>
        <v>30</v>
      </c>
      <c r="M319" s="43">
        <f t="shared" si="200"/>
        <v>0</v>
      </c>
      <c r="N319" s="43">
        <f t="shared" si="201"/>
        <v>0</v>
      </c>
      <c r="O319" s="3"/>
      <c r="P319" s="138">
        <f t="shared" si="202"/>
        <v>0</v>
      </c>
      <c r="Q319" s="138">
        <f t="shared" si="203"/>
        <v>0</v>
      </c>
      <c r="R319" s="3"/>
      <c r="S319" s="43">
        <f t="shared" si="204"/>
        <v>319917.19</v>
      </c>
      <c r="T319" s="38">
        <f t="shared" si="205"/>
        <v>30</v>
      </c>
      <c r="U319" s="3"/>
      <c r="V319" s="43">
        <f t="shared" si="222"/>
        <v>0</v>
      </c>
      <c r="W319" s="43">
        <f t="shared" si="222"/>
        <v>0</v>
      </c>
      <c r="X319" s="43">
        <f t="shared" si="222"/>
        <v>6238.3852050000005</v>
      </c>
      <c r="Y319" s="43">
        <f t="shared" si="222"/>
        <v>12206.440384450001</v>
      </c>
      <c r="Z319" s="43">
        <f t="shared" si="222"/>
        <v>11677.494634457167</v>
      </c>
      <c r="AA319" s="3"/>
      <c r="AB319" s="43">
        <f t="shared" si="223"/>
        <v>0</v>
      </c>
      <c r="AC319" s="43">
        <f t="shared" si="223"/>
        <v>0</v>
      </c>
      <c r="AD319" s="43">
        <f t="shared" si="223"/>
        <v>533.19531666666671</v>
      </c>
      <c r="AE319" s="43">
        <f t="shared" si="223"/>
        <v>1066.3906333333334</v>
      </c>
      <c r="AF319" s="43">
        <f t="shared" si="223"/>
        <v>1066.3906333333334</v>
      </c>
      <c r="AG319" s="3"/>
      <c r="AH319" s="43">
        <f t="shared" si="206"/>
        <v>0</v>
      </c>
      <c r="AI319" s="43">
        <f t="shared" si="207"/>
        <v>0</v>
      </c>
      <c r="AJ319" s="43">
        <f t="shared" si="208"/>
        <v>6771.5805216666668</v>
      </c>
      <c r="AK319" s="43">
        <f t="shared" si="209"/>
        <v>13272.831017783334</v>
      </c>
      <c r="AL319" s="43">
        <f t="shared" si="210"/>
        <v>12743.885267790502</v>
      </c>
      <c r="AM319" s="3"/>
      <c r="AN319" s="43">
        <f t="shared" si="211"/>
        <v>0</v>
      </c>
      <c r="AO319" s="43">
        <f t="shared" si="212"/>
        <v>0</v>
      </c>
      <c r="AP319" s="43">
        <f t="shared" si="213"/>
        <v>313145.60947833332</v>
      </c>
      <c r="AQ319" s="43">
        <f t="shared" si="214"/>
        <v>299872.77846055001</v>
      </c>
      <c r="AR319" s="43">
        <f t="shared" si="215"/>
        <v>287128.89319275948</v>
      </c>
      <c r="AS319" s="3"/>
      <c r="AT319" s="43">
        <f t="shared" si="221"/>
        <v>0</v>
      </c>
      <c r="AU319" s="43">
        <f t="shared" si="221"/>
        <v>0</v>
      </c>
      <c r="AV319" s="43">
        <f t="shared" si="221"/>
        <v>3199.1719000000003</v>
      </c>
      <c r="AW319" s="43">
        <f t="shared" si="221"/>
        <v>3275.5937183472001</v>
      </c>
      <c r="AX319" s="43">
        <f t="shared" si="221"/>
        <v>3317.9536963128653</v>
      </c>
      <c r="AY319" s="3"/>
      <c r="AZ319" s="47">
        <f t="shared" si="216"/>
        <v>0</v>
      </c>
      <c r="BA319" s="47">
        <f t="shared" si="217"/>
        <v>0</v>
      </c>
      <c r="BB319" s="47">
        <f t="shared" si="218"/>
        <v>21870.285581843335</v>
      </c>
      <c r="BC319" s="47">
        <f t="shared" si="219"/>
        <v>27943.590317631435</v>
      </c>
      <c r="BD319" s="47">
        <f t="shared" si="220"/>
        <v>26972.736905428228</v>
      </c>
    </row>
    <row r="320" spans="1:56" s="230" customFormat="1">
      <c r="A320" s="3"/>
      <c r="B320" s="37">
        <f>'12. Investeringen (bijschatten)'!B123</f>
        <v>104</v>
      </c>
      <c r="C320" s="48"/>
      <c r="D320" s="3"/>
      <c r="E320" s="48"/>
      <c r="F320" s="169">
        <f>'12. Investeringen (bijschatten)'!C123</f>
        <v>668703.51</v>
      </c>
      <c r="G320" s="3"/>
      <c r="H320" s="37">
        <f>'12. Investeringen (bijschatten)'!D123</f>
        <v>2024</v>
      </c>
      <c r="I320" s="37" t="str">
        <f>'12. Investeringen (bijschatten)'!E123</f>
        <v>34 Reduceerstations</v>
      </c>
      <c r="J320" s="169">
        <f>_xlfn.XLOOKUP(I320,'3. Input (des)investeringen '!$B$11:$B$81,'3. Input (des)investeringen '!$D$11:$D$81)</f>
        <v>30</v>
      </c>
      <c r="M320" s="43">
        <f t="shared" si="200"/>
        <v>0</v>
      </c>
      <c r="N320" s="43">
        <f t="shared" si="201"/>
        <v>0</v>
      </c>
      <c r="O320" s="3"/>
      <c r="P320" s="138">
        <f t="shared" si="202"/>
        <v>0</v>
      </c>
      <c r="Q320" s="138">
        <f t="shared" si="203"/>
        <v>0</v>
      </c>
      <c r="R320" s="3"/>
      <c r="S320" s="43">
        <f t="shared" si="204"/>
        <v>668703.51</v>
      </c>
      <c r="T320" s="38">
        <f t="shared" si="205"/>
        <v>30</v>
      </c>
      <c r="U320" s="3"/>
      <c r="V320" s="43">
        <f t="shared" si="222"/>
        <v>0</v>
      </c>
      <c r="W320" s="43">
        <f t="shared" si="222"/>
        <v>0</v>
      </c>
      <c r="X320" s="43">
        <f t="shared" si="222"/>
        <v>13039.718445</v>
      </c>
      <c r="Y320" s="43">
        <f t="shared" si="222"/>
        <v>25514.38242405</v>
      </c>
      <c r="Z320" s="43">
        <f t="shared" si="222"/>
        <v>24408.759185674498</v>
      </c>
      <c r="AA320" s="3"/>
      <c r="AB320" s="43">
        <f t="shared" si="223"/>
        <v>0</v>
      </c>
      <c r="AC320" s="43">
        <f t="shared" si="223"/>
        <v>0</v>
      </c>
      <c r="AD320" s="43">
        <f t="shared" si="223"/>
        <v>1114.5058500000002</v>
      </c>
      <c r="AE320" s="43">
        <f t="shared" si="223"/>
        <v>2229.0117000000005</v>
      </c>
      <c r="AF320" s="43">
        <f t="shared" si="223"/>
        <v>2229.0117000000005</v>
      </c>
      <c r="AG320" s="3"/>
      <c r="AH320" s="43">
        <f t="shared" si="206"/>
        <v>0</v>
      </c>
      <c r="AI320" s="43">
        <f t="shared" si="207"/>
        <v>0</v>
      </c>
      <c r="AJ320" s="43">
        <f t="shared" si="208"/>
        <v>14154.224295</v>
      </c>
      <c r="AK320" s="43">
        <f t="shared" si="209"/>
        <v>27743.394124049999</v>
      </c>
      <c r="AL320" s="43">
        <f t="shared" si="210"/>
        <v>26637.770885674498</v>
      </c>
      <c r="AM320" s="3"/>
      <c r="AN320" s="43">
        <f t="shared" si="211"/>
        <v>0</v>
      </c>
      <c r="AO320" s="43">
        <f t="shared" si="212"/>
        <v>0</v>
      </c>
      <c r="AP320" s="43">
        <f t="shared" si="213"/>
        <v>654549.28570500005</v>
      </c>
      <c r="AQ320" s="43">
        <f t="shared" si="214"/>
        <v>626805.89158095</v>
      </c>
      <c r="AR320" s="43">
        <f t="shared" si="215"/>
        <v>600168.12069527549</v>
      </c>
      <c r="AS320" s="3"/>
      <c r="AT320" s="43">
        <f t="shared" si="221"/>
        <v>0</v>
      </c>
      <c r="AU320" s="43">
        <f t="shared" si="221"/>
        <v>0</v>
      </c>
      <c r="AV320" s="43">
        <f t="shared" si="221"/>
        <v>6687.0351000000001</v>
      </c>
      <c r="AW320" s="43">
        <f t="shared" si="221"/>
        <v>6846.7749944688012</v>
      </c>
      <c r="AX320" s="43">
        <f t="shared" si="221"/>
        <v>6935.3174886972693</v>
      </c>
      <c r="AY320" s="3"/>
      <c r="AZ320" s="47">
        <f t="shared" si="216"/>
        <v>0</v>
      </c>
      <c r="BA320" s="47">
        <f t="shared" si="217"/>
        <v>0</v>
      </c>
      <c r="BB320" s="47">
        <f t="shared" si="218"/>
        <v>45714.132251790004</v>
      </c>
      <c r="BC320" s="47">
        <f t="shared" si="219"/>
        <v>58408.792998594901</v>
      </c>
      <c r="BD320" s="47">
        <f t="shared" si="220"/>
        <v>56379.476960792235</v>
      </c>
    </row>
    <row r="321" spans="1:56" s="230" customFormat="1">
      <c r="A321" s="3"/>
      <c r="B321" s="37">
        <f>'12. Investeringen (bijschatten)'!B124</f>
        <v>105</v>
      </c>
      <c r="C321" s="48"/>
      <c r="D321" s="3"/>
      <c r="E321" s="48"/>
      <c r="F321" s="169">
        <f>'12. Investeringen (bijschatten)'!C124</f>
        <v>27477.31</v>
      </c>
      <c r="G321" s="3"/>
      <c r="H321" s="37">
        <f>'12. Investeringen (bijschatten)'!D124</f>
        <v>2024</v>
      </c>
      <c r="I321" s="37" t="str">
        <f>'12. Investeringen (bijschatten)'!E124</f>
        <v>35 Injectiestations</v>
      </c>
      <c r="J321" s="169">
        <f>_xlfn.XLOOKUP(I321,'3. Input (des)investeringen '!$B$11:$B$81,'3. Input (des)investeringen '!$D$11:$D$81)</f>
        <v>30</v>
      </c>
      <c r="M321" s="43">
        <f t="shared" si="200"/>
        <v>0</v>
      </c>
      <c r="N321" s="43">
        <f t="shared" si="201"/>
        <v>0</v>
      </c>
      <c r="O321" s="3"/>
      <c r="P321" s="138">
        <f t="shared" si="202"/>
        <v>0</v>
      </c>
      <c r="Q321" s="138">
        <f t="shared" si="203"/>
        <v>0</v>
      </c>
      <c r="R321" s="3"/>
      <c r="S321" s="43">
        <f t="shared" si="204"/>
        <v>27477.31</v>
      </c>
      <c r="T321" s="38">
        <f t="shared" si="205"/>
        <v>30</v>
      </c>
      <c r="U321" s="3"/>
      <c r="V321" s="43">
        <f t="shared" si="222"/>
        <v>0</v>
      </c>
      <c r="W321" s="43">
        <f t="shared" si="222"/>
        <v>0</v>
      </c>
      <c r="X321" s="43">
        <f t="shared" si="222"/>
        <v>535.807545</v>
      </c>
      <c r="Y321" s="43">
        <f t="shared" si="222"/>
        <v>1048.3967630500001</v>
      </c>
      <c r="Z321" s="43">
        <f t="shared" si="222"/>
        <v>1002.9662366511667</v>
      </c>
      <c r="AA321" s="3"/>
      <c r="AB321" s="43">
        <f t="shared" si="223"/>
        <v>0</v>
      </c>
      <c r="AC321" s="43">
        <f t="shared" si="223"/>
        <v>0</v>
      </c>
      <c r="AD321" s="43">
        <f t="shared" si="223"/>
        <v>45.795516666666671</v>
      </c>
      <c r="AE321" s="43">
        <f t="shared" si="223"/>
        <v>91.591033333333343</v>
      </c>
      <c r="AF321" s="43">
        <f t="shared" si="223"/>
        <v>91.591033333333343</v>
      </c>
      <c r="AG321" s="3"/>
      <c r="AH321" s="43">
        <f t="shared" si="206"/>
        <v>0</v>
      </c>
      <c r="AI321" s="43">
        <f t="shared" si="207"/>
        <v>0</v>
      </c>
      <c r="AJ321" s="43">
        <f t="shared" si="208"/>
        <v>581.60306166666669</v>
      </c>
      <c r="AK321" s="43">
        <f t="shared" si="209"/>
        <v>1139.9877963833335</v>
      </c>
      <c r="AL321" s="43">
        <f t="shared" si="210"/>
        <v>1094.5572699845</v>
      </c>
      <c r="AM321" s="3"/>
      <c r="AN321" s="43">
        <f t="shared" si="211"/>
        <v>0</v>
      </c>
      <c r="AO321" s="43">
        <f t="shared" si="212"/>
        <v>0</v>
      </c>
      <c r="AP321" s="43">
        <f t="shared" si="213"/>
        <v>26895.706938333336</v>
      </c>
      <c r="AQ321" s="43">
        <f t="shared" si="214"/>
        <v>25755.719141950001</v>
      </c>
      <c r="AR321" s="43">
        <f t="shared" si="215"/>
        <v>24661.161871965502</v>
      </c>
      <c r="AS321" s="3"/>
      <c r="AT321" s="43">
        <f t="shared" si="221"/>
        <v>0</v>
      </c>
      <c r="AU321" s="43">
        <f t="shared" si="221"/>
        <v>0</v>
      </c>
      <c r="AV321" s="43">
        <f t="shared" si="221"/>
        <v>274.7731</v>
      </c>
      <c r="AW321" s="43">
        <f t="shared" si="221"/>
        <v>281.33687981280002</v>
      </c>
      <c r="AX321" s="43">
        <f t="shared" si="221"/>
        <v>284.97512834253911</v>
      </c>
      <c r="AY321" s="3"/>
      <c r="AZ321" s="47">
        <f t="shared" si="216"/>
        <v>0</v>
      </c>
      <c r="BA321" s="47">
        <f t="shared" si="217"/>
        <v>0</v>
      </c>
      <c r="BB321" s="47">
        <f t="shared" si="218"/>
        <v>1878.4130253233334</v>
      </c>
      <c r="BC321" s="47">
        <f t="shared" si="219"/>
        <v>2400.0420035902334</v>
      </c>
      <c r="BD321" s="47">
        <f t="shared" si="220"/>
        <v>2316.656549461728</v>
      </c>
    </row>
    <row r="322" spans="1:56" s="230" customFormat="1">
      <c r="A322" s="3"/>
      <c r="B322" s="37">
        <f>'12. Investeringen (bijschatten)'!B125</f>
        <v>106</v>
      </c>
      <c r="C322" s="48"/>
      <c r="D322" s="3"/>
      <c r="E322" s="48"/>
      <c r="F322" s="169">
        <f>'12. Investeringen (bijschatten)'!C125</f>
        <v>23985165.949999999</v>
      </c>
      <c r="G322" s="3"/>
      <c r="H322" s="37">
        <f>'12. Investeringen (bijschatten)'!D125</f>
        <v>2024</v>
      </c>
      <c r="I322" s="37" t="str">
        <f>'12. Investeringen (bijschatten)'!E125</f>
        <v>36 Luchtscheidingsunit</v>
      </c>
      <c r="J322" s="169">
        <f>_xlfn.XLOOKUP(I322,'3. Input (des)investeringen '!$B$11:$B$81,'3. Input (des)investeringen '!$D$11:$D$81)</f>
        <v>30</v>
      </c>
      <c r="M322" s="43">
        <f t="shared" si="200"/>
        <v>0</v>
      </c>
      <c r="N322" s="43">
        <f t="shared" si="201"/>
        <v>0</v>
      </c>
      <c r="O322" s="3"/>
      <c r="P322" s="138">
        <f t="shared" si="202"/>
        <v>0</v>
      </c>
      <c r="Q322" s="138">
        <f t="shared" si="203"/>
        <v>0</v>
      </c>
      <c r="R322" s="3"/>
      <c r="S322" s="43">
        <f t="shared" si="204"/>
        <v>23985165.949999999</v>
      </c>
      <c r="T322" s="38">
        <f t="shared" si="205"/>
        <v>30</v>
      </c>
      <c r="U322" s="3"/>
      <c r="V322" s="43">
        <f t="shared" si="222"/>
        <v>0</v>
      </c>
      <c r="W322" s="43">
        <f t="shared" si="222"/>
        <v>0</v>
      </c>
      <c r="X322" s="43">
        <f t="shared" si="222"/>
        <v>467710.73602500005</v>
      </c>
      <c r="Y322" s="43">
        <f t="shared" si="222"/>
        <v>915154.00682224997</v>
      </c>
      <c r="Z322" s="43">
        <f t="shared" si="222"/>
        <v>875497.33319328574</v>
      </c>
      <c r="AA322" s="3"/>
      <c r="AB322" s="43">
        <f t="shared" si="223"/>
        <v>0</v>
      </c>
      <c r="AC322" s="43">
        <f t="shared" si="223"/>
        <v>0</v>
      </c>
      <c r="AD322" s="43">
        <f t="shared" si="223"/>
        <v>39975.27658333334</v>
      </c>
      <c r="AE322" s="43">
        <f t="shared" si="223"/>
        <v>79950.553166666665</v>
      </c>
      <c r="AF322" s="43">
        <f t="shared" si="223"/>
        <v>79950.553166666665</v>
      </c>
      <c r="AG322" s="3"/>
      <c r="AH322" s="43">
        <f t="shared" si="206"/>
        <v>0</v>
      </c>
      <c r="AI322" s="43">
        <f t="shared" si="207"/>
        <v>0</v>
      </c>
      <c r="AJ322" s="43">
        <f t="shared" si="208"/>
        <v>507686.01260833337</v>
      </c>
      <c r="AK322" s="43">
        <f t="shared" si="209"/>
        <v>995104.55998891662</v>
      </c>
      <c r="AL322" s="43">
        <f t="shared" si="210"/>
        <v>955447.88635995239</v>
      </c>
      <c r="AM322" s="3"/>
      <c r="AN322" s="43">
        <f t="shared" si="211"/>
        <v>0</v>
      </c>
      <c r="AO322" s="43">
        <f t="shared" si="212"/>
        <v>0</v>
      </c>
      <c r="AP322" s="43">
        <f t="shared" si="213"/>
        <v>23477479.937391665</v>
      </c>
      <c r="AQ322" s="43">
        <f t="shared" si="214"/>
        <v>22482375.377402749</v>
      </c>
      <c r="AR322" s="43">
        <f t="shared" si="215"/>
        <v>21526927.491042797</v>
      </c>
      <c r="AS322" s="3"/>
      <c r="AT322" s="43">
        <f t="shared" si="221"/>
        <v>0</v>
      </c>
      <c r="AU322" s="43">
        <f t="shared" si="221"/>
        <v>0</v>
      </c>
      <c r="AV322" s="43">
        <f t="shared" si="221"/>
        <v>239851.65950000001</v>
      </c>
      <c r="AW322" s="43">
        <f t="shared" si="221"/>
        <v>245581.23594213603</v>
      </c>
      <c r="AX322" s="43">
        <f t="shared" si="221"/>
        <v>248757.09248533967</v>
      </c>
      <c r="AY322" s="3"/>
      <c r="AZ322" s="47">
        <f t="shared" si="216"/>
        <v>0</v>
      </c>
      <c r="BA322" s="47">
        <f t="shared" si="217"/>
        <v>0</v>
      </c>
      <c r="BB322" s="47">
        <f t="shared" si="218"/>
        <v>1639681.9097292167</v>
      </c>
      <c r="BC322" s="47">
        <f t="shared" si="219"/>
        <v>2095016.060272357</v>
      </c>
      <c r="BD322" s="47">
        <f t="shared" si="220"/>
        <v>2022228.2235049184</v>
      </c>
    </row>
    <row r="323" spans="1:56" s="230" customFormat="1">
      <c r="A323" s="3"/>
      <c r="B323" s="37">
        <f>'12. Investeringen (bijschatten)'!B126</f>
        <v>107</v>
      </c>
      <c r="C323" s="48"/>
      <c r="D323" s="3"/>
      <c r="E323" s="48"/>
      <c r="F323" s="169">
        <f>'12. Investeringen (bijschatten)'!C126</f>
        <v>2862737.08</v>
      </c>
      <c r="G323" s="3"/>
      <c r="H323" s="37">
        <f>'12. Investeringen (bijschatten)'!D126</f>
        <v>2024</v>
      </c>
      <c r="I323" s="37" t="str">
        <f>'12. Investeringen (bijschatten)'!E126</f>
        <v>42 Vulgas</v>
      </c>
      <c r="J323" s="169">
        <f>_xlfn.XLOOKUP(I323,'3. Input (des)investeringen '!$B$11:$B$81,'3. Input (des)investeringen '!$D$11:$D$81)</f>
        <v>0</v>
      </c>
      <c r="M323" s="43">
        <f t="shared" si="200"/>
        <v>0</v>
      </c>
      <c r="N323" s="43">
        <f t="shared" si="201"/>
        <v>0</v>
      </c>
      <c r="O323" s="3"/>
      <c r="P323" s="138">
        <f t="shared" si="202"/>
        <v>0</v>
      </c>
      <c r="Q323" s="138">
        <f t="shared" si="203"/>
        <v>0</v>
      </c>
      <c r="R323" s="3"/>
      <c r="S323" s="43">
        <f t="shared" si="204"/>
        <v>2862737.08</v>
      </c>
      <c r="T323" s="38">
        <f t="shared" si="205"/>
        <v>0</v>
      </c>
      <c r="U323" s="3"/>
      <c r="V323" s="43">
        <f t="shared" si="222"/>
        <v>0</v>
      </c>
      <c r="W323" s="43">
        <f t="shared" si="222"/>
        <v>0</v>
      </c>
      <c r="X323" s="43">
        <f t="shared" si="222"/>
        <v>0</v>
      </c>
      <c r="Y323" s="43">
        <f t="shared" si="222"/>
        <v>0</v>
      </c>
      <c r="Z323" s="43">
        <f t="shared" si="222"/>
        <v>0</v>
      </c>
      <c r="AA323" s="3"/>
      <c r="AB323" s="43">
        <f t="shared" si="223"/>
        <v>0</v>
      </c>
      <c r="AC323" s="43">
        <f t="shared" si="223"/>
        <v>0</v>
      </c>
      <c r="AD323" s="43">
        <f t="shared" si="223"/>
        <v>0</v>
      </c>
      <c r="AE323" s="43">
        <f t="shared" si="223"/>
        <v>0</v>
      </c>
      <c r="AF323" s="43">
        <f t="shared" si="223"/>
        <v>0</v>
      </c>
      <c r="AG323" s="3"/>
      <c r="AH323" s="43">
        <f t="shared" si="206"/>
        <v>0</v>
      </c>
      <c r="AI323" s="43">
        <f t="shared" si="207"/>
        <v>0</v>
      </c>
      <c r="AJ323" s="43">
        <f t="shared" si="208"/>
        <v>0</v>
      </c>
      <c r="AK323" s="43">
        <f t="shared" si="209"/>
        <v>0</v>
      </c>
      <c r="AL323" s="43">
        <f t="shared" si="210"/>
        <v>0</v>
      </c>
      <c r="AM323" s="3"/>
      <c r="AN323" s="43">
        <f t="shared" si="211"/>
        <v>0</v>
      </c>
      <c r="AO323" s="43">
        <f t="shared" si="212"/>
        <v>0</v>
      </c>
      <c r="AP323" s="43">
        <f t="shared" si="213"/>
        <v>2862737.08</v>
      </c>
      <c r="AQ323" s="43">
        <f t="shared" si="214"/>
        <v>2862737.08</v>
      </c>
      <c r="AR323" s="43">
        <f t="shared" si="215"/>
        <v>2862737.08</v>
      </c>
      <c r="AS323" s="3"/>
      <c r="AT323" s="43">
        <f t="shared" si="221"/>
        <v>0</v>
      </c>
      <c r="AU323" s="43">
        <f t="shared" si="221"/>
        <v>0</v>
      </c>
      <c r="AV323" s="43">
        <f t="shared" si="221"/>
        <v>28627.370800000001</v>
      </c>
      <c r="AW323" s="43">
        <f t="shared" si="221"/>
        <v>29311.221433670406</v>
      </c>
      <c r="AX323" s="43">
        <f t="shared" si="221"/>
        <v>29690.274149250621</v>
      </c>
      <c r="AY323" s="3"/>
      <c r="AZ323" s="47">
        <f t="shared" si="216"/>
        <v>0</v>
      </c>
      <c r="BA323" s="47">
        <f t="shared" si="217"/>
        <v>0</v>
      </c>
      <c r="BB323" s="47">
        <f t="shared" si="218"/>
        <v>137411.37984000001</v>
      </c>
      <c r="BC323" s="47">
        <f t="shared" si="219"/>
        <v>138095.23047367041</v>
      </c>
      <c r="BD323" s="47">
        <f t="shared" si="220"/>
        <v>138474.28318925062</v>
      </c>
    </row>
    <row r="324" spans="1:56" ht="13.5" customHeight="1">
      <c r="A324" s="230"/>
      <c r="C324" s="48"/>
      <c r="E324" s="48"/>
      <c r="F324" s="155"/>
      <c r="AR324" s="89"/>
    </row>
    <row r="325" spans="1:56" s="33" customFormat="1">
      <c r="A325" s="98"/>
      <c r="B325" s="33" t="s">
        <v>913</v>
      </c>
      <c r="J325" s="33" t="s">
        <v>909</v>
      </c>
    </row>
    <row r="326" spans="1:56" s="34" customFormat="1">
      <c r="A326" s="99"/>
      <c r="D326" s="35" t="s">
        <v>910</v>
      </c>
      <c r="J326" s="101">
        <v>2022</v>
      </c>
      <c r="K326" s="101">
        <v>2023</v>
      </c>
      <c r="L326" s="101">
        <v>2024</v>
      </c>
      <c r="M326" s="101">
        <v>2025</v>
      </c>
      <c r="N326" s="101">
        <v>2026</v>
      </c>
    </row>
    <row r="327" spans="1:56">
      <c r="C327" s="48"/>
      <c r="E327" s="48"/>
      <c r="AR327" s="89"/>
    </row>
    <row r="328" spans="1:56">
      <c r="B328" s="3" t="s">
        <v>914</v>
      </c>
      <c r="C328" s="48"/>
      <c r="D328" s="3">
        <v>2020</v>
      </c>
      <c r="E328" s="48"/>
      <c r="J328" s="47">
        <f t="shared" ref="J328:N332" si="224">SUMIFS(AZ$217:AZ$323, $H$217:$H$323,$D328)</f>
        <v>9233560.7003606651</v>
      </c>
      <c r="K328" s="47">
        <f t="shared" si="224"/>
        <v>8555993.2364601251</v>
      </c>
      <c r="L328" s="47">
        <f t="shared" si="224"/>
        <v>8778487.873406047</v>
      </c>
      <c r="M328" s="47">
        <f t="shared" si="224"/>
        <v>8193399.1175383404</v>
      </c>
      <c r="N328" s="47">
        <f t="shared" si="224"/>
        <v>7617395.0379718607</v>
      </c>
      <c r="P328" s="5"/>
      <c r="AR328" s="89"/>
    </row>
    <row r="329" spans="1:56">
      <c r="B329" s="3" t="s">
        <v>914</v>
      </c>
      <c r="C329" s="48"/>
      <c r="D329" s="3">
        <v>2021</v>
      </c>
      <c r="E329" s="48"/>
      <c r="J329" s="47">
        <f t="shared" si="224"/>
        <v>8497419.0957247205</v>
      </c>
      <c r="K329" s="47">
        <f t="shared" si="224"/>
        <v>7585714.20728698</v>
      </c>
      <c r="L329" s="47">
        <f t="shared" si="224"/>
        <v>7687390.3961598752</v>
      </c>
      <c r="M329" s="47">
        <f t="shared" si="224"/>
        <v>7485666.0735283894</v>
      </c>
      <c r="N329" s="47">
        <f t="shared" si="224"/>
        <v>6575816.0930289561</v>
      </c>
      <c r="AR329" s="89"/>
    </row>
    <row r="330" spans="1:56">
      <c r="B330" s="3" t="s">
        <v>914</v>
      </c>
      <c r="C330" s="48"/>
      <c r="D330" s="3">
        <v>2022</v>
      </c>
      <c r="E330" s="48"/>
      <c r="J330" s="47">
        <f t="shared" si="224"/>
        <v>4782494.0361667611</v>
      </c>
      <c r="K330" s="47">
        <f t="shared" si="224"/>
        <v>5962998.5874395613</v>
      </c>
      <c r="L330" s="47">
        <f t="shared" si="224"/>
        <v>6213032.0444317097</v>
      </c>
      <c r="M330" s="47">
        <f t="shared" si="224"/>
        <v>6054783.3855633335</v>
      </c>
      <c r="N330" s="47">
        <f t="shared" si="224"/>
        <v>5900150.7461827584</v>
      </c>
      <c r="AR330" s="89"/>
    </row>
    <row r="331" spans="1:56">
      <c r="B331" s="3" t="s">
        <v>914</v>
      </c>
      <c r="C331" s="48"/>
      <c r="D331" s="3">
        <v>2023</v>
      </c>
      <c r="E331" s="48"/>
      <c r="J331" s="47">
        <f t="shared" si="224"/>
        <v>0</v>
      </c>
      <c r="K331" s="47">
        <f t="shared" si="224"/>
        <v>3602822.9773279442</v>
      </c>
      <c r="L331" s="47">
        <f t="shared" si="224"/>
        <v>4804946.7147781914</v>
      </c>
      <c r="M331" s="47">
        <f t="shared" si="224"/>
        <v>4699913.7718138332</v>
      </c>
      <c r="N331" s="47">
        <f t="shared" si="224"/>
        <v>4592028.6759601338</v>
      </c>
      <c r="AR331" s="89"/>
    </row>
    <row r="332" spans="1:56">
      <c r="B332" s="3" t="s">
        <v>914</v>
      </c>
      <c r="C332" s="48"/>
      <c r="D332" s="3">
        <v>2024</v>
      </c>
      <c r="E332" s="48"/>
      <c r="J332" s="47">
        <f t="shared" si="224"/>
        <v>0</v>
      </c>
      <c r="K332" s="47">
        <f t="shared" si="224"/>
        <v>0</v>
      </c>
      <c r="L332" s="47">
        <f t="shared" si="224"/>
        <v>5899286.562046608</v>
      </c>
      <c r="M332" s="47">
        <f t="shared" si="224"/>
        <v>7279688.0108447643</v>
      </c>
      <c r="N332" s="47">
        <f t="shared" si="224"/>
        <v>7065737.4854048137</v>
      </c>
      <c r="AR332" s="89"/>
    </row>
    <row r="333" spans="1:56">
      <c r="B333" s="3" t="s">
        <v>914</v>
      </c>
      <c r="C333" s="48"/>
      <c r="D333" s="3">
        <v>2025</v>
      </c>
      <c r="E333" s="48"/>
      <c r="J333" s="97"/>
      <c r="K333" s="97"/>
      <c r="L333" s="97"/>
      <c r="M333" s="97"/>
      <c r="N333" s="97"/>
      <c r="AR333" s="89"/>
    </row>
    <row r="334" spans="1:56">
      <c r="B334" s="3" t="s">
        <v>914</v>
      </c>
      <c r="C334" s="48"/>
      <c r="D334" s="3">
        <v>2026</v>
      </c>
      <c r="E334" s="48"/>
      <c r="J334" s="97"/>
      <c r="K334" s="97"/>
      <c r="L334" s="97"/>
      <c r="M334" s="97"/>
      <c r="N334" s="97"/>
      <c r="AR334" s="89"/>
    </row>
    <row r="336" spans="1:56" s="8" customFormat="1">
      <c r="A336" s="150"/>
      <c r="B336" s="8" t="s">
        <v>915</v>
      </c>
      <c r="D336" s="8" t="s">
        <v>199</v>
      </c>
      <c r="J336" s="46">
        <v>2022</v>
      </c>
      <c r="K336" s="46">
        <v>2023</v>
      </c>
      <c r="L336" s="46">
        <v>2024</v>
      </c>
      <c r="M336" s="46">
        <v>2025</v>
      </c>
      <c r="N336" s="46">
        <v>2026</v>
      </c>
    </row>
    <row r="338" spans="2:14">
      <c r="B338" s="3" t="s">
        <v>916</v>
      </c>
      <c r="D338" s="3" t="s">
        <v>209</v>
      </c>
      <c r="J338" s="47">
        <f t="shared" ref="J338:N342" si="225">J328-J205</f>
        <v>-12756559.43889554</v>
      </c>
      <c r="K338" s="47">
        <f t="shared" si="225"/>
        <v>-11018374.816815039</v>
      </c>
      <c r="L338" s="47">
        <f t="shared" si="225"/>
        <v>-10839203.388769312</v>
      </c>
      <c r="M338" s="47">
        <f t="shared" si="225"/>
        <v>-9184753.292657651</v>
      </c>
      <c r="N338" s="47">
        <f t="shared" si="225"/>
        <v>-7763972.3356985589</v>
      </c>
    </row>
    <row r="339" spans="2:14">
      <c r="B339" s="3" t="s">
        <v>917</v>
      </c>
      <c r="D339" s="3" t="s">
        <v>209</v>
      </c>
      <c r="J339" s="47">
        <f t="shared" si="225"/>
        <v>-13837484.211981896</v>
      </c>
      <c r="K339" s="47">
        <f t="shared" si="225"/>
        <v>-12505574.939146273</v>
      </c>
      <c r="L339" s="47">
        <f t="shared" si="225"/>
        <v>-12477143.420360353</v>
      </c>
      <c r="M339" s="47">
        <f t="shared" si="225"/>
        <v>-11944801.475117594</v>
      </c>
      <c r="N339" s="47">
        <f t="shared" si="225"/>
        <v>-10707673.803729583</v>
      </c>
    </row>
    <row r="340" spans="2:14">
      <c r="B340" s="3" t="s">
        <v>918</v>
      </c>
      <c r="D340" s="3" t="s">
        <v>209</v>
      </c>
      <c r="J340" s="47">
        <f t="shared" si="225"/>
        <v>-11332587.168613983</v>
      </c>
      <c r="K340" s="47">
        <f t="shared" si="225"/>
        <v>-15705466.585948357</v>
      </c>
      <c r="L340" s="47">
        <f t="shared" si="225"/>
        <v>-14925157.671221215</v>
      </c>
      <c r="M340" s="47">
        <f t="shared" si="225"/>
        <v>-14237662.265062112</v>
      </c>
      <c r="N340" s="47">
        <f t="shared" si="225"/>
        <v>-13681020.936452162</v>
      </c>
    </row>
    <row r="341" spans="2:14">
      <c r="B341" s="3" t="s">
        <v>919</v>
      </c>
      <c r="D341" s="3" t="s">
        <v>209</v>
      </c>
      <c r="J341" s="47">
        <f t="shared" si="225"/>
        <v>0</v>
      </c>
      <c r="K341" s="47">
        <f t="shared" si="225"/>
        <v>-12510056.898220608</v>
      </c>
      <c r="L341" s="47">
        <f t="shared" si="225"/>
        <v>-18170099.194502193</v>
      </c>
      <c r="M341" s="47">
        <f t="shared" si="225"/>
        <v>-16632374.35250546</v>
      </c>
      <c r="N341" s="47">
        <f t="shared" si="225"/>
        <v>-15855429.123789616</v>
      </c>
    </row>
    <row r="342" spans="2:14">
      <c r="B342" s="3" t="s">
        <v>920</v>
      </c>
      <c r="D342" s="3" t="s">
        <v>209</v>
      </c>
      <c r="J342" s="47">
        <f t="shared" si="225"/>
        <v>0</v>
      </c>
      <c r="K342" s="47">
        <f t="shared" si="225"/>
        <v>0</v>
      </c>
      <c r="L342" s="47">
        <f t="shared" si="225"/>
        <v>-11488590.369743614</v>
      </c>
      <c r="M342" s="47">
        <f t="shared" si="225"/>
        <v>-15878320.299367916</v>
      </c>
      <c r="N342" s="47">
        <f t="shared" si="225"/>
        <v>-14400817.924602518</v>
      </c>
    </row>
    <row r="343" spans="2:14">
      <c r="B343" s="3" t="s">
        <v>921</v>
      </c>
      <c r="D343" s="3" t="s">
        <v>209</v>
      </c>
      <c r="J343" s="97"/>
      <c r="K343" s="97"/>
      <c r="L343" s="97"/>
      <c r="M343" s="97"/>
      <c r="N343" s="97"/>
    </row>
    <row r="344" spans="2:14">
      <c r="B344" s="3" t="s">
        <v>922</v>
      </c>
      <c r="D344" s="3" t="s">
        <v>209</v>
      </c>
      <c r="J344" s="97"/>
      <c r="K344" s="97"/>
      <c r="L344" s="97"/>
      <c r="M344" s="97"/>
      <c r="N344" s="97"/>
    </row>
    <row r="346" spans="2:14">
      <c r="B346" s="3" t="s">
        <v>923</v>
      </c>
      <c r="D346" s="3" t="s">
        <v>209</v>
      </c>
      <c r="J346" s="47">
        <f>J338</f>
        <v>-12756559.43889554</v>
      </c>
      <c r="K346" s="47">
        <f>K338+K339+J339*K33</f>
        <v>-37638183.652182847</v>
      </c>
      <c r="L346" s="43">
        <f>L338+L339+L340+K340*L34+J340*L33</f>
        <v>-66596798.198202893</v>
      </c>
      <c r="M346" s="43">
        <f>SUM(M338:M341)+L341*M35+K341*M34+J341*M33</f>
        <v>-85362788.83980006</v>
      </c>
      <c r="N346" s="96">
        <f>SUM(N338:N342)+M342*N36+L342*N35+K342*N34+J342*N33</f>
        <v>-91988581.719015703</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7059-B200-4123-B64B-A5D378C9DA1F}">
  <sheetPr>
    <tabColor rgb="FFFFFFCC"/>
  </sheetPr>
  <dimension ref="A2:AY393"/>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13.5703125" defaultRowHeight="12.75"/>
  <cols>
    <col min="1" max="1" width="2.5703125" style="3" customWidth="1"/>
    <col min="2" max="2" width="59.85546875" style="3" customWidth="1"/>
    <col min="3" max="3" width="2.5703125" style="3" customWidth="1"/>
    <col min="4" max="4" width="36.42578125" style="3" customWidth="1"/>
    <col min="5" max="5" width="2.5703125" style="3" customWidth="1"/>
    <col min="6" max="6" width="27.140625" style="3" bestFit="1" customWidth="1"/>
    <col min="7" max="7" width="29" style="3" bestFit="1" customWidth="1"/>
    <col min="8" max="8" width="23.140625" style="3" customWidth="1"/>
    <col min="9" max="9" width="31.140625" style="3" customWidth="1"/>
    <col min="10" max="11" width="23.140625" style="3" customWidth="1"/>
    <col min="12" max="12" width="15.5703125" style="3" customWidth="1"/>
    <col min="13" max="13" width="21.42578125" style="3" customWidth="1"/>
    <col min="14" max="14" width="33.5703125" style="3" bestFit="1" customWidth="1"/>
    <col min="15" max="15" width="2.5703125" style="3" customWidth="1"/>
    <col min="16" max="17" width="14.42578125" style="3" customWidth="1"/>
    <col min="18" max="18" width="15" style="3" customWidth="1"/>
    <col min="19" max="19" width="15.5703125" style="3" customWidth="1"/>
    <col min="20" max="20" width="13.5703125" style="3" customWidth="1"/>
    <col min="21" max="21" width="2.5703125" style="3" customWidth="1"/>
    <col min="22" max="22" width="12.5703125" style="3" customWidth="1"/>
    <col min="23" max="26" width="15.5703125" style="3" customWidth="1"/>
    <col min="27" max="27" width="2.5703125" style="3" customWidth="1"/>
    <col min="28" max="28" width="13.42578125" style="3" customWidth="1"/>
    <col min="29" max="32" width="15.5703125" style="3" customWidth="1"/>
    <col min="33" max="33" width="2.5703125" style="3" customWidth="1"/>
    <col min="34" max="34" width="15" style="3" customWidth="1"/>
    <col min="35" max="38" width="15.5703125" style="3" customWidth="1"/>
    <col min="39" max="39" width="2.5703125" style="3" customWidth="1"/>
    <col min="40" max="40" width="14.140625" style="3" bestFit="1" customWidth="1"/>
    <col min="41" max="44" width="13.5703125" style="3"/>
    <col min="52" max="52" width="15.5703125" style="3" customWidth="1"/>
    <col min="53" max="16384" width="13.5703125" style="3"/>
  </cols>
  <sheetData>
    <row r="2" spans="1:51" s="12" customFormat="1" ht="18">
      <c r="B2" s="12" t="s">
        <v>924</v>
      </c>
    </row>
    <row r="4" spans="1:51">
      <c r="B4" s="16" t="s">
        <v>868</v>
      </c>
    </row>
    <row r="5" spans="1:51" ht="63.6" customHeight="1">
      <c r="B5" s="346" t="s">
        <v>925</v>
      </c>
      <c r="C5" s="346"/>
      <c r="D5" s="346"/>
      <c r="F5" s="185"/>
    </row>
    <row r="7" spans="1:51">
      <c r="B7" s="354" t="s">
        <v>870</v>
      </c>
      <c r="C7" s="356"/>
      <c r="D7" s="356"/>
      <c r="F7" s="13"/>
      <c r="AS7" s="3"/>
      <c r="AT7" s="3"/>
      <c r="AU7" s="3"/>
      <c r="AV7" s="3"/>
      <c r="AW7" s="3"/>
      <c r="AX7" s="3"/>
      <c r="AY7" s="3"/>
    </row>
    <row r="8" spans="1:51" ht="55.5" customHeight="1">
      <c r="B8" s="346" t="s">
        <v>926</v>
      </c>
      <c r="C8" s="346"/>
      <c r="D8" s="346"/>
      <c r="F8" s="13"/>
      <c r="AS8" s="3"/>
      <c r="AT8" s="3"/>
      <c r="AU8" s="3"/>
      <c r="AV8" s="3"/>
      <c r="AW8" s="3"/>
      <c r="AX8" s="3"/>
      <c r="AY8" s="3"/>
    </row>
    <row r="10" spans="1:51" s="8" customFormat="1">
      <c r="B10" s="8" t="s">
        <v>157</v>
      </c>
      <c r="H10" s="53"/>
      <c r="I10" s="46"/>
      <c r="J10" s="53"/>
      <c r="K10" s="46"/>
      <c r="L10" s="46"/>
      <c r="M10" s="46"/>
    </row>
    <row r="12" spans="1:51" s="33" customFormat="1">
      <c r="A12" s="98"/>
      <c r="B12" s="33" t="s">
        <v>872</v>
      </c>
    </row>
    <row r="13" spans="1:51" s="34" customFormat="1">
      <c r="A13" s="99"/>
      <c r="B13" s="34" t="s">
        <v>157</v>
      </c>
      <c r="D13" s="34" t="s">
        <v>199</v>
      </c>
      <c r="F13" s="34" t="s">
        <v>200</v>
      </c>
      <c r="H13" s="101">
        <v>2022</v>
      </c>
      <c r="I13" s="101">
        <v>2023</v>
      </c>
      <c r="J13" s="101">
        <v>2024</v>
      </c>
      <c r="K13" s="101">
        <v>2025</v>
      </c>
      <c r="L13" s="101">
        <v>2026</v>
      </c>
    </row>
    <row r="14" spans="1:51" s="102" customFormat="1">
      <c r="H14" s="103"/>
      <c r="I14" s="104"/>
      <c r="J14" s="103"/>
      <c r="K14" s="104"/>
      <c r="L14" s="104"/>
      <c r="Q14" s="104"/>
      <c r="U14" s="104"/>
      <c r="V14" s="104"/>
      <c r="W14" s="104"/>
      <c r="AA14" s="104"/>
      <c r="AB14" s="104"/>
      <c r="AC14" s="104"/>
    </row>
    <row r="15" spans="1:51">
      <c r="B15" s="16" t="s">
        <v>211</v>
      </c>
    </row>
    <row r="16" spans="1:51">
      <c r="B16" s="148" t="s">
        <v>873</v>
      </c>
      <c r="D16" s="3" t="s">
        <v>204</v>
      </c>
      <c r="H16" s="140">
        <f>IF(ISBLANK('2. Parameters'!M28),'2. Parameters'!M24,'2. Parameters'!M28)</f>
        <v>4.1000000000000002E-2</v>
      </c>
      <c r="I16" s="140">
        <f>IF(ISBLANK('2. Parameters'!N28),'2. Parameters'!N24,'2. Parameters'!N28)</f>
        <v>5.0999999999999997E-2</v>
      </c>
      <c r="J16" s="140">
        <f>IF(ISBLANK('2. Parameters'!O28),'2. Parameters'!O24,'2. Parameters'!O28)</f>
        <v>5.0999999999999997E-2</v>
      </c>
      <c r="K16" s="140">
        <f>IF(ISBLANK('2. Parameters'!P28),'2. Parameters'!P24,'2. Parameters'!P28)</f>
        <v>3.7999999999999999E-2</v>
      </c>
      <c r="L16" s="140">
        <f>IF(ISBLANK('2. Parameters'!Q28),'2. Parameters'!Q24,'2. Parameters'!Q28)</f>
        <v>3.7999999999999999E-2</v>
      </c>
    </row>
    <row r="18" spans="1:51">
      <c r="B18" s="16" t="s">
        <v>222</v>
      </c>
    </row>
    <row r="19" spans="1:51">
      <c r="B19" s="3" t="s">
        <v>222</v>
      </c>
      <c r="D19" s="3" t="s">
        <v>204</v>
      </c>
      <c r="F19" s="77">
        <f>'2. Parameters'!F32</f>
        <v>0.01</v>
      </c>
    </row>
    <row r="20" spans="1:51" s="90" customFormat="1">
      <c r="A20" s="3"/>
      <c r="F20" s="106"/>
    </row>
    <row r="21" spans="1:51" s="90" customFormat="1">
      <c r="A21" s="3"/>
      <c r="B21" s="107" t="s">
        <v>248</v>
      </c>
      <c r="F21" s="106"/>
    </row>
    <row r="22" spans="1:51">
      <c r="B22" s="3" t="s">
        <v>248</v>
      </c>
      <c r="F22" s="108">
        <f>'2. Parameters'!F88</f>
        <v>1.3</v>
      </c>
    </row>
    <row r="24" spans="1:51">
      <c r="B24" s="2" t="s">
        <v>249</v>
      </c>
    </row>
    <row r="25" spans="1:51">
      <c r="B25" s="3" t="s">
        <v>249</v>
      </c>
      <c r="D25" s="3" t="s">
        <v>204</v>
      </c>
      <c r="F25" s="78">
        <f>'2. Parameters'!F92</f>
        <v>0.1</v>
      </c>
    </row>
    <row r="27" spans="1:51">
      <c r="B27" s="2" t="s">
        <v>250</v>
      </c>
    </row>
    <row r="28" spans="1:51">
      <c r="B28" s="3" t="s">
        <v>250</v>
      </c>
      <c r="D28" s="3" t="s">
        <v>204</v>
      </c>
      <c r="F28" s="78">
        <f>'2. Parameters'!F96</f>
        <v>0.9</v>
      </c>
    </row>
    <row r="30" spans="1:51">
      <c r="B30" s="2" t="s">
        <v>247</v>
      </c>
      <c r="AS30" s="3"/>
      <c r="AT30" s="3"/>
      <c r="AU30" s="3"/>
      <c r="AV30" s="3"/>
      <c r="AW30" s="3"/>
      <c r="AX30" s="3"/>
      <c r="AY30" s="3"/>
    </row>
    <row r="31" spans="1:51">
      <c r="B31" s="3" t="s">
        <v>247</v>
      </c>
      <c r="D31" s="3" t="s">
        <v>204</v>
      </c>
      <c r="F31" s="149">
        <f>'2. Parameters'!F84</f>
        <v>1</v>
      </c>
      <c r="AS31" s="3"/>
      <c r="AT31" s="3"/>
      <c r="AU31" s="3"/>
      <c r="AV31" s="3"/>
      <c r="AW31" s="3"/>
      <c r="AX31" s="3"/>
      <c r="AY31" s="3"/>
    </row>
    <row r="32" spans="1:51">
      <c r="AS32" s="3"/>
      <c r="AT32" s="3"/>
      <c r="AU32" s="3"/>
      <c r="AV32" s="3"/>
      <c r="AW32" s="3"/>
      <c r="AX32" s="3"/>
      <c r="AY32" s="3"/>
    </row>
    <row r="33" spans="2:40">
      <c r="B33" s="16" t="s">
        <v>242</v>
      </c>
    </row>
    <row r="34" spans="2:40">
      <c r="B34" s="28" t="s">
        <v>232</v>
      </c>
      <c r="D34" s="3" t="s">
        <v>874</v>
      </c>
      <c r="H34" s="32">
        <f>'2. Parameters'!M76</f>
        <v>1</v>
      </c>
      <c r="I34" s="32">
        <f>'2. Parameters'!N76</f>
        <v>1.02</v>
      </c>
      <c r="J34" s="32">
        <f>'2. Parameters'!O76</f>
        <v>1.0608</v>
      </c>
      <c r="K34" s="32">
        <f>'2. Parameters'!P76</f>
        <v>1.1350560000000001</v>
      </c>
      <c r="L34" s="32">
        <f>'2. Parameters'!Q76</f>
        <v>1.1918088000000002</v>
      </c>
    </row>
    <row r="35" spans="2:40">
      <c r="B35" s="28" t="s">
        <v>233</v>
      </c>
      <c r="D35" s="3" t="s">
        <v>874</v>
      </c>
      <c r="H35" s="10"/>
      <c r="I35" s="32">
        <f>'2. Parameters'!N77</f>
        <v>1</v>
      </c>
      <c r="J35" s="32">
        <f>'2. Parameters'!O77</f>
        <v>1.04</v>
      </c>
      <c r="K35" s="32">
        <f>'2. Parameters'!P77</f>
        <v>1.1128</v>
      </c>
      <c r="L35" s="32">
        <f>'2. Parameters'!Q77</f>
        <v>1.1684400000000001</v>
      </c>
    </row>
    <row r="36" spans="2:40">
      <c r="B36" s="28" t="s">
        <v>234</v>
      </c>
      <c r="D36" s="3" t="s">
        <v>874</v>
      </c>
      <c r="H36" s="10"/>
      <c r="I36" s="10"/>
      <c r="J36" s="32">
        <f>'2. Parameters'!O78</f>
        <v>1</v>
      </c>
      <c r="K36" s="32">
        <f>'2. Parameters'!P78</f>
        <v>1.07</v>
      </c>
      <c r="L36" s="32">
        <f>'2. Parameters'!Q78</f>
        <v>1.1235000000000002</v>
      </c>
    </row>
    <row r="37" spans="2:40">
      <c r="B37" s="28" t="s">
        <v>235</v>
      </c>
      <c r="D37" s="3" t="s">
        <v>874</v>
      </c>
      <c r="H37" s="10"/>
      <c r="I37" s="10"/>
      <c r="J37" s="10"/>
      <c r="K37" s="32">
        <f>'2. Parameters'!P79</f>
        <v>1</v>
      </c>
      <c r="L37" s="32">
        <f>'2. Parameters'!Q79</f>
        <v>1.05</v>
      </c>
    </row>
    <row r="38" spans="2:40">
      <c r="B38" s="28" t="s">
        <v>236</v>
      </c>
      <c r="D38" s="3" t="s">
        <v>874</v>
      </c>
      <c r="H38" s="10"/>
      <c r="I38" s="10"/>
      <c r="J38" s="10"/>
      <c r="K38" s="10"/>
      <c r="L38" s="32">
        <f>'2. Parameters'!Q80</f>
        <v>1</v>
      </c>
    </row>
    <row r="40" spans="2:40">
      <c r="B40" s="2" t="s">
        <v>223</v>
      </c>
    </row>
    <row r="41" spans="2:40">
      <c r="B41" s="3" t="s">
        <v>877</v>
      </c>
      <c r="D41" s="3" t="s">
        <v>227</v>
      </c>
      <c r="H41" s="32">
        <f>'2. Parameters'!M45</f>
        <v>1</v>
      </c>
      <c r="I41" s="32">
        <f>'2. Parameters'!N45</f>
        <v>1.0620000000000001</v>
      </c>
      <c r="J41" s="32">
        <f>'2. Parameters'!O45</f>
        <v>1.1469600000000002</v>
      </c>
      <c r="K41" s="32">
        <f>'2. Parameters'!P45</f>
        <v>1.1790748800000002</v>
      </c>
      <c r="L41" s="32">
        <f>'2. Parameters'!Q45</f>
        <v>1.19911915296</v>
      </c>
    </row>
    <row r="42" spans="2:40">
      <c r="B42" s="3" t="s">
        <v>878</v>
      </c>
      <c r="D42" s="3" t="s">
        <v>227</v>
      </c>
      <c r="H42" s="10"/>
      <c r="I42" s="32">
        <f>'2. Parameters'!N46</f>
        <v>1</v>
      </c>
      <c r="J42" s="32">
        <f>'2. Parameters'!O46</f>
        <v>1.08</v>
      </c>
      <c r="K42" s="32">
        <f>'2. Parameters'!P46</f>
        <v>1.1102400000000001</v>
      </c>
      <c r="L42" s="32">
        <f>'2. Parameters'!Q46</f>
        <v>1.1291140799999999</v>
      </c>
    </row>
    <row r="43" spans="2:40">
      <c r="B43" s="3" t="s">
        <v>879</v>
      </c>
      <c r="D43" s="3" t="s">
        <v>227</v>
      </c>
      <c r="H43" s="10"/>
      <c r="I43" s="10"/>
      <c r="J43" s="32">
        <f>'2. Parameters'!O47</f>
        <v>1</v>
      </c>
      <c r="K43" s="32">
        <f>'2. Parameters'!P47</f>
        <v>1.028</v>
      </c>
      <c r="L43" s="32">
        <f>'2. Parameters'!Q47</f>
        <v>1.0454759999999998</v>
      </c>
    </row>
    <row r="44" spans="2:40">
      <c r="B44" s="3" t="s">
        <v>880</v>
      </c>
      <c r="D44" s="3" t="s">
        <v>227</v>
      </c>
      <c r="H44" s="10"/>
      <c r="I44" s="10"/>
      <c r="J44" s="10"/>
      <c r="K44" s="32">
        <f>'2. Parameters'!P48</f>
        <v>1</v>
      </c>
      <c r="L44" s="32">
        <f>'2. Parameters'!Q48</f>
        <v>1.0169999999999999</v>
      </c>
    </row>
    <row r="45" spans="2:40">
      <c r="B45" s="3" t="s">
        <v>881</v>
      </c>
      <c r="D45" s="3" t="s">
        <v>227</v>
      </c>
      <c r="H45" s="10"/>
      <c r="I45" s="10"/>
      <c r="J45" s="10"/>
      <c r="K45" s="10"/>
      <c r="L45" s="32">
        <f>'2. Parameters'!Q49</f>
        <v>1</v>
      </c>
    </row>
    <row r="47" spans="2:40" s="33" customFormat="1">
      <c r="B47" s="33" t="s">
        <v>927</v>
      </c>
    </row>
    <row r="48" spans="2:40" s="36" customFormat="1">
      <c r="P48" s="36" t="s">
        <v>886</v>
      </c>
      <c r="V48" s="36" t="s">
        <v>887</v>
      </c>
      <c r="AB48" s="36" t="s">
        <v>888</v>
      </c>
      <c r="AH48" s="36" t="s">
        <v>889</v>
      </c>
      <c r="AN48" s="36" t="s">
        <v>890</v>
      </c>
    </row>
    <row r="49" spans="1:51" s="39" customFormat="1">
      <c r="B49" s="39" t="s">
        <v>893</v>
      </c>
      <c r="F49" s="39" t="s">
        <v>928</v>
      </c>
      <c r="G49" s="40" t="s">
        <v>553</v>
      </c>
      <c r="H49" s="40" t="s">
        <v>929</v>
      </c>
      <c r="I49" s="40" t="s">
        <v>895</v>
      </c>
      <c r="J49" s="39" t="s">
        <v>930</v>
      </c>
      <c r="K49" s="39" t="s">
        <v>381</v>
      </c>
      <c r="M49" s="39" t="s">
        <v>897</v>
      </c>
      <c r="N49" s="39" t="s">
        <v>931</v>
      </c>
      <c r="P49" s="45">
        <v>2022</v>
      </c>
      <c r="Q49" s="45">
        <v>2023</v>
      </c>
      <c r="R49" s="45">
        <v>2024</v>
      </c>
      <c r="S49" s="45">
        <v>2025</v>
      </c>
      <c r="T49" s="45">
        <v>2026</v>
      </c>
      <c r="V49" s="45">
        <v>2022</v>
      </c>
      <c r="W49" s="45">
        <v>2023</v>
      </c>
      <c r="X49" s="45">
        <v>2024</v>
      </c>
      <c r="Y49" s="45">
        <v>2025</v>
      </c>
      <c r="Z49" s="45">
        <v>2026</v>
      </c>
      <c r="AB49" s="45">
        <v>2022</v>
      </c>
      <c r="AC49" s="45">
        <v>2023</v>
      </c>
      <c r="AD49" s="45">
        <v>2024</v>
      </c>
      <c r="AE49" s="45">
        <v>2025</v>
      </c>
      <c r="AF49" s="45">
        <v>2026</v>
      </c>
      <c r="AH49" s="45">
        <v>2022</v>
      </c>
      <c r="AI49" s="45">
        <v>2023</v>
      </c>
      <c r="AJ49" s="45">
        <v>2024</v>
      </c>
      <c r="AK49" s="45">
        <v>2025</v>
      </c>
      <c r="AL49" s="45">
        <v>2026</v>
      </c>
      <c r="AN49" s="45">
        <v>2022</v>
      </c>
      <c r="AO49" s="45">
        <v>2023</v>
      </c>
      <c r="AP49" s="45">
        <v>2024</v>
      </c>
      <c r="AQ49" s="45">
        <v>2025</v>
      </c>
      <c r="AR49" s="45">
        <v>2026</v>
      </c>
    </row>
    <row r="50" spans="1:51" s="48" customFormat="1">
      <c r="G50" s="49"/>
      <c r="H50" s="49"/>
      <c r="I50" s="49"/>
    </row>
    <row r="51" spans="1:51">
      <c r="A51" s="48"/>
      <c r="B51" s="37">
        <f>'13. Desinvesteringen'!B335</f>
        <v>316</v>
      </c>
      <c r="C51" s="48"/>
      <c r="D51" s="48"/>
      <c r="E51" s="48"/>
      <c r="F51" s="42">
        <f>'5. Input GAW-waarde desinv.'!D11</f>
        <v>0</v>
      </c>
      <c r="G51" s="177">
        <f>'13. Desinvesteringen'!D335</f>
        <v>1949</v>
      </c>
      <c r="H51" s="177">
        <f>'13. Desinvesteringen'!G335</f>
        <v>2022</v>
      </c>
      <c r="I51" s="37" t="str">
        <f>'13. Desinvesteringen'!C335</f>
        <v>01 Regionale leidingen</v>
      </c>
      <c r="J51" s="166">
        <f>'13. Desinvesteringen'!F335</f>
        <v>0</v>
      </c>
      <c r="K51" s="38">
        <f>_xlfn.XLOOKUP(I51,'3. Input (des)investeringen '!$B$11:$B$81,'3. Input (des)investeringen '!$E$11:$E$81)</f>
        <v>1</v>
      </c>
      <c r="L51" s="48"/>
      <c r="M51" s="38">
        <f>_xlfn.XLOOKUP(I51,'3. Input (des)investeringen '!$B$11:$B$81,'3. Input (des)investeringen '!$D$11:$D$81,0)</f>
        <v>55</v>
      </c>
      <c r="N51" s="38">
        <f>IF($M51&gt;0, MAX(0,IF(G51&lt;2022,M51-2021+G51-0.5,M51)), 0)</f>
        <v>0</v>
      </c>
      <c r="P51" s="43">
        <f>IF($M51&gt;0, IF(OR($G51&gt;P$49,$G51+$M51&lt;P$49),0,
VDB($F51,0,$N51,MAX(0,P$49-2022),MIN($N51,P$49-2021),$F$22,FALSE))*(1-$F$25), 0)</f>
        <v>0</v>
      </c>
      <c r="Q51" s="43">
        <f>IF($M51&gt;0, IF(OR($G51&gt;Q$49,$G51+$M51&lt;Q$49),0,
VDB($F51,0,$N51,MAX(0,Q$49-2022),MIN($N51,Q$49-2021),$F$22,FALSE))*(1-$F$25), 0)</f>
        <v>0</v>
      </c>
      <c r="R51" s="43">
        <f t="shared" ref="R51:T66" si="0">IF($M51&gt;0, IF(OR($G51&gt;R$49,$G51+$M51&lt;R$49),0,
VDB($F51,0,$N51,MAX(0,R$49-2022),MIN($N51,R$49-2021),$F$22,FALSE))*(1-$F$25), 0)</f>
        <v>0</v>
      </c>
      <c r="S51" s="43">
        <f t="shared" si="0"/>
        <v>0</v>
      </c>
      <c r="T51" s="95">
        <f t="shared" si="0"/>
        <v>0</v>
      </c>
      <c r="V51" s="43">
        <f>IF($M51&gt;0, IF(OR($G51&gt;V$49,$G51+$M51&lt;V$49),0,
VDB($F51,0,$N51,MAX(0,P$49-2022),MIN($N51,P$49-2021),1,FALSE))*$F$25, 0)</f>
        <v>0</v>
      </c>
      <c r="W51" s="43">
        <f t="shared" ref="W51:Z51" si="1">IF($M51&gt;0, IF(OR($G51&gt;W$49,$G51+$M51&lt;W$49),0,
VDB($F51,0,$N51,MAX(0,Q$49-2022),MIN($N51,Q$49-2021),1,FALSE))*$F$25, 0)</f>
        <v>0</v>
      </c>
      <c r="X51" s="43">
        <f t="shared" si="1"/>
        <v>0</v>
      </c>
      <c r="Y51" s="43">
        <f t="shared" si="1"/>
        <v>0</v>
      </c>
      <c r="Z51" s="95">
        <f t="shared" si="1"/>
        <v>0</v>
      </c>
      <c r="AB51" s="43">
        <f>P51+V51</f>
        <v>0</v>
      </c>
      <c r="AC51" s="43">
        <f>Q51+W51</f>
        <v>0</v>
      </c>
      <c r="AD51" s="43">
        <f>R51+X51</f>
        <v>0</v>
      </c>
      <c r="AE51" s="43">
        <f t="shared" ref="AE51:AF51" si="2">S51+Y51</f>
        <v>0</v>
      </c>
      <c r="AF51" s="95">
        <f t="shared" si="2"/>
        <v>0</v>
      </c>
      <c r="AH51" s="43">
        <f>IF($M51&gt;0, IF($M51&gt;0,IF(OR($G51&gt;AH$49,$G51+$M51&lt;=AH$49),0,IF(AH$49=2022,$F51-AB51,AG51-AB51))), $F51)</f>
        <v>0</v>
      </c>
      <c r="AI51" s="43">
        <f>IF($M51&gt;0, IF(OR($G51&gt;AI$49,$G51+$M51&lt;=AI$49),0,IF(AI$49=2022,$F51-AC51,AH51-AC51)), AH51)</f>
        <v>0</v>
      </c>
      <c r="AJ51" s="43">
        <f t="shared" ref="AJ51:AL51" si="3">IF($M51&gt;0, IF(OR($G51&gt;AJ$49,$G51+$M51&lt;=AJ$49),0,IF(AJ$49=2022,$F51-AD51,AI51-AD51)), AI51)</f>
        <v>0</v>
      </c>
      <c r="AK51" s="43">
        <f t="shared" si="3"/>
        <v>0</v>
      </c>
      <c r="AL51" s="95">
        <f t="shared" si="3"/>
        <v>0</v>
      </c>
      <c r="AN51" s="47">
        <f t="shared" ref="AN51" si="4">(AB51+AH51*H$16)*IF($K51=1,$F$31,1)</f>
        <v>0</v>
      </c>
      <c r="AO51" s="47">
        <f t="shared" ref="AO51" si="5">(AC51+AI51*I$16)*IF($K51=1,$F$31,1)</f>
        <v>0</v>
      </c>
      <c r="AP51" s="47">
        <f t="shared" ref="AP51" si="6">(AD51+AJ51*J$16)*IF($K51=1,$F$31,1)</f>
        <v>0</v>
      </c>
      <c r="AQ51" s="47">
        <f t="shared" ref="AQ51" si="7">(AE51+AK51*K$16)*IF($K51=1,$F$31,1)</f>
        <v>0</v>
      </c>
      <c r="AR51" s="193">
        <f t="shared" ref="AR51" si="8">(AF51+AL51*L$16)*IF($K51=1,$F$31,1)</f>
        <v>0</v>
      </c>
      <c r="AY51" s="3"/>
    </row>
    <row r="52" spans="1:51">
      <c r="A52" s="48"/>
      <c r="B52" s="37">
        <f>'13. Desinvesteringen'!B336</f>
        <v>317</v>
      </c>
      <c r="C52" s="48"/>
      <c r="D52" s="48"/>
      <c r="E52" s="48"/>
      <c r="F52" s="42">
        <f>'5. Input GAW-waarde desinv.'!D12</f>
        <v>0</v>
      </c>
      <c r="G52" s="177">
        <f>'13. Desinvesteringen'!D336</f>
        <v>1951</v>
      </c>
      <c r="H52" s="177">
        <f>'13. Desinvesteringen'!G336</f>
        <v>2022</v>
      </c>
      <c r="I52" s="37" t="str">
        <f>'13. Desinvesteringen'!C336</f>
        <v>01 Regionale leidingen</v>
      </c>
      <c r="J52" s="166">
        <f>'13. Desinvesteringen'!F336</f>
        <v>0</v>
      </c>
      <c r="K52" s="38">
        <f>_xlfn.XLOOKUP(I52,'3. Input (des)investeringen '!$B$11:$B$81,'3. Input (des)investeringen '!$E$11:$E$81)</f>
        <v>1</v>
      </c>
      <c r="L52" s="48"/>
      <c r="M52" s="38">
        <f>_xlfn.XLOOKUP(I52,'3. Input (des)investeringen '!$B$11:$B$81,'3. Input (des)investeringen '!$D$11:$D$81,0)</f>
        <v>55</v>
      </c>
      <c r="N52" s="38">
        <f t="shared" ref="N52:N115" si="9">IF($M52&gt;0, MAX(0,IF(G52&lt;2022,M52-2021+G52-0.5,M52)), 0)</f>
        <v>0</v>
      </c>
      <c r="P52" s="43">
        <f t="shared" ref="P52:T83" si="10">IF($M52&gt;0, IF(OR($G52&gt;P$49,$G52+$M52&lt;P$49),0,
VDB($F52,0,$N52,MAX(0,P$49-2022),MIN($N52,P$49-2021),$F$22,FALSE))*(1-$F$25), 0)</f>
        <v>0</v>
      </c>
      <c r="Q52" s="43">
        <f t="shared" si="10"/>
        <v>0</v>
      </c>
      <c r="R52" s="43">
        <f t="shared" si="0"/>
        <v>0</v>
      </c>
      <c r="S52" s="43">
        <f t="shared" si="0"/>
        <v>0</v>
      </c>
      <c r="T52" s="95">
        <f t="shared" si="0"/>
        <v>0</v>
      </c>
      <c r="V52" s="43">
        <f t="shared" ref="V52:V115" si="11">IF($M52&gt;0, IF(OR($G52&gt;V$49,$G52+$M52&lt;V$49),0,
VDB($F52,0,$N52,MAX(0,P$49-2022),MIN($N52,P$49-2021),1,FALSE))*$F$25, 0)</f>
        <v>0</v>
      </c>
      <c r="W52" s="43">
        <f t="shared" ref="W52:W115" si="12">IF($M52&gt;0, IF(OR($G52&gt;W$49,$G52+$M52&lt;W$49),0,
VDB($F52,0,$N52,MAX(0,Q$49-2022),MIN($N52,Q$49-2021),1,FALSE))*$F$25, 0)</f>
        <v>0</v>
      </c>
      <c r="X52" s="43">
        <f t="shared" ref="X52:X115" si="13">IF($M52&gt;0, IF(OR($G52&gt;X$49,$G52+$M52&lt;X$49),0,
VDB($F52,0,$N52,MAX(0,R$49-2022),MIN($N52,R$49-2021),1,FALSE))*$F$25, 0)</f>
        <v>0</v>
      </c>
      <c r="Y52" s="43">
        <f t="shared" ref="Y52:Y115" si="14">IF($M52&gt;0, IF(OR($G52&gt;Y$49,$G52+$M52&lt;Y$49),0,
VDB($F52,0,$N52,MAX(0,S$49-2022),MIN($N52,S$49-2021),1,FALSE))*$F$25, 0)</f>
        <v>0</v>
      </c>
      <c r="Z52" s="95">
        <f t="shared" ref="Z52:Z115" si="15">IF($M52&gt;0, IF(OR($G52&gt;Z$49,$G52+$M52&lt;Z$49),0,
VDB($F52,0,$N52,MAX(0,T$49-2022),MIN($N52,T$49-2021),1,FALSE))*$F$25, 0)</f>
        <v>0</v>
      </c>
      <c r="AB52" s="43">
        <f t="shared" ref="AB52:AB115" si="16">P52+V52</f>
        <v>0</v>
      </c>
      <c r="AC52" s="43">
        <f t="shared" ref="AC52:AC115" si="17">Q52+W52</f>
        <v>0</v>
      </c>
      <c r="AD52" s="43">
        <f t="shared" ref="AD52:AD115" si="18">R52+X52</f>
        <v>0</v>
      </c>
      <c r="AE52" s="43">
        <f t="shared" ref="AE52:AE115" si="19">S52+Y52</f>
        <v>0</v>
      </c>
      <c r="AF52" s="95">
        <f t="shared" ref="AF52:AF115" si="20">T52+Z52</f>
        <v>0</v>
      </c>
      <c r="AH52" s="43">
        <f t="shared" ref="AH52:AH115" si="21">IF($M52&gt;0, IF($M52&gt;0,IF(OR($G52&gt;AH$49,$G52+$M52&lt;=AH$49),0,IF(AH$49=2022,$F52-AB52,AG52-AB52))), $F52)</f>
        <v>0</v>
      </c>
      <c r="AI52" s="43">
        <f t="shared" ref="AI52:AI115" si="22">IF($M52&gt;0, IF(OR($G52&gt;AI$49,$G52+$M52&lt;=AI$49),0,IF(AI$49=2022,$F52-AC52,AH52-AC52)), AH52)</f>
        <v>0</v>
      </c>
      <c r="AJ52" s="43">
        <f t="shared" ref="AJ52:AJ115" si="23">IF($M52&gt;0, IF(OR($G52&gt;AJ$49,$G52+$M52&lt;=AJ$49),0,IF(AJ$49=2022,$F52-AD52,AI52-AD52)), AI52)</f>
        <v>0</v>
      </c>
      <c r="AK52" s="43">
        <f t="shared" ref="AK52:AK115" si="24">IF($M52&gt;0, IF(OR($G52&gt;AK$49,$G52+$M52&lt;=AK$49),0,IF(AK$49=2022,$F52-AE52,AJ52-AE52)), AJ52)</f>
        <v>0</v>
      </c>
      <c r="AL52" s="95">
        <f t="shared" ref="AL52:AL115" si="25">IF($M52&gt;0, IF(OR($G52&gt;AL$49,$G52+$M52&lt;=AL$49),0,IF(AL$49=2022,$F52-AF52,AK52-AF52)), AK52)</f>
        <v>0</v>
      </c>
      <c r="AN52" s="47">
        <f t="shared" ref="AN52:AN115" si="26">(AB52+AH52*H$16)*IF($K52=1,$F$31,1)</f>
        <v>0</v>
      </c>
      <c r="AO52" s="47">
        <f t="shared" ref="AO52:AO115" si="27">(AC52+AI52*I$16)*IF($K52=1,$F$31,1)</f>
        <v>0</v>
      </c>
      <c r="AP52" s="47">
        <f t="shared" ref="AP52:AP115" si="28">(AD52+AJ52*J$16)*IF($K52=1,$F$31,1)</f>
        <v>0</v>
      </c>
      <c r="AQ52" s="47">
        <f t="shared" ref="AQ52:AQ115" si="29">(AE52+AK52*K$16)*IF($K52=1,$F$31,1)</f>
        <v>0</v>
      </c>
      <c r="AR52" s="193">
        <f t="shared" ref="AR52:AR115" si="30">(AF52+AL52*L$16)*IF($K52=1,$F$31,1)</f>
        <v>0</v>
      </c>
      <c r="AY52" s="3"/>
    </row>
    <row r="53" spans="1:51">
      <c r="A53" s="48"/>
      <c r="B53" s="37">
        <f>'13. Desinvesteringen'!B337</f>
        <v>318</v>
      </c>
      <c r="C53" s="48"/>
      <c r="D53" s="48"/>
      <c r="E53" s="48"/>
      <c r="F53" s="42">
        <f>'5. Input GAW-waarde desinv.'!D13</f>
        <v>0</v>
      </c>
      <c r="G53" s="177">
        <f>'13. Desinvesteringen'!D337</f>
        <v>1955</v>
      </c>
      <c r="H53" s="177">
        <f>'13. Desinvesteringen'!G337</f>
        <v>2022</v>
      </c>
      <c r="I53" s="37" t="str">
        <f>'13. Desinvesteringen'!C337</f>
        <v>01 Regionale leidingen</v>
      </c>
      <c r="J53" s="166">
        <f>'13. Desinvesteringen'!F337</f>
        <v>0</v>
      </c>
      <c r="K53" s="38">
        <f>_xlfn.XLOOKUP(I53,'3. Input (des)investeringen '!$B$11:$B$81,'3. Input (des)investeringen '!$E$11:$E$81)</f>
        <v>1</v>
      </c>
      <c r="L53" s="48"/>
      <c r="M53" s="38">
        <f>_xlfn.XLOOKUP(I53,'3. Input (des)investeringen '!$B$11:$B$81,'3. Input (des)investeringen '!$D$11:$D$81,0)</f>
        <v>55</v>
      </c>
      <c r="N53" s="38">
        <f t="shared" si="9"/>
        <v>0</v>
      </c>
      <c r="P53" s="43">
        <f t="shared" si="10"/>
        <v>0</v>
      </c>
      <c r="Q53" s="43">
        <f t="shared" si="10"/>
        <v>0</v>
      </c>
      <c r="R53" s="43">
        <f t="shared" si="0"/>
        <v>0</v>
      </c>
      <c r="S53" s="43">
        <f t="shared" si="0"/>
        <v>0</v>
      </c>
      <c r="T53" s="95">
        <f t="shared" si="0"/>
        <v>0</v>
      </c>
      <c r="V53" s="43">
        <f t="shared" si="11"/>
        <v>0</v>
      </c>
      <c r="W53" s="43">
        <f t="shared" si="12"/>
        <v>0</v>
      </c>
      <c r="X53" s="43">
        <f t="shared" si="13"/>
        <v>0</v>
      </c>
      <c r="Y53" s="43">
        <f t="shared" si="14"/>
        <v>0</v>
      </c>
      <c r="Z53" s="95">
        <f t="shared" si="15"/>
        <v>0</v>
      </c>
      <c r="AB53" s="43">
        <f t="shared" si="16"/>
        <v>0</v>
      </c>
      <c r="AC53" s="43">
        <f t="shared" si="17"/>
        <v>0</v>
      </c>
      <c r="AD53" s="43">
        <f t="shared" si="18"/>
        <v>0</v>
      </c>
      <c r="AE53" s="43">
        <f t="shared" si="19"/>
        <v>0</v>
      </c>
      <c r="AF53" s="95">
        <f t="shared" si="20"/>
        <v>0</v>
      </c>
      <c r="AH53" s="43">
        <f t="shared" si="21"/>
        <v>0</v>
      </c>
      <c r="AI53" s="43">
        <f t="shared" si="22"/>
        <v>0</v>
      </c>
      <c r="AJ53" s="43">
        <f t="shared" si="23"/>
        <v>0</v>
      </c>
      <c r="AK53" s="43">
        <f t="shared" si="24"/>
        <v>0</v>
      </c>
      <c r="AL53" s="95">
        <f t="shared" si="25"/>
        <v>0</v>
      </c>
      <c r="AN53" s="47">
        <f t="shared" si="26"/>
        <v>0</v>
      </c>
      <c r="AO53" s="47">
        <f t="shared" si="27"/>
        <v>0</v>
      </c>
      <c r="AP53" s="47">
        <f t="shared" si="28"/>
        <v>0</v>
      </c>
      <c r="AQ53" s="47">
        <f t="shared" si="29"/>
        <v>0</v>
      </c>
      <c r="AR53" s="193">
        <f t="shared" si="30"/>
        <v>0</v>
      </c>
      <c r="AY53" s="3"/>
    </row>
    <row r="54" spans="1:51">
      <c r="A54" s="48"/>
      <c r="B54" s="37">
        <f>'13. Desinvesteringen'!B338</f>
        <v>319</v>
      </c>
      <c r="C54" s="48"/>
      <c r="D54" s="48"/>
      <c r="E54" s="48"/>
      <c r="F54" s="42">
        <f>'5. Input GAW-waarde desinv.'!D14</f>
        <v>0</v>
      </c>
      <c r="G54" s="177">
        <f>'13. Desinvesteringen'!D338</f>
        <v>1960</v>
      </c>
      <c r="H54" s="177">
        <f>'13. Desinvesteringen'!G338</f>
        <v>2022</v>
      </c>
      <c r="I54" s="37" t="str">
        <f>'13. Desinvesteringen'!C338</f>
        <v>01 Regionale leidingen</v>
      </c>
      <c r="J54" s="166">
        <f>'13. Desinvesteringen'!F338</f>
        <v>0</v>
      </c>
      <c r="K54" s="38">
        <f>_xlfn.XLOOKUP(I54,'3. Input (des)investeringen '!$B$11:$B$81,'3. Input (des)investeringen '!$E$11:$E$81)</f>
        <v>1</v>
      </c>
      <c r="L54" s="48"/>
      <c r="M54" s="38">
        <f>_xlfn.XLOOKUP(I54,'3. Input (des)investeringen '!$B$11:$B$81,'3. Input (des)investeringen '!$D$11:$D$81,0)</f>
        <v>55</v>
      </c>
      <c r="N54" s="38">
        <f t="shared" si="9"/>
        <v>0</v>
      </c>
      <c r="P54" s="43">
        <f t="shared" si="10"/>
        <v>0</v>
      </c>
      <c r="Q54" s="43">
        <f t="shared" si="10"/>
        <v>0</v>
      </c>
      <c r="R54" s="43">
        <f t="shared" si="0"/>
        <v>0</v>
      </c>
      <c r="S54" s="43">
        <f t="shared" si="0"/>
        <v>0</v>
      </c>
      <c r="T54" s="95">
        <f t="shared" si="0"/>
        <v>0</v>
      </c>
      <c r="V54" s="43">
        <f t="shared" si="11"/>
        <v>0</v>
      </c>
      <c r="W54" s="43">
        <f t="shared" si="12"/>
        <v>0</v>
      </c>
      <c r="X54" s="43">
        <f t="shared" si="13"/>
        <v>0</v>
      </c>
      <c r="Y54" s="43">
        <f t="shared" si="14"/>
        <v>0</v>
      </c>
      <c r="Z54" s="95">
        <f t="shared" si="15"/>
        <v>0</v>
      </c>
      <c r="AB54" s="43">
        <f t="shared" si="16"/>
        <v>0</v>
      </c>
      <c r="AC54" s="43">
        <f t="shared" si="17"/>
        <v>0</v>
      </c>
      <c r="AD54" s="43">
        <f t="shared" si="18"/>
        <v>0</v>
      </c>
      <c r="AE54" s="43">
        <f t="shared" si="19"/>
        <v>0</v>
      </c>
      <c r="AF54" s="95">
        <f t="shared" si="20"/>
        <v>0</v>
      </c>
      <c r="AH54" s="43">
        <f t="shared" si="21"/>
        <v>0</v>
      </c>
      <c r="AI54" s="43">
        <f t="shared" si="22"/>
        <v>0</v>
      </c>
      <c r="AJ54" s="43">
        <f t="shared" si="23"/>
        <v>0</v>
      </c>
      <c r="AK54" s="43">
        <f t="shared" si="24"/>
        <v>0</v>
      </c>
      <c r="AL54" s="95">
        <f t="shared" si="25"/>
        <v>0</v>
      </c>
      <c r="AN54" s="47">
        <f t="shared" si="26"/>
        <v>0</v>
      </c>
      <c r="AO54" s="47">
        <f t="shared" si="27"/>
        <v>0</v>
      </c>
      <c r="AP54" s="47">
        <f t="shared" si="28"/>
        <v>0</v>
      </c>
      <c r="AQ54" s="47">
        <f t="shared" si="29"/>
        <v>0</v>
      </c>
      <c r="AR54" s="193">
        <f t="shared" si="30"/>
        <v>0</v>
      </c>
      <c r="AY54" s="3"/>
    </row>
    <row r="55" spans="1:51">
      <c r="A55" s="48"/>
      <c r="B55" s="37">
        <f>'13. Desinvesteringen'!B339</f>
        <v>320</v>
      </c>
      <c r="C55" s="48"/>
      <c r="D55" s="48"/>
      <c r="E55" s="48"/>
      <c r="F55" s="42">
        <f>'5. Input GAW-waarde desinv.'!D15</f>
        <v>0</v>
      </c>
      <c r="G55" s="177">
        <f>'13. Desinvesteringen'!D339</f>
        <v>1964</v>
      </c>
      <c r="H55" s="177">
        <f>'13. Desinvesteringen'!G339</f>
        <v>2022</v>
      </c>
      <c r="I55" s="37" t="str">
        <f>'13. Desinvesteringen'!C339</f>
        <v>01 Regionale leidingen</v>
      </c>
      <c r="J55" s="166">
        <f>'13. Desinvesteringen'!F339</f>
        <v>0</v>
      </c>
      <c r="K55" s="38">
        <f>_xlfn.XLOOKUP(I55,'3. Input (des)investeringen '!$B$11:$B$81,'3. Input (des)investeringen '!$E$11:$E$81)</f>
        <v>1</v>
      </c>
      <c r="L55" s="48"/>
      <c r="M55" s="38">
        <f>_xlfn.XLOOKUP(I55,'3. Input (des)investeringen '!$B$11:$B$81,'3. Input (des)investeringen '!$D$11:$D$81,0)</f>
        <v>55</v>
      </c>
      <c r="N55" s="38">
        <f t="shared" si="9"/>
        <v>0</v>
      </c>
      <c r="P55" s="43">
        <f t="shared" si="10"/>
        <v>0</v>
      </c>
      <c r="Q55" s="43">
        <f t="shared" si="10"/>
        <v>0</v>
      </c>
      <c r="R55" s="43">
        <f t="shared" si="0"/>
        <v>0</v>
      </c>
      <c r="S55" s="43">
        <f t="shared" si="0"/>
        <v>0</v>
      </c>
      <c r="T55" s="95">
        <f t="shared" si="0"/>
        <v>0</v>
      </c>
      <c r="V55" s="43">
        <f t="shared" si="11"/>
        <v>0</v>
      </c>
      <c r="W55" s="43">
        <f t="shared" si="12"/>
        <v>0</v>
      </c>
      <c r="X55" s="43">
        <f t="shared" si="13"/>
        <v>0</v>
      </c>
      <c r="Y55" s="43">
        <f t="shared" si="14"/>
        <v>0</v>
      </c>
      <c r="Z55" s="95">
        <f t="shared" si="15"/>
        <v>0</v>
      </c>
      <c r="AB55" s="43">
        <f t="shared" si="16"/>
        <v>0</v>
      </c>
      <c r="AC55" s="43">
        <f t="shared" si="17"/>
        <v>0</v>
      </c>
      <c r="AD55" s="43">
        <f t="shared" si="18"/>
        <v>0</v>
      </c>
      <c r="AE55" s="43">
        <f t="shared" si="19"/>
        <v>0</v>
      </c>
      <c r="AF55" s="95">
        <f t="shared" si="20"/>
        <v>0</v>
      </c>
      <c r="AH55" s="43">
        <f t="shared" si="21"/>
        <v>0</v>
      </c>
      <c r="AI55" s="43">
        <f t="shared" si="22"/>
        <v>0</v>
      </c>
      <c r="AJ55" s="43">
        <f t="shared" si="23"/>
        <v>0</v>
      </c>
      <c r="AK55" s="43">
        <f t="shared" si="24"/>
        <v>0</v>
      </c>
      <c r="AL55" s="95">
        <f t="shared" si="25"/>
        <v>0</v>
      </c>
      <c r="AN55" s="47">
        <f t="shared" si="26"/>
        <v>0</v>
      </c>
      <c r="AO55" s="47">
        <f t="shared" si="27"/>
        <v>0</v>
      </c>
      <c r="AP55" s="47">
        <f t="shared" si="28"/>
        <v>0</v>
      </c>
      <c r="AQ55" s="47">
        <f t="shared" si="29"/>
        <v>0</v>
      </c>
      <c r="AR55" s="193">
        <f t="shared" si="30"/>
        <v>0</v>
      </c>
      <c r="AY55" s="3"/>
    </row>
    <row r="56" spans="1:51">
      <c r="A56" s="48"/>
      <c r="B56" s="37">
        <f>'13. Desinvesteringen'!B340</f>
        <v>321</v>
      </c>
      <c r="C56" s="48"/>
      <c r="D56" s="48"/>
      <c r="E56" s="48"/>
      <c r="F56" s="42">
        <f>'5. Input GAW-waarde desinv.'!D16</f>
        <v>0</v>
      </c>
      <c r="G56" s="177">
        <f>'13. Desinvesteringen'!D340</f>
        <v>1965</v>
      </c>
      <c r="H56" s="177">
        <f>'13. Desinvesteringen'!G340</f>
        <v>2022</v>
      </c>
      <c r="I56" s="37" t="str">
        <f>'13. Desinvesteringen'!C340</f>
        <v>01 Regionale leidingen</v>
      </c>
      <c r="J56" s="166">
        <f>'13. Desinvesteringen'!F340</f>
        <v>0</v>
      </c>
      <c r="K56" s="38">
        <f>_xlfn.XLOOKUP(I56,'3. Input (des)investeringen '!$B$11:$B$81,'3. Input (des)investeringen '!$E$11:$E$81)</f>
        <v>1</v>
      </c>
      <c r="L56" s="48"/>
      <c r="M56" s="38">
        <f>_xlfn.XLOOKUP(I56,'3. Input (des)investeringen '!$B$11:$B$81,'3. Input (des)investeringen '!$D$11:$D$81,0)</f>
        <v>55</v>
      </c>
      <c r="N56" s="38">
        <f t="shared" si="9"/>
        <v>0</v>
      </c>
      <c r="P56" s="43">
        <f t="shared" si="10"/>
        <v>0</v>
      </c>
      <c r="Q56" s="43">
        <f t="shared" si="10"/>
        <v>0</v>
      </c>
      <c r="R56" s="43">
        <f t="shared" si="0"/>
        <v>0</v>
      </c>
      <c r="S56" s="43">
        <f t="shared" si="0"/>
        <v>0</v>
      </c>
      <c r="T56" s="95">
        <f t="shared" si="0"/>
        <v>0</v>
      </c>
      <c r="V56" s="43">
        <f t="shared" si="11"/>
        <v>0</v>
      </c>
      <c r="W56" s="43">
        <f t="shared" si="12"/>
        <v>0</v>
      </c>
      <c r="X56" s="43">
        <f t="shared" si="13"/>
        <v>0</v>
      </c>
      <c r="Y56" s="43">
        <f t="shared" si="14"/>
        <v>0</v>
      </c>
      <c r="Z56" s="95">
        <f t="shared" si="15"/>
        <v>0</v>
      </c>
      <c r="AB56" s="43">
        <f t="shared" si="16"/>
        <v>0</v>
      </c>
      <c r="AC56" s="43">
        <f t="shared" si="17"/>
        <v>0</v>
      </c>
      <c r="AD56" s="43">
        <f t="shared" si="18"/>
        <v>0</v>
      </c>
      <c r="AE56" s="43">
        <f t="shared" si="19"/>
        <v>0</v>
      </c>
      <c r="AF56" s="95">
        <f t="shared" si="20"/>
        <v>0</v>
      </c>
      <c r="AH56" s="43">
        <f t="shared" si="21"/>
        <v>0</v>
      </c>
      <c r="AI56" s="43">
        <f t="shared" si="22"/>
        <v>0</v>
      </c>
      <c r="AJ56" s="43">
        <f t="shared" si="23"/>
        <v>0</v>
      </c>
      <c r="AK56" s="43">
        <f t="shared" si="24"/>
        <v>0</v>
      </c>
      <c r="AL56" s="95">
        <f t="shared" si="25"/>
        <v>0</v>
      </c>
      <c r="AN56" s="47">
        <f t="shared" si="26"/>
        <v>0</v>
      </c>
      <c r="AO56" s="47">
        <f t="shared" si="27"/>
        <v>0</v>
      </c>
      <c r="AP56" s="47">
        <f t="shared" si="28"/>
        <v>0</v>
      </c>
      <c r="AQ56" s="47">
        <f t="shared" si="29"/>
        <v>0</v>
      </c>
      <c r="AR56" s="193">
        <f t="shared" si="30"/>
        <v>0</v>
      </c>
      <c r="AY56" s="3"/>
    </row>
    <row r="57" spans="1:51">
      <c r="A57" s="48"/>
      <c r="B57" s="37">
        <f>'13. Desinvesteringen'!B341</f>
        <v>322</v>
      </c>
      <c r="C57" s="48"/>
      <c r="D57" s="48"/>
      <c r="E57" s="48"/>
      <c r="F57" s="42">
        <f>'5. Input GAW-waarde desinv.'!D17</f>
        <v>0</v>
      </c>
      <c r="G57" s="177">
        <f>'13. Desinvesteringen'!D341</f>
        <v>1966</v>
      </c>
      <c r="H57" s="177">
        <f>'13. Desinvesteringen'!G341</f>
        <v>2022</v>
      </c>
      <c r="I57" s="37" t="str">
        <f>'13. Desinvesteringen'!C341</f>
        <v>01 Regionale leidingen</v>
      </c>
      <c r="J57" s="166">
        <f>'13. Desinvesteringen'!F341</f>
        <v>0</v>
      </c>
      <c r="K57" s="38">
        <f>_xlfn.XLOOKUP(I57,'3. Input (des)investeringen '!$B$11:$B$81,'3. Input (des)investeringen '!$E$11:$E$81)</f>
        <v>1</v>
      </c>
      <c r="L57" s="48"/>
      <c r="M57" s="38">
        <f>_xlfn.XLOOKUP(I57,'3. Input (des)investeringen '!$B$11:$B$81,'3. Input (des)investeringen '!$D$11:$D$81,0)</f>
        <v>55</v>
      </c>
      <c r="N57" s="38">
        <f t="shared" si="9"/>
        <v>0</v>
      </c>
      <c r="P57" s="43">
        <f t="shared" si="10"/>
        <v>0</v>
      </c>
      <c r="Q57" s="43">
        <f t="shared" si="10"/>
        <v>0</v>
      </c>
      <c r="R57" s="43">
        <f t="shared" si="0"/>
        <v>0</v>
      </c>
      <c r="S57" s="43">
        <f t="shared" si="0"/>
        <v>0</v>
      </c>
      <c r="T57" s="95">
        <f t="shared" si="0"/>
        <v>0</v>
      </c>
      <c r="V57" s="43">
        <f t="shared" si="11"/>
        <v>0</v>
      </c>
      <c r="W57" s="43">
        <f t="shared" si="12"/>
        <v>0</v>
      </c>
      <c r="X57" s="43">
        <f t="shared" si="13"/>
        <v>0</v>
      </c>
      <c r="Y57" s="43">
        <f t="shared" si="14"/>
        <v>0</v>
      </c>
      <c r="Z57" s="95">
        <f t="shared" si="15"/>
        <v>0</v>
      </c>
      <c r="AB57" s="43">
        <f t="shared" si="16"/>
        <v>0</v>
      </c>
      <c r="AC57" s="43">
        <f t="shared" si="17"/>
        <v>0</v>
      </c>
      <c r="AD57" s="43">
        <f t="shared" si="18"/>
        <v>0</v>
      </c>
      <c r="AE57" s="43">
        <f t="shared" si="19"/>
        <v>0</v>
      </c>
      <c r="AF57" s="95">
        <f t="shared" si="20"/>
        <v>0</v>
      </c>
      <c r="AH57" s="43">
        <f t="shared" si="21"/>
        <v>0</v>
      </c>
      <c r="AI57" s="43">
        <f t="shared" si="22"/>
        <v>0</v>
      </c>
      <c r="AJ57" s="43">
        <f t="shared" si="23"/>
        <v>0</v>
      </c>
      <c r="AK57" s="43">
        <f t="shared" si="24"/>
        <v>0</v>
      </c>
      <c r="AL57" s="95">
        <f t="shared" si="25"/>
        <v>0</v>
      </c>
      <c r="AN57" s="47">
        <f t="shared" si="26"/>
        <v>0</v>
      </c>
      <c r="AO57" s="47">
        <f t="shared" si="27"/>
        <v>0</v>
      </c>
      <c r="AP57" s="47">
        <f t="shared" si="28"/>
        <v>0</v>
      </c>
      <c r="AQ57" s="47">
        <f t="shared" si="29"/>
        <v>0</v>
      </c>
      <c r="AR57" s="193">
        <f t="shared" si="30"/>
        <v>0</v>
      </c>
      <c r="AY57" s="3"/>
    </row>
    <row r="58" spans="1:51">
      <c r="A58" s="48"/>
      <c r="B58" s="37">
        <f>'13. Desinvesteringen'!B342</f>
        <v>323</v>
      </c>
      <c r="C58" s="48"/>
      <c r="D58" s="48"/>
      <c r="E58" s="48"/>
      <c r="F58" s="42">
        <f>'5. Input GAW-waarde desinv.'!D18</f>
        <v>4800.0618690721003</v>
      </c>
      <c r="G58" s="177">
        <f>'13. Desinvesteringen'!D342</f>
        <v>1967</v>
      </c>
      <c r="H58" s="177">
        <f>'13. Desinvesteringen'!G342</f>
        <v>2022</v>
      </c>
      <c r="I58" s="37" t="str">
        <f>'13. Desinvesteringen'!C342</f>
        <v>01 Regionale leidingen</v>
      </c>
      <c r="J58" s="166">
        <f>'13. Desinvesteringen'!F342</f>
        <v>0</v>
      </c>
      <c r="K58" s="38">
        <f>_xlfn.XLOOKUP(I58,'3. Input (des)investeringen '!$B$11:$B$81,'3. Input (des)investeringen '!$E$11:$E$81)</f>
        <v>1</v>
      </c>
      <c r="L58" s="48"/>
      <c r="M58" s="38">
        <f>_xlfn.XLOOKUP(I58,'3. Input (des)investeringen '!$B$11:$B$81,'3. Input (des)investeringen '!$D$11:$D$81,0)</f>
        <v>55</v>
      </c>
      <c r="N58" s="38">
        <f t="shared" si="9"/>
        <v>0.5</v>
      </c>
      <c r="P58" s="43">
        <f t="shared" si="10"/>
        <v>4320.0556821648906</v>
      </c>
      <c r="Q58" s="43">
        <f t="shared" si="10"/>
        <v>0</v>
      </c>
      <c r="R58" s="43">
        <f t="shared" si="0"/>
        <v>0</v>
      </c>
      <c r="S58" s="43">
        <f t="shared" si="0"/>
        <v>0</v>
      </c>
      <c r="T58" s="95">
        <f t="shared" si="0"/>
        <v>0</v>
      </c>
      <c r="V58" s="43">
        <f t="shared" si="11"/>
        <v>480.00618690721006</v>
      </c>
      <c r="W58" s="43">
        <f t="shared" si="12"/>
        <v>0</v>
      </c>
      <c r="X58" s="43">
        <f t="shared" si="13"/>
        <v>0</v>
      </c>
      <c r="Y58" s="43">
        <f t="shared" si="14"/>
        <v>0</v>
      </c>
      <c r="Z58" s="95">
        <f t="shared" si="15"/>
        <v>0</v>
      </c>
      <c r="AB58" s="43">
        <f t="shared" si="16"/>
        <v>4800.0618690721003</v>
      </c>
      <c r="AC58" s="43">
        <f t="shared" si="17"/>
        <v>0</v>
      </c>
      <c r="AD58" s="43">
        <f t="shared" si="18"/>
        <v>0</v>
      </c>
      <c r="AE58" s="43">
        <f t="shared" si="19"/>
        <v>0</v>
      </c>
      <c r="AF58" s="95">
        <f t="shared" si="20"/>
        <v>0</v>
      </c>
      <c r="AH58" s="43">
        <f t="shared" si="21"/>
        <v>0</v>
      </c>
      <c r="AI58" s="43">
        <f t="shared" si="22"/>
        <v>0</v>
      </c>
      <c r="AJ58" s="43">
        <f t="shared" si="23"/>
        <v>0</v>
      </c>
      <c r="AK58" s="43">
        <f t="shared" si="24"/>
        <v>0</v>
      </c>
      <c r="AL58" s="95">
        <f t="shared" si="25"/>
        <v>0</v>
      </c>
      <c r="AN58" s="47">
        <f t="shared" si="26"/>
        <v>4800.0618690721003</v>
      </c>
      <c r="AO58" s="47">
        <f t="shared" si="27"/>
        <v>0</v>
      </c>
      <c r="AP58" s="47">
        <f t="shared" si="28"/>
        <v>0</v>
      </c>
      <c r="AQ58" s="47">
        <f t="shared" si="29"/>
        <v>0</v>
      </c>
      <c r="AR58" s="193">
        <f t="shared" si="30"/>
        <v>0</v>
      </c>
      <c r="AY58" s="3"/>
    </row>
    <row r="59" spans="1:51">
      <c r="A59" s="48"/>
      <c r="B59" s="37">
        <f>'13. Desinvesteringen'!B343</f>
        <v>324</v>
      </c>
      <c r="C59" s="48"/>
      <c r="D59" s="48"/>
      <c r="E59" s="48"/>
      <c r="F59" s="42">
        <f>'5. Input GAW-waarde desinv.'!D19</f>
        <v>7362.4523493487277</v>
      </c>
      <c r="G59" s="177">
        <f>'13. Desinvesteringen'!D343</f>
        <v>1968</v>
      </c>
      <c r="H59" s="177">
        <f>'13. Desinvesteringen'!G343</f>
        <v>2022</v>
      </c>
      <c r="I59" s="37" t="str">
        <f>'13. Desinvesteringen'!C343</f>
        <v>01 Regionale leidingen</v>
      </c>
      <c r="J59" s="166">
        <f>'13. Desinvesteringen'!F343</f>
        <v>0</v>
      </c>
      <c r="K59" s="38">
        <f>_xlfn.XLOOKUP(I59,'3. Input (des)investeringen '!$B$11:$B$81,'3. Input (des)investeringen '!$E$11:$E$81)</f>
        <v>1</v>
      </c>
      <c r="L59" s="48"/>
      <c r="M59" s="38">
        <f>_xlfn.XLOOKUP(I59,'3. Input (des)investeringen '!$B$11:$B$81,'3. Input (des)investeringen '!$D$11:$D$81,0)</f>
        <v>55</v>
      </c>
      <c r="N59" s="38">
        <f t="shared" si="9"/>
        <v>1.5</v>
      </c>
      <c r="P59" s="43">
        <f t="shared" si="10"/>
        <v>5742.7128324920077</v>
      </c>
      <c r="Q59" s="43">
        <f t="shared" si="10"/>
        <v>883.49428192184735</v>
      </c>
      <c r="R59" s="43">
        <f t="shared" si="0"/>
        <v>0</v>
      </c>
      <c r="S59" s="43">
        <f t="shared" si="0"/>
        <v>0</v>
      </c>
      <c r="T59" s="95">
        <f t="shared" si="0"/>
        <v>0</v>
      </c>
      <c r="V59" s="43">
        <f t="shared" si="11"/>
        <v>490.83015662324851</v>
      </c>
      <c r="W59" s="43">
        <f t="shared" si="12"/>
        <v>245.41507831162426</v>
      </c>
      <c r="X59" s="43">
        <f t="shared" si="13"/>
        <v>0</v>
      </c>
      <c r="Y59" s="43">
        <f t="shared" si="14"/>
        <v>0</v>
      </c>
      <c r="Z59" s="95">
        <f t="shared" si="15"/>
        <v>0</v>
      </c>
      <c r="AB59" s="43">
        <f t="shared" si="16"/>
        <v>6233.5429891152562</v>
      </c>
      <c r="AC59" s="43">
        <f t="shared" si="17"/>
        <v>1128.9093602334715</v>
      </c>
      <c r="AD59" s="43">
        <f t="shared" si="18"/>
        <v>0</v>
      </c>
      <c r="AE59" s="43">
        <f t="shared" si="19"/>
        <v>0</v>
      </c>
      <c r="AF59" s="95">
        <f t="shared" si="20"/>
        <v>0</v>
      </c>
      <c r="AH59" s="43">
        <f t="shared" si="21"/>
        <v>1128.9093602334715</v>
      </c>
      <c r="AI59" s="43">
        <f t="shared" si="22"/>
        <v>0</v>
      </c>
      <c r="AJ59" s="43">
        <f t="shared" si="23"/>
        <v>0</v>
      </c>
      <c r="AK59" s="43">
        <f t="shared" si="24"/>
        <v>0</v>
      </c>
      <c r="AL59" s="95">
        <f t="shared" si="25"/>
        <v>0</v>
      </c>
      <c r="AN59" s="47">
        <f t="shared" si="26"/>
        <v>6279.8282728848289</v>
      </c>
      <c r="AO59" s="47">
        <f t="shared" si="27"/>
        <v>1128.9093602334715</v>
      </c>
      <c r="AP59" s="47">
        <f t="shared" si="28"/>
        <v>0</v>
      </c>
      <c r="AQ59" s="47">
        <f t="shared" si="29"/>
        <v>0</v>
      </c>
      <c r="AR59" s="193">
        <f t="shared" si="30"/>
        <v>0</v>
      </c>
      <c r="AY59" s="3"/>
    </row>
    <row r="60" spans="1:51">
      <c r="A60" s="48"/>
      <c r="B60" s="37">
        <f>'13. Desinvesteringen'!B344</f>
        <v>325</v>
      </c>
      <c r="C60" s="48"/>
      <c r="D60" s="48"/>
      <c r="E60" s="48"/>
      <c r="F60" s="42">
        <f>'5. Input GAW-waarde desinv.'!D20</f>
        <v>19106.465971183679</v>
      </c>
      <c r="G60" s="177">
        <f>'13. Desinvesteringen'!D344</f>
        <v>1969</v>
      </c>
      <c r="H60" s="177">
        <f>'13. Desinvesteringen'!G344</f>
        <v>2022</v>
      </c>
      <c r="I60" s="37" t="str">
        <f>'13. Desinvesteringen'!C344</f>
        <v>01 Regionale leidingen</v>
      </c>
      <c r="J60" s="166">
        <f>'13. Desinvesteringen'!F344</f>
        <v>0</v>
      </c>
      <c r="K60" s="38">
        <f>_xlfn.XLOOKUP(I60,'3. Input (des)investeringen '!$B$11:$B$81,'3. Input (des)investeringen '!$E$11:$E$81)</f>
        <v>1</v>
      </c>
      <c r="L60" s="48"/>
      <c r="M60" s="38">
        <f>_xlfn.XLOOKUP(I60,'3. Input (des)investeringen '!$B$11:$B$81,'3. Input (des)investeringen '!$D$11:$D$81,0)</f>
        <v>55</v>
      </c>
      <c r="N60" s="38">
        <f t="shared" si="9"/>
        <v>2.5</v>
      </c>
      <c r="P60" s="43">
        <f t="shared" si="10"/>
        <v>8941.8260745139614</v>
      </c>
      <c r="Q60" s="43">
        <f t="shared" si="10"/>
        <v>5502.6621997009006</v>
      </c>
      <c r="R60" s="43">
        <f t="shared" si="0"/>
        <v>2751.3310998504503</v>
      </c>
      <c r="S60" s="43">
        <f t="shared" si="0"/>
        <v>0</v>
      </c>
      <c r="T60" s="95">
        <f t="shared" si="0"/>
        <v>0</v>
      </c>
      <c r="V60" s="43">
        <f t="shared" si="11"/>
        <v>764.25863884734724</v>
      </c>
      <c r="W60" s="43">
        <f t="shared" si="12"/>
        <v>764.25863884734724</v>
      </c>
      <c r="X60" s="43">
        <f t="shared" si="13"/>
        <v>382.12931942367362</v>
      </c>
      <c r="Y60" s="43">
        <f t="shared" si="14"/>
        <v>0</v>
      </c>
      <c r="Z60" s="95">
        <f t="shared" si="15"/>
        <v>0</v>
      </c>
      <c r="AB60" s="43">
        <f t="shared" si="16"/>
        <v>9706.0847133613079</v>
      </c>
      <c r="AC60" s="43">
        <f t="shared" si="17"/>
        <v>6266.920838548248</v>
      </c>
      <c r="AD60" s="43">
        <f t="shared" si="18"/>
        <v>3133.460419274124</v>
      </c>
      <c r="AE60" s="43">
        <f t="shared" si="19"/>
        <v>0</v>
      </c>
      <c r="AF60" s="95">
        <f t="shared" si="20"/>
        <v>0</v>
      </c>
      <c r="AH60" s="43">
        <f t="shared" si="21"/>
        <v>9400.3812578223715</v>
      </c>
      <c r="AI60" s="43">
        <f t="shared" si="22"/>
        <v>3133.4604192741235</v>
      </c>
      <c r="AJ60" s="43">
        <f t="shared" si="23"/>
        <v>0</v>
      </c>
      <c r="AK60" s="43">
        <f t="shared" si="24"/>
        <v>0</v>
      </c>
      <c r="AL60" s="95">
        <f t="shared" si="25"/>
        <v>0</v>
      </c>
      <c r="AN60" s="47">
        <f t="shared" si="26"/>
        <v>10091.500344932025</v>
      </c>
      <c r="AO60" s="47">
        <f t="shared" si="27"/>
        <v>6426.7273199312285</v>
      </c>
      <c r="AP60" s="47">
        <f t="shared" si="28"/>
        <v>3133.460419274124</v>
      </c>
      <c r="AQ60" s="47">
        <f t="shared" si="29"/>
        <v>0</v>
      </c>
      <c r="AR60" s="193">
        <f t="shared" si="30"/>
        <v>0</v>
      </c>
      <c r="AY60" s="3"/>
    </row>
    <row r="61" spans="1:51">
      <c r="A61" s="48"/>
      <c r="B61" s="37">
        <f>'13. Desinvesteringen'!B345</f>
        <v>326</v>
      </c>
      <c r="C61" s="48"/>
      <c r="D61" s="48"/>
      <c r="E61" s="48"/>
      <c r="F61" s="42">
        <f>'5. Input GAW-waarde desinv.'!D21</f>
        <v>34361.047919882221</v>
      </c>
      <c r="G61" s="177">
        <f>'13. Desinvesteringen'!D345</f>
        <v>1970</v>
      </c>
      <c r="H61" s="177">
        <f>'13. Desinvesteringen'!G345</f>
        <v>2022</v>
      </c>
      <c r="I61" s="37" t="str">
        <f>'13. Desinvesteringen'!C345</f>
        <v>01 Regionale leidingen</v>
      </c>
      <c r="J61" s="166">
        <f>'13. Desinvesteringen'!F345</f>
        <v>0</v>
      </c>
      <c r="K61" s="38">
        <f>_xlfn.XLOOKUP(I61,'3. Input (des)investeringen '!$B$11:$B$81,'3. Input (des)investeringen '!$E$11:$E$81)</f>
        <v>1</v>
      </c>
      <c r="L61" s="48"/>
      <c r="M61" s="38">
        <f>_xlfn.XLOOKUP(I61,'3. Input (des)investeringen '!$B$11:$B$81,'3. Input (des)investeringen '!$D$11:$D$81,0)</f>
        <v>55</v>
      </c>
      <c r="N61" s="38">
        <f t="shared" si="9"/>
        <v>3.5</v>
      </c>
      <c r="P61" s="43">
        <f t="shared" si="10"/>
        <v>11486.407447503487</v>
      </c>
      <c r="Q61" s="43">
        <f t="shared" si="10"/>
        <v>7775.4142721562039</v>
      </c>
      <c r="R61" s="43">
        <f t="shared" si="0"/>
        <v>7775.4142721562039</v>
      </c>
      <c r="S61" s="43">
        <f t="shared" si="0"/>
        <v>3887.7071360781019</v>
      </c>
      <c r="T61" s="95">
        <f t="shared" si="0"/>
        <v>0</v>
      </c>
      <c r="V61" s="43">
        <f t="shared" si="11"/>
        <v>981.74422628234925</v>
      </c>
      <c r="W61" s="43">
        <f t="shared" si="12"/>
        <v>981.74422628234936</v>
      </c>
      <c r="X61" s="43">
        <f t="shared" si="13"/>
        <v>981.74422628234936</v>
      </c>
      <c r="Y61" s="43">
        <f t="shared" si="14"/>
        <v>490.87211314117468</v>
      </c>
      <c r="Z61" s="95">
        <f t="shared" si="15"/>
        <v>0</v>
      </c>
      <c r="AB61" s="43">
        <f t="shared" si="16"/>
        <v>12468.151673785836</v>
      </c>
      <c r="AC61" s="43">
        <f t="shared" si="17"/>
        <v>8757.1584984385536</v>
      </c>
      <c r="AD61" s="43">
        <f t="shared" si="18"/>
        <v>8757.1584984385536</v>
      </c>
      <c r="AE61" s="43">
        <f t="shared" si="19"/>
        <v>4378.5792492192768</v>
      </c>
      <c r="AF61" s="95">
        <f t="shared" si="20"/>
        <v>0</v>
      </c>
      <c r="AH61" s="43">
        <f t="shared" si="21"/>
        <v>21892.896246096385</v>
      </c>
      <c r="AI61" s="43">
        <f t="shared" si="22"/>
        <v>13135.737747657831</v>
      </c>
      <c r="AJ61" s="43">
        <f t="shared" si="23"/>
        <v>4378.5792492192777</v>
      </c>
      <c r="AK61" s="43">
        <f t="shared" si="24"/>
        <v>0</v>
      </c>
      <c r="AL61" s="95">
        <f t="shared" si="25"/>
        <v>0</v>
      </c>
      <c r="AN61" s="47">
        <f t="shared" si="26"/>
        <v>13365.760419875789</v>
      </c>
      <c r="AO61" s="47">
        <f t="shared" si="27"/>
        <v>9427.0811235691035</v>
      </c>
      <c r="AP61" s="47">
        <f t="shared" si="28"/>
        <v>8980.4660401487363</v>
      </c>
      <c r="AQ61" s="47">
        <f t="shared" si="29"/>
        <v>4378.5792492192768</v>
      </c>
      <c r="AR61" s="193">
        <f t="shared" si="30"/>
        <v>0</v>
      </c>
      <c r="AY61" s="3"/>
    </row>
    <row r="62" spans="1:51">
      <c r="A62" s="48"/>
      <c r="B62" s="37">
        <f>'13. Desinvesteringen'!B346</f>
        <v>327</v>
      </c>
      <c r="C62" s="48"/>
      <c r="D62" s="48"/>
      <c r="E62" s="48"/>
      <c r="F62" s="42">
        <f>'5. Input GAW-waarde desinv.'!D22</f>
        <v>24689.78297700132</v>
      </c>
      <c r="G62" s="177">
        <f>'13. Desinvesteringen'!D346</f>
        <v>1971</v>
      </c>
      <c r="H62" s="177">
        <f>'13. Desinvesteringen'!G346</f>
        <v>2022</v>
      </c>
      <c r="I62" s="37" t="str">
        <f>'13. Desinvesteringen'!C346</f>
        <v>01 Regionale leidingen</v>
      </c>
      <c r="J62" s="166">
        <f>'13. Desinvesteringen'!F346</f>
        <v>0</v>
      </c>
      <c r="K62" s="38">
        <f>_xlfn.XLOOKUP(I62,'3. Input (des)investeringen '!$B$11:$B$81,'3. Input (des)investeringen '!$E$11:$E$81)</f>
        <v>1</v>
      </c>
      <c r="L62" s="48"/>
      <c r="M62" s="38">
        <f>_xlfn.XLOOKUP(I62,'3. Input (des)investeringen '!$B$11:$B$81,'3. Input (des)investeringen '!$D$11:$D$81,0)</f>
        <v>55</v>
      </c>
      <c r="N62" s="38">
        <f t="shared" si="9"/>
        <v>4.5</v>
      </c>
      <c r="P62" s="43">
        <f t="shared" si="10"/>
        <v>6419.343574020344</v>
      </c>
      <c r="Q62" s="43">
        <f t="shared" si="10"/>
        <v>4564.8665415255773</v>
      </c>
      <c r="R62" s="43">
        <f t="shared" si="0"/>
        <v>4494.6378255021073</v>
      </c>
      <c r="S62" s="43">
        <f t="shared" si="0"/>
        <v>4494.6378255021073</v>
      </c>
      <c r="T62" s="95">
        <f t="shared" si="0"/>
        <v>2247.3189127510536</v>
      </c>
      <c r="V62" s="43">
        <f t="shared" si="11"/>
        <v>548.66184393336266</v>
      </c>
      <c r="W62" s="43">
        <f t="shared" si="12"/>
        <v>548.66184393336277</v>
      </c>
      <c r="X62" s="43">
        <f t="shared" si="13"/>
        <v>548.66184393336277</v>
      </c>
      <c r="Y62" s="43">
        <f t="shared" si="14"/>
        <v>548.66184393336277</v>
      </c>
      <c r="Z62" s="95">
        <f t="shared" si="15"/>
        <v>274.33092196668139</v>
      </c>
      <c r="AB62" s="43">
        <f t="shared" si="16"/>
        <v>6968.0054179537065</v>
      </c>
      <c r="AC62" s="43">
        <f t="shared" si="17"/>
        <v>5113.5283854589397</v>
      </c>
      <c r="AD62" s="43">
        <f t="shared" si="18"/>
        <v>5043.2996694354697</v>
      </c>
      <c r="AE62" s="43">
        <f t="shared" si="19"/>
        <v>5043.2996694354697</v>
      </c>
      <c r="AF62" s="95">
        <f t="shared" si="20"/>
        <v>2521.6498347177348</v>
      </c>
      <c r="AH62" s="43">
        <f t="shared" si="21"/>
        <v>17721.777559047612</v>
      </c>
      <c r="AI62" s="43">
        <f t="shared" si="22"/>
        <v>12608.249173588672</v>
      </c>
      <c r="AJ62" s="43">
        <f t="shared" si="23"/>
        <v>7564.9495041532027</v>
      </c>
      <c r="AK62" s="43">
        <f t="shared" si="24"/>
        <v>2521.649834717733</v>
      </c>
      <c r="AL62" s="95">
        <f t="shared" si="25"/>
        <v>0</v>
      </c>
      <c r="AN62" s="47">
        <f t="shared" si="26"/>
        <v>7694.5982978746588</v>
      </c>
      <c r="AO62" s="47">
        <f t="shared" si="27"/>
        <v>5756.5490933119618</v>
      </c>
      <c r="AP62" s="47">
        <f t="shared" si="28"/>
        <v>5429.1120941472827</v>
      </c>
      <c r="AQ62" s="47">
        <f t="shared" si="29"/>
        <v>5139.1223631547437</v>
      </c>
      <c r="AR62" s="193">
        <f t="shared" si="30"/>
        <v>2521.6498347177348</v>
      </c>
      <c r="AY62" s="3"/>
    </row>
    <row r="63" spans="1:51">
      <c r="A63" s="48"/>
      <c r="B63" s="37">
        <f>'13. Desinvesteringen'!B347</f>
        <v>328</v>
      </c>
      <c r="C63" s="48"/>
      <c r="D63" s="48"/>
      <c r="E63" s="48"/>
      <c r="F63" s="42">
        <f>'5. Input GAW-waarde desinv.'!D23</f>
        <v>84795.96142136406</v>
      </c>
      <c r="G63" s="177">
        <f>'13. Desinvesteringen'!D347</f>
        <v>1972</v>
      </c>
      <c r="H63" s="177">
        <f>'13. Desinvesteringen'!G347</f>
        <v>2022</v>
      </c>
      <c r="I63" s="37" t="str">
        <f>'13. Desinvesteringen'!C347</f>
        <v>01 Regionale leidingen</v>
      </c>
      <c r="J63" s="166">
        <f>'13. Desinvesteringen'!F347</f>
        <v>0</v>
      </c>
      <c r="K63" s="38">
        <f>_xlfn.XLOOKUP(I63,'3. Input (des)investeringen '!$B$11:$B$81,'3. Input (des)investeringen '!$E$11:$E$81)</f>
        <v>1</v>
      </c>
      <c r="L63" s="48"/>
      <c r="M63" s="38">
        <f>_xlfn.XLOOKUP(I63,'3. Input (des)investeringen '!$B$11:$B$81,'3. Input (des)investeringen '!$D$11:$D$81,0)</f>
        <v>55</v>
      </c>
      <c r="N63" s="38">
        <f t="shared" si="9"/>
        <v>5.5</v>
      </c>
      <c r="P63" s="43">
        <f t="shared" si="10"/>
        <v>18038.413611453812</v>
      </c>
      <c r="Q63" s="43">
        <f t="shared" si="10"/>
        <v>13774.788576019271</v>
      </c>
      <c r="R63" s="43">
        <f t="shared" si="0"/>
        <v>12715.189454787022</v>
      </c>
      <c r="S63" s="43">
        <f t="shared" si="0"/>
        <v>12715.189454787022</v>
      </c>
      <c r="T63" s="95">
        <f t="shared" si="0"/>
        <v>12715.189454787022</v>
      </c>
      <c r="V63" s="43">
        <f t="shared" si="11"/>
        <v>1541.7447531157104</v>
      </c>
      <c r="W63" s="43">
        <f t="shared" si="12"/>
        <v>1541.7447531157104</v>
      </c>
      <c r="X63" s="43">
        <f t="shared" si="13"/>
        <v>1541.7447531157104</v>
      </c>
      <c r="Y63" s="43">
        <f t="shared" si="14"/>
        <v>1541.7447531157104</v>
      </c>
      <c r="Z63" s="95">
        <f t="shared" si="15"/>
        <v>1541.7447531157104</v>
      </c>
      <c r="AB63" s="43">
        <f t="shared" si="16"/>
        <v>19580.158364569521</v>
      </c>
      <c r="AC63" s="43">
        <f t="shared" si="17"/>
        <v>15316.533329134982</v>
      </c>
      <c r="AD63" s="43">
        <f t="shared" si="18"/>
        <v>14256.934207902732</v>
      </c>
      <c r="AE63" s="43">
        <f t="shared" si="19"/>
        <v>14256.934207902732</v>
      </c>
      <c r="AF63" s="95">
        <f t="shared" si="20"/>
        <v>14256.934207902732</v>
      </c>
      <c r="AH63" s="43">
        <f t="shared" si="21"/>
        <v>65215.803056794539</v>
      </c>
      <c r="AI63" s="43">
        <f t="shared" si="22"/>
        <v>49899.269727659557</v>
      </c>
      <c r="AJ63" s="43">
        <f t="shared" si="23"/>
        <v>35642.335519756823</v>
      </c>
      <c r="AK63" s="43">
        <f t="shared" si="24"/>
        <v>21385.40131185409</v>
      </c>
      <c r="AL63" s="95">
        <f t="shared" si="25"/>
        <v>7128.4671039513578</v>
      </c>
      <c r="AN63" s="47">
        <f t="shared" si="26"/>
        <v>22254.006289898098</v>
      </c>
      <c r="AO63" s="47">
        <f t="shared" si="27"/>
        <v>17861.396085245618</v>
      </c>
      <c r="AP63" s="47">
        <f t="shared" si="28"/>
        <v>16074.693319410329</v>
      </c>
      <c r="AQ63" s="47">
        <f t="shared" si="29"/>
        <v>15069.579457753187</v>
      </c>
      <c r="AR63" s="193">
        <f t="shared" si="30"/>
        <v>14527.815957852883</v>
      </c>
      <c r="AY63" s="3"/>
    </row>
    <row r="64" spans="1:51">
      <c r="A64" s="48"/>
      <c r="B64" s="37">
        <f>'13. Desinvesteringen'!B348</f>
        <v>329</v>
      </c>
      <c r="C64" s="48"/>
      <c r="D64" s="48"/>
      <c r="E64" s="48"/>
      <c r="F64" s="42">
        <f>'5. Input GAW-waarde desinv.'!D24</f>
        <v>73143.543504977206</v>
      </c>
      <c r="G64" s="177">
        <f>'13. Desinvesteringen'!D348</f>
        <v>1973</v>
      </c>
      <c r="H64" s="177">
        <f>'13. Desinvesteringen'!G348</f>
        <v>2022</v>
      </c>
      <c r="I64" s="37" t="str">
        <f>'13. Desinvesteringen'!C348</f>
        <v>01 Regionale leidingen</v>
      </c>
      <c r="J64" s="166">
        <f>'13. Desinvesteringen'!F348</f>
        <v>0</v>
      </c>
      <c r="K64" s="38">
        <f>_xlfn.XLOOKUP(I64,'3. Input (des)investeringen '!$B$11:$B$81,'3. Input (des)investeringen '!$E$11:$E$81)</f>
        <v>1</v>
      </c>
      <c r="L64" s="48"/>
      <c r="M64" s="38">
        <f>_xlfn.XLOOKUP(I64,'3. Input (des)investeringen '!$B$11:$B$81,'3. Input (des)investeringen '!$D$11:$D$81,0)</f>
        <v>55</v>
      </c>
      <c r="N64" s="38">
        <f t="shared" si="9"/>
        <v>6.5</v>
      </c>
      <c r="P64" s="43">
        <f t="shared" si="10"/>
        <v>13165.837830895898</v>
      </c>
      <c r="Q64" s="43">
        <f t="shared" si="10"/>
        <v>10532.670264716719</v>
      </c>
      <c r="R64" s="43">
        <f t="shared" si="0"/>
        <v>9362.3735686370837</v>
      </c>
      <c r="S64" s="43">
        <f t="shared" si="0"/>
        <v>9362.3735686370837</v>
      </c>
      <c r="T64" s="95">
        <f t="shared" si="0"/>
        <v>9362.3735686370837</v>
      </c>
      <c r="V64" s="43">
        <f t="shared" si="11"/>
        <v>1125.285284691957</v>
      </c>
      <c r="W64" s="43">
        <f t="shared" si="12"/>
        <v>1125.285284691957</v>
      </c>
      <c r="X64" s="43">
        <f t="shared" si="13"/>
        <v>1125.285284691957</v>
      </c>
      <c r="Y64" s="43">
        <f t="shared" si="14"/>
        <v>1125.285284691957</v>
      </c>
      <c r="Z64" s="95">
        <f t="shared" si="15"/>
        <v>1125.285284691957</v>
      </c>
      <c r="AB64" s="43">
        <f t="shared" si="16"/>
        <v>14291.123115587856</v>
      </c>
      <c r="AC64" s="43">
        <f t="shared" si="17"/>
        <v>11657.955549408676</v>
      </c>
      <c r="AD64" s="43">
        <f t="shared" si="18"/>
        <v>10487.658853329041</v>
      </c>
      <c r="AE64" s="43">
        <f t="shared" si="19"/>
        <v>10487.658853329041</v>
      </c>
      <c r="AF64" s="95">
        <f t="shared" si="20"/>
        <v>10487.658853329041</v>
      </c>
      <c r="AH64" s="43">
        <f t="shared" si="21"/>
        <v>58852.42038938935</v>
      </c>
      <c r="AI64" s="43">
        <f t="shared" si="22"/>
        <v>47194.464839980676</v>
      </c>
      <c r="AJ64" s="43">
        <f t="shared" si="23"/>
        <v>36706.805986651634</v>
      </c>
      <c r="AK64" s="43">
        <f t="shared" si="24"/>
        <v>26219.147133322593</v>
      </c>
      <c r="AL64" s="95">
        <f t="shared" si="25"/>
        <v>15731.488279993551</v>
      </c>
      <c r="AN64" s="47">
        <f t="shared" si="26"/>
        <v>16704.072351552819</v>
      </c>
      <c r="AO64" s="47">
        <f t="shared" si="27"/>
        <v>14064.873256247691</v>
      </c>
      <c r="AP64" s="47">
        <f t="shared" si="28"/>
        <v>12359.705958648276</v>
      </c>
      <c r="AQ64" s="47">
        <f t="shared" si="29"/>
        <v>11483.986444395299</v>
      </c>
      <c r="AR64" s="193">
        <f t="shared" si="30"/>
        <v>11085.455407968797</v>
      </c>
      <c r="AY64" s="3"/>
    </row>
    <row r="65" spans="1:51">
      <c r="A65" s="48"/>
      <c r="B65" s="37">
        <f>'13. Desinvesteringen'!B349</f>
        <v>330</v>
      </c>
      <c r="C65" s="48"/>
      <c r="D65" s="48"/>
      <c r="E65" s="48"/>
      <c r="F65" s="42">
        <f>'5. Input GAW-waarde desinv.'!D25</f>
        <v>28650.688160986421</v>
      </c>
      <c r="G65" s="177">
        <f>'13. Desinvesteringen'!D349</f>
        <v>1974</v>
      </c>
      <c r="H65" s="177">
        <f>'13. Desinvesteringen'!G349</f>
        <v>2022</v>
      </c>
      <c r="I65" s="37" t="str">
        <f>'13. Desinvesteringen'!C349</f>
        <v>01 Regionale leidingen</v>
      </c>
      <c r="J65" s="166">
        <f>'13. Desinvesteringen'!F349</f>
        <v>0</v>
      </c>
      <c r="K65" s="38">
        <f>_xlfn.XLOOKUP(I65,'3. Input (des)investeringen '!$B$11:$B$81,'3. Input (des)investeringen '!$E$11:$E$81)</f>
        <v>1</v>
      </c>
      <c r="L65" s="48"/>
      <c r="M65" s="38">
        <f>_xlfn.XLOOKUP(I65,'3. Input (des)investeringen '!$B$11:$B$81,'3. Input (des)investeringen '!$D$11:$D$81,0)</f>
        <v>55</v>
      </c>
      <c r="N65" s="38">
        <f t="shared" si="9"/>
        <v>7.5</v>
      </c>
      <c r="P65" s="43">
        <f t="shared" si="10"/>
        <v>4469.5073531138823</v>
      </c>
      <c r="Q65" s="43">
        <f t="shared" si="10"/>
        <v>3694.7927452408089</v>
      </c>
      <c r="R65" s="43">
        <f t="shared" si="0"/>
        <v>3203.8762266423801</v>
      </c>
      <c r="S65" s="43">
        <f t="shared" si="0"/>
        <v>3203.8762266423801</v>
      </c>
      <c r="T65" s="95">
        <f t="shared" si="0"/>
        <v>3203.8762266423801</v>
      </c>
      <c r="V65" s="43">
        <f t="shared" si="11"/>
        <v>382.00917547981896</v>
      </c>
      <c r="W65" s="43">
        <f t="shared" si="12"/>
        <v>382.00917547981902</v>
      </c>
      <c r="X65" s="43">
        <f t="shared" si="13"/>
        <v>382.00917547981902</v>
      </c>
      <c r="Y65" s="43">
        <f t="shared" si="14"/>
        <v>382.00917547981902</v>
      </c>
      <c r="Z65" s="95">
        <f t="shared" si="15"/>
        <v>382.00917547981902</v>
      </c>
      <c r="AB65" s="43">
        <f t="shared" si="16"/>
        <v>4851.516528593701</v>
      </c>
      <c r="AC65" s="43">
        <f t="shared" si="17"/>
        <v>4076.801920720628</v>
      </c>
      <c r="AD65" s="43">
        <f t="shared" si="18"/>
        <v>3585.8854021221991</v>
      </c>
      <c r="AE65" s="43">
        <f t="shared" si="19"/>
        <v>3585.8854021221991</v>
      </c>
      <c r="AF65" s="95">
        <f t="shared" si="20"/>
        <v>3585.8854021221991</v>
      </c>
      <c r="AH65" s="43">
        <f t="shared" si="21"/>
        <v>23799.171632392721</v>
      </c>
      <c r="AI65" s="43">
        <f t="shared" si="22"/>
        <v>19722.369711672094</v>
      </c>
      <c r="AJ65" s="43">
        <f t="shared" si="23"/>
        <v>16136.484309549895</v>
      </c>
      <c r="AK65" s="43">
        <f t="shared" si="24"/>
        <v>12550.598907427695</v>
      </c>
      <c r="AL65" s="95">
        <f t="shared" si="25"/>
        <v>8964.7135053054953</v>
      </c>
      <c r="AN65" s="47">
        <f t="shared" si="26"/>
        <v>5827.2825655218021</v>
      </c>
      <c r="AO65" s="47">
        <f t="shared" si="27"/>
        <v>5082.6427760159049</v>
      </c>
      <c r="AP65" s="47">
        <f t="shared" si="28"/>
        <v>4408.8461019092438</v>
      </c>
      <c r="AQ65" s="47">
        <f t="shared" si="29"/>
        <v>4062.8081606044516</v>
      </c>
      <c r="AR65" s="193">
        <f t="shared" si="30"/>
        <v>3926.5445153238079</v>
      </c>
      <c r="AY65" s="3"/>
    </row>
    <row r="66" spans="1:51">
      <c r="A66" s="48"/>
      <c r="B66" s="37">
        <f>'13. Desinvesteringen'!B350</f>
        <v>331</v>
      </c>
      <c r="C66" s="48"/>
      <c r="D66" s="48"/>
      <c r="E66" s="48"/>
      <c r="F66" s="42">
        <f>'5. Input GAW-waarde desinv.'!D26</f>
        <v>22915.340357348177</v>
      </c>
      <c r="G66" s="177">
        <f>'13. Desinvesteringen'!D350</f>
        <v>1975</v>
      </c>
      <c r="H66" s="177">
        <f>'13. Desinvesteringen'!G350</f>
        <v>2022</v>
      </c>
      <c r="I66" s="37" t="str">
        <f>'13. Desinvesteringen'!C350</f>
        <v>01 Regionale leidingen</v>
      </c>
      <c r="J66" s="166">
        <f>'13. Desinvesteringen'!F350</f>
        <v>0</v>
      </c>
      <c r="K66" s="38">
        <f>_xlfn.XLOOKUP(I66,'3. Input (des)investeringen '!$B$11:$B$81,'3. Input (des)investeringen '!$E$11:$E$81)</f>
        <v>1</v>
      </c>
      <c r="L66" s="48"/>
      <c r="M66" s="38">
        <f>_xlfn.XLOOKUP(I66,'3. Input (des)investeringen '!$B$11:$B$81,'3. Input (des)investeringen '!$D$11:$D$81,0)</f>
        <v>55</v>
      </c>
      <c r="N66" s="38">
        <f t="shared" si="9"/>
        <v>8.5</v>
      </c>
      <c r="P66" s="43">
        <f t="shared" si="10"/>
        <v>3154.2292021291023</v>
      </c>
      <c r="Q66" s="43">
        <f t="shared" si="10"/>
        <v>2671.8176770975924</v>
      </c>
      <c r="R66" s="43">
        <f t="shared" si="0"/>
        <v>2276.5783757517943</v>
      </c>
      <c r="S66" s="43">
        <f t="shared" si="0"/>
        <v>2276.5783757517943</v>
      </c>
      <c r="T66" s="95">
        <f t="shared" si="0"/>
        <v>2276.5783757517943</v>
      </c>
      <c r="V66" s="43">
        <f t="shared" si="11"/>
        <v>269.59223949821387</v>
      </c>
      <c r="W66" s="43">
        <f t="shared" si="12"/>
        <v>269.59223949821387</v>
      </c>
      <c r="X66" s="43">
        <f t="shared" si="13"/>
        <v>269.59223949821387</v>
      </c>
      <c r="Y66" s="43">
        <f t="shared" si="14"/>
        <v>269.59223949821387</v>
      </c>
      <c r="Z66" s="95">
        <f t="shared" si="15"/>
        <v>269.59223949821387</v>
      </c>
      <c r="AB66" s="43">
        <f t="shared" si="16"/>
        <v>3423.8214416273163</v>
      </c>
      <c r="AC66" s="43">
        <f t="shared" si="17"/>
        <v>2941.4099165958064</v>
      </c>
      <c r="AD66" s="43">
        <f t="shared" si="18"/>
        <v>2546.1706152500083</v>
      </c>
      <c r="AE66" s="43">
        <f t="shared" si="19"/>
        <v>2546.1706152500083</v>
      </c>
      <c r="AF66" s="95">
        <f t="shared" si="20"/>
        <v>2546.1706152500083</v>
      </c>
      <c r="AH66" s="43">
        <f t="shared" si="21"/>
        <v>19491.518915720862</v>
      </c>
      <c r="AI66" s="43">
        <f t="shared" si="22"/>
        <v>16550.108999125056</v>
      </c>
      <c r="AJ66" s="43">
        <f t="shared" si="23"/>
        <v>14003.938383875047</v>
      </c>
      <c r="AK66" s="43">
        <f t="shared" si="24"/>
        <v>11457.767768625039</v>
      </c>
      <c r="AL66" s="95">
        <f t="shared" si="25"/>
        <v>8911.5971533750308</v>
      </c>
      <c r="AN66" s="47">
        <f t="shared" si="26"/>
        <v>4222.9737171718716</v>
      </c>
      <c r="AO66" s="47">
        <f t="shared" si="27"/>
        <v>3785.4654755511842</v>
      </c>
      <c r="AP66" s="47">
        <f t="shared" si="28"/>
        <v>3260.3714728276354</v>
      </c>
      <c r="AQ66" s="47">
        <f t="shared" si="29"/>
        <v>2981.5657904577597</v>
      </c>
      <c r="AR66" s="193">
        <f t="shared" si="30"/>
        <v>2884.8113070782592</v>
      </c>
      <c r="AY66" s="3"/>
    </row>
    <row r="67" spans="1:51">
      <c r="A67" s="48"/>
      <c r="B67" s="37">
        <f>'13. Desinvesteringen'!B351</f>
        <v>332</v>
      </c>
      <c r="C67" s="48"/>
      <c r="D67" s="48"/>
      <c r="E67" s="48"/>
      <c r="F67" s="42">
        <f>'5. Input GAW-waarde desinv.'!D27</f>
        <v>52322.526677778427</v>
      </c>
      <c r="G67" s="177">
        <f>'13. Desinvesteringen'!D351</f>
        <v>1976</v>
      </c>
      <c r="H67" s="177">
        <f>'13. Desinvesteringen'!G351</f>
        <v>2022</v>
      </c>
      <c r="I67" s="37" t="str">
        <f>'13. Desinvesteringen'!C351</f>
        <v>01 Regionale leidingen</v>
      </c>
      <c r="J67" s="166">
        <f>'13. Desinvesteringen'!F351</f>
        <v>0</v>
      </c>
      <c r="K67" s="38">
        <f>_xlfn.XLOOKUP(I67,'3. Input (des)investeringen '!$B$11:$B$81,'3. Input (des)investeringen '!$E$11:$E$81)</f>
        <v>1</v>
      </c>
      <c r="L67" s="48"/>
      <c r="M67" s="38">
        <f>_xlfn.XLOOKUP(I67,'3. Input (des)investeringen '!$B$11:$B$81,'3. Input (des)investeringen '!$D$11:$D$81,0)</f>
        <v>55</v>
      </c>
      <c r="N67" s="38">
        <f t="shared" si="9"/>
        <v>9.5</v>
      </c>
      <c r="P67" s="43">
        <f t="shared" si="10"/>
        <v>6443.9322329474489</v>
      </c>
      <c r="Q67" s="43">
        <f t="shared" si="10"/>
        <v>5562.1309800177987</v>
      </c>
      <c r="R67" s="43">
        <f t="shared" si="10"/>
        <v>4800.9972669627305</v>
      </c>
      <c r="S67" s="43">
        <f t="shared" si="10"/>
        <v>4658.9559277034778</v>
      </c>
      <c r="T67" s="95">
        <f t="shared" si="10"/>
        <v>4658.9559277034778</v>
      </c>
      <c r="V67" s="43">
        <f t="shared" si="11"/>
        <v>550.76343871345716</v>
      </c>
      <c r="W67" s="43">
        <f t="shared" si="12"/>
        <v>550.76343871345716</v>
      </c>
      <c r="X67" s="43">
        <f t="shared" si="13"/>
        <v>550.76343871345716</v>
      </c>
      <c r="Y67" s="43">
        <f t="shared" si="14"/>
        <v>550.76343871345716</v>
      </c>
      <c r="Z67" s="95">
        <f t="shared" si="15"/>
        <v>550.76343871345716</v>
      </c>
      <c r="AB67" s="43">
        <f t="shared" si="16"/>
        <v>6994.6956716609056</v>
      </c>
      <c r="AC67" s="43">
        <f t="shared" si="17"/>
        <v>6112.8944187312554</v>
      </c>
      <c r="AD67" s="43">
        <f t="shared" si="18"/>
        <v>5351.7607056761881</v>
      </c>
      <c r="AE67" s="43">
        <f t="shared" si="19"/>
        <v>5209.7193664169354</v>
      </c>
      <c r="AF67" s="95">
        <f t="shared" si="20"/>
        <v>5209.7193664169354</v>
      </c>
      <c r="AH67" s="43">
        <f t="shared" si="21"/>
        <v>45327.831006117522</v>
      </c>
      <c r="AI67" s="43">
        <f t="shared" si="22"/>
        <v>39214.93658738627</v>
      </c>
      <c r="AJ67" s="43">
        <f t="shared" si="23"/>
        <v>33863.175881710078</v>
      </c>
      <c r="AK67" s="43">
        <f t="shared" si="24"/>
        <v>28653.456515293143</v>
      </c>
      <c r="AL67" s="95">
        <f t="shared" si="25"/>
        <v>23443.737148876207</v>
      </c>
      <c r="AN67" s="47">
        <f t="shared" si="26"/>
        <v>8853.1367429117236</v>
      </c>
      <c r="AO67" s="47">
        <f t="shared" si="27"/>
        <v>8112.8561846879547</v>
      </c>
      <c r="AP67" s="47">
        <f t="shared" si="28"/>
        <v>7078.7826756434024</v>
      </c>
      <c r="AQ67" s="47">
        <f t="shared" si="29"/>
        <v>6298.5507139980746</v>
      </c>
      <c r="AR67" s="193">
        <f t="shared" si="30"/>
        <v>6100.581378074231</v>
      </c>
      <c r="AY67" s="3"/>
    </row>
    <row r="68" spans="1:51">
      <c r="A68" s="48"/>
      <c r="B68" s="37">
        <f>'13. Desinvesteringen'!B352</f>
        <v>333</v>
      </c>
      <c r="C68" s="48"/>
      <c r="D68" s="48"/>
      <c r="E68" s="48"/>
      <c r="F68" s="42">
        <f>'5. Input GAW-waarde desinv.'!D28</f>
        <v>22168.241432612802</v>
      </c>
      <c r="G68" s="177">
        <f>'13. Desinvesteringen'!D352</f>
        <v>1977</v>
      </c>
      <c r="H68" s="177">
        <f>'13. Desinvesteringen'!G352</f>
        <v>2022</v>
      </c>
      <c r="I68" s="37" t="str">
        <f>'13. Desinvesteringen'!C352</f>
        <v>01 Regionale leidingen</v>
      </c>
      <c r="J68" s="166">
        <f>'13. Desinvesteringen'!F352</f>
        <v>0</v>
      </c>
      <c r="K68" s="38">
        <f>_xlfn.XLOOKUP(I68,'3. Input (des)investeringen '!$B$11:$B$81,'3. Input (des)investeringen '!$E$11:$E$81)</f>
        <v>1</v>
      </c>
      <c r="L68" s="48"/>
      <c r="M68" s="38">
        <f>_xlfn.XLOOKUP(I68,'3. Input (des)investeringen '!$B$11:$B$81,'3. Input (des)investeringen '!$D$11:$D$81,0)</f>
        <v>55</v>
      </c>
      <c r="N68" s="38">
        <f t="shared" si="9"/>
        <v>10.5</v>
      </c>
      <c r="P68" s="43">
        <f t="shared" si="10"/>
        <v>2470.1754739197127</v>
      </c>
      <c r="Q68" s="43">
        <f t="shared" si="10"/>
        <v>2164.3442247677481</v>
      </c>
      <c r="R68" s="43">
        <f t="shared" si="10"/>
        <v>1896.3777969393602</v>
      </c>
      <c r="S68" s="43">
        <f t="shared" si="10"/>
        <v>1789.4026391632935</v>
      </c>
      <c r="T68" s="95">
        <f t="shared" si="10"/>
        <v>1789.4026391632935</v>
      </c>
      <c r="V68" s="43">
        <f t="shared" si="11"/>
        <v>211.12610888202667</v>
      </c>
      <c r="W68" s="43">
        <f t="shared" si="12"/>
        <v>211.12610888202673</v>
      </c>
      <c r="X68" s="43">
        <f t="shared" si="13"/>
        <v>211.12610888202673</v>
      </c>
      <c r="Y68" s="43">
        <f t="shared" si="14"/>
        <v>211.12610888202673</v>
      </c>
      <c r="Z68" s="95">
        <f t="shared" si="15"/>
        <v>211.12610888202673</v>
      </c>
      <c r="AB68" s="43">
        <f t="shared" si="16"/>
        <v>2681.3015828017392</v>
      </c>
      <c r="AC68" s="43">
        <f t="shared" si="17"/>
        <v>2375.4703336497746</v>
      </c>
      <c r="AD68" s="43">
        <f t="shared" si="18"/>
        <v>2107.503905821387</v>
      </c>
      <c r="AE68" s="43">
        <f t="shared" si="19"/>
        <v>2000.5287480453203</v>
      </c>
      <c r="AF68" s="95">
        <f t="shared" si="20"/>
        <v>2000.5287480453203</v>
      </c>
      <c r="AH68" s="43">
        <f t="shared" si="21"/>
        <v>19486.939849811064</v>
      </c>
      <c r="AI68" s="43">
        <f t="shared" si="22"/>
        <v>17111.469516161291</v>
      </c>
      <c r="AJ68" s="43">
        <f t="shared" si="23"/>
        <v>15003.965610339903</v>
      </c>
      <c r="AK68" s="43">
        <f t="shared" si="24"/>
        <v>13003.436862294582</v>
      </c>
      <c r="AL68" s="95">
        <f t="shared" si="25"/>
        <v>11002.908114249261</v>
      </c>
      <c r="AN68" s="47">
        <f t="shared" si="26"/>
        <v>3480.266116643993</v>
      </c>
      <c r="AO68" s="47">
        <f t="shared" si="27"/>
        <v>3248.1552789740003</v>
      </c>
      <c r="AP68" s="47">
        <f t="shared" si="28"/>
        <v>2872.706151948722</v>
      </c>
      <c r="AQ68" s="47">
        <f t="shared" si="29"/>
        <v>2494.6593488125145</v>
      </c>
      <c r="AR68" s="193">
        <f t="shared" si="30"/>
        <v>2418.6392563867921</v>
      </c>
      <c r="AY68" s="3"/>
    </row>
    <row r="69" spans="1:51">
      <c r="A69" s="48"/>
      <c r="B69" s="37">
        <f>'13. Desinvesteringen'!B353</f>
        <v>334</v>
      </c>
      <c r="C69" s="48"/>
      <c r="D69" s="48"/>
      <c r="E69" s="48"/>
      <c r="F69" s="42">
        <f>'5. Input GAW-waarde desinv.'!D29</f>
        <v>74293.951826154895</v>
      </c>
      <c r="G69" s="177">
        <f>'13. Desinvesteringen'!D353</f>
        <v>1980</v>
      </c>
      <c r="H69" s="177">
        <f>'13. Desinvesteringen'!G353</f>
        <v>2022</v>
      </c>
      <c r="I69" s="37" t="str">
        <f>'13. Desinvesteringen'!C353</f>
        <v>01 Regionale leidingen</v>
      </c>
      <c r="J69" s="166">
        <f>'13. Desinvesteringen'!F353</f>
        <v>0</v>
      </c>
      <c r="K69" s="38">
        <f>_xlfn.XLOOKUP(I69,'3. Input (des)investeringen '!$B$11:$B$81,'3. Input (des)investeringen '!$E$11:$E$81)</f>
        <v>1</v>
      </c>
      <c r="L69" s="48"/>
      <c r="M69" s="38">
        <f>_xlfn.XLOOKUP(I69,'3. Input (des)investeringen '!$B$11:$B$81,'3. Input (des)investeringen '!$D$11:$D$81,0)</f>
        <v>55</v>
      </c>
      <c r="N69" s="38">
        <f t="shared" si="9"/>
        <v>13.5</v>
      </c>
      <c r="P69" s="43">
        <f t="shared" si="10"/>
        <v>6438.8091582667575</v>
      </c>
      <c r="Q69" s="43">
        <f t="shared" si="10"/>
        <v>5818.7756837669958</v>
      </c>
      <c r="R69" s="43">
        <f t="shared" si="10"/>
        <v>5258.4491364412843</v>
      </c>
      <c r="S69" s="43">
        <f t="shared" si="10"/>
        <v>4752.0799603395308</v>
      </c>
      <c r="T69" s="95">
        <f t="shared" si="10"/>
        <v>4694.3623899710346</v>
      </c>
      <c r="V69" s="43">
        <f t="shared" si="11"/>
        <v>550.32556908262893</v>
      </c>
      <c r="W69" s="43">
        <f t="shared" si="12"/>
        <v>550.32556908262893</v>
      </c>
      <c r="X69" s="43">
        <f t="shared" si="13"/>
        <v>550.32556908262893</v>
      </c>
      <c r="Y69" s="43">
        <f t="shared" si="14"/>
        <v>550.32556908262893</v>
      </c>
      <c r="Z69" s="95">
        <f t="shared" si="15"/>
        <v>550.32556908262893</v>
      </c>
      <c r="AB69" s="43">
        <f t="shared" si="16"/>
        <v>6989.1347273493866</v>
      </c>
      <c r="AC69" s="43">
        <f t="shared" si="17"/>
        <v>6369.1012528496249</v>
      </c>
      <c r="AD69" s="43">
        <f t="shared" si="18"/>
        <v>5808.7747055239133</v>
      </c>
      <c r="AE69" s="43">
        <f t="shared" si="19"/>
        <v>5302.4055294221598</v>
      </c>
      <c r="AF69" s="95">
        <f t="shared" si="20"/>
        <v>5244.6879590536637</v>
      </c>
      <c r="AH69" s="43">
        <f t="shared" si="21"/>
        <v>67304.817098805506</v>
      </c>
      <c r="AI69" s="43">
        <f t="shared" si="22"/>
        <v>60935.715845955885</v>
      </c>
      <c r="AJ69" s="43">
        <f t="shared" si="23"/>
        <v>55126.941140431969</v>
      </c>
      <c r="AK69" s="43">
        <f t="shared" si="24"/>
        <v>49824.535611009807</v>
      </c>
      <c r="AL69" s="95">
        <f t="shared" si="25"/>
        <v>44579.847651956145</v>
      </c>
      <c r="AN69" s="47">
        <f t="shared" si="26"/>
        <v>9748.6322284004127</v>
      </c>
      <c r="AO69" s="47">
        <f t="shared" si="27"/>
        <v>9476.8227609933747</v>
      </c>
      <c r="AP69" s="47">
        <f t="shared" si="28"/>
        <v>8620.2487036859438</v>
      </c>
      <c r="AQ69" s="47">
        <f t="shared" si="29"/>
        <v>7195.7378826405329</v>
      </c>
      <c r="AR69" s="193">
        <f t="shared" si="30"/>
        <v>6938.7221698279973</v>
      </c>
      <c r="AY69" s="3"/>
    </row>
    <row r="70" spans="1:51">
      <c r="A70" s="48"/>
      <c r="B70" s="37">
        <f>'13. Desinvesteringen'!B354</f>
        <v>335</v>
      </c>
      <c r="C70" s="48"/>
      <c r="D70" s="48"/>
      <c r="E70" s="48"/>
      <c r="F70" s="42">
        <f>'5. Input GAW-waarde desinv.'!D30</f>
        <v>357.48421114725051</v>
      </c>
      <c r="G70" s="177">
        <f>'13. Desinvesteringen'!D354</f>
        <v>1986</v>
      </c>
      <c r="H70" s="177">
        <f>'13. Desinvesteringen'!G354</f>
        <v>2022</v>
      </c>
      <c r="I70" s="37" t="str">
        <f>'13. Desinvesteringen'!C354</f>
        <v>01 Regionale leidingen</v>
      </c>
      <c r="J70" s="166">
        <f>'13. Desinvesteringen'!F354</f>
        <v>0</v>
      </c>
      <c r="K70" s="38">
        <f>_xlfn.XLOOKUP(I70,'3. Input (des)investeringen '!$B$11:$B$81,'3. Input (des)investeringen '!$E$11:$E$81)</f>
        <v>1</v>
      </c>
      <c r="L70" s="48"/>
      <c r="M70" s="38">
        <f>_xlfn.XLOOKUP(I70,'3. Input (des)investeringen '!$B$11:$B$81,'3. Input (des)investeringen '!$D$11:$D$81,0)</f>
        <v>55</v>
      </c>
      <c r="N70" s="38">
        <f t="shared" si="9"/>
        <v>19.5</v>
      </c>
      <c r="P70" s="43">
        <f t="shared" si="10"/>
        <v>21.44905266883503</v>
      </c>
      <c r="Q70" s="43">
        <f t="shared" si="10"/>
        <v>20.019115824246029</v>
      </c>
      <c r="R70" s="43">
        <f t="shared" si="10"/>
        <v>18.684508102629628</v>
      </c>
      <c r="S70" s="43">
        <f t="shared" si="10"/>
        <v>17.438874229120984</v>
      </c>
      <c r="T70" s="95">
        <f t="shared" si="10"/>
        <v>16.276282613846252</v>
      </c>
      <c r="V70" s="43">
        <f t="shared" si="11"/>
        <v>1.833252364857695</v>
      </c>
      <c r="W70" s="43">
        <f t="shared" si="12"/>
        <v>1.833252364857695</v>
      </c>
      <c r="X70" s="43">
        <f t="shared" si="13"/>
        <v>1.833252364857695</v>
      </c>
      <c r="Y70" s="43">
        <f t="shared" si="14"/>
        <v>1.833252364857695</v>
      </c>
      <c r="Z70" s="95">
        <f t="shared" si="15"/>
        <v>1.833252364857695</v>
      </c>
      <c r="AB70" s="43">
        <f t="shared" si="16"/>
        <v>23.282305033692726</v>
      </c>
      <c r="AC70" s="43">
        <f t="shared" si="17"/>
        <v>21.852368189103725</v>
      </c>
      <c r="AD70" s="43">
        <f t="shared" si="18"/>
        <v>20.517760467487324</v>
      </c>
      <c r="AE70" s="43">
        <f t="shared" si="19"/>
        <v>19.27212659397868</v>
      </c>
      <c r="AF70" s="95">
        <f t="shared" si="20"/>
        <v>18.109534978703948</v>
      </c>
      <c r="AH70" s="43">
        <f t="shared" si="21"/>
        <v>334.20190611355775</v>
      </c>
      <c r="AI70" s="43">
        <f t="shared" si="22"/>
        <v>312.34953792445401</v>
      </c>
      <c r="AJ70" s="43">
        <f t="shared" si="23"/>
        <v>291.83177745696668</v>
      </c>
      <c r="AK70" s="43">
        <f t="shared" si="24"/>
        <v>272.55965086298801</v>
      </c>
      <c r="AL70" s="95">
        <f t="shared" si="25"/>
        <v>254.45011588428406</v>
      </c>
      <c r="AN70" s="47">
        <f t="shared" si="26"/>
        <v>36.984583184348594</v>
      </c>
      <c r="AO70" s="47">
        <f t="shared" si="27"/>
        <v>37.782194623250881</v>
      </c>
      <c r="AP70" s="47">
        <f t="shared" si="28"/>
        <v>35.401181117792625</v>
      </c>
      <c r="AQ70" s="47">
        <f t="shared" si="29"/>
        <v>29.629393326772224</v>
      </c>
      <c r="AR70" s="193">
        <f t="shared" si="30"/>
        <v>27.778639382306743</v>
      </c>
      <c r="AY70" s="3"/>
    </row>
    <row r="71" spans="1:51">
      <c r="A71" s="48"/>
      <c r="B71" s="37">
        <f>'13. Desinvesteringen'!B355</f>
        <v>336</v>
      </c>
      <c r="C71" s="48"/>
      <c r="D71" s="48"/>
      <c r="E71" s="48"/>
      <c r="F71" s="42">
        <f>'5. Input GAW-waarde desinv.'!D31</f>
        <v>38915.650783577308</v>
      </c>
      <c r="G71" s="177">
        <f>'13. Desinvesteringen'!D355</f>
        <v>1987</v>
      </c>
      <c r="H71" s="177">
        <f>'13. Desinvesteringen'!G355</f>
        <v>2022</v>
      </c>
      <c r="I71" s="37" t="str">
        <f>'13. Desinvesteringen'!C355</f>
        <v>01 Regionale leidingen</v>
      </c>
      <c r="J71" s="166">
        <f>'13. Desinvesteringen'!F355</f>
        <v>0</v>
      </c>
      <c r="K71" s="38">
        <f>_xlfn.XLOOKUP(I71,'3. Input (des)investeringen '!$B$11:$B$81,'3. Input (des)investeringen '!$E$11:$E$81)</f>
        <v>1</v>
      </c>
      <c r="L71" s="48"/>
      <c r="M71" s="38">
        <f>_xlfn.XLOOKUP(I71,'3. Input (des)investeringen '!$B$11:$B$81,'3. Input (des)investeringen '!$D$11:$D$81,0)</f>
        <v>55</v>
      </c>
      <c r="N71" s="38">
        <f t="shared" si="9"/>
        <v>20.5</v>
      </c>
      <c r="P71" s="43">
        <f t="shared" si="10"/>
        <v>2221.0395813066075</v>
      </c>
      <c r="Q71" s="43">
        <f t="shared" si="10"/>
        <v>2080.1931688335053</v>
      </c>
      <c r="R71" s="43">
        <f t="shared" si="10"/>
        <v>1948.2784800782101</v>
      </c>
      <c r="S71" s="43">
        <f t="shared" si="10"/>
        <v>1824.7291130488604</v>
      </c>
      <c r="T71" s="95">
        <f t="shared" si="10"/>
        <v>1709.0145839286888</v>
      </c>
      <c r="V71" s="43">
        <f t="shared" si="11"/>
        <v>189.83244284671858</v>
      </c>
      <c r="W71" s="43">
        <f t="shared" si="12"/>
        <v>189.83244284671855</v>
      </c>
      <c r="X71" s="43">
        <f t="shared" si="13"/>
        <v>189.83244284671855</v>
      </c>
      <c r="Y71" s="43">
        <f t="shared" si="14"/>
        <v>189.83244284671855</v>
      </c>
      <c r="Z71" s="95">
        <f t="shared" si="15"/>
        <v>189.83244284671855</v>
      </c>
      <c r="AB71" s="43">
        <f t="shared" si="16"/>
        <v>2410.872024153326</v>
      </c>
      <c r="AC71" s="43">
        <f t="shared" si="17"/>
        <v>2270.0256116802238</v>
      </c>
      <c r="AD71" s="43">
        <f t="shared" si="18"/>
        <v>2138.1109229249287</v>
      </c>
      <c r="AE71" s="43">
        <f t="shared" si="19"/>
        <v>2014.561555895579</v>
      </c>
      <c r="AF71" s="95">
        <f t="shared" si="20"/>
        <v>1898.8470267754074</v>
      </c>
      <c r="AH71" s="43">
        <f t="shared" si="21"/>
        <v>36504.778759423985</v>
      </c>
      <c r="AI71" s="43">
        <f t="shared" si="22"/>
        <v>34234.753147743759</v>
      </c>
      <c r="AJ71" s="43">
        <f t="shared" si="23"/>
        <v>32096.642224818832</v>
      </c>
      <c r="AK71" s="43">
        <f t="shared" si="24"/>
        <v>30082.080668923252</v>
      </c>
      <c r="AL71" s="95">
        <f t="shared" si="25"/>
        <v>28183.233642147847</v>
      </c>
      <c r="AN71" s="47">
        <f t="shared" si="26"/>
        <v>3907.5679532897093</v>
      </c>
      <c r="AO71" s="47">
        <f t="shared" si="27"/>
        <v>4015.9980222151553</v>
      </c>
      <c r="AP71" s="47">
        <f t="shared" si="28"/>
        <v>3775.0396763906892</v>
      </c>
      <c r="AQ71" s="47">
        <f t="shared" si="29"/>
        <v>3157.6806213146629</v>
      </c>
      <c r="AR71" s="193">
        <f t="shared" si="30"/>
        <v>2969.8099051770255</v>
      </c>
      <c r="AY71" s="3"/>
    </row>
    <row r="72" spans="1:51">
      <c r="A72" s="48"/>
      <c r="B72" s="37">
        <f>'13. Desinvesteringen'!B356</f>
        <v>337</v>
      </c>
      <c r="C72" s="48"/>
      <c r="D72" s="48"/>
      <c r="E72" s="48"/>
      <c r="F72" s="42">
        <f>'5. Input GAW-waarde desinv.'!D32</f>
        <v>22545.342886393813</v>
      </c>
      <c r="G72" s="177">
        <f>'13. Desinvesteringen'!D356</f>
        <v>1991</v>
      </c>
      <c r="H72" s="177">
        <f>'13. Desinvesteringen'!G356</f>
        <v>2022</v>
      </c>
      <c r="I72" s="37" t="str">
        <f>'13. Desinvesteringen'!C356</f>
        <v>01 Regionale leidingen</v>
      </c>
      <c r="J72" s="166">
        <f>'13. Desinvesteringen'!F356</f>
        <v>0</v>
      </c>
      <c r="K72" s="38">
        <f>_xlfn.XLOOKUP(I72,'3. Input (des)investeringen '!$B$11:$B$81,'3. Input (des)investeringen '!$E$11:$E$81)</f>
        <v>1</v>
      </c>
      <c r="L72" s="48"/>
      <c r="M72" s="38">
        <f>_xlfn.XLOOKUP(I72,'3. Input (des)investeringen '!$B$11:$B$81,'3. Input (des)investeringen '!$D$11:$D$81,0)</f>
        <v>55</v>
      </c>
      <c r="N72" s="38">
        <f t="shared" si="9"/>
        <v>24.5</v>
      </c>
      <c r="P72" s="43">
        <f t="shared" si="10"/>
        <v>1076.6551500849291</v>
      </c>
      <c r="Q72" s="43">
        <f t="shared" si="10"/>
        <v>1019.5265094681778</v>
      </c>
      <c r="R72" s="43">
        <f t="shared" si="10"/>
        <v>965.42918447598879</v>
      </c>
      <c r="S72" s="43">
        <f t="shared" si="10"/>
        <v>914.20232978950764</v>
      </c>
      <c r="T72" s="95">
        <f t="shared" si="10"/>
        <v>865.69363473945202</v>
      </c>
      <c r="V72" s="43">
        <f t="shared" si="11"/>
        <v>92.02180769956658</v>
      </c>
      <c r="W72" s="43">
        <f t="shared" si="12"/>
        <v>92.021807699566594</v>
      </c>
      <c r="X72" s="43">
        <f t="shared" si="13"/>
        <v>92.021807699566594</v>
      </c>
      <c r="Y72" s="43">
        <f t="shared" si="14"/>
        <v>92.021807699566594</v>
      </c>
      <c r="Z72" s="95">
        <f t="shared" si="15"/>
        <v>92.021807699566594</v>
      </c>
      <c r="AB72" s="43">
        <f t="shared" si="16"/>
        <v>1168.6769577844957</v>
      </c>
      <c r="AC72" s="43">
        <f t="shared" si="17"/>
        <v>1111.5483171677445</v>
      </c>
      <c r="AD72" s="43">
        <f t="shared" si="18"/>
        <v>1057.4509921755555</v>
      </c>
      <c r="AE72" s="43">
        <f t="shared" si="19"/>
        <v>1006.2241374890742</v>
      </c>
      <c r="AF72" s="95">
        <f t="shared" si="20"/>
        <v>957.7154424390186</v>
      </c>
      <c r="AH72" s="43">
        <f t="shared" si="21"/>
        <v>21376.665928609316</v>
      </c>
      <c r="AI72" s="43">
        <f t="shared" si="22"/>
        <v>20265.117611441572</v>
      </c>
      <c r="AJ72" s="43">
        <f t="shared" si="23"/>
        <v>19207.666619266016</v>
      </c>
      <c r="AK72" s="43">
        <f t="shared" si="24"/>
        <v>18201.442481776943</v>
      </c>
      <c r="AL72" s="95">
        <f t="shared" si="25"/>
        <v>17243.727039337926</v>
      </c>
      <c r="AN72" s="47">
        <f t="shared" si="26"/>
        <v>2045.1202608574777</v>
      </c>
      <c r="AO72" s="47">
        <f t="shared" si="27"/>
        <v>2145.0693153512648</v>
      </c>
      <c r="AP72" s="47">
        <f t="shared" si="28"/>
        <v>2037.0419897581223</v>
      </c>
      <c r="AQ72" s="47">
        <f t="shared" si="29"/>
        <v>1697.8789517965979</v>
      </c>
      <c r="AR72" s="193">
        <f t="shared" si="30"/>
        <v>1612.9770699338596</v>
      </c>
      <c r="AY72" s="3"/>
    </row>
    <row r="73" spans="1:51">
      <c r="A73" s="48"/>
      <c r="B73" s="37">
        <f>'13. Desinvesteringen'!B357</f>
        <v>338</v>
      </c>
      <c r="C73" s="48"/>
      <c r="D73" s="48"/>
      <c r="E73" s="48"/>
      <c r="F73" s="42">
        <f>'5. Input GAW-waarde desinv.'!D33</f>
        <v>91128.347042326975</v>
      </c>
      <c r="G73" s="177">
        <f>'13. Desinvesteringen'!D357</f>
        <v>1994</v>
      </c>
      <c r="H73" s="177">
        <f>'13. Desinvesteringen'!G357</f>
        <v>2022</v>
      </c>
      <c r="I73" s="37" t="str">
        <f>'13. Desinvesteringen'!C357</f>
        <v>01 Regionale leidingen</v>
      </c>
      <c r="J73" s="166">
        <f>'13. Desinvesteringen'!F357</f>
        <v>0</v>
      </c>
      <c r="K73" s="38">
        <f>_xlfn.XLOOKUP(I73,'3. Input (des)investeringen '!$B$11:$B$81,'3. Input (des)investeringen '!$E$11:$E$81)</f>
        <v>1</v>
      </c>
      <c r="L73" s="48"/>
      <c r="M73" s="38">
        <f>_xlfn.XLOOKUP(I73,'3. Input (des)investeringen '!$B$11:$B$81,'3. Input (des)investeringen '!$D$11:$D$81,0)</f>
        <v>55</v>
      </c>
      <c r="N73" s="38">
        <f t="shared" si="9"/>
        <v>27.5</v>
      </c>
      <c r="P73" s="43">
        <f t="shared" si="10"/>
        <v>3877.0969468917297</v>
      </c>
      <c r="Q73" s="43">
        <f t="shared" si="10"/>
        <v>3693.8160003113935</v>
      </c>
      <c r="R73" s="43">
        <f t="shared" si="10"/>
        <v>3519.1992439330365</v>
      </c>
      <c r="S73" s="43">
        <f t="shared" si="10"/>
        <v>3352.837097856202</v>
      </c>
      <c r="T73" s="95">
        <f t="shared" si="10"/>
        <v>3194.3393441393632</v>
      </c>
      <c r="V73" s="43">
        <f t="shared" si="11"/>
        <v>331.37580742664358</v>
      </c>
      <c r="W73" s="43">
        <f t="shared" si="12"/>
        <v>331.37580742664363</v>
      </c>
      <c r="X73" s="43">
        <f t="shared" si="13"/>
        <v>331.37580742664363</v>
      </c>
      <c r="Y73" s="43">
        <f t="shared" si="14"/>
        <v>331.37580742664363</v>
      </c>
      <c r="Z73" s="95">
        <f t="shared" si="15"/>
        <v>331.37580742664363</v>
      </c>
      <c r="AB73" s="43">
        <f t="shared" si="16"/>
        <v>4208.4727543183735</v>
      </c>
      <c r="AC73" s="43">
        <f t="shared" si="17"/>
        <v>4025.1918077380369</v>
      </c>
      <c r="AD73" s="43">
        <f t="shared" si="18"/>
        <v>3850.5750513596804</v>
      </c>
      <c r="AE73" s="43">
        <f t="shared" si="19"/>
        <v>3684.2129052828459</v>
      </c>
      <c r="AF73" s="95">
        <f t="shared" si="20"/>
        <v>3525.7151515660071</v>
      </c>
      <c r="AH73" s="43">
        <f t="shared" si="21"/>
        <v>86919.874288008607</v>
      </c>
      <c r="AI73" s="43">
        <f t="shared" si="22"/>
        <v>82894.682480270567</v>
      </c>
      <c r="AJ73" s="43">
        <f t="shared" si="23"/>
        <v>79044.10742891088</v>
      </c>
      <c r="AK73" s="43">
        <f t="shared" si="24"/>
        <v>75359.894523628027</v>
      </c>
      <c r="AL73" s="95">
        <f t="shared" si="25"/>
        <v>71834.179372062019</v>
      </c>
      <c r="AN73" s="47">
        <f t="shared" si="26"/>
        <v>7772.1876001267265</v>
      </c>
      <c r="AO73" s="47">
        <f t="shared" si="27"/>
        <v>8252.8206142318359</v>
      </c>
      <c r="AP73" s="47">
        <f t="shared" si="28"/>
        <v>7881.8245302341347</v>
      </c>
      <c r="AQ73" s="47">
        <f t="shared" si="29"/>
        <v>6547.888897180711</v>
      </c>
      <c r="AR73" s="193">
        <f t="shared" si="30"/>
        <v>6255.413967704364</v>
      </c>
      <c r="AY73" s="3"/>
    </row>
    <row r="74" spans="1:51">
      <c r="A74" s="48"/>
      <c r="B74" s="37">
        <f>'13. Desinvesteringen'!B358</f>
        <v>339</v>
      </c>
      <c r="C74" s="48"/>
      <c r="D74" s="48"/>
      <c r="E74" s="48"/>
      <c r="F74" s="42">
        <f>'5. Input GAW-waarde desinv.'!D34</f>
        <v>19475.506076320318</v>
      </c>
      <c r="G74" s="177">
        <f>'13. Desinvesteringen'!D358</f>
        <v>1995</v>
      </c>
      <c r="H74" s="177">
        <f>'13. Desinvesteringen'!G358</f>
        <v>2022</v>
      </c>
      <c r="I74" s="37" t="str">
        <f>'13. Desinvesteringen'!C358</f>
        <v>01 Regionale leidingen</v>
      </c>
      <c r="J74" s="166">
        <f>'13. Desinvesteringen'!F358</f>
        <v>0</v>
      </c>
      <c r="K74" s="38">
        <f>_xlfn.XLOOKUP(I74,'3. Input (des)investeringen '!$B$11:$B$81,'3. Input (des)investeringen '!$E$11:$E$81)</f>
        <v>1</v>
      </c>
      <c r="L74" s="48"/>
      <c r="M74" s="38">
        <f>_xlfn.XLOOKUP(I74,'3. Input (des)investeringen '!$B$11:$B$81,'3. Input (des)investeringen '!$D$11:$D$81,0)</f>
        <v>55</v>
      </c>
      <c r="N74" s="38">
        <f t="shared" si="9"/>
        <v>28.5</v>
      </c>
      <c r="P74" s="43">
        <f t="shared" si="10"/>
        <v>799.52077576472891</v>
      </c>
      <c r="Q74" s="43">
        <f t="shared" si="10"/>
        <v>763.05140704563598</v>
      </c>
      <c r="R74" s="43">
        <f t="shared" si="10"/>
        <v>728.24555339092285</v>
      </c>
      <c r="S74" s="43">
        <f t="shared" si="10"/>
        <v>695.02733516607361</v>
      </c>
      <c r="T74" s="95">
        <f t="shared" si="10"/>
        <v>663.3243339128843</v>
      </c>
      <c r="V74" s="43">
        <f t="shared" si="11"/>
        <v>68.335109039720422</v>
      </c>
      <c r="W74" s="43">
        <f t="shared" si="12"/>
        <v>68.335109039720422</v>
      </c>
      <c r="X74" s="43">
        <f t="shared" si="13"/>
        <v>68.335109039720422</v>
      </c>
      <c r="Y74" s="43">
        <f t="shared" si="14"/>
        <v>68.335109039720422</v>
      </c>
      <c r="Z74" s="95">
        <f t="shared" si="15"/>
        <v>68.335109039720422</v>
      </c>
      <c r="AB74" s="43">
        <f t="shared" si="16"/>
        <v>867.85588480444937</v>
      </c>
      <c r="AC74" s="43">
        <f t="shared" si="17"/>
        <v>831.38651608535645</v>
      </c>
      <c r="AD74" s="43">
        <f t="shared" si="18"/>
        <v>796.58066243064332</v>
      </c>
      <c r="AE74" s="43">
        <f t="shared" si="19"/>
        <v>763.36244420579408</v>
      </c>
      <c r="AF74" s="95">
        <f t="shared" si="20"/>
        <v>731.65944295260476</v>
      </c>
      <c r="AH74" s="43">
        <f t="shared" si="21"/>
        <v>18607.65019151587</v>
      </c>
      <c r="AI74" s="43">
        <f t="shared" si="22"/>
        <v>17776.263675430513</v>
      </c>
      <c r="AJ74" s="43">
        <f t="shared" si="23"/>
        <v>16979.683012999871</v>
      </c>
      <c r="AK74" s="43">
        <f t="shared" si="24"/>
        <v>16216.320568794077</v>
      </c>
      <c r="AL74" s="95">
        <f t="shared" si="25"/>
        <v>15484.661125841472</v>
      </c>
      <c r="AN74" s="47">
        <f t="shared" si="26"/>
        <v>1630.7695426566002</v>
      </c>
      <c r="AO74" s="47">
        <f t="shared" si="27"/>
        <v>1737.9759635323126</v>
      </c>
      <c r="AP74" s="47">
        <f t="shared" si="28"/>
        <v>1662.5444960936366</v>
      </c>
      <c r="AQ74" s="47">
        <f t="shared" si="29"/>
        <v>1379.5826258199691</v>
      </c>
      <c r="AR74" s="193">
        <f t="shared" si="30"/>
        <v>1320.0765657345805</v>
      </c>
      <c r="AY74" s="3"/>
    </row>
    <row r="75" spans="1:51">
      <c r="A75" s="48"/>
      <c r="B75" s="37">
        <f>'13. Desinvesteringen'!B359</f>
        <v>340</v>
      </c>
      <c r="C75" s="48"/>
      <c r="D75" s="48"/>
      <c r="E75" s="48"/>
      <c r="F75" s="42">
        <f>'5. Input GAW-waarde desinv.'!D35</f>
        <v>4265.7894840755598</v>
      </c>
      <c r="G75" s="177">
        <f>'13. Desinvesteringen'!D359</f>
        <v>1997</v>
      </c>
      <c r="H75" s="177">
        <f>'13. Desinvesteringen'!G359</f>
        <v>2022</v>
      </c>
      <c r="I75" s="37" t="str">
        <f>'13. Desinvesteringen'!C359</f>
        <v>01 Regionale leidingen</v>
      </c>
      <c r="J75" s="166">
        <f>'13. Desinvesteringen'!F359</f>
        <v>0</v>
      </c>
      <c r="K75" s="38">
        <f>_xlfn.XLOOKUP(I75,'3. Input (des)investeringen '!$B$11:$B$81,'3. Input (des)investeringen '!$E$11:$E$81)</f>
        <v>1</v>
      </c>
      <c r="L75" s="48"/>
      <c r="M75" s="38">
        <f>_xlfn.XLOOKUP(I75,'3. Input (des)investeringen '!$B$11:$B$81,'3. Input (des)investeringen '!$D$11:$D$81,0)</f>
        <v>55</v>
      </c>
      <c r="N75" s="38">
        <f t="shared" si="9"/>
        <v>30.5</v>
      </c>
      <c r="P75" s="43">
        <f t="shared" si="10"/>
        <v>163.63848184814444</v>
      </c>
      <c r="Q75" s="43">
        <f t="shared" si="10"/>
        <v>156.6637268841252</v>
      </c>
      <c r="R75" s="43">
        <f t="shared" si="10"/>
        <v>149.98625655791653</v>
      </c>
      <c r="S75" s="43">
        <f t="shared" si="10"/>
        <v>143.59339972102177</v>
      </c>
      <c r="T75" s="95">
        <f t="shared" si="10"/>
        <v>137.47302530668313</v>
      </c>
      <c r="V75" s="43">
        <f t="shared" si="11"/>
        <v>13.986195029755933</v>
      </c>
      <c r="W75" s="43">
        <f t="shared" si="12"/>
        <v>13.986195029755937</v>
      </c>
      <c r="X75" s="43">
        <f t="shared" si="13"/>
        <v>13.986195029755937</v>
      </c>
      <c r="Y75" s="43">
        <f t="shared" si="14"/>
        <v>13.986195029755937</v>
      </c>
      <c r="Z75" s="95">
        <f t="shared" si="15"/>
        <v>13.986195029755937</v>
      </c>
      <c r="AB75" s="43">
        <f t="shared" si="16"/>
        <v>177.62467687790036</v>
      </c>
      <c r="AC75" s="43">
        <f t="shared" si="17"/>
        <v>170.64992191388114</v>
      </c>
      <c r="AD75" s="43">
        <f t="shared" si="18"/>
        <v>163.97245158767248</v>
      </c>
      <c r="AE75" s="43">
        <f t="shared" si="19"/>
        <v>157.57959475077772</v>
      </c>
      <c r="AF75" s="95">
        <f t="shared" si="20"/>
        <v>151.45922033643907</v>
      </c>
      <c r="AH75" s="43">
        <f t="shared" si="21"/>
        <v>4088.1648071976597</v>
      </c>
      <c r="AI75" s="43">
        <f t="shared" si="22"/>
        <v>3917.5148852837783</v>
      </c>
      <c r="AJ75" s="43">
        <f t="shared" si="23"/>
        <v>3753.5424336961059</v>
      </c>
      <c r="AK75" s="43">
        <f t="shared" si="24"/>
        <v>3595.9628389453283</v>
      </c>
      <c r="AL75" s="95">
        <f t="shared" si="25"/>
        <v>3444.5036186088892</v>
      </c>
      <c r="AN75" s="47">
        <f t="shared" si="26"/>
        <v>345.23943397300445</v>
      </c>
      <c r="AO75" s="47">
        <f t="shared" si="27"/>
        <v>370.44318106335379</v>
      </c>
      <c r="AP75" s="47">
        <f t="shared" si="28"/>
        <v>355.40311570617388</v>
      </c>
      <c r="AQ75" s="47">
        <f t="shared" si="29"/>
        <v>294.22618263070018</v>
      </c>
      <c r="AR75" s="193">
        <f t="shared" si="30"/>
        <v>282.35035784357683</v>
      </c>
      <c r="AY75" s="3"/>
    </row>
    <row r="76" spans="1:51">
      <c r="A76" s="48"/>
      <c r="B76" s="37">
        <f>'13. Desinvesteringen'!B360</f>
        <v>341</v>
      </c>
      <c r="C76" s="48"/>
      <c r="D76" s="48"/>
      <c r="E76" s="48"/>
      <c r="F76" s="42">
        <f>'5. Input GAW-waarde desinv.'!D36</f>
        <v>6065.0353725967525</v>
      </c>
      <c r="G76" s="177">
        <f>'13. Desinvesteringen'!D360</f>
        <v>2001</v>
      </c>
      <c r="H76" s="177">
        <f>'13. Desinvesteringen'!G360</f>
        <v>2022</v>
      </c>
      <c r="I76" s="37" t="str">
        <f>'13. Desinvesteringen'!C360</f>
        <v>01 Regionale leidingen</v>
      </c>
      <c r="J76" s="166">
        <f>'13. Desinvesteringen'!F360</f>
        <v>0</v>
      </c>
      <c r="K76" s="38">
        <f>_xlfn.XLOOKUP(I76,'3. Input (des)investeringen '!$B$11:$B$81,'3. Input (des)investeringen '!$E$11:$E$81)</f>
        <v>1</v>
      </c>
      <c r="L76" s="48"/>
      <c r="M76" s="38">
        <f>_xlfn.XLOOKUP(I76,'3. Input (des)investeringen '!$B$11:$B$81,'3. Input (des)investeringen '!$D$11:$D$81,0)</f>
        <v>55</v>
      </c>
      <c r="N76" s="38">
        <f t="shared" si="9"/>
        <v>34.5</v>
      </c>
      <c r="P76" s="43">
        <f t="shared" si="10"/>
        <v>205.6838082880638</v>
      </c>
      <c r="Q76" s="43">
        <f t="shared" si="10"/>
        <v>197.93340391778895</v>
      </c>
      <c r="R76" s="43">
        <f t="shared" si="10"/>
        <v>190.47504377016213</v>
      </c>
      <c r="S76" s="43">
        <f t="shared" si="10"/>
        <v>183.29772328027195</v>
      </c>
      <c r="T76" s="95">
        <f t="shared" si="10"/>
        <v>176.39085254797183</v>
      </c>
      <c r="V76" s="43">
        <f t="shared" si="11"/>
        <v>17.579812674193487</v>
      </c>
      <c r="W76" s="43">
        <f t="shared" si="12"/>
        <v>17.579812674193487</v>
      </c>
      <c r="X76" s="43">
        <f t="shared" si="13"/>
        <v>17.579812674193487</v>
      </c>
      <c r="Y76" s="43">
        <f t="shared" si="14"/>
        <v>17.579812674193487</v>
      </c>
      <c r="Z76" s="95">
        <f t="shared" si="15"/>
        <v>17.579812674193487</v>
      </c>
      <c r="AB76" s="43">
        <f t="shared" si="16"/>
        <v>223.26362096225728</v>
      </c>
      <c r="AC76" s="43">
        <f t="shared" si="17"/>
        <v>215.51321659198243</v>
      </c>
      <c r="AD76" s="43">
        <f t="shared" si="18"/>
        <v>208.05485644435561</v>
      </c>
      <c r="AE76" s="43">
        <f t="shared" si="19"/>
        <v>200.87753595446543</v>
      </c>
      <c r="AF76" s="95">
        <f t="shared" si="20"/>
        <v>193.97066522216531</v>
      </c>
      <c r="AH76" s="43">
        <f t="shared" si="21"/>
        <v>5841.7717516344956</v>
      </c>
      <c r="AI76" s="43">
        <f t="shared" si="22"/>
        <v>5626.2585350425134</v>
      </c>
      <c r="AJ76" s="43">
        <f t="shared" si="23"/>
        <v>5418.2036785981581</v>
      </c>
      <c r="AK76" s="43">
        <f t="shared" si="24"/>
        <v>5217.3261426436929</v>
      </c>
      <c r="AL76" s="95">
        <f t="shared" si="25"/>
        <v>5023.3554774215272</v>
      </c>
      <c r="AN76" s="47">
        <f t="shared" si="26"/>
        <v>462.77626277927163</v>
      </c>
      <c r="AO76" s="47">
        <f t="shared" si="27"/>
        <v>502.45240187915061</v>
      </c>
      <c r="AP76" s="47">
        <f t="shared" si="28"/>
        <v>484.38324405286164</v>
      </c>
      <c r="AQ76" s="47">
        <f t="shared" si="29"/>
        <v>399.13592937492575</v>
      </c>
      <c r="AR76" s="193">
        <f t="shared" si="30"/>
        <v>384.85817336418336</v>
      </c>
      <c r="AY76" s="3"/>
    </row>
    <row r="77" spans="1:51">
      <c r="A77" s="48"/>
      <c r="B77" s="37">
        <f>'13. Desinvesteringen'!B361</f>
        <v>342</v>
      </c>
      <c r="C77" s="48"/>
      <c r="D77" s="48"/>
      <c r="E77" s="48"/>
      <c r="F77" s="42">
        <f>'5. Input GAW-waarde desinv.'!D37</f>
        <v>3963.0132452867715</v>
      </c>
      <c r="G77" s="177">
        <f>'13. Desinvesteringen'!D361</f>
        <v>2002</v>
      </c>
      <c r="H77" s="177">
        <f>'13. Desinvesteringen'!G361</f>
        <v>2022</v>
      </c>
      <c r="I77" s="37" t="str">
        <f>'13. Desinvesteringen'!C361</f>
        <v>01 Regionale leidingen</v>
      </c>
      <c r="J77" s="166">
        <f>'13. Desinvesteringen'!F361</f>
        <v>0</v>
      </c>
      <c r="K77" s="38">
        <f>_xlfn.XLOOKUP(I77,'3. Input (des)investeringen '!$B$11:$B$81,'3. Input (des)investeringen '!$E$11:$E$81)</f>
        <v>1</v>
      </c>
      <c r="L77" s="48"/>
      <c r="M77" s="38">
        <f>_xlfn.XLOOKUP(I77,'3. Input (des)investeringen '!$B$11:$B$81,'3. Input (des)investeringen '!$D$11:$D$81,0)</f>
        <v>55</v>
      </c>
      <c r="N77" s="38">
        <f t="shared" si="9"/>
        <v>35.5</v>
      </c>
      <c r="P77" s="43">
        <f t="shared" si="10"/>
        <v>130.61198583057811</v>
      </c>
      <c r="Q77" s="43">
        <f t="shared" si="10"/>
        <v>125.82901170157102</v>
      </c>
      <c r="R77" s="43">
        <f t="shared" si="10"/>
        <v>121.22118873785151</v>
      </c>
      <c r="S77" s="43">
        <f t="shared" si="10"/>
        <v>116.78210295308513</v>
      </c>
      <c r="T77" s="95">
        <f t="shared" si="10"/>
        <v>112.50557523931016</v>
      </c>
      <c r="V77" s="43">
        <f t="shared" si="11"/>
        <v>11.163417592357105</v>
      </c>
      <c r="W77" s="43">
        <f t="shared" si="12"/>
        <v>11.163417592357103</v>
      </c>
      <c r="X77" s="43">
        <f t="shared" si="13"/>
        <v>11.163417592357103</v>
      </c>
      <c r="Y77" s="43">
        <f t="shared" si="14"/>
        <v>11.163417592357103</v>
      </c>
      <c r="Z77" s="95">
        <f t="shared" si="15"/>
        <v>11.163417592357103</v>
      </c>
      <c r="AB77" s="43">
        <f t="shared" si="16"/>
        <v>141.7754034229352</v>
      </c>
      <c r="AC77" s="43">
        <f t="shared" si="17"/>
        <v>136.99242929392813</v>
      </c>
      <c r="AD77" s="43">
        <f t="shared" si="18"/>
        <v>132.38460633020861</v>
      </c>
      <c r="AE77" s="43">
        <f t="shared" si="19"/>
        <v>127.94552054544224</v>
      </c>
      <c r="AF77" s="95">
        <f t="shared" si="20"/>
        <v>123.66899283166727</v>
      </c>
      <c r="AH77" s="43">
        <f t="shared" si="21"/>
        <v>3821.2378418638364</v>
      </c>
      <c r="AI77" s="43">
        <f t="shared" si="22"/>
        <v>3684.2454125699082</v>
      </c>
      <c r="AJ77" s="43">
        <f t="shared" si="23"/>
        <v>3551.8608062396997</v>
      </c>
      <c r="AK77" s="43">
        <f t="shared" si="24"/>
        <v>3423.9152856942574</v>
      </c>
      <c r="AL77" s="95">
        <f t="shared" si="25"/>
        <v>3300.2462928625901</v>
      </c>
      <c r="AN77" s="47">
        <f t="shared" si="26"/>
        <v>298.44615493935248</v>
      </c>
      <c r="AO77" s="47">
        <f t="shared" si="27"/>
        <v>324.88894533499342</v>
      </c>
      <c r="AP77" s="47">
        <f t="shared" si="28"/>
        <v>313.52950744843326</v>
      </c>
      <c r="AQ77" s="47">
        <f t="shared" si="29"/>
        <v>258.05430140182398</v>
      </c>
      <c r="AR77" s="193">
        <f t="shared" si="30"/>
        <v>249.07835196044567</v>
      </c>
      <c r="AY77" s="3"/>
    </row>
    <row r="78" spans="1:51">
      <c r="A78" s="48"/>
      <c r="B78" s="37">
        <f>'13. Desinvesteringen'!B362</f>
        <v>343</v>
      </c>
      <c r="C78" s="48"/>
      <c r="D78" s="48"/>
      <c r="E78" s="48"/>
      <c r="F78" s="42">
        <f>'5. Input GAW-waarde desinv.'!D38</f>
        <v>99386.826026262308</v>
      </c>
      <c r="G78" s="177">
        <f>'13. Desinvesteringen'!D362</f>
        <v>2004</v>
      </c>
      <c r="H78" s="177">
        <f>'13. Desinvesteringen'!G362</f>
        <v>2022</v>
      </c>
      <c r="I78" s="37" t="str">
        <f>'13. Desinvesteringen'!C362</f>
        <v>01 Regionale leidingen</v>
      </c>
      <c r="J78" s="166">
        <f>'13. Desinvesteringen'!F362</f>
        <v>0</v>
      </c>
      <c r="K78" s="38">
        <f>_xlfn.XLOOKUP(I78,'3. Input (des)investeringen '!$B$11:$B$81,'3. Input (des)investeringen '!$E$11:$E$81)</f>
        <v>1</v>
      </c>
      <c r="L78" s="48"/>
      <c r="M78" s="38">
        <f>_xlfn.XLOOKUP(I78,'3. Input (des)investeringen '!$B$11:$B$81,'3. Input (des)investeringen '!$D$11:$D$81,0)</f>
        <v>55</v>
      </c>
      <c r="N78" s="38">
        <f t="shared" si="9"/>
        <v>37.5</v>
      </c>
      <c r="P78" s="43">
        <f t="shared" si="10"/>
        <v>3100.8689720193838</v>
      </c>
      <c r="Q78" s="43">
        <f t="shared" si="10"/>
        <v>2993.3721809893782</v>
      </c>
      <c r="R78" s="43">
        <f t="shared" si="10"/>
        <v>2889.6019453817466</v>
      </c>
      <c r="S78" s="43">
        <f t="shared" si="10"/>
        <v>2789.4290779418461</v>
      </c>
      <c r="T78" s="95">
        <f t="shared" si="10"/>
        <v>2692.7288699065289</v>
      </c>
      <c r="V78" s="43">
        <f t="shared" si="11"/>
        <v>265.03153607003281</v>
      </c>
      <c r="W78" s="43">
        <f t="shared" si="12"/>
        <v>265.03153607003281</v>
      </c>
      <c r="X78" s="43">
        <f t="shared" si="13"/>
        <v>265.03153607003281</v>
      </c>
      <c r="Y78" s="43">
        <f t="shared" si="14"/>
        <v>265.03153607003281</v>
      </c>
      <c r="Z78" s="95">
        <f t="shared" si="15"/>
        <v>265.03153607003281</v>
      </c>
      <c r="AB78" s="43">
        <f t="shared" si="16"/>
        <v>3365.9005080894167</v>
      </c>
      <c r="AC78" s="43">
        <f t="shared" si="17"/>
        <v>3258.4037170594111</v>
      </c>
      <c r="AD78" s="43">
        <f t="shared" si="18"/>
        <v>3154.6334814517795</v>
      </c>
      <c r="AE78" s="43">
        <f t="shared" si="19"/>
        <v>3054.460614011879</v>
      </c>
      <c r="AF78" s="95">
        <f t="shared" si="20"/>
        <v>2957.7604059765617</v>
      </c>
      <c r="AH78" s="43">
        <f t="shared" si="21"/>
        <v>96020.925518172895</v>
      </c>
      <c r="AI78" s="43">
        <f t="shared" si="22"/>
        <v>92762.521801113486</v>
      </c>
      <c r="AJ78" s="43">
        <f t="shared" si="23"/>
        <v>89607.88831966171</v>
      </c>
      <c r="AK78" s="43">
        <f t="shared" si="24"/>
        <v>86553.427705649825</v>
      </c>
      <c r="AL78" s="95">
        <f t="shared" si="25"/>
        <v>83595.667299673267</v>
      </c>
      <c r="AN78" s="47">
        <f t="shared" si="26"/>
        <v>7302.7584543345056</v>
      </c>
      <c r="AO78" s="47">
        <f t="shared" si="27"/>
        <v>7989.2923289161981</v>
      </c>
      <c r="AP78" s="47">
        <f t="shared" si="28"/>
        <v>7724.6357857545263</v>
      </c>
      <c r="AQ78" s="47">
        <f t="shared" si="29"/>
        <v>6343.4908668265725</v>
      </c>
      <c r="AR78" s="193">
        <f t="shared" si="30"/>
        <v>6134.3957633641458</v>
      </c>
      <c r="AY78" s="3"/>
    </row>
    <row r="79" spans="1:51">
      <c r="A79" s="48"/>
      <c r="B79" s="37">
        <f>'13. Desinvesteringen'!B363</f>
        <v>344</v>
      </c>
      <c r="C79" s="48"/>
      <c r="D79" s="48"/>
      <c r="E79" s="48"/>
      <c r="F79" s="42">
        <f>'5. Input GAW-waarde desinv.'!D39</f>
        <v>21724.935672167638</v>
      </c>
      <c r="G79" s="177">
        <f>'13. Desinvesteringen'!D363</f>
        <v>2005</v>
      </c>
      <c r="H79" s="177">
        <f>'13. Desinvesteringen'!G363</f>
        <v>2022</v>
      </c>
      <c r="I79" s="37" t="str">
        <f>'13. Desinvesteringen'!C363</f>
        <v>01 Regionale leidingen</v>
      </c>
      <c r="J79" s="166">
        <f>'13. Desinvesteringen'!F363</f>
        <v>0</v>
      </c>
      <c r="K79" s="38">
        <f>_xlfn.XLOOKUP(I79,'3. Input (des)investeringen '!$B$11:$B$81,'3. Input (des)investeringen '!$E$11:$E$81)</f>
        <v>1</v>
      </c>
      <c r="L79" s="48"/>
      <c r="M79" s="38">
        <f>_xlfn.XLOOKUP(I79,'3. Input (des)investeringen '!$B$11:$B$81,'3. Input (des)investeringen '!$D$11:$D$81,0)</f>
        <v>55</v>
      </c>
      <c r="N79" s="38">
        <f t="shared" si="9"/>
        <v>38.5</v>
      </c>
      <c r="P79" s="43">
        <f t="shared" si="10"/>
        <v>660.21233081652315</v>
      </c>
      <c r="Q79" s="43">
        <f t="shared" si="10"/>
        <v>637.91944691882236</v>
      </c>
      <c r="R79" s="43">
        <f t="shared" si="10"/>
        <v>616.37930975013478</v>
      </c>
      <c r="S79" s="43">
        <f t="shared" si="10"/>
        <v>595.56650188844196</v>
      </c>
      <c r="T79" s="95">
        <f t="shared" si="10"/>
        <v>575.45646416233865</v>
      </c>
      <c r="V79" s="43">
        <f t="shared" si="11"/>
        <v>56.428404343292577</v>
      </c>
      <c r="W79" s="43">
        <f t="shared" si="12"/>
        <v>56.428404343292563</v>
      </c>
      <c r="X79" s="43">
        <f t="shared" si="13"/>
        <v>56.428404343292563</v>
      </c>
      <c r="Y79" s="43">
        <f t="shared" si="14"/>
        <v>56.428404343292563</v>
      </c>
      <c r="Z79" s="95">
        <f t="shared" si="15"/>
        <v>56.428404343292563</v>
      </c>
      <c r="AB79" s="43">
        <f t="shared" si="16"/>
        <v>716.64073515981568</v>
      </c>
      <c r="AC79" s="43">
        <f t="shared" si="17"/>
        <v>694.34785126211489</v>
      </c>
      <c r="AD79" s="43">
        <f t="shared" si="18"/>
        <v>672.80771409342731</v>
      </c>
      <c r="AE79" s="43">
        <f t="shared" si="19"/>
        <v>651.99490623173449</v>
      </c>
      <c r="AF79" s="95">
        <f t="shared" si="20"/>
        <v>631.88486850563118</v>
      </c>
      <c r="AH79" s="43">
        <f t="shared" si="21"/>
        <v>21008.29493700782</v>
      </c>
      <c r="AI79" s="43">
        <f t="shared" si="22"/>
        <v>20313.947085745705</v>
      </c>
      <c r="AJ79" s="43">
        <f t="shared" si="23"/>
        <v>19641.13937165228</v>
      </c>
      <c r="AK79" s="43">
        <f t="shared" si="24"/>
        <v>18989.144465420544</v>
      </c>
      <c r="AL79" s="95">
        <f t="shared" si="25"/>
        <v>18357.259596914912</v>
      </c>
      <c r="AN79" s="47">
        <f t="shared" si="26"/>
        <v>1577.9808275771363</v>
      </c>
      <c r="AO79" s="47">
        <f t="shared" si="27"/>
        <v>1730.3591526351456</v>
      </c>
      <c r="AP79" s="47">
        <f t="shared" si="28"/>
        <v>1674.5058220476935</v>
      </c>
      <c r="AQ79" s="47">
        <f t="shared" si="29"/>
        <v>1373.5823959177151</v>
      </c>
      <c r="AR79" s="193">
        <f t="shared" si="30"/>
        <v>1329.4607331883976</v>
      </c>
      <c r="AY79" s="3"/>
    </row>
    <row r="80" spans="1:51">
      <c r="A80" s="48"/>
      <c r="B80" s="37">
        <f>'13. Desinvesteringen'!B364</f>
        <v>345</v>
      </c>
      <c r="C80" s="48"/>
      <c r="D80" s="48"/>
      <c r="E80" s="48"/>
      <c r="F80" s="42">
        <f>'5. Input GAW-waarde desinv.'!D40</f>
        <v>354150.64233630133</v>
      </c>
      <c r="G80" s="177">
        <f>'13. Desinvesteringen'!D364</f>
        <v>2009</v>
      </c>
      <c r="H80" s="177">
        <f>'13. Desinvesteringen'!G364</f>
        <v>2022</v>
      </c>
      <c r="I80" s="37" t="str">
        <f>'13. Desinvesteringen'!C364</f>
        <v>01 Regionale leidingen</v>
      </c>
      <c r="J80" s="166">
        <f>'13. Desinvesteringen'!F364</f>
        <v>0</v>
      </c>
      <c r="K80" s="38">
        <f>_xlfn.XLOOKUP(I80,'3. Input (des)investeringen '!$B$11:$B$81,'3. Input (des)investeringen '!$E$11:$E$81)</f>
        <v>1</v>
      </c>
      <c r="L80" s="48"/>
      <c r="M80" s="38">
        <f>_xlfn.XLOOKUP(I80,'3. Input (des)investeringen '!$B$11:$B$81,'3. Input (des)investeringen '!$D$11:$D$81,0)</f>
        <v>55</v>
      </c>
      <c r="N80" s="38">
        <f t="shared" si="9"/>
        <v>42.5</v>
      </c>
      <c r="P80" s="43">
        <f t="shared" si="10"/>
        <v>9749.5588596111193</v>
      </c>
      <c r="Q80" s="43">
        <f t="shared" si="10"/>
        <v>9451.3370591994844</v>
      </c>
      <c r="R80" s="43">
        <f t="shared" si="10"/>
        <v>9162.2373373886767</v>
      </c>
      <c r="S80" s="43">
        <f t="shared" si="10"/>
        <v>8881.9806658920825</v>
      </c>
      <c r="T80" s="95">
        <f t="shared" si="10"/>
        <v>8610.2965514059724</v>
      </c>
      <c r="V80" s="43">
        <f t="shared" si="11"/>
        <v>833.29562902659154</v>
      </c>
      <c r="W80" s="43">
        <f t="shared" si="12"/>
        <v>833.29562902659154</v>
      </c>
      <c r="X80" s="43">
        <f t="shared" si="13"/>
        <v>833.29562902659154</v>
      </c>
      <c r="Y80" s="43">
        <f t="shared" si="14"/>
        <v>833.29562902659154</v>
      </c>
      <c r="Z80" s="95">
        <f t="shared" si="15"/>
        <v>833.29562902659154</v>
      </c>
      <c r="AB80" s="43">
        <f t="shared" si="16"/>
        <v>10582.854488637711</v>
      </c>
      <c r="AC80" s="43">
        <f t="shared" si="17"/>
        <v>10284.632688226076</v>
      </c>
      <c r="AD80" s="43">
        <f t="shared" si="18"/>
        <v>9995.5329664152687</v>
      </c>
      <c r="AE80" s="43">
        <f t="shared" si="19"/>
        <v>9715.2762949186745</v>
      </c>
      <c r="AF80" s="95">
        <f t="shared" si="20"/>
        <v>9443.5921804325644</v>
      </c>
      <c r="AH80" s="43">
        <f t="shared" si="21"/>
        <v>343567.78784766363</v>
      </c>
      <c r="AI80" s="43">
        <f t="shared" si="22"/>
        <v>333283.15515943756</v>
      </c>
      <c r="AJ80" s="43">
        <f t="shared" si="23"/>
        <v>323287.62219302228</v>
      </c>
      <c r="AK80" s="43">
        <f t="shared" si="24"/>
        <v>313572.34589810361</v>
      </c>
      <c r="AL80" s="95">
        <f t="shared" si="25"/>
        <v>304128.75371767103</v>
      </c>
      <c r="AN80" s="47">
        <f t="shared" si="26"/>
        <v>24669.133790391919</v>
      </c>
      <c r="AO80" s="47">
        <f t="shared" si="27"/>
        <v>27282.073601357391</v>
      </c>
      <c r="AP80" s="47">
        <f t="shared" si="28"/>
        <v>26483.201698259407</v>
      </c>
      <c r="AQ80" s="47">
        <f t="shared" si="29"/>
        <v>21631.025439046611</v>
      </c>
      <c r="AR80" s="193">
        <f t="shared" si="30"/>
        <v>21000.484821704064</v>
      </c>
      <c r="AY80" s="3"/>
    </row>
    <row r="81" spans="1:51">
      <c r="A81" s="48"/>
      <c r="B81" s="37">
        <f>'13. Desinvesteringen'!B365</f>
        <v>346</v>
      </c>
      <c r="C81" s="48"/>
      <c r="D81" s="48"/>
      <c r="E81" s="48"/>
      <c r="F81" s="42">
        <f>'5. Input GAW-waarde desinv.'!D41</f>
        <v>152476.71374613314</v>
      </c>
      <c r="G81" s="177">
        <f>'13. Desinvesteringen'!D365</f>
        <v>2010</v>
      </c>
      <c r="H81" s="177">
        <f>'13. Desinvesteringen'!G365</f>
        <v>2022</v>
      </c>
      <c r="I81" s="37" t="str">
        <f>'13. Desinvesteringen'!C365</f>
        <v>01 Regionale leidingen</v>
      </c>
      <c r="J81" s="166">
        <f>'13. Desinvesteringen'!F365</f>
        <v>0</v>
      </c>
      <c r="K81" s="38">
        <f>_xlfn.XLOOKUP(I81,'3. Input (des)investeringen '!$B$11:$B$81,'3. Input (des)investeringen '!$E$11:$E$81)</f>
        <v>1</v>
      </c>
      <c r="L81" s="48"/>
      <c r="M81" s="38">
        <f>_xlfn.XLOOKUP(I81,'3. Input (des)investeringen '!$B$11:$B$81,'3. Input (des)investeringen '!$D$11:$D$81,0)</f>
        <v>55</v>
      </c>
      <c r="N81" s="38">
        <f t="shared" si="9"/>
        <v>43.5</v>
      </c>
      <c r="P81" s="43">
        <f t="shared" si="10"/>
        <v>4101.0978179994436</v>
      </c>
      <c r="Q81" s="43">
        <f t="shared" si="10"/>
        <v>3978.5362740132528</v>
      </c>
      <c r="R81" s="43">
        <f t="shared" si="10"/>
        <v>3859.6374888128566</v>
      </c>
      <c r="S81" s="43">
        <f t="shared" si="10"/>
        <v>3744.2920006414374</v>
      </c>
      <c r="T81" s="95">
        <f t="shared" si="10"/>
        <v>3632.3936190130726</v>
      </c>
      <c r="V81" s="43">
        <f t="shared" si="11"/>
        <v>350.52118102559348</v>
      </c>
      <c r="W81" s="43">
        <f t="shared" si="12"/>
        <v>350.52118102559342</v>
      </c>
      <c r="X81" s="43">
        <f t="shared" si="13"/>
        <v>350.52118102559342</v>
      </c>
      <c r="Y81" s="43">
        <f t="shared" si="14"/>
        <v>350.52118102559342</v>
      </c>
      <c r="Z81" s="95">
        <f t="shared" si="15"/>
        <v>350.52118102559342</v>
      </c>
      <c r="AB81" s="43">
        <f t="shared" si="16"/>
        <v>4451.6189990250368</v>
      </c>
      <c r="AC81" s="43">
        <f t="shared" si="17"/>
        <v>4329.0574550388465</v>
      </c>
      <c r="AD81" s="43">
        <f t="shared" si="18"/>
        <v>4210.1586698384499</v>
      </c>
      <c r="AE81" s="43">
        <f t="shared" si="19"/>
        <v>4094.8131816670307</v>
      </c>
      <c r="AF81" s="95">
        <f t="shared" si="20"/>
        <v>3982.9148000386658</v>
      </c>
      <c r="AH81" s="43">
        <f t="shared" si="21"/>
        <v>148025.09474710812</v>
      </c>
      <c r="AI81" s="43">
        <f t="shared" si="22"/>
        <v>143696.03729206926</v>
      </c>
      <c r="AJ81" s="43">
        <f t="shared" si="23"/>
        <v>139485.87862223081</v>
      </c>
      <c r="AK81" s="43">
        <f t="shared" si="24"/>
        <v>135391.06544056378</v>
      </c>
      <c r="AL81" s="95">
        <f t="shared" si="25"/>
        <v>131408.1506405251</v>
      </c>
      <c r="AN81" s="47">
        <f t="shared" si="26"/>
        <v>10520.647883656471</v>
      </c>
      <c r="AO81" s="47">
        <f t="shared" si="27"/>
        <v>11657.555356934379</v>
      </c>
      <c r="AP81" s="47">
        <f t="shared" si="28"/>
        <v>11323.938479572222</v>
      </c>
      <c r="AQ81" s="47">
        <f t="shared" si="29"/>
        <v>9239.6736684084535</v>
      </c>
      <c r="AR81" s="193">
        <f t="shared" si="30"/>
        <v>8976.424524378619</v>
      </c>
      <c r="AY81" s="3"/>
    </row>
    <row r="82" spans="1:51">
      <c r="A82" s="48"/>
      <c r="B82" s="37">
        <f>'13. Desinvesteringen'!B366</f>
        <v>347</v>
      </c>
      <c r="C82" s="48"/>
      <c r="D82" s="48"/>
      <c r="E82" s="48"/>
      <c r="F82" s="42">
        <f>'5. Input GAW-waarde desinv.'!D42</f>
        <v>56089.001773568591</v>
      </c>
      <c r="G82" s="177">
        <f>'13. Desinvesteringen'!D366</f>
        <v>2011</v>
      </c>
      <c r="H82" s="177">
        <f>'13. Desinvesteringen'!G366</f>
        <v>2022</v>
      </c>
      <c r="I82" s="37" t="str">
        <f>'13. Desinvesteringen'!C366</f>
        <v>01 Regionale leidingen</v>
      </c>
      <c r="J82" s="166">
        <f>'13. Desinvesteringen'!F366</f>
        <v>0</v>
      </c>
      <c r="K82" s="38">
        <f>_xlfn.XLOOKUP(I82,'3. Input (des)investeringen '!$B$11:$B$81,'3. Input (des)investeringen '!$E$11:$E$81)</f>
        <v>1</v>
      </c>
      <c r="L82" s="48"/>
      <c r="M82" s="38">
        <f>_xlfn.XLOOKUP(I82,'3. Input (des)investeringen '!$B$11:$B$81,'3. Input (des)investeringen '!$D$11:$D$81,0)</f>
        <v>55</v>
      </c>
      <c r="N82" s="38">
        <f t="shared" si="9"/>
        <v>44.5</v>
      </c>
      <c r="P82" s="43">
        <f t="shared" si="10"/>
        <v>1474.6995971927024</v>
      </c>
      <c r="Q82" s="43">
        <f t="shared" si="10"/>
        <v>1431.6184853646012</v>
      </c>
      <c r="R82" s="43">
        <f t="shared" si="10"/>
        <v>1389.7959228708037</v>
      </c>
      <c r="S82" s="43">
        <f t="shared" si="10"/>
        <v>1349.1951431015443</v>
      </c>
      <c r="T82" s="95">
        <f t="shared" si="10"/>
        <v>1309.7804535277912</v>
      </c>
      <c r="V82" s="43">
        <f t="shared" si="11"/>
        <v>126.04270061476089</v>
      </c>
      <c r="W82" s="43">
        <f t="shared" si="12"/>
        <v>126.04270061476089</v>
      </c>
      <c r="X82" s="43">
        <f t="shared" si="13"/>
        <v>126.04270061476089</v>
      </c>
      <c r="Y82" s="43">
        <f t="shared" si="14"/>
        <v>126.04270061476089</v>
      </c>
      <c r="Z82" s="95">
        <f t="shared" si="15"/>
        <v>126.04270061476089</v>
      </c>
      <c r="AB82" s="43">
        <f t="shared" si="16"/>
        <v>1600.7422978074633</v>
      </c>
      <c r="AC82" s="43">
        <f t="shared" si="17"/>
        <v>1557.661185979362</v>
      </c>
      <c r="AD82" s="43">
        <f t="shared" si="18"/>
        <v>1515.8386234855645</v>
      </c>
      <c r="AE82" s="43">
        <f t="shared" si="19"/>
        <v>1475.2378437163052</v>
      </c>
      <c r="AF82" s="95">
        <f t="shared" si="20"/>
        <v>1435.8231541425521</v>
      </c>
      <c r="AH82" s="43">
        <f t="shared" si="21"/>
        <v>54488.25947576113</v>
      </c>
      <c r="AI82" s="43">
        <f t="shared" si="22"/>
        <v>52930.598289781767</v>
      </c>
      <c r="AJ82" s="43">
        <f t="shared" si="23"/>
        <v>51414.759666296202</v>
      </c>
      <c r="AK82" s="43">
        <f t="shared" si="24"/>
        <v>49939.521822579896</v>
      </c>
      <c r="AL82" s="95">
        <f t="shared" si="25"/>
        <v>48503.698668437341</v>
      </c>
      <c r="AN82" s="47">
        <f t="shared" si="26"/>
        <v>3834.7609363136698</v>
      </c>
      <c r="AO82" s="47">
        <f t="shared" si="27"/>
        <v>4257.121698758232</v>
      </c>
      <c r="AP82" s="47">
        <f t="shared" si="28"/>
        <v>4137.991366466671</v>
      </c>
      <c r="AQ82" s="47">
        <f t="shared" si="29"/>
        <v>3372.9396729743412</v>
      </c>
      <c r="AR82" s="193">
        <f t="shared" si="30"/>
        <v>3278.9637035431711</v>
      </c>
      <c r="AY82" s="3"/>
    </row>
    <row r="83" spans="1:51">
      <c r="A83" s="48"/>
      <c r="B83" s="37">
        <f>'13. Desinvesteringen'!B367</f>
        <v>348</v>
      </c>
      <c r="C83" s="48"/>
      <c r="D83" s="48"/>
      <c r="E83" s="48"/>
      <c r="F83" s="42">
        <f>'5. Input GAW-waarde desinv.'!D43</f>
        <v>89195.270846924876</v>
      </c>
      <c r="G83" s="177">
        <f>'13. Desinvesteringen'!D367</f>
        <v>2012</v>
      </c>
      <c r="H83" s="177">
        <f>'13. Desinvesteringen'!G367</f>
        <v>2022</v>
      </c>
      <c r="I83" s="37" t="str">
        <f>'13. Desinvesteringen'!C367</f>
        <v>01 Regionale leidingen</v>
      </c>
      <c r="J83" s="166">
        <f>'13. Desinvesteringen'!F367</f>
        <v>0</v>
      </c>
      <c r="K83" s="38">
        <f>_xlfn.XLOOKUP(I83,'3. Input (des)investeringen '!$B$11:$B$81,'3. Input (des)investeringen '!$E$11:$E$81)</f>
        <v>1</v>
      </c>
      <c r="L83" s="48"/>
      <c r="M83" s="38">
        <f>_xlfn.XLOOKUP(I83,'3. Input (des)investeringen '!$B$11:$B$81,'3. Input (des)investeringen '!$D$11:$D$81,0)</f>
        <v>55</v>
      </c>
      <c r="N83" s="38">
        <f t="shared" si="9"/>
        <v>45.5</v>
      </c>
      <c r="P83" s="43">
        <f t="shared" si="10"/>
        <v>2293.5926789209257</v>
      </c>
      <c r="Q83" s="43">
        <f t="shared" si="10"/>
        <v>2228.061459523185</v>
      </c>
      <c r="R83" s="43">
        <f t="shared" si="10"/>
        <v>2164.4025606796654</v>
      </c>
      <c r="S83" s="43">
        <f t="shared" si="10"/>
        <v>2102.5624875173889</v>
      </c>
      <c r="T83" s="95">
        <f t="shared" si="10"/>
        <v>2042.4892735883207</v>
      </c>
      <c r="V83" s="43">
        <f t="shared" si="11"/>
        <v>196.03356230093382</v>
      </c>
      <c r="W83" s="43">
        <f t="shared" si="12"/>
        <v>196.0335623009338</v>
      </c>
      <c r="X83" s="43">
        <f t="shared" si="13"/>
        <v>196.0335623009338</v>
      </c>
      <c r="Y83" s="43">
        <f t="shared" si="14"/>
        <v>196.0335623009338</v>
      </c>
      <c r="Z83" s="95">
        <f t="shared" si="15"/>
        <v>196.0335623009338</v>
      </c>
      <c r="AB83" s="43">
        <f t="shared" si="16"/>
        <v>2489.6262412218593</v>
      </c>
      <c r="AC83" s="43">
        <f t="shared" si="17"/>
        <v>2424.0950218241187</v>
      </c>
      <c r="AD83" s="43">
        <f t="shared" si="18"/>
        <v>2360.4361229805991</v>
      </c>
      <c r="AE83" s="43">
        <f t="shared" si="19"/>
        <v>2298.5960498183226</v>
      </c>
      <c r="AF83" s="95">
        <f t="shared" si="20"/>
        <v>2238.5228358892546</v>
      </c>
      <c r="AH83" s="43">
        <f t="shared" si="21"/>
        <v>86705.644605703012</v>
      </c>
      <c r="AI83" s="43">
        <f t="shared" si="22"/>
        <v>84281.549583878892</v>
      </c>
      <c r="AJ83" s="43">
        <f t="shared" si="23"/>
        <v>81921.113460898297</v>
      </c>
      <c r="AK83" s="43">
        <f t="shared" si="24"/>
        <v>79622.517411079971</v>
      </c>
      <c r="AL83" s="95">
        <f t="shared" si="25"/>
        <v>77383.994575190722</v>
      </c>
      <c r="AN83" s="47">
        <f t="shared" si="26"/>
        <v>6044.557670055683</v>
      </c>
      <c r="AO83" s="47">
        <f t="shared" si="27"/>
        <v>6722.4540506019421</v>
      </c>
      <c r="AP83" s="47">
        <f t="shared" si="28"/>
        <v>6538.412909486412</v>
      </c>
      <c r="AQ83" s="47">
        <f t="shared" si="29"/>
        <v>5324.2517114393613</v>
      </c>
      <c r="AR83" s="193">
        <f t="shared" si="30"/>
        <v>5179.114629746502</v>
      </c>
      <c r="AY83" s="3"/>
    </row>
    <row r="84" spans="1:51">
      <c r="A84" s="48"/>
      <c r="B84" s="37">
        <f>'13. Desinvesteringen'!B368</f>
        <v>349</v>
      </c>
      <c r="C84" s="48"/>
      <c r="D84" s="48"/>
      <c r="E84" s="48"/>
      <c r="F84" s="42">
        <f>'5. Input GAW-waarde desinv.'!D44</f>
        <v>160239.08891040052</v>
      </c>
      <c r="G84" s="177">
        <f>'13. Desinvesteringen'!D368</f>
        <v>2013</v>
      </c>
      <c r="H84" s="177">
        <f>'13. Desinvesteringen'!G368</f>
        <v>2022</v>
      </c>
      <c r="I84" s="37" t="str">
        <f>'13. Desinvesteringen'!C368</f>
        <v>01 Regionale leidingen</v>
      </c>
      <c r="J84" s="166">
        <f>'13. Desinvesteringen'!F368</f>
        <v>0</v>
      </c>
      <c r="K84" s="38">
        <f>_xlfn.XLOOKUP(I84,'3. Input (des)investeringen '!$B$11:$B$81,'3. Input (des)investeringen '!$E$11:$E$81)</f>
        <v>1</v>
      </c>
      <c r="L84" s="48"/>
      <c r="M84" s="38">
        <f>_xlfn.XLOOKUP(I84,'3. Input (des)investeringen '!$B$11:$B$81,'3. Input (des)investeringen '!$D$11:$D$81,0)</f>
        <v>55</v>
      </c>
      <c r="N84" s="38">
        <f t="shared" si="9"/>
        <v>46.5</v>
      </c>
      <c r="P84" s="43">
        <f t="shared" ref="P84:T115" si="31">IF($M84&gt;0, IF(OR($G84&gt;P$49,$G84+$M84&lt;P$49),0,
VDB($F84,0,$N84,MAX(0,P$49-2022),MIN($N84,P$49-2021),$F$22,FALSE))*(1-$F$25), 0)</f>
        <v>4031.8222371004008</v>
      </c>
      <c r="Q84" s="43">
        <f t="shared" si="31"/>
        <v>3919.104626170712</v>
      </c>
      <c r="R84" s="43">
        <f t="shared" si="31"/>
        <v>3809.5382602777672</v>
      </c>
      <c r="S84" s="43">
        <f t="shared" si="31"/>
        <v>3703.0350400979587</v>
      </c>
      <c r="T84" s="95">
        <f t="shared" si="31"/>
        <v>3599.5093292995211</v>
      </c>
      <c r="V84" s="43">
        <f t="shared" si="11"/>
        <v>344.60019120516245</v>
      </c>
      <c r="W84" s="43">
        <f t="shared" si="12"/>
        <v>344.60019120516239</v>
      </c>
      <c r="X84" s="43">
        <f t="shared" si="13"/>
        <v>344.60019120516239</v>
      </c>
      <c r="Y84" s="43">
        <f t="shared" si="14"/>
        <v>344.60019120516239</v>
      </c>
      <c r="Z84" s="95">
        <f t="shared" si="15"/>
        <v>344.60019120516239</v>
      </c>
      <c r="AB84" s="43">
        <f t="shared" si="16"/>
        <v>4376.4224283055628</v>
      </c>
      <c r="AC84" s="43">
        <f t="shared" si="17"/>
        <v>4263.704817375874</v>
      </c>
      <c r="AD84" s="43">
        <f t="shared" si="18"/>
        <v>4154.1384514829297</v>
      </c>
      <c r="AE84" s="43">
        <f t="shared" si="19"/>
        <v>4047.6352313031211</v>
      </c>
      <c r="AF84" s="95">
        <f t="shared" si="20"/>
        <v>3944.1095205046836</v>
      </c>
      <c r="AH84" s="43">
        <f t="shared" si="21"/>
        <v>155862.66648209497</v>
      </c>
      <c r="AI84" s="43">
        <f t="shared" si="22"/>
        <v>151598.9616647191</v>
      </c>
      <c r="AJ84" s="43">
        <f t="shared" si="23"/>
        <v>147444.82321323617</v>
      </c>
      <c r="AK84" s="43">
        <f t="shared" si="24"/>
        <v>143397.18798193306</v>
      </c>
      <c r="AL84" s="95">
        <f t="shared" si="25"/>
        <v>139453.07846142838</v>
      </c>
      <c r="AN84" s="47">
        <f t="shared" si="26"/>
        <v>10766.791754071457</v>
      </c>
      <c r="AO84" s="47">
        <f t="shared" si="27"/>
        <v>11995.251862276547</v>
      </c>
      <c r="AP84" s="47">
        <f t="shared" si="28"/>
        <v>11673.824435357974</v>
      </c>
      <c r="AQ84" s="47">
        <f t="shared" si="29"/>
        <v>9496.7283746165776</v>
      </c>
      <c r="AR84" s="193">
        <f t="shared" si="30"/>
        <v>9243.3265020389626</v>
      </c>
      <c r="AY84" s="3"/>
    </row>
    <row r="85" spans="1:51">
      <c r="A85" s="48"/>
      <c r="B85" s="37">
        <f>'13. Desinvesteringen'!B369</f>
        <v>350</v>
      </c>
      <c r="C85" s="48"/>
      <c r="D85" s="48"/>
      <c r="E85" s="48"/>
      <c r="F85" s="42">
        <f>'5. Input GAW-waarde desinv.'!D45</f>
        <v>0</v>
      </c>
      <c r="G85" s="177">
        <f>'13. Desinvesteringen'!D369</f>
        <v>1965</v>
      </c>
      <c r="H85" s="177">
        <f>'13. Desinvesteringen'!G369</f>
        <v>2022</v>
      </c>
      <c r="I85" s="37" t="str">
        <f>'13. Desinvesteringen'!C369</f>
        <v>02 Gasontvangststations</v>
      </c>
      <c r="J85" s="166">
        <f>'13. Desinvesteringen'!F369</f>
        <v>0</v>
      </c>
      <c r="K85" s="38">
        <f>_xlfn.XLOOKUP(I85,'3. Input (des)investeringen '!$B$11:$B$81,'3. Input (des)investeringen '!$E$11:$E$81)</f>
        <v>0</v>
      </c>
      <c r="L85" s="48"/>
      <c r="M85" s="38">
        <f>_xlfn.XLOOKUP(I85,'3. Input (des)investeringen '!$B$11:$B$81,'3. Input (des)investeringen '!$D$11:$D$81,0)</f>
        <v>30</v>
      </c>
      <c r="N85" s="38">
        <f t="shared" si="9"/>
        <v>0</v>
      </c>
      <c r="P85" s="43">
        <f t="shared" si="31"/>
        <v>0</v>
      </c>
      <c r="Q85" s="43">
        <f t="shared" si="31"/>
        <v>0</v>
      </c>
      <c r="R85" s="43">
        <f t="shared" si="31"/>
        <v>0</v>
      </c>
      <c r="S85" s="43">
        <f t="shared" si="31"/>
        <v>0</v>
      </c>
      <c r="T85" s="95">
        <f t="shared" si="31"/>
        <v>0</v>
      </c>
      <c r="V85" s="43">
        <f t="shared" si="11"/>
        <v>0</v>
      </c>
      <c r="W85" s="43">
        <f t="shared" si="12"/>
        <v>0</v>
      </c>
      <c r="X85" s="43">
        <f t="shared" si="13"/>
        <v>0</v>
      </c>
      <c r="Y85" s="43">
        <f t="shared" si="14"/>
        <v>0</v>
      </c>
      <c r="Z85" s="95">
        <f t="shared" si="15"/>
        <v>0</v>
      </c>
      <c r="AB85" s="43">
        <f t="shared" si="16"/>
        <v>0</v>
      </c>
      <c r="AC85" s="43">
        <f t="shared" si="17"/>
        <v>0</v>
      </c>
      <c r="AD85" s="43">
        <f t="shared" si="18"/>
        <v>0</v>
      </c>
      <c r="AE85" s="43">
        <f t="shared" si="19"/>
        <v>0</v>
      </c>
      <c r="AF85" s="95">
        <f t="shared" si="20"/>
        <v>0</v>
      </c>
      <c r="AH85" s="43">
        <f t="shared" si="21"/>
        <v>0</v>
      </c>
      <c r="AI85" s="43">
        <f t="shared" si="22"/>
        <v>0</v>
      </c>
      <c r="AJ85" s="43">
        <f t="shared" si="23"/>
        <v>0</v>
      </c>
      <c r="AK85" s="43">
        <f t="shared" si="24"/>
        <v>0</v>
      </c>
      <c r="AL85" s="95">
        <f t="shared" si="25"/>
        <v>0</v>
      </c>
      <c r="AN85" s="47">
        <f t="shared" si="26"/>
        <v>0</v>
      </c>
      <c r="AO85" s="47">
        <f t="shared" si="27"/>
        <v>0</v>
      </c>
      <c r="AP85" s="47">
        <f t="shared" si="28"/>
        <v>0</v>
      </c>
      <c r="AQ85" s="47">
        <f t="shared" si="29"/>
        <v>0</v>
      </c>
      <c r="AR85" s="193">
        <f t="shared" si="30"/>
        <v>0</v>
      </c>
      <c r="AY85" s="3"/>
    </row>
    <row r="86" spans="1:51">
      <c r="A86" s="48"/>
      <c r="B86" s="37">
        <f>'13. Desinvesteringen'!B370</f>
        <v>351</v>
      </c>
      <c r="C86" s="48"/>
      <c r="D86" s="48"/>
      <c r="E86" s="48"/>
      <c r="F86" s="42">
        <f>'5. Input GAW-waarde desinv.'!D46</f>
        <v>0</v>
      </c>
      <c r="G86" s="177">
        <f>'13. Desinvesteringen'!D370</f>
        <v>1966</v>
      </c>
      <c r="H86" s="177">
        <f>'13. Desinvesteringen'!G370</f>
        <v>2022</v>
      </c>
      <c r="I86" s="37" t="str">
        <f>'13. Desinvesteringen'!C370</f>
        <v>02 Gasontvangststations</v>
      </c>
      <c r="J86" s="166">
        <f>'13. Desinvesteringen'!F370</f>
        <v>0</v>
      </c>
      <c r="K86" s="38">
        <f>_xlfn.XLOOKUP(I86,'3. Input (des)investeringen '!$B$11:$B$81,'3. Input (des)investeringen '!$E$11:$E$81)</f>
        <v>0</v>
      </c>
      <c r="L86" s="48"/>
      <c r="M86" s="38">
        <f>_xlfn.XLOOKUP(I86,'3. Input (des)investeringen '!$B$11:$B$81,'3. Input (des)investeringen '!$D$11:$D$81,0)</f>
        <v>30</v>
      </c>
      <c r="N86" s="38">
        <f t="shared" si="9"/>
        <v>0</v>
      </c>
      <c r="P86" s="43">
        <f t="shared" si="31"/>
        <v>0</v>
      </c>
      <c r="Q86" s="43">
        <f t="shared" si="31"/>
        <v>0</v>
      </c>
      <c r="R86" s="43">
        <f t="shared" si="31"/>
        <v>0</v>
      </c>
      <c r="S86" s="43">
        <f t="shared" si="31"/>
        <v>0</v>
      </c>
      <c r="T86" s="95">
        <f t="shared" si="31"/>
        <v>0</v>
      </c>
      <c r="V86" s="43">
        <f t="shared" si="11"/>
        <v>0</v>
      </c>
      <c r="W86" s="43">
        <f t="shared" si="12"/>
        <v>0</v>
      </c>
      <c r="X86" s="43">
        <f t="shared" si="13"/>
        <v>0</v>
      </c>
      <c r="Y86" s="43">
        <f t="shared" si="14"/>
        <v>0</v>
      </c>
      <c r="Z86" s="95">
        <f t="shared" si="15"/>
        <v>0</v>
      </c>
      <c r="AB86" s="43">
        <f t="shared" si="16"/>
        <v>0</v>
      </c>
      <c r="AC86" s="43">
        <f t="shared" si="17"/>
        <v>0</v>
      </c>
      <c r="AD86" s="43">
        <f t="shared" si="18"/>
        <v>0</v>
      </c>
      <c r="AE86" s="43">
        <f t="shared" si="19"/>
        <v>0</v>
      </c>
      <c r="AF86" s="95">
        <f t="shared" si="20"/>
        <v>0</v>
      </c>
      <c r="AH86" s="43">
        <f t="shared" si="21"/>
        <v>0</v>
      </c>
      <c r="AI86" s="43">
        <f t="shared" si="22"/>
        <v>0</v>
      </c>
      <c r="AJ86" s="43">
        <f t="shared" si="23"/>
        <v>0</v>
      </c>
      <c r="AK86" s="43">
        <f t="shared" si="24"/>
        <v>0</v>
      </c>
      <c r="AL86" s="95">
        <f t="shared" si="25"/>
        <v>0</v>
      </c>
      <c r="AN86" s="47">
        <f t="shared" si="26"/>
        <v>0</v>
      </c>
      <c r="AO86" s="47">
        <f t="shared" si="27"/>
        <v>0</v>
      </c>
      <c r="AP86" s="47">
        <f t="shared" si="28"/>
        <v>0</v>
      </c>
      <c r="AQ86" s="47">
        <f t="shared" si="29"/>
        <v>0</v>
      </c>
      <c r="AR86" s="193">
        <f t="shared" si="30"/>
        <v>0</v>
      </c>
      <c r="AY86" s="3"/>
    </row>
    <row r="87" spans="1:51">
      <c r="A87" s="48"/>
      <c r="B87" s="37">
        <f>'13. Desinvesteringen'!B371</f>
        <v>352</v>
      </c>
      <c r="C87" s="48"/>
      <c r="D87" s="48"/>
      <c r="E87" s="48"/>
      <c r="F87" s="42">
        <f>'5. Input GAW-waarde desinv.'!D47</f>
        <v>0</v>
      </c>
      <c r="G87" s="177">
        <f>'13. Desinvesteringen'!D371</f>
        <v>1967</v>
      </c>
      <c r="H87" s="177">
        <f>'13. Desinvesteringen'!G371</f>
        <v>2022</v>
      </c>
      <c r="I87" s="37" t="str">
        <f>'13. Desinvesteringen'!C371</f>
        <v>02 Gasontvangststations</v>
      </c>
      <c r="J87" s="166">
        <f>'13. Desinvesteringen'!F371</f>
        <v>0</v>
      </c>
      <c r="K87" s="38">
        <f>_xlfn.XLOOKUP(I87,'3. Input (des)investeringen '!$B$11:$B$81,'3. Input (des)investeringen '!$E$11:$E$81)</f>
        <v>0</v>
      </c>
      <c r="L87" s="48"/>
      <c r="M87" s="38">
        <f>_xlfn.XLOOKUP(I87,'3. Input (des)investeringen '!$B$11:$B$81,'3. Input (des)investeringen '!$D$11:$D$81,0)</f>
        <v>30</v>
      </c>
      <c r="N87" s="38">
        <f t="shared" si="9"/>
        <v>0</v>
      </c>
      <c r="P87" s="43">
        <f t="shared" si="31"/>
        <v>0</v>
      </c>
      <c r="Q87" s="43">
        <f t="shared" si="31"/>
        <v>0</v>
      </c>
      <c r="R87" s="43">
        <f t="shared" si="31"/>
        <v>0</v>
      </c>
      <c r="S87" s="43">
        <f t="shared" si="31"/>
        <v>0</v>
      </c>
      <c r="T87" s="95">
        <f t="shared" si="31"/>
        <v>0</v>
      </c>
      <c r="V87" s="43">
        <f t="shared" si="11"/>
        <v>0</v>
      </c>
      <c r="W87" s="43">
        <f t="shared" si="12"/>
        <v>0</v>
      </c>
      <c r="X87" s="43">
        <f t="shared" si="13"/>
        <v>0</v>
      </c>
      <c r="Y87" s="43">
        <f t="shared" si="14"/>
        <v>0</v>
      </c>
      <c r="Z87" s="95">
        <f t="shared" si="15"/>
        <v>0</v>
      </c>
      <c r="AB87" s="43">
        <f t="shared" si="16"/>
        <v>0</v>
      </c>
      <c r="AC87" s="43">
        <f t="shared" si="17"/>
        <v>0</v>
      </c>
      <c r="AD87" s="43">
        <f t="shared" si="18"/>
        <v>0</v>
      </c>
      <c r="AE87" s="43">
        <f t="shared" si="19"/>
        <v>0</v>
      </c>
      <c r="AF87" s="95">
        <f t="shared" si="20"/>
        <v>0</v>
      </c>
      <c r="AH87" s="43">
        <f t="shared" si="21"/>
        <v>0</v>
      </c>
      <c r="AI87" s="43">
        <f t="shared" si="22"/>
        <v>0</v>
      </c>
      <c r="AJ87" s="43">
        <f t="shared" si="23"/>
        <v>0</v>
      </c>
      <c r="AK87" s="43">
        <f t="shared" si="24"/>
        <v>0</v>
      </c>
      <c r="AL87" s="95">
        <f t="shared" si="25"/>
        <v>0</v>
      </c>
      <c r="AN87" s="47">
        <f t="shared" si="26"/>
        <v>0</v>
      </c>
      <c r="AO87" s="47">
        <f t="shared" si="27"/>
        <v>0</v>
      </c>
      <c r="AP87" s="47">
        <f t="shared" si="28"/>
        <v>0</v>
      </c>
      <c r="AQ87" s="47">
        <f t="shared" si="29"/>
        <v>0</v>
      </c>
      <c r="AR87" s="193">
        <f t="shared" si="30"/>
        <v>0</v>
      </c>
      <c r="AY87" s="3"/>
    </row>
    <row r="88" spans="1:51">
      <c r="A88" s="48"/>
      <c r="B88" s="37">
        <f>'13. Desinvesteringen'!B372</f>
        <v>353</v>
      </c>
      <c r="C88" s="48"/>
      <c r="D88" s="48"/>
      <c r="E88" s="48"/>
      <c r="F88" s="42">
        <f>'5. Input GAW-waarde desinv.'!D48</f>
        <v>0</v>
      </c>
      <c r="G88" s="177">
        <f>'13. Desinvesteringen'!D372</f>
        <v>1968</v>
      </c>
      <c r="H88" s="177">
        <f>'13. Desinvesteringen'!G372</f>
        <v>2022</v>
      </c>
      <c r="I88" s="37" t="str">
        <f>'13. Desinvesteringen'!C372</f>
        <v>02 Gasontvangststations</v>
      </c>
      <c r="J88" s="166">
        <f>'13. Desinvesteringen'!F372</f>
        <v>0</v>
      </c>
      <c r="K88" s="38">
        <f>_xlfn.XLOOKUP(I88,'3. Input (des)investeringen '!$B$11:$B$81,'3. Input (des)investeringen '!$E$11:$E$81)</f>
        <v>0</v>
      </c>
      <c r="L88" s="48"/>
      <c r="M88" s="38">
        <f>_xlfn.XLOOKUP(I88,'3. Input (des)investeringen '!$B$11:$B$81,'3. Input (des)investeringen '!$D$11:$D$81,0)</f>
        <v>30</v>
      </c>
      <c r="N88" s="38">
        <f t="shared" si="9"/>
        <v>0</v>
      </c>
      <c r="P88" s="43">
        <f t="shared" si="31"/>
        <v>0</v>
      </c>
      <c r="Q88" s="43">
        <f t="shared" si="31"/>
        <v>0</v>
      </c>
      <c r="R88" s="43">
        <f t="shared" si="31"/>
        <v>0</v>
      </c>
      <c r="S88" s="43">
        <f t="shared" si="31"/>
        <v>0</v>
      </c>
      <c r="T88" s="95">
        <f t="shared" si="31"/>
        <v>0</v>
      </c>
      <c r="V88" s="43">
        <f t="shared" si="11"/>
        <v>0</v>
      </c>
      <c r="W88" s="43">
        <f t="shared" si="12"/>
        <v>0</v>
      </c>
      <c r="X88" s="43">
        <f t="shared" si="13"/>
        <v>0</v>
      </c>
      <c r="Y88" s="43">
        <f t="shared" si="14"/>
        <v>0</v>
      </c>
      <c r="Z88" s="95">
        <f t="shared" si="15"/>
        <v>0</v>
      </c>
      <c r="AB88" s="43">
        <f t="shared" si="16"/>
        <v>0</v>
      </c>
      <c r="AC88" s="43">
        <f t="shared" si="17"/>
        <v>0</v>
      </c>
      <c r="AD88" s="43">
        <f t="shared" si="18"/>
        <v>0</v>
      </c>
      <c r="AE88" s="43">
        <f t="shared" si="19"/>
        <v>0</v>
      </c>
      <c r="AF88" s="95">
        <f t="shared" si="20"/>
        <v>0</v>
      </c>
      <c r="AH88" s="43">
        <f t="shared" si="21"/>
        <v>0</v>
      </c>
      <c r="AI88" s="43">
        <f t="shared" si="22"/>
        <v>0</v>
      </c>
      <c r="AJ88" s="43">
        <f t="shared" si="23"/>
        <v>0</v>
      </c>
      <c r="AK88" s="43">
        <f t="shared" si="24"/>
        <v>0</v>
      </c>
      <c r="AL88" s="95">
        <f t="shared" si="25"/>
        <v>0</v>
      </c>
      <c r="AN88" s="47">
        <f t="shared" si="26"/>
        <v>0</v>
      </c>
      <c r="AO88" s="47">
        <f t="shared" si="27"/>
        <v>0</v>
      </c>
      <c r="AP88" s="47">
        <f t="shared" si="28"/>
        <v>0</v>
      </c>
      <c r="AQ88" s="47">
        <f t="shared" si="29"/>
        <v>0</v>
      </c>
      <c r="AR88" s="193">
        <f t="shared" si="30"/>
        <v>0</v>
      </c>
      <c r="AY88" s="3"/>
    </row>
    <row r="89" spans="1:51">
      <c r="A89" s="48"/>
      <c r="B89" s="37">
        <f>'13. Desinvesteringen'!B373</f>
        <v>354</v>
      </c>
      <c r="C89" s="48"/>
      <c r="D89" s="48"/>
      <c r="E89" s="48"/>
      <c r="F89" s="42">
        <f>'5. Input GAW-waarde desinv.'!D49</f>
        <v>0</v>
      </c>
      <c r="G89" s="177">
        <f>'13. Desinvesteringen'!D373</f>
        <v>1969</v>
      </c>
      <c r="H89" s="177">
        <f>'13. Desinvesteringen'!G373</f>
        <v>2022</v>
      </c>
      <c r="I89" s="37" t="str">
        <f>'13. Desinvesteringen'!C373</f>
        <v>02 Gasontvangststations</v>
      </c>
      <c r="J89" s="166">
        <f>'13. Desinvesteringen'!F373</f>
        <v>0</v>
      </c>
      <c r="K89" s="38">
        <f>_xlfn.XLOOKUP(I89,'3. Input (des)investeringen '!$B$11:$B$81,'3. Input (des)investeringen '!$E$11:$E$81)</f>
        <v>0</v>
      </c>
      <c r="L89" s="48"/>
      <c r="M89" s="38">
        <f>_xlfn.XLOOKUP(I89,'3. Input (des)investeringen '!$B$11:$B$81,'3. Input (des)investeringen '!$D$11:$D$81,0)</f>
        <v>30</v>
      </c>
      <c r="N89" s="38">
        <f t="shared" si="9"/>
        <v>0</v>
      </c>
      <c r="P89" s="43">
        <f t="shared" si="31"/>
        <v>0</v>
      </c>
      <c r="Q89" s="43">
        <f t="shared" si="31"/>
        <v>0</v>
      </c>
      <c r="R89" s="43">
        <f t="shared" si="31"/>
        <v>0</v>
      </c>
      <c r="S89" s="43">
        <f t="shared" si="31"/>
        <v>0</v>
      </c>
      <c r="T89" s="95">
        <f t="shared" si="31"/>
        <v>0</v>
      </c>
      <c r="V89" s="43">
        <f t="shared" si="11"/>
        <v>0</v>
      </c>
      <c r="W89" s="43">
        <f t="shared" si="12"/>
        <v>0</v>
      </c>
      <c r="X89" s="43">
        <f t="shared" si="13"/>
        <v>0</v>
      </c>
      <c r="Y89" s="43">
        <f t="shared" si="14"/>
        <v>0</v>
      </c>
      <c r="Z89" s="95">
        <f t="shared" si="15"/>
        <v>0</v>
      </c>
      <c r="AB89" s="43">
        <f t="shared" si="16"/>
        <v>0</v>
      </c>
      <c r="AC89" s="43">
        <f t="shared" si="17"/>
        <v>0</v>
      </c>
      <c r="AD89" s="43">
        <f t="shared" si="18"/>
        <v>0</v>
      </c>
      <c r="AE89" s="43">
        <f t="shared" si="19"/>
        <v>0</v>
      </c>
      <c r="AF89" s="95">
        <f t="shared" si="20"/>
        <v>0</v>
      </c>
      <c r="AH89" s="43">
        <f t="shared" si="21"/>
        <v>0</v>
      </c>
      <c r="AI89" s="43">
        <f t="shared" si="22"/>
        <v>0</v>
      </c>
      <c r="AJ89" s="43">
        <f t="shared" si="23"/>
        <v>0</v>
      </c>
      <c r="AK89" s="43">
        <f t="shared" si="24"/>
        <v>0</v>
      </c>
      <c r="AL89" s="95">
        <f t="shared" si="25"/>
        <v>0</v>
      </c>
      <c r="AN89" s="47">
        <f t="shared" si="26"/>
        <v>0</v>
      </c>
      <c r="AO89" s="47">
        <f t="shared" si="27"/>
        <v>0</v>
      </c>
      <c r="AP89" s="47">
        <f t="shared" si="28"/>
        <v>0</v>
      </c>
      <c r="AQ89" s="47">
        <f t="shared" si="29"/>
        <v>0</v>
      </c>
      <c r="AR89" s="193">
        <f t="shared" si="30"/>
        <v>0</v>
      </c>
      <c r="AY89" s="3"/>
    </row>
    <row r="90" spans="1:51">
      <c r="A90" s="48"/>
      <c r="B90" s="37">
        <f>'13. Desinvesteringen'!B374</f>
        <v>355</v>
      </c>
      <c r="C90" s="48"/>
      <c r="D90" s="48"/>
      <c r="E90" s="48"/>
      <c r="F90" s="42">
        <f>'5. Input GAW-waarde desinv.'!D50</f>
        <v>0</v>
      </c>
      <c r="G90" s="177">
        <f>'13. Desinvesteringen'!D374</f>
        <v>1970</v>
      </c>
      <c r="H90" s="177">
        <f>'13. Desinvesteringen'!G374</f>
        <v>2022</v>
      </c>
      <c r="I90" s="37" t="str">
        <f>'13. Desinvesteringen'!C374</f>
        <v>02 Gasontvangststations</v>
      </c>
      <c r="J90" s="166">
        <f>'13. Desinvesteringen'!F374</f>
        <v>0</v>
      </c>
      <c r="K90" s="38">
        <f>_xlfn.XLOOKUP(I90,'3. Input (des)investeringen '!$B$11:$B$81,'3. Input (des)investeringen '!$E$11:$E$81)</f>
        <v>0</v>
      </c>
      <c r="L90" s="48"/>
      <c r="M90" s="38">
        <f>_xlfn.XLOOKUP(I90,'3. Input (des)investeringen '!$B$11:$B$81,'3. Input (des)investeringen '!$D$11:$D$81,0)</f>
        <v>30</v>
      </c>
      <c r="N90" s="38">
        <f t="shared" si="9"/>
        <v>0</v>
      </c>
      <c r="P90" s="43">
        <f t="shared" si="31"/>
        <v>0</v>
      </c>
      <c r="Q90" s="43">
        <f t="shared" si="31"/>
        <v>0</v>
      </c>
      <c r="R90" s="43">
        <f t="shared" si="31"/>
        <v>0</v>
      </c>
      <c r="S90" s="43">
        <f t="shared" si="31"/>
        <v>0</v>
      </c>
      <c r="T90" s="95">
        <f t="shared" si="31"/>
        <v>0</v>
      </c>
      <c r="V90" s="43">
        <f t="shared" si="11"/>
        <v>0</v>
      </c>
      <c r="W90" s="43">
        <f t="shared" si="12"/>
        <v>0</v>
      </c>
      <c r="X90" s="43">
        <f t="shared" si="13"/>
        <v>0</v>
      </c>
      <c r="Y90" s="43">
        <f t="shared" si="14"/>
        <v>0</v>
      </c>
      <c r="Z90" s="95">
        <f t="shared" si="15"/>
        <v>0</v>
      </c>
      <c r="AB90" s="43">
        <f t="shared" si="16"/>
        <v>0</v>
      </c>
      <c r="AC90" s="43">
        <f t="shared" si="17"/>
        <v>0</v>
      </c>
      <c r="AD90" s="43">
        <f t="shared" si="18"/>
        <v>0</v>
      </c>
      <c r="AE90" s="43">
        <f t="shared" si="19"/>
        <v>0</v>
      </c>
      <c r="AF90" s="95">
        <f t="shared" si="20"/>
        <v>0</v>
      </c>
      <c r="AH90" s="43">
        <f t="shared" si="21"/>
        <v>0</v>
      </c>
      <c r="AI90" s="43">
        <f t="shared" si="22"/>
        <v>0</v>
      </c>
      <c r="AJ90" s="43">
        <f t="shared" si="23"/>
        <v>0</v>
      </c>
      <c r="AK90" s="43">
        <f t="shared" si="24"/>
        <v>0</v>
      </c>
      <c r="AL90" s="95">
        <f t="shared" si="25"/>
        <v>0</v>
      </c>
      <c r="AN90" s="47">
        <f t="shared" si="26"/>
        <v>0</v>
      </c>
      <c r="AO90" s="47">
        <f t="shared" si="27"/>
        <v>0</v>
      </c>
      <c r="AP90" s="47">
        <f t="shared" si="28"/>
        <v>0</v>
      </c>
      <c r="AQ90" s="47">
        <f t="shared" si="29"/>
        <v>0</v>
      </c>
      <c r="AR90" s="193">
        <f t="shared" si="30"/>
        <v>0</v>
      </c>
      <c r="AY90" s="3"/>
    </row>
    <row r="91" spans="1:51">
      <c r="A91" s="48"/>
      <c r="B91" s="37">
        <f>'13. Desinvesteringen'!B375</f>
        <v>356</v>
      </c>
      <c r="C91" s="48"/>
      <c r="D91" s="48"/>
      <c r="E91" s="48"/>
      <c r="F91" s="42">
        <f>'5. Input GAW-waarde desinv.'!D51</f>
        <v>0</v>
      </c>
      <c r="G91" s="177">
        <f>'13. Desinvesteringen'!D375</f>
        <v>1971</v>
      </c>
      <c r="H91" s="177">
        <f>'13. Desinvesteringen'!G375</f>
        <v>2022</v>
      </c>
      <c r="I91" s="37" t="str">
        <f>'13. Desinvesteringen'!C375</f>
        <v>02 Gasontvangststations</v>
      </c>
      <c r="J91" s="166">
        <f>'13. Desinvesteringen'!F375</f>
        <v>0</v>
      </c>
      <c r="K91" s="38">
        <f>_xlfn.XLOOKUP(I91,'3. Input (des)investeringen '!$B$11:$B$81,'3. Input (des)investeringen '!$E$11:$E$81)</f>
        <v>0</v>
      </c>
      <c r="L91" s="48"/>
      <c r="M91" s="38">
        <f>_xlfn.XLOOKUP(I91,'3. Input (des)investeringen '!$B$11:$B$81,'3. Input (des)investeringen '!$D$11:$D$81,0)</f>
        <v>30</v>
      </c>
      <c r="N91" s="38">
        <f t="shared" si="9"/>
        <v>0</v>
      </c>
      <c r="P91" s="43">
        <f t="shared" si="31"/>
        <v>0</v>
      </c>
      <c r="Q91" s="43">
        <f t="shared" si="31"/>
        <v>0</v>
      </c>
      <c r="R91" s="43">
        <f t="shared" si="31"/>
        <v>0</v>
      </c>
      <c r="S91" s="43">
        <f t="shared" si="31"/>
        <v>0</v>
      </c>
      <c r="T91" s="95">
        <f t="shared" si="31"/>
        <v>0</v>
      </c>
      <c r="V91" s="43">
        <f t="shared" si="11"/>
        <v>0</v>
      </c>
      <c r="W91" s="43">
        <f t="shared" si="12"/>
        <v>0</v>
      </c>
      <c r="X91" s="43">
        <f t="shared" si="13"/>
        <v>0</v>
      </c>
      <c r="Y91" s="43">
        <f t="shared" si="14"/>
        <v>0</v>
      </c>
      <c r="Z91" s="95">
        <f t="shared" si="15"/>
        <v>0</v>
      </c>
      <c r="AB91" s="43">
        <f t="shared" si="16"/>
        <v>0</v>
      </c>
      <c r="AC91" s="43">
        <f t="shared" si="17"/>
        <v>0</v>
      </c>
      <c r="AD91" s="43">
        <f t="shared" si="18"/>
        <v>0</v>
      </c>
      <c r="AE91" s="43">
        <f t="shared" si="19"/>
        <v>0</v>
      </c>
      <c r="AF91" s="95">
        <f t="shared" si="20"/>
        <v>0</v>
      </c>
      <c r="AH91" s="43">
        <f t="shared" si="21"/>
        <v>0</v>
      </c>
      <c r="AI91" s="43">
        <f t="shared" si="22"/>
        <v>0</v>
      </c>
      <c r="AJ91" s="43">
        <f t="shared" si="23"/>
        <v>0</v>
      </c>
      <c r="AK91" s="43">
        <f t="shared" si="24"/>
        <v>0</v>
      </c>
      <c r="AL91" s="95">
        <f t="shared" si="25"/>
        <v>0</v>
      </c>
      <c r="AN91" s="47">
        <f t="shared" si="26"/>
        <v>0</v>
      </c>
      <c r="AO91" s="47">
        <f t="shared" si="27"/>
        <v>0</v>
      </c>
      <c r="AP91" s="47">
        <f t="shared" si="28"/>
        <v>0</v>
      </c>
      <c r="AQ91" s="47">
        <f t="shared" si="29"/>
        <v>0</v>
      </c>
      <c r="AR91" s="193">
        <f t="shared" si="30"/>
        <v>0</v>
      </c>
      <c r="AY91" s="3"/>
    </row>
    <row r="92" spans="1:51">
      <c r="A92" s="48"/>
      <c r="B92" s="37">
        <f>'13. Desinvesteringen'!B376</f>
        <v>357</v>
      </c>
      <c r="C92" s="48"/>
      <c r="D92" s="48"/>
      <c r="E92" s="48"/>
      <c r="F92" s="42">
        <f>'5. Input GAW-waarde desinv.'!D52</f>
        <v>0</v>
      </c>
      <c r="G92" s="177">
        <f>'13. Desinvesteringen'!D376</f>
        <v>1972</v>
      </c>
      <c r="H92" s="177">
        <f>'13. Desinvesteringen'!G376</f>
        <v>2022</v>
      </c>
      <c r="I92" s="37" t="str">
        <f>'13. Desinvesteringen'!C376</f>
        <v>02 Gasontvangststations</v>
      </c>
      <c r="J92" s="166">
        <f>'13. Desinvesteringen'!F376</f>
        <v>0</v>
      </c>
      <c r="K92" s="38">
        <f>_xlfn.XLOOKUP(I92,'3. Input (des)investeringen '!$B$11:$B$81,'3. Input (des)investeringen '!$E$11:$E$81)</f>
        <v>0</v>
      </c>
      <c r="L92" s="48"/>
      <c r="M92" s="38">
        <f>_xlfn.XLOOKUP(I92,'3. Input (des)investeringen '!$B$11:$B$81,'3. Input (des)investeringen '!$D$11:$D$81,0)</f>
        <v>30</v>
      </c>
      <c r="N92" s="38">
        <f t="shared" si="9"/>
        <v>0</v>
      </c>
      <c r="P92" s="43">
        <f t="shared" si="31"/>
        <v>0</v>
      </c>
      <c r="Q92" s="43">
        <f t="shared" si="31"/>
        <v>0</v>
      </c>
      <c r="R92" s="43">
        <f t="shared" si="31"/>
        <v>0</v>
      </c>
      <c r="S92" s="43">
        <f t="shared" si="31"/>
        <v>0</v>
      </c>
      <c r="T92" s="95">
        <f t="shared" si="31"/>
        <v>0</v>
      </c>
      <c r="V92" s="43">
        <f t="shared" si="11"/>
        <v>0</v>
      </c>
      <c r="W92" s="43">
        <f t="shared" si="12"/>
        <v>0</v>
      </c>
      <c r="X92" s="43">
        <f t="shared" si="13"/>
        <v>0</v>
      </c>
      <c r="Y92" s="43">
        <f t="shared" si="14"/>
        <v>0</v>
      </c>
      <c r="Z92" s="95">
        <f t="shared" si="15"/>
        <v>0</v>
      </c>
      <c r="AB92" s="43">
        <f t="shared" si="16"/>
        <v>0</v>
      </c>
      <c r="AC92" s="43">
        <f t="shared" si="17"/>
        <v>0</v>
      </c>
      <c r="AD92" s="43">
        <f t="shared" si="18"/>
        <v>0</v>
      </c>
      <c r="AE92" s="43">
        <f t="shared" si="19"/>
        <v>0</v>
      </c>
      <c r="AF92" s="95">
        <f t="shared" si="20"/>
        <v>0</v>
      </c>
      <c r="AH92" s="43">
        <f t="shared" si="21"/>
        <v>0</v>
      </c>
      <c r="AI92" s="43">
        <f t="shared" si="22"/>
        <v>0</v>
      </c>
      <c r="AJ92" s="43">
        <f t="shared" si="23"/>
        <v>0</v>
      </c>
      <c r="AK92" s="43">
        <f t="shared" si="24"/>
        <v>0</v>
      </c>
      <c r="AL92" s="95">
        <f t="shared" si="25"/>
        <v>0</v>
      </c>
      <c r="AN92" s="47">
        <f t="shared" si="26"/>
        <v>0</v>
      </c>
      <c r="AO92" s="47">
        <f t="shared" si="27"/>
        <v>0</v>
      </c>
      <c r="AP92" s="47">
        <f t="shared" si="28"/>
        <v>0</v>
      </c>
      <c r="AQ92" s="47">
        <f t="shared" si="29"/>
        <v>0</v>
      </c>
      <c r="AR92" s="193">
        <f t="shared" si="30"/>
        <v>0</v>
      </c>
      <c r="AY92" s="3"/>
    </row>
    <row r="93" spans="1:51">
      <c r="A93" s="48"/>
      <c r="B93" s="37">
        <f>'13. Desinvesteringen'!B377</f>
        <v>358</v>
      </c>
      <c r="C93" s="48"/>
      <c r="D93" s="48"/>
      <c r="E93" s="48"/>
      <c r="F93" s="42">
        <f>'5. Input GAW-waarde desinv.'!D53</f>
        <v>0</v>
      </c>
      <c r="G93" s="177">
        <f>'13. Desinvesteringen'!D377</f>
        <v>1973</v>
      </c>
      <c r="H93" s="177">
        <f>'13. Desinvesteringen'!G377</f>
        <v>2022</v>
      </c>
      <c r="I93" s="37" t="str">
        <f>'13. Desinvesteringen'!C377</f>
        <v>02 Gasontvangststations</v>
      </c>
      <c r="J93" s="166">
        <f>'13. Desinvesteringen'!F377</f>
        <v>0</v>
      </c>
      <c r="K93" s="38">
        <f>_xlfn.XLOOKUP(I93,'3. Input (des)investeringen '!$B$11:$B$81,'3. Input (des)investeringen '!$E$11:$E$81)</f>
        <v>0</v>
      </c>
      <c r="L93" s="48"/>
      <c r="M93" s="38">
        <f>_xlfn.XLOOKUP(I93,'3. Input (des)investeringen '!$B$11:$B$81,'3. Input (des)investeringen '!$D$11:$D$81,0)</f>
        <v>30</v>
      </c>
      <c r="N93" s="38">
        <f t="shared" si="9"/>
        <v>0</v>
      </c>
      <c r="P93" s="43">
        <f t="shared" si="31"/>
        <v>0</v>
      </c>
      <c r="Q93" s="43">
        <f t="shared" si="31"/>
        <v>0</v>
      </c>
      <c r="R93" s="43">
        <f t="shared" si="31"/>
        <v>0</v>
      </c>
      <c r="S93" s="43">
        <f t="shared" si="31"/>
        <v>0</v>
      </c>
      <c r="T93" s="95">
        <f t="shared" si="31"/>
        <v>0</v>
      </c>
      <c r="V93" s="43">
        <f t="shared" si="11"/>
        <v>0</v>
      </c>
      <c r="W93" s="43">
        <f t="shared" si="12"/>
        <v>0</v>
      </c>
      <c r="X93" s="43">
        <f t="shared" si="13"/>
        <v>0</v>
      </c>
      <c r="Y93" s="43">
        <f t="shared" si="14"/>
        <v>0</v>
      </c>
      <c r="Z93" s="95">
        <f t="shared" si="15"/>
        <v>0</v>
      </c>
      <c r="AB93" s="43">
        <f t="shared" si="16"/>
        <v>0</v>
      </c>
      <c r="AC93" s="43">
        <f t="shared" si="17"/>
        <v>0</v>
      </c>
      <c r="AD93" s="43">
        <f t="shared" si="18"/>
        <v>0</v>
      </c>
      <c r="AE93" s="43">
        <f t="shared" si="19"/>
        <v>0</v>
      </c>
      <c r="AF93" s="95">
        <f t="shared" si="20"/>
        <v>0</v>
      </c>
      <c r="AH93" s="43">
        <f t="shared" si="21"/>
        <v>0</v>
      </c>
      <c r="AI93" s="43">
        <f t="shared" si="22"/>
        <v>0</v>
      </c>
      <c r="AJ93" s="43">
        <f t="shared" si="23"/>
        <v>0</v>
      </c>
      <c r="AK93" s="43">
        <f t="shared" si="24"/>
        <v>0</v>
      </c>
      <c r="AL93" s="95">
        <f t="shared" si="25"/>
        <v>0</v>
      </c>
      <c r="AN93" s="47">
        <f t="shared" si="26"/>
        <v>0</v>
      </c>
      <c r="AO93" s="47">
        <f t="shared" si="27"/>
        <v>0</v>
      </c>
      <c r="AP93" s="47">
        <f t="shared" si="28"/>
        <v>0</v>
      </c>
      <c r="AQ93" s="47">
        <f t="shared" si="29"/>
        <v>0</v>
      </c>
      <c r="AR93" s="193">
        <f t="shared" si="30"/>
        <v>0</v>
      </c>
      <c r="AY93" s="3"/>
    </row>
    <row r="94" spans="1:51">
      <c r="A94" s="48"/>
      <c r="B94" s="37">
        <f>'13. Desinvesteringen'!B378</f>
        <v>359</v>
      </c>
      <c r="C94" s="48"/>
      <c r="D94" s="48"/>
      <c r="E94" s="48"/>
      <c r="F94" s="42">
        <f>'5. Input GAW-waarde desinv.'!D54</f>
        <v>0</v>
      </c>
      <c r="G94" s="177">
        <f>'13. Desinvesteringen'!D378</f>
        <v>1974</v>
      </c>
      <c r="H94" s="177">
        <f>'13. Desinvesteringen'!G378</f>
        <v>2022</v>
      </c>
      <c r="I94" s="37" t="str">
        <f>'13. Desinvesteringen'!C378</f>
        <v>02 Gasontvangststations</v>
      </c>
      <c r="J94" s="166">
        <f>'13. Desinvesteringen'!F378</f>
        <v>0</v>
      </c>
      <c r="K94" s="38">
        <f>_xlfn.XLOOKUP(I94,'3. Input (des)investeringen '!$B$11:$B$81,'3. Input (des)investeringen '!$E$11:$E$81)</f>
        <v>0</v>
      </c>
      <c r="L94" s="48"/>
      <c r="M94" s="38">
        <f>_xlfn.XLOOKUP(I94,'3. Input (des)investeringen '!$B$11:$B$81,'3. Input (des)investeringen '!$D$11:$D$81,0)</f>
        <v>30</v>
      </c>
      <c r="N94" s="38">
        <f t="shared" si="9"/>
        <v>0</v>
      </c>
      <c r="P94" s="43">
        <f t="shared" si="31"/>
        <v>0</v>
      </c>
      <c r="Q94" s="43">
        <f t="shared" si="31"/>
        <v>0</v>
      </c>
      <c r="R94" s="43">
        <f t="shared" si="31"/>
        <v>0</v>
      </c>
      <c r="S94" s="43">
        <f t="shared" si="31"/>
        <v>0</v>
      </c>
      <c r="T94" s="95">
        <f t="shared" si="31"/>
        <v>0</v>
      </c>
      <c r="V94" s="43">
        <f t="shared" si="11"/>
        <v>0</v>
      </c>
      <c r="W94" s="43">
        <f t="shared" si="12"/>
        <v>0</v>
      </c>
      <c r="X94" s="43">
        <f t="shared" si="13"/>
        <v>0</v>
      </c>
      <c r="Y94" s="43">
        <f t="shared" si="14"/>
        <v>0</v>
      </c>
      <c r="Z94" s="95">
        <f t="shared" si="15"/>
        <v>0</v>
      </c>
      <c r="AB94" s="43">
        <f t="shared" si="16"/>
        <v>0</v>
      </c>
      <c r="AC94" s="43">
        <f t="shared" si="17"/>
        <v>0</v>
      </c>
      <c r="AD94" s="43">
        <f t="shared" si="18"/>
        <v>0</v>
      </c>
      <c r="AE94" s="43">
        <f t="shared" si="19"/>
        <v>0</v>
      </c>
      <c r="AF94" s="95">
        <f t="shared" si="20"/>
        <v>0</v>
      </c>
      <c r="AH94" s="43">
        <f t="shared" si="21"/>
        <v>0</v>
      </c>
      <c r="AI94" s="43">
        <f t="shared" si="22"/>
        <v>0</v>
      </c>
      <c r="AJ94" s="43">
        <f t="shared" si="23"/>
        <v>0</v>
      </c>
      <c r="AK94" s="43">
        <f t="shared" si="24"/>
        <v>0</v>
      </c>
      <c r="AL94" s="95">
        <f t="shared" si="25"/>
        <v>0</v>
      </c>
      <c r="AN94" s="47">
        <f t="shared" si="26"/>
        <v>0</v>
      </c>
      <c r="AO94" s="47">
        <f t="shared" si="27"/>
        <v>0</v>
      </c>
      <c r="AP94" s="47">
        <f t="shared" si="28"/>
        <v>0</v>
      </c>
      <c r="AQ94" s="47">
        <f t="shared" si="29"/>
        <v>0</v>
      </c>
      <c r="AR94" s="193">
        <f t="shared" si="30"/>
        <v>0</v>
      </c>
      <c r="AY94" s="3"/>
    </row>
    <row r="95" spans="1:51">
      <c r="A95" s="48"/>
      <c r="B95" s="37">
        <f>'13. Desinvesteringen'!B379</f>
        <v>360</v>
      </c>
      <c r="C95" s="48"/>
      <c r="D95" s="48"/>
      <c r="E95" s="48"/>
      <c r="F95" s="42">
        <f>'5. Input GAW-waarde desinv.'!D55</f>
        <v>0</v>
      </c>
      <c r="G95" s="177">
        <f>'13. Desinvesteringen'!D379</f>
        <v>1975</v>
      </c>
      <c r="H95" s="177">
        <f>'13. Desinvesteringen'!G379</f>
        <v>2022</v>
      </c>
      <c r="I95" s="37" t="str">
        <f>'13. Desinvesteringen'!C379</f>
        <v>02 Gasontvangststations</v>
      </c>
      <c r="J95" s="166">
        <f>'13. Desinvesteringen'!F379</f>
        <v>0</v>
      </c>
      <c r="K95" s="38">
        <f>_xlfn.XLOOKUP(I95,'3. Input (des)investeringen '!$B$11:$B$81,'3. Input (des)investeringen '!$E$11:$E$81)</f>
        <v>0</v>
      </c>
      <c r="L95" s="48"/>
      <c r="M95" s="38">
        <f>_xlfn.XLOOKUP(I95,'3. Input (des)investeringen '!$B$11:$B$81,'3. Input (des)investeringen '!$D$11:$D$81,0)</f>
        <v>30</v>
      </c>
      <c r="N95" s="38">
        <f t="shared" si="9"/>
        <v>0</v>
      </c>
      <c r="P95" s="43">
        <f t="shared" si="31"/>
        <v>0</v>
      </c>
      <c r="Q95" s="43">
        <f t="shared" si="31"/>
        <v>0</v>
      </c>
      <c r="R95" s="43">
        <f t="shared" si="31"/>
        <v>0</v>
      </c>
      <c r="S95" s="43">
        <f t="shared" si="31"/>
        <v>0</v>
      </c>
      <c r="T95" s="95">
        <f t="shared" si="31"/>
        <v>0</v>
      </c>
      <c r="V95" s="43">
        <f t="shared" si="11"/>
        <v>0</v>
      </c>
      <c r="W95" s="43">
        <f t="shared" si="12"/>
        <v>0</v>
      </c>
      <c r="X95" s="43">
        <f t="shared" si="13"/>
        <v>0</v>
      </c>
      <c r="Y95" s="43">
        <f t="shared" si="14"/>
        <v>0</v>
      </c>
      <c r="Z95" s="95">
        <f t="shared" si="15"/>
        <v>0</v>
      </c>
      <c r="AB95" s="43">
        <f t="shared" si="16"/>
        <v>0</v>
      </c>
      <c r="AC95" s="43">
        <f t="shared" si="17"/>
        <v>0</v>
      </c>
      <c r="AD95" s="43">
        <f t="shared" si="18"/>
        <v>0</v>
      </c>
      <c r="AE95" s="43">
        <f t="shared" si="19"/>
        <v>0</v>
      </c>
      <c r="AF95" s="95">
        <f t="shared" si="20"/>
        <v>0</v>
      </c>
      <c r="AH95" s="43">
        <f t="shared" si="21"/>
        <v>0</v>
      </c>
      <c r="AI95" s="43">
        <f t="shared" si="22"/>
        <v>0</v>
      </c>
      <c r="AJ95" s="43">
        <f t="shared" si="23"/>
        <v>0</v>
      </c>
      <c r="AK95" s="43">
        <f t="shared" si="24"/>
        <v>0</v>
      </c>
      <c r="AL95" s="95">
        <f t="shared" si="25"/>
        <v>0</v>
      </c>
      <c r="AN95" s="47">
        <f t="shared" si="26"/>
        <v>0</v>
      </c>
      <c r="AO95" s="47">
        <f t="shared" si="27"/>
        <v>0</v>
      </c>
      <c r="AP95" s="47">
        <f t="shared" si="28"/>
        <v>0</v>
      </c>
      <c r="AQ95" s="47">
        <f t="shared" si="29"/>
        <v>0</v>
      </c>
      <c r="AR95" s="193">
        <f t="shared" si="30"/>
        <v>0</v>
      </c>
      <c r="AY95" s="3"/>
    </row>
    <row r="96" spans="1:51">
      <c r="A96" s="48"/>
      <c r="B96" s="37">
        <f>'13. Desinvesteringen'!B380</f>
        <v>361</v>
      </c>
      <c r="C96" s="48"/>
      <c r="D96" s="48"/>
      <c r="E96" s="48"/>
      <c r="F96" s="42">
        <f>'5. Input GAW-waarde desinv.'!D56</f>
        <v>0</v>
      </c>
      <c r="G96" s="177">
        <f>'13. Desinvesteringen'!D380</f>
        <v>1976</v>
      </c>
      <c r="H96" s="177">
        <f>'13. Desinvesteringen'!G380</f>
        <v>2022</v>
      </c>
      <c r="I96" s="37" t="str">
        <f>'13. Desinvesteringen'!C380</f>
        <v>02 Gasontvangststations</v>
      </c>
      <c r="J96" s="166">
        <f>'13. Desinvesteringen'!F380</f>
        <v>0</v>
      </c>
      <c r="K96" s="38">
        <f>_xlfn.XLOOKUP(I96,'3. Input (des)investeringen '!$B$11:$B$81,'3. Input (des)investeringen '!$E$11:$E$81)</f>
        <v>0</v>
      </c>
      <c r="L96" s="48"/>
      <c r="M96" s="38">
        <f>_xlfn.XLOOKUP(I96,'3. Input (des)investeringen '!$B$11:$B$81,'3. Input (des)investeringen '!$D$11:$D$81,0)</f>
        <v>30</v>
      </c>
      <c r="N96" s="38">
        <f t="shared" si="9"/>
        <v>0</v>
      </c>
      <c r="P96" s="43">
        <f t="shared" si="31"/>
        <v>0</v>
      </c>
      <c r="Q96" s="43">
        <f t="shared" si="31"/>
        <v>0</v>
      </c>
      <c r="R96" s="43">
        <f t="shared" si="31"/>
        <v>0</v>
      </c>
      <c r="S96" s="43">
        <f t="shared" si="31"/>
        <v>0</v>
      </c>
      <c r="T96" s="95">
        <f t="shared" si="31"/>
        <v>0</v>
      </c>
      <c r="V96" s="43">
        <f t="shared" si="11"/>
        <v>0</v>
      </c>
      <c r="W96" s="43">
        <f t="shared" si="12"/>
        <v>0</v>
      </c>
      <c r="X96" s="43">
        <f t="shared" si="13"/>
        <v>0</v>
      </c>
      <c r="Y96" s="43">
        <f t="shared" si="14"/>
        <v>0</v>
      </c>
      <c r="Z96" s="95">
        <f t="shared" si="15"/>
        <v>0</v>
      </c>
      <c r="AB96" s="43">
        <f t="shared" si="16"/>
        <v>0</v>
      </c>
      <c r="AC96" s="43">
        <f t="shared" si="17"/>
        <v>0</v>
      </c>
      <c r="AD96" s="43">
        <f t="shared" si="18"/>
        <v>0</v>
      </c>
      <c r="AE96" s="43">
        <f t="shared" si="19"/>
        <v>0</v>
      </c>
      <c r="AF96" s="95">
        <f t="shared" si="20"/>
        <v>0</v>
      </c>
      <c r="AH96" s="43">
        <f t="shared" si="21"/>
        <v>0</v>
      </c>
      <c r="AI96" s="43">
        <f t="shared" si="22"/>
        <v>0</v>
      </c>
      <c r="AJ96" s="43">
        <f t="shared" si="23"/>
        <v>0</v>
      </c>
      <c r="AK96" s="43">
        <f t="shared" si="24"/>
        <v>0</v>
      </c>
      <c r="AL96" s="95">
        <f t="shared" si="25"/>
        <v>0</v>
      </c>
      <c r="AN96" s="47">
        <f t="shared" si="26"/>
        <v>0</v>
      </c>
      <c r="AO96" s="47">
        <f t="shared" si="27"/>
        <v>0</v>
      </c>
      <c r="AP96" s="47">
        <f t="shared" si="28"/>
        <v>0</v>
      </c>
      <c r="AQ96" s="47">
        <f t="shared" si="29"/>
        <v>0</v>
      </c>
      <c r="AR96" s="193">
        <f t="shared" si="30"/>
        <v>0</v>
      </c>
      <c r="AY96" s="3"/>
    </row>
    <row r="97" spans="1:51">
      <c r="A97" s="48"/>
      <c r="B97" s="37">
        <f>'13. Desinvesteringen'!B381</f>
        <v>362</v>
      </c>
      <c r="C97" s="48"/>
      <c r="D97" s="48"/>
      <c r="E97" s="48"/>
      <c r="F97" s="42">
        <f>'5. Input GAW-waarde desinv.'!D57</f>
        <v>0</v>
      </c>
      <c r="G97" s="177">
        <f>'13. Desinvesteringen'!D381</f>
        <v>1977</v>
      </c>
      <c r="H97" s="177">
        <f>'13. Desinvesteringen'!G381</f>
        <v>2022</v>
      </c>
      <c r="I97" s="37" t="str">
        <f>'13. Desinvesteringen'!C381</f>
        <v>02 Gasontvangststations</v>
      </c>
      <c r="J97" s="166">
        <f>'13. Desinvesteringen'!F381</f>
        <v>0</v>
      </c>
      <c r="K97" s="38">
        <f>_xlfn.XLOOKUP(I97,'3. Input (des)investeringen '!$B$11:$B$81,'3. Input (des)investeringen '!$E$11:$E$81)</f>
        <v>0</v>
      </c>
      <c r="L97" s="48"/>
      <c r="M97" s="38">
        <f>_xlfn.XLOOKUP(I97,'3. Input (des)investeringen '!$B$11:$B$81,'3. Input (des)investeringen '!$D$11:$D$81,0)</f>
        <v>30</v>
      </c>
      <c r="N97" s="38">
        <f t="shared" si="9"/>
        <v>0</v>
      </c>
      <c r="P97" s="43">
        <f t="shared" si="31"/>
        <v>0</v>
      </c>
      <c r="Q97" s="43">
        <f t="shared" si="31"/>
        <v>0</v>
      </c>
      <c r="R97" s="43">
        <f t="shared" si="31"/>
        <v>0</v>
      </c>
      <c r="S97" s="43">
        <f t="shared" si="31"/>
        <v>0</v>
      </c>
      <c r="T97" s="95">
        <f t="shared" si="31"/>
        <v>0</v>
      </c>
      <c r="V97" s="43">
        <f t="shared" si="11"/>
        <v>0</v>
      </c>
      <c r="W97" s="43">
        <f t="shared" si="12"/>
        <v>0</v>
      </c>
      <c r="X97" s="43">
        <f t="shared" si="13"/>
        <v>0</v>
      </c>
      <c r="Y97" s="43">
        <f t="shared" si="14"/>
        <v>0</v>
      </c>
      <c r="Z97" s="95">
        <f t="shared" si="15"/>
        <v>0</v>
      </c>
      <c r="AB97" s="43">
        <f t="shared" si="16"/>
        <v>0</v>
      </c>
      <c r="AC97" s="43">
        <f t="shared" si="17"/>
        <v>0</v>
      </c>
      <c r="AD97" s="43">
        <f t="shared" si="18"/>
        <v>0</v>
      </c>
      <c r="AE97" s="43">
        <f t="shared" si="19"/>
        <v>0</v>
      </c>
      <c r="AF97" s="95">
        <f t="shared" si="20"/>
        <v>0</v>
      </c>
      <c r="AH97" s="43">
        <f t="shared" si="21"/>
        <v>0</v>
      </c>
      <c r="AI97" s="43">
        <f t="shared" si="22"/>
        <v>0</v>
      </c>
      <c r="AJ97" s="43">
        <f t="shared" si="23"/>
        <v>0</v>
      </c>
      <c r="AK97" s="43">
        <f t="shared" si="24"/>
        <v>0</v>
      </c>
      <c r="AL97" s="95">
        <f t="shared" si="25"/>
        <v>0</v>
      </c>
      <c r="AN97" s="47">
        <f t="shared" si="26"/>
        <v>0</v>
      </c>
      <c r="AO97" s="47">
        <f t="shared" si="27"/>
        <v>0</v>
      </c>
      <c r="AP97" s="47">
        <f t="shared" si="28"/>
        <v>0</v>
      </c>
      <c r="AQ97" s="47">
        <f t="shared" si="29"/>
        <v>0</v>
      </c>
      <c r="AR97" s="193">
        <f t="shared" si="30"/>
        <v>0</v>
      </c>
      <c r="AY97" s="3"/>
    </row>
    <row r="98" spans="1:51">
      <c r="A98" s="48"/>
      <c r="B98" s="37">
        <f>'13. Desinvesteringen'!B382</f>
        <v>363</v>
      </c>
      <c r="C98" s="48"/>
      <c r="D98" s="48"/>
      <c r="E98" s="48"/>
      <c r="F98" s="42">
        <f>'5. Input GAW-waarde desinv.'!D58</f>
        <v>0</v>
      </c>
      <c r="G98" s="177">
        <f>'13. Desinvesteringen'!D382</f>
        <v>1979</v>
      </c>
      <c r="H98" s="177">
        <f>'13. Desinvesteringen'!G382</f>
        <v>2022</v>
      </c>
      <c r="I98" s="37" t="str">
        <f>'13. Desinvesteringen'!C382</f>
        <v>02 Gasontvangststations</v>
      </c>
      <c r="J98" s="166">
        <f>'13. Desinvesteringen'!F382</f>
        <v>0</v>
      </c>
      <c r="K98" s="38">
        <f>_xlfn.XLOOKUP(I98,'3. Input (des)investeringen '!$B$11:$B$81,'3. Input (des)investeringen '!$E$11:$E$81)</f>
        <v>0</v>
      </c>
      <c r="L98" s="48"/>
      <c r="M98" s="38">
        <f>_xlfn.XLOOKUP(I98,'3. Input (des)investeringen '!$B$11:$B$81,'3. Input (des)investeringen '!$D$11:$D$81,0)</f>
        <v>30</v>
      </c>
      <c r="N98" s="38">
        <f t="shared" si="9"/>
        <v>0</v>
      </c>
      <c r="P98" s="43">
        <f t="shared" si="31"/>
        <v>0</v>
      </c>
      <c r="Q98" s="43">
        <f t="shared" si="31"/>
        <v>0</v>
      </c>
      <c r="R98" s="43">
        <f t="shared" si="31"/>
        <v>0</v>
      </c>
      <c r="S98" s="43">
        <f t="shared" si="31"/>
        <v>0</v>
      </c>
      <c r="T98" s="95">
        <f t="shared" si="31"/>
        <v>0</v>
      </c>
      <c r="V98" s="43">
        <f t="shared" si="11"/>
        <v>0</v>
      </c>
      <c r="W98" s="43">
        <f t="shared" si="12"/>
        <v>0</v>
      </c>
      <c r="X98" s="43">
        <f t="shared" si="13"/>
        <v>0</v>
      </c>
      <c r="Y98" s="43">
        <f t="shared" si="14"/>
        <v>0</v>
      </c>
      <c r="Z98" s="95">
        <f t="shared" si="15"/>
        <v>0</v>
      </c>
      <c r="AB98" s="43">
        <f t="shared" si="16"/>
        <v>0</v>
      </c>
      <c r="AC98" s="43">
        <f t="shared" si="17"/>
        <v>0</v>
      </c>
      <c r="AD98" s="43">
        <f t="shared" si="18"/>
        <v>0</v>
      </c>
      <c r="AE98" s="43">
        <f t="shared" si="19"/>
        <v>0</v>
      </c>
      <c r="AF98" s="95">
        <f t="shared" si="20"/>
        <v>0</v>
      </c>
      <c r="AH98" s="43">
        <f t="shared" si="21"/>
        <v>0</v>
      </c>
      <c r="AI98" s="43">
        <f t="shared" si="22"/>
        <v>0</v>
      </c>
      <c r="AJ98" s="43">
        <f t="shared" si="23"/>
        <v>0</v>
      </c>
      <c r="AK98" s="43">
        <f t="shared" si="24"/>
        <v>0</v>
      </c>
      <c r="AL98" s="95">
        <f t="shared" si="25"/>
        <v>0</v>
      </c>
      <c r="AN98" s="47">
        <f t="shared" si="26"/>
        <v>0</v>
      </c>
      <c r="AO98" s="47">
        <f t="shared" si="27"/>
        <v>0</v>
      </c>
      <c r="AP98" s="47">
        <f t="shared" si="28"/>
        <v>0</v>
      </c>
      <c r="AQ98" s="47">
        <f t="shared" si="29"/>
        <v>0</v>
      </c>
      <c r="AR98" s="193">
        <f t="shared" si="30"/>
        <v>0</v>
      </c>
      <c r="AY98" s="3"/>
    </row>
    <row r="99" spans="1:51">
      <c r="A99" s="48"/>
      <c r="B99" s="37">
        <f>'13. Desinvesteringen'!B383</f>
        <v>364</v>
      </c>
      <c r="C99" s="48"/>
      <c r="D99" s="48"/>
      <c r="E99" s="48"/>
      <c r="F99" s="42">
        <f>'5. Input GAW-waarde desinv.'!D59</f>
        <v>0</v>
      </c>
      <c r="G99" s="177">
        <f>'13. Desinvesteringen'!D383</f>
        <v>1980</v>
      </c>
      <c r="H99" s="177">
        <f>'13. Desinvesteringen'!G383</f>
        <v>2022</v>
      </c>
      <c r="I99" s="37" t="str">
        <f>'13. Desinvesteringen'!C383</f>
        <v>02 Gasontvangststations</v>
      </c>
      <c r="J99" s="166">
        <f>'13. Desinvesteringen'!F383</f>
        <v>0</v>
      </c>
      <c r="K99" s="38">
        <f>_xlfn.XLOOKUP(I99,'3. Input (des)investeringen '!$B$11:$B$81,'3. Input (des)investeringen '!$E$11:$E$81)</f>
        <v>0</v>
      </c>
      <c r="L99" s="48"/>
      <c r="M99" s="38">
        <f>_xlfn.XLOOKUP(I99,'3. Input (des)investeringen '!$B$11:$B$81,'3. Input (des)investeringen '!$D$11:$D$81,0)</f>
        <v>30</v>
      </c>
      <c r="N99" s="38">
        <f t="shared" si="9"/>
        <v>0</v>
      </c>
      <c r="P99" s="43">
        <f t="shared" si="31"/>
        <v>0</v>
      </c>
      <c r="Q99" s="43">
        <f t="shared" si="31"/>
        <v>0</v>
      </c>
      <c r="R99" s="43">
        <f t="shared" si="31"/>
        <v>0</v>
      </c>
      <c r="S99" s="43">
        <f t="shared" si="31"/>
        <v>0</v>
      </c>
      <c r="T99" s="95">
        <f t="shared" si="31"/>
        <v>0</v>
      </c>
      <c r="V99" s="43">
        <f t="shared" si="11"/>
        <v>0</v>
      </c>
      <c r="W99" s="43">
        <f t="shared" si="12"/>
        <v>0</v>
      </c>
      <c r="X99" s="43">
        <f t="shared" si="13"/>
        <v>0</v>
      </c>
      <c r="Y99" s="43">
        <f t="shared" si="14"/>
        <v>0</v>
      </c>
      <c r="Z99" s="95">
        <f t="shared" si="15"/>
        <v>0</v>
      </c>
      <c r="AB99" s="43">
        <f t="shared" si="16"/>
        <v>0</v>
      </c>
      <c r="AC99" s="43">
        <f t="shared" si="17"/>
        <v>0</v>
      </c>
      <c r="AD99" s="43">
        <f t="shared" si="18"/>
        <v>0</v>
      </c>
      <c r="AE99" s="43">
        <f t="shared" si="19"/>
        <v>0</v>
      </c>
      <c r="AF99" s="95">
        <f t="shared" si="20"/>
        <v>0</v>
      </c>
      <c r="AH99" s="43">
        <f t="shared" si="21"/>
        <v>0</v>
      </c>
      <c r="AI99" s="43">
        <f t="shared" si="22"/>
        <v>0</v>
      </c>
      <c r="AJ99" s="43">
        <f t="shared" si="23"/>
        <v>0</v>
      </c>
      <c r="AK99" s="43">
        <f t="shared" si="24"/>
        <v>0</v>
      </c>
      <c r="AL99" s="95">
        <f t="shared" si="25"/>
        <v>0</v>
      </c>
      <c r="AN99" s="47">
        <f t="shared" si="26"/>
        <v>0</v>
      </c>
      <c r="AO99" s="47">
        <f t="shared" si="27"/>
        <v>0</v>
      </c>
      <c r="AP99" s="47">
        <f t="shared" si="28"/>
        <v>0</v>
      </c>
      <c r="AQ99" s="47">
        <f t="shared" si="29"/>
        <v>0</v>
      </c>
      <c r="AR99" s="193">
        <f t="shared" si="30"/>
        <v>0</v>
      </c>
      <c r="AY99" s="3"/>
    </row>
    <row r="100" spans="1:51">
      <c r="A100" s="48"/>
      <c r="B100" s="37">
        <f>'13. Desinvesteringen'!B384</f>
        <v>365</v>
      </c>
      <c r="C100" s="48"/>
      <c r="D100" s="48"/>
      <c r="E100" s="48"/>
      <c r="F100" s="42">
        <f>'5. Input GAW-waarde desinv.'!D60</f>
        <v>0</v>
      </c>
      <c r="G100" s="177">
        <f>'13. Desinvesteringen'!D384</f>
        <v>1981</v>
      </c>
      <c r="H100" s="177">
        <f>'13. Desinvesteringen'!G384</f>
        <v>2022</v>
      </c>
      <c r="I100" s="37" t="str">
        <f>'13. Desinvesteringen'!C384</f>
        <v>02 Gasontvangststations</v>
      </c>
      <c r="J100" s="166">
        <f>'13. Desinvesteringen'!F384</f>
        <v>0</v>
      </c>
      <c r="K100" s="38">
        <f>_xlfn.XLOOKUP(I100,'3. Input (des)investeringen '!$B$11:$B$81,'3. Input (des)investeringen '!$E$11:$E$81)</f>
        <v>0</v>
      </c>
      <c r="L100" s="48"/>
      <c r="M100" s="38">
        <f>_xlfn.XLOOKUP(I100,'3. Input (des)investeringen '!$B$11:$B$81,'3. Input (des)investeringen '!$D$11:$D$81,0)</f>
        <v>30</v>
      </c>
      <c r="N100" s="38">
        <f t="shared" si="9"/>
        <v>0</v>
      </c>
      <c r="P100" s="43">
        <f t="shared" si="31"/>
        <v>0</v>
      </c>
      <c r="Q100" s="43">
        <f t="shared" si="31"/>
        <v>0</v>
      </c>
      <c r="R100" s="43">
        <f t="shared" si="31"/>
        <v>0</v>
      </c>
      <c r="S100" s="43">
        <f t="shared" si="31"/>
        <v>0</v>
      </c>
      <c r="T100" s="95">
        <f t="shared" si="31"/>
        <v>0</v>
      </c>
      <c r="V100" s="43">
        <f t="shared" si="11"/>
        <v>0</v>
      </c>
      <c r="W100" s="43">
        <f t="shared" si="12"/>
        <v>0</v>
      </c>
      <c r="X100" s="43">
        <f t="shared" si="13"/>
        <v>0</v>
      </c>
      <c r="Y100" s="43">
        <f t="shared" si="14"/>
        <v>0</v>
      </c>
      <c r="Z100" s="95">
        <f t="shared" si="15"/>
        <v>0</v>
      </c>
      <c r="AB100" s="43">
        <f t="shared" si="16"/>
        <v>0</v>
      </c>
      <c r="AC100" s="43">
        <f t="shared" si="17"/>
        <v>0</v>
      </c>
      <c r="AD100" s="43">
        <f t="shared" si="18"/>
        <v>0</v>
      </c>
      <c r="AE100" s="43">
        <f t="shared" si="19"/>
        <v>0</v>
      </c>
      <c r="AF100" s="95">
        <f t="shared" si="20"/>
        <v>0</v>
      </c>
      <c r="AH100" s="43">
        <f t="shared" si="21"/>
        <v>0</v>
      </c>
      <c r="AI100" s="43">
        <f t="shared" si="22"/>
        <v>0</v>
      </c>
      <c r="AJ100" s="43">
        <f t="shared" si="23"/>
        <v>0</v>
      </c>
      <c r="AK100" s="43">
        <f t="shared" si="24"/>
        <v>0</v>
      </c>
      <c r="AL100" s="95">
        <f t="shared" si="25"/>
        <v>0</v>
      </c>
      <c r="AN100" s="47">
        <f t="shared" si="26"/>
        <v>0</v>
      </c>
      <c r="AO100" s="47">
        <f t="shared" si="27"/>
        <v>0</v>
      </c>
      <c r="AP100" s="47">
        <f t="shared" si="28"/>
        <v>0</v>
      </c>
      <c r="AQ100" s="47">
        <f t="shared" si="29"/>
        <v>0</v>
      </c>
      <c r="AR100" s="193">
        <f t="shared" si="30"/>
        <v>0</v>
      </c>
      <c r="AY100" s="3"/>
    </row>
    <row r="101" spans="1:51">
      <c r="A101" s="48"/>
      <c r="B101" s="37">
        <f>'13. Desinvesteringen'!B385</f>
        <v>366</v>
      </c>
      <c r="C101" s="48"/>
      <c r="D101" s="48"/>
      <c r="E101" s="48"/>
      <c r="F101" s="42">
        <f>'5. Input GAW-waarde desinv.'!D61</f>
        <v>0</v>
      </c>
      <c r="G101" s="177">
        <f>'13. Desinvesteringen'!D385</f>
        <v>1982</v>
      </c>
      <c r="H101" s="177">
        <f>'13. Desinvesteringen'!G385</f>
        <v>2022</v>
      </c>
      <c r="I101" s="37" t="str">
        <f>'13. Desinvesteringen'!C385</f>
        <v>02 Gasontvangststations</v>
      </c>
      <c r="J101" s="166">
        <f>'13. Desinvesteringen'!F385</f>
        <v>0</v>
      </c>
      <c r="K101" s="38">
        <f>_xlfn.XLOOKUP(I101,'3. Input (des)investeringen '!$B$11:$B$81,'3. Input (des)investeringen '!$E$11:$E$81)</f>
        <v>0</v>
      </c>
      <c r="L101" s="48"/>
      <c r="M101" s="38">
        <f>_xlfn.XLOOKUP(I101,'3. Input (des)investeringen '!$B$11:$B$81,'3. Input (des)investeringen '!$D$11:$D$81,0)</f>
        <v>30</v>
      </c>
      <c r="N101" s="38">
        <f t="shared" si="9"/>
        <v>0</v>
      </c>
      <c r="P101" s="43">
        <f t="shared" si="31"/>
        <v>0</v>
      </c>
      <c r="Q101" s="43">
        <f t="shared" si="31"/>
        <v>0</v>
      </c>
      <c r="R101" s="43">
        <f t="shared" si="31"/>
        <v>0</v>
      </c>
      <c r="S101" s="43">
        <f t="shared" si="31"/>
        <v>0</v>
      </c>
      <c r="T101" s="95">
        <f t="shared" si="31"/>
        <v>0</v>
      </c>
      <c r="V101" s="43">
        <f t="shared" si="11"/>
        <v>0</v>
      </c>
      <c r="W101" s="43">
        <f t="shared" si="12"/>
        <v>0</v>
      </c>
      <c r="X101" s="43">
        <f t="shared" si="13"/>
        <v>0</v>
      </c>
      <c r="Y101" s="43">
        <f t="shared" si="14"/>
        <v>0</v>
      </c>
      <c r="Z101" s="95">
        <f t="shared" si="15"/>
        <v>0</v>
      </c>
      <c r="AB101" s="43">
        <f t="shared" si="16"/>
        <v>0</v>
      </c>
      <c r="AC101" s="43">
        <f t="shared" si="17"/>
        <v>0</v>
      </c>
      <c r="AD101" s="43">
        <f t="shared" si="18"/>
        <v>0</v>
      </c>
      <c r="AE101" s="43">
        <f t="shared" si="19"/>
        <v>0</v>
      </c>
      <c r="AF101" s="95">
        <f t="shared" si="20"/>
        <v>0</v>
      </c>
      <c r="AH101" s="43">
        <f t="shared" si="21"/>
        <v>0</v>
      </c>
      <c r="AI101" s="43">
        <f t="shared" si="22"/>
        <v>0</v>
      </c>
      <c r="AJ101" s="43">
        <f t="shared" si="23"/>
        <v>0</v>
      </c>
      <c r="AK101" s="43">
        <f t="shared" si="24"/>
        <v>0</v>
      </c>
      <c r="AL101" s="95">
        <f t="shared" si="25"/>
        <v>0</v>
      </c>
      <c r="AN101" s="47">
        <f t="shared" si="26"/>
        <v>0</v>
      </c>
      <c r="AO101" s="47">
        <f t="shared" si="27"/>
        <v>0</v>
      </c>
      <c r="AP101" s="47">
        <f t="shared" si="28"/>
        <v>0</v>
      </c>
      <c r="AQ101" s="47">
        <f t="shared" si="29"/>
        <v>0</v>
      </c>
      <c r="AR101" s="193">
        <f t="shared" si="30"/>
        <v>0</v>
      </c>
      <c r="AY101" s="3"/>
    </row>
    <row r="102" spans="1:51">
      <c r="A102" s="48"/>
      <c r="B102" s="37">
        <f>'13. Desinvesteringen'!B386</f>
        <v>367</v>
      </c>
      <c r="C102" s="48"/>
      <c r="D102" s="48"/>
      <c r="E102" s="48"/>
      <c r="F102" s="42">
        <f>'5. Input GAW-waarde desinv.'!D62</f>
        <v>0</v>
      </c>
      <c r="G102" s="177">
        <f>'13. Desinvesteringen'!D386</f>
        <v>1984</v>
      </c>
      <c r="H102" s="177">
        <f>'13. Desinvesteringen'!G386</f>
        <v>2022</v>
      </c>
      <c r="I102" s="37" t="str">
        <f>'13. Desinvesteringen'!C386</f>
        <v>02 Gasontvangststations</v>
      </c>
      <c r="J102" s="166">
        <f>'13. Desinvesteringen'!F386</f>
        <v>0</v>
      </c>
      <c r="K102" s="38">
        <f>_xlfn.XLOOKUP(I102,'3. Input (des)investeringen '!$B$11:$B$81,'3. Input (des)investeringen '!$E$11:$E$81)</f>
        <v>0</v>
      </c>
      <c r="L102" s="48"/>
      <c r="M102" s="38">
        <f>_xlfn.XLOOKUP(I102,'3. Input (des)investeringen '!$B$11:$B$81,'3. Input (des)investeringen '!$D$11:$D$81,0)</f>
        <v>30</v>
      </c>
      <c r="N102" s="38">
        <f t="shared" si="9"/>
        <v>0</v>
      </c>
      <c r="P102" s="43">
        <f t="shared" si="31"/>
        <v>0</v>
      </c>
      <c r="Q102" s="43">
        <f t="shared" si="31"/>
        <v>0</v>
      </c>
      <c r="R102" s="43">
        <f t="shared" si="31"/>
        <v>0</v>
      </c>
      <c r="S102" s="43">
        <f t="shared" si="31"/>
        <v>0</v>
      </c>
      <c r="T102" s="95">
        <f t="shared" si="31"/>
        <v>0</v>
      </c>
      <c r="V102" s="43">
        <f t="shared" si="11"/>
        <v>0</v>
      </c>
      <c r="W102" s="43">
        <f t="shared" si="12"/>
        <v>0</v>
      </c>
      <c r="X102" s="43">
        <f t="shared" si="13"/>
        <v>0</v>
      </c>
      <c r="Y102" s="43">
        <f t="shared" si="14"/>
        <v>0</v>
      </c>
      <c r="Z102" s="95">
        <f t="shared" si="15"/>
        <v>0</v>
      </c>
      <c r="AB102" s="43">
        <f t="shared" si="16"/>
        <v>0</v>
      </c>
      <c r="AC102" s="43">
        <f t="shared" si="17"/>
        <v>0</v>
      </c>
      <c r="AD102" s="43">
        <f t="shared" si="18"/>
        <v>0</v>
      </c>
      <c r="AE102" s="43">
        <f t="shared" si="19"/>
        <v>0</v>
      </c>
      <c r="AF102" s="95">
        <f t="shared" si="20"/>
        <v>0</v>
      </c>
      <c r="AH102" s="43">
        <f t="shared" si="21"/>
        <v>0</v>
      </c>
      <c r="AI102" s="43">
        <f t="shared" si="22"/>
        <v>0</v>
      </c>
      <c r="AJ102" s="43">
        <f t="shared" si="23"/>
        <v>0</v>
      </c>
      <c r="AK102" s="43">
        <f t="shared" si="24"/>
        <v>0</v>
      </c>
      <c r="AL102" s="95">
        <f t="shared" si="25"/>
        <v>0</v>
      </c>
      <c r="AN102" s="47">
        <f t="shared" si="26"/>
        <v>0</v>
      </c>
      <c r="AO102" s="47">
        <f t="shared" si="27"/>
        <v>0</v>
      </c>
      <c r="AP102" s="47">
        <f t="shared" si="28"/>
        <v>0</v>
      </c>
      <c r="AQ102" s="47">
        <f t="shared" si="29"/>
        <v>0</v>
      </c>
      <c r="AR102" s="193">
        <f t="shared" si="30"/>
        <v>0</v>
      </c>
      <c r="AY102" s="3"/>
    </row>
    <row r="103" spans="1:51">
      <c r="A103" s="48"/>
      <c r="B103" s="37">
        <f>'13. Desinvesteringen'!B387</f>
        <v>368</v>
      </c>
      <c r="C103" s="48"/>
      <c r="D103" s="48"/>
      <c r="E103" s="48"/>
      <c r="F103" s="42">
        <f>'5. Input GAW-waarde desinv.'!D63</f>
        <v>0</v>
      </c>
      <c r="G103" s="177">
        <f>'13. Desinvesteringen'!D387</f>
        <v>1989</v>
      </c>
      <c r="H103" s="177">
        <f>'13. Desinvesteringen'!G387</f>
        <v>2022</v>
      </c>
      <c r="I103" s="37" t="str">
        <f>'13. Desinvesteringen'!C387</f>
        <v>02 Gasontvangststations</v>
      </c>
      <c r="J103" s="166">
        <f>'13. Desinvesteringen'!F387</f>
        <v>0</v>
      </c>
      <c r="K103" s="38">
        <f>_xlfn.XLOOKUP(I103,'3. Input (des)investeringen '!$B$11:$B$81,'3. Input (des)investeringen '!$E$11:$E$81)</f>
        <v>0</v>
      </c>
      <c r="L103" s="48"/>
      <c r="M103" s="38">
        <f>_xlfn.XLOOKUP(I103,'3. Input (des)investeringen '!$B$11:$B$81,'3. Input (des)investeringen '!$D$11:$D$81,0)</f>
        <v>30</v>
      </c>
      <c r="N103" s="38">
        <f t="shared" si="9"/>
        <v>0</v>
      </c>
      <c r="P103" s="43">
        <f t="shared" si="31"/>
        <v>0</v>
      </c>
      <c r="Q103" s="43">
        <f t="shared" si="31"/>
        <v>0</v>
      </c>
      <c r="R103" s="43">
        <f t="shared" si="31"/>
        <v>0</v>
      </c>
      <c r="S103" s="43">
        <f t="shared" si="31"/>
        <v>0</v>
      </c>
      <c r="T103" s="95">
        <f t="shared" si="31"/>
        <v>0</v>
      </c>
      <c r="V103" s="43">
        <f t="shared" si="11"/>
        <v>0</v>
      </c>
      <c r="W103" s="43">
        <f t="shared" si="12"/>
        <v>0</v>
      </c>
      <c r="X103" s="43">
        <f t="shared" si="13"/>
        <v>0</v>
      </c>
      <c r="Y103" s="43">
        <f t="shared" si="14"/>
        <v>0</v>
      </c>
      <c r="Z103" s="95">
        <f t="shared" si="15"/>
        <v>0</v>
      </c>
      <c r="AB103" s="43">
        <f t="shared" si="16"/>
        <v>0</v>
      </c>
      <c r="AC103" s="43">
        <f t="shared" si="17"/>
        <v>0</v>
      </c>
      <c r="AD103" s="43">
        <f t="shared" si="18"/>
        <v>0</v>
      </c>
      <c r="AE103" s="43">
        <f t="shared" si="19"/>
        <v>0</v>
      </c>
      <c r="AF103" s="95">
        <f t="shared" si="20"/>
        <v>0</v>
      </c>
      <c r="AH103" s="43">
        <f t="shared" si="21"/>
        <v>0</v>
      </c>
      <c r="AI103" s="43">
        <f t="shared" si="22"/>
        <v>0</v>
      </c>
      <c r="AJ103" s="43">
        <f t="shared" si="23"/>
        <v>0</v>
      </c>
      <c r="AK103" s="43">
        <f t="shared" si="24"/>
        <v>0</v>
      </c>
      <c r="AL103" s="95">
        <f t="shared" si="25"/>
        <v>0</v>
      </c>
      <c r="AN103" s="47">
        <f t="shared" si="26"/>
        <v>0</v>
      </c>
      <c r="AO103" s="47">
        <f t="shared" si="27"/>
        <v>0</v>
      </c>
      <c r="AP103" s="47">
        <f t="shared" si="28"/>
        <v>0</v>
      </c>
      <c r="AQ103" s="47">
        <f t="shared" si="29"/>
        <v>0</v>
      </c>
      <c r="AR103" s="193">
        <f t="shared" si="30"/>
        <v>0</v>
      </c>
      <c r="AY103" s="3"/>
    </row>
    <row r="104" spans="1:51">
      <c r="A104" s="48"/>
      <c r="B104" s="37">
        <f>'13. Desinvesteringen'!B388</f>
        <v>369</v>
      </c>
      <c r="C104" s="48"/>
      <c r="D104" s="48"/>
      <c r="E104" s="48"/>
      <c r="F104" s="42">
        <f>'5. Input GAW-waarde desinv.'!D64</f>
        <v>0</v>
      </c>
      <c r="G104" s="177">
        <f>'13. Desinvesteringen'!D388</f>
        <v>1990</v>
      </c>
      <c r="H104" s="177">
        <f>'13. Desinvesteringen'!G388</f>
        <v>2022</v>
      </c>
      <c r="I104" s="37" t="str">
        <f>'13. Desinvesteringen'!C388</f>
        <v>02 Gasontvangststations</v>
      </c>
      <c r="J104" s="166">
        <f>'13. Desinvesteringen'!F388</f>
        <v>0</v>
      </c>
      <c r="K104" s="38">
        <f>_xlfn.XLOOKUP(I104,'3. Input (des)investeringen '!$B$11:$B$81,'3. Input (des)investeringen '!$E$11:$E$81)</f>
        <v>0</v>
      </c>
      <c r="L104" s="48"/>
      <c r="M104" s="38">
        <f>_xlfn.XLOOKUP(I104,'3. Input (des)investeringen '!$B$11:$B$81,'3. Input (des)investeringen '!$D$11:$D$81,0)</f>
        <v>30</v>
      </c>
      <c r="N104" s="38">
        <f t="shared" si="9"/>
        <v>0</v>
      </c>
      <c r="P104" s="43">
        <f t="shared" si="31"/>
        <v>0</v>
      </c>
      <c r="Q104" s="43">
        <f t="shared" si="31"/>
        <v>0</v>
      </c>
      <c r="R104" s="43">
        <f t="shared" si="31"/>
        <v>0</v>
      </c>
      <c r="S104" s="43">
        <f t="shared" si="31"/>
        <v>0</v>
      </c>
      <c r="T104" s="95">
        <f t="shared" si="31"/>
        <v>0</v>
      </c>
      <c r="V104" s="43">
        <f t="shared" si="11"/>
        <v>0</v>
      </c>
      <c r="W104" s="43">
        <f t="shared" si="12"/>
        <v>0</v>
      </c>
      <c r="X104" s="43">
        <f t="shared" si="13"/>
        <v>0</v>
      </c>
      <c r="Y104" s="43">
        <f t="shared" si="14"/>
        <v>0</v>
      </c>
      <c r="Z104" s="95">
        <f t="shared" si="15"/>
        <v>0</v>
      </c>
      <c r="AB104" s="43">
        <f t="shared" si="16"/>
        <v>0</v>
      </c>
      <c r="AC104" s="43">
        <f t="shared" si="17"/>
        <v>0</v>
      </c>
      <c r="AD104" s="43">
        <f t="shared" si="18"/>
        <v>0</v>
      </c>
      <c r="AE104" s="43">
        <f t="shared" si="19"/>
        <v>0</v>
      </c>
      <c r="AF104" s="95">
        <f t="shared" si="20"/>
        <v>0</v>
      </c>
      <c r="AH104" s="43">
        <f t="shared" si="21"/>
        <v>0</v>
      </c>
      <c r="AI104" s="43">
        <f t="shared" si="22"/>
        <v>0</v>
      </c>
      <c r="AJ104" s="43">
        <f t="shared" si="23"/>
        <v>0</v>
      </c>
      <c r="AK104" s="43">
        <f t="shared" si="24"/>
        <v>0</v>
      </c>
      <c r="AL104" s="95">
        <f t="shared" si="25"/>
        <v>0</v>
      </c>
      <c r="AN104" s="47">
        <f t="shared" si="26"/>
        <v>0</v>
      </c>
      <c r="AO104" s="47">
        <f t="shared" si="27"/>
        <v>0</v>
      </c>
      <c r="AP104" s="47">
        <f t="shared" si="28"/>
        <v>0</v>
      </c>
      <c r="AQ104" s="47">
        <f t="shared" si="29"/>
        <v>0</v>
      </c>
      <c r="AR104" s="193">
        <f t="shared" si="30"/>
        <v>0</v>
      </c>
      <c r="AY104" s="3"/>
    </row>
    <row r="105" spans="1:51">
      <c r="A105" s="48"/>
      <c r="B105" s="37">
        <f>'13. Desinvesteringen'!B389</f>
        <v>370</v>
      </c>
      <c r="C105" s="48"/>
      <c r="D105" s="48"/>
      <c r="E105" s="48"/>
      <c r="F105" s="42">
        <f>'5. Input GAW-waarde desinv.'!D65</f>
        <v>0</v>
      </c>
      <c r="G105" s="177">
        <f>'13. Desinvesteringen'!D389</f>
        <v>1991</v>
      </c>
      <c r="H105" s="177">
        <f>'13. Desinvesteringen'!G389</f>
        <v>2022</v>
      </c>
      <c r="I105" s="37" t="str">
        <f>'13. Desinvesteringen'!C389</f>
        <v>02 Gasontvangststations</v>
      </c>
      <c r="J105" s="166">
        <f>'13. Desinvesteringen'!F389</f>
        <v>0</v>
      </c>
      <c r="K105" s="38">
        <f>_xlfn.XLOOKUP(I105,'3. Input (des)investeringen '!$B$11:$B$81,'3. Input (des)investeringen '!$E$11:$E$81)</f>
        <v>0</v>
      </c>
      <c r="L105" s="48"/>
      <c r="M105" s="38">
        <f>_xlfn.XLOOKUP(I105,'3. Input (des)investeringen '!$B$11:$B$81,'3. Input (des)investeringen '!$D$11:$D$81,0)</f>
        <v>30</v>
      </c>
      <c r="N105" s="38">
        <f t="shared" si="9"/>
        <v>0</v>
      </c>
      <c r="P105" s="43">
        <f t="shared" si="31"/>
        <v>0</v>
      </c>
      <c r="Q105" s="43">
        <f t="shared" si="31"/>
        <v>0</v>
      </c>
      <c r="R105" s="43">
        <f t="shared" si="31"/>
        <v>0</v>
      </c>
      <c r="S105" s="43">
        <f t="shared" si="31"/>
        <v>0</v>
      </c>
      <c r="T105" s="95">
        <f t="shared" si="31"/>
        <v>0</v>
      </c>
      <c r="V105" s="43">
        <f t="shared" si="11"/>
        <v>0</v>
      </c>
      <c r="W105" s="43">
        <f t="shared" si="12"/>
        <v>0</v>
      </c>
      <c r="X105" s="43">
        <f t="shared" si="13"/>
        <v>0</v>
      </c>
      <c r="Y105" s="43">
        <f t="shared" si="14"/>
        <v>0</v>
      </c>
      <c r="Z105" s="95">
        <f t="shared" si="15"/>
        <v>0</v>
      </c>
      <c r="AB105" s="43">
        <f t="shared" si="16"/>
        <v>0</v>
      </c>
      <c r="AC105" s="43">
        <f t="shared" si="17"/>
        <v>0</v>
      </c>
      <c r="AD105" s="43">
        <f t="shared" si="18"/>
        <v>0</v>
      </c>
      <c r="AE105" s="43">
        <f t="shared" si="19"/>
        <v>0</v>
      </c>
      <c r="AF105" s="95">
        <f t="shared" si="20"/>
        <v>0</v>
      </c>
      <c r="AH105" s="43">
        <f t="shared" si="21"/>
        <v>0</v>
      </c>
      <c r="AI105" s="43">
        <f t="shared" si="22"/>
        <v>0</v>
      </c>
      <c r="AJ105" s="43">
        <f t="shared" si="23"/>
        <v>0</v>
      </c>
      <c r="AK105" s="43">
        <f t="shared" si="24"/>
        <v>0</v>
      </c>
      <c r="AL105" s="95">
        <f t="shared" si="25"/>
        <v>0</v>
      </c>
      <c r="AN105" s="47">
        <f t="shared" si="26"/>
        <v>0</v>
      </c>
      <c r="AO105" s="47">
        <f t="shared" si="27"/>
        <v>0</v>
      </c>
      <c r="AP105" s="47">
        <f t="shared" si="28"/>
        <v>0</v>
      </c>
      <c r="AQ105" s="47">
        <f t="shared" si="29"/>
        <v>0</v>
      </c>
      <c r="AR105" s="193">
        <f t="shared" si="30"/>
        <v>0</v>
      </c>
      <c r="AY105" s="3"/>
    </row>
    <row r="106" spans="1:51">
      <c r="A106" s="48"/>
      <c r="B106" s="37">
        <f>'13. Desinvesteringen'!B390</f>
        <v>371</v>
      </c>
      <c r="C106" s="48"/>
      <c r="D106" s="48"/>
      <c r="E106" s="48"/>
      <c r="F106" s="42">
        <f>'5. Input GAW-waarde desinv.'!D66</f>
        <v>646.89002615775189</v>
      </c>
      <c r="G106" s="177">
        <f>'13. Desinvesteringen'!D390</f>
        <v>1992</v>
      </c>
      <c r="H106" s="177">
        <f>'13. Desinvesteringen'!G390</f>
        <v>2022</v>
      </c>
      <c r="I106" s="37" t="str">
        <f>'13. Desinvesteringen'!C390</f>
        <v>02 Gasontvangststations</v>
      </c>
      <c r="J106" s="166">
        <f>'13. Desinvesteringen'!F390</f>
        <v>0</v>
      </c>
      <c r="K106" s="38">
        <f>_xlfn.XLOOKUP(I106,'3. Input (des)investeringen '!$B$11:$B$81,'3. Input (des)investeringen '!$E$11:$E$81)</f>
        <v>0</v>
      </c>
      <c r="L106" s="48"/>
      <c r="M106" s="38">
        <f>_xlfn.XLOOKUP(I106,'3. Input (des)investeringen '!$B$11:$B$81,'3. Input (des)investeringen '!$D$11:$D$81,0)</f>
        <v>30</v>
      </c>
      <c r="N106" s="38">
        <f t="shared" si="9"/>
        <v>0.5</v>
      </c>
      <c r="P106" s="43">
        <f t="shared" si="31"/>
        <v>582.20102354197672</v>
      </c>
      <c r="Q106" s="43">
        <f t="shared" si="31"/>
        <v>0</v>
      </c>
      <c r="R106" s="43">
        <f t="shared" si="31"/>
        <v>0</v>
      </c>
      <c r="S106" s="43">
        <f t="shared" si="31"/>
        <v>0</v>
      </c>
      <c r="T106" s="95">
        <f t="shared" si="31"/>
        <v>0</v>
      </c>
      <c r="V106" s="43">
        <f t="shared" si="11"/>
        <v>64.689002615775195</v>
      </c>
      <c r="W106" s="43">
        <f t="shared" si="12"/>
        <v>0</v>
      </c>
      <c r="X106" s="43">
        <f t="shared" si="13"/>
        <v>0</v>
      </c>
      <c r="Y106" s="43">
        <f t="shared" si="14"/>
        <v>0</v>
      </c>
      <c r="Z106" s="95">
        <f t="shared" si="15"/>
        <v>0</v>
      </c>
      <c r="AB106" s="43">
        <f t="shared" si="16"/>
        <v>646.89002615775189</v>
      </c>
      <c r="AC106" s="43">
        <f t="shared" si="17"/>
        <v>0</v>
      </c>
      <c r="AD106" s="43">
        <f t="shared" si="18"/>
        <v>0</v>
      </c>
      <c r="AE106" s="43">
        <f t="shared" si="19"/>
        <v>0</v>
      </c>
      <c r="AF106" s="95">
        <f t="shared" si="20"/>
        <v>0</v>
      </c>
      <c r="AH106" s="43">
        <f t="shared" si="21"/>
        <v>0</v>
      </c>
      <c r="AI106" s="43">
        <f t="shared" si="22"/>
        <v>0</v>
      </c>
      <c r="AJ106" s="43">
        <f t="shared" si="23"/>
        <v>0</v>
      </c>
      <c r="AK106" s="43">
        <f t="shared" si="24"/>
        <v>0</v>
      </c>
      <c r="AL106" s="95">
        <f t="shared" si="25"/>
        <v>0</v>
      </c>
      <c r="AN106" s="47">
        <f t="shared" si="26"/>
        <v>646.89002615775189</v>
      </c>
      <c r="AO106" s="47">
        <f t="shared" si="27"/>
        <v>0</v>
      </c>
      <c r="AP106" s="47">
        <f t="shared" si="28"/>
        <v>0</v>
      </c>
      <c r="AQ106" s="47">
        <f t="shared" si="29"/>
        <v>0</v>
      </c>
      <c r="AR106" s="193">
        <f t="shared" si="30"/>
        <v>0</v>
      </c>
      <c r="AY106" s="3"/>
    </row>
    <row r="107" spans="1:51">
      <c r="A107" s="48"/>
      <c r="B107" s="37">
        <f>'13. Desinvesteringen'!B391</f>
        <v>372</v>
      </c>
      <c r="C107" s="48"/>
      <c r="D107" s="48"/>
      <c r="E107" s="48"/>
      <c r="F107" s="42">
        <f>'5. Input GAW-waarde desinv.'!D67</f>
        <v>1357.7574875549008</v>
      </c>
      <c r="G107" s="177">
        <f>'13. Desinvesteringen'!D391</f>
        <v>1993</v>
      </c>
      <c r="H107" s="177">
        <f>'13. Desinvesteringen'!G391</f>
        <v>2022</v>
      </c>
      <c r="I107" s="37" t="str">
        <f>'13. Desinvesteringen'!C391</f>
        <v>02 Gasontvangststations</v>
      </c>
      <c r="J107" s="166">
        <f>'13. Desinvesteringen'!F391</f>
        <v>0</v>
      </c>
      <c r="K107" s="38">
        <f>_xlfn.XLOOKUP(I107,'3. Input (des)investeringen '!$B$11:$B$81,'3. Input (des)investeringen '!$E$11:$E$81)</f>
        <v>0</v>
      </c>
      <c r="L107" s="48"/>
      <c r="M107" s="38">
        <f>_xlfn.XLOOKUP(I107,'3. Input (des)investeringen '!$B$11:$B$81,'3. Input (des)investeringen '!$D$11:$D$81,0)</f>
        <v>30</v>
      </c>
      <c r="N107" s="38">
        <f t="shared" si="9"/>
        <v>1.5</v>
      </c>
      <c r="P107" s="43">
        <f t="shared" si="31"/>
        <v>1059.0508402928226</v>
      </c>
      <c r="Q107" s="43">
        <f t="shared" si="31"/>
        <v>162.93089850658814</v>
      </c>
      <c r="R107" s="43">
        <f t="shared" si="31"/>
        <v>0</v>
      </c>
      <c r="S107" s="43">
        <f t="shared" si="31"/>
        <v>0</v>
      </c>
      <c r="T107" s="95">
        <f t="shared" si="31"/>
        <v>0</v>
      </c>
      <c r="V107" s="43">
        <f t="shared" si="11"/>
        <v>90.517165836993399</v>
      </c>
      <c r="W107" s="43">
        <f t="shared" si="12"/>
        <v>45.2585829184967</v>
      </c>
      <c r="X107" s="43">
        <f t="shared" si="13"/>
        <v>0</v>
      </c>
      <c r="Y107" s="43">
        <f t="shared" si="14"/>
        <v>0</v>
      </c>
      <c r="Z107" s="95">
        <f t="shared" si="15"/>
        <v>0</v>
      </c>
      <c r="AB107" s="43">
        <f t="shared" si="16"/>
        <v>1149.568006129816</v>
      </c>
      <c r="AC107" s="43">
        <f t="shared" si="17"/>
        <v>208.18948142508484</v>
      </c>
      <c r="AD107" s="43">
        <f t="shared" si="18"/>
        <v>0</v>
      </c>
      <c r="AE107" s="43">
        <f t="shared" si="19"/>
        <v>0</v>
      </c>
      <c r="AF107" s="95">
        <f t="shared" si="20"/>
        <v>0</v>
      </c>
      <c r="AH107" s="43">
        <f t="shared" si="21"/>
        <v>208.18948142508475</v>
      </c>
      <c r="AI107" s="43">
        <f t="shared" si="22"/>
        <v>0</v>
      </c>
      <c r="AJ107" s="43">
        <f t="shared" si="23"/>
        <v>0</v>
      </c>
      <c r="AK107" s="43">
        <f t="shared" si="24"/>
        <v>0</v>
      </c>
      <c r="AL107" s="95">
        <f t="shared" si="25"/>
        <v>0</v>
      </c>
      <c r="AN107" s="47">
        <f t="shared" si="26"/>
        <v>1158.1037748682445</v>
      </c>
      <c r="AO107" s="47">
        <f t="shared" si="27"/>
        <v>208.18948142508484</v>
      </c>
      <c r="AP107" s="47">
        <f t="shared" si="28"/>
        <v>0</v>
      </c>
      <c r="AQ107" s="47">
        <f t="shared" si="29"/>
        <v>0</v>
      </c>
      <c r="AR107" s="193">
        <f t="shared" si="30"/>
        <v>0</v>
      </c>
      <c r="AY107" s="3"/>
    </row>
    <row r="108" spans="1:51">
      <c r="A108" s="48"/>
      <c r="B108" s="37">
        <f>'13. Desinvesteringen'!B392</f>
        <v>373</v>
      </c>
      <c r="C108" s="48"/>
      <c r="D108" s="48"/>
      <c r="E108" s="48"/>
      <c r="F108" s="42">
        <f>'5. Input GAW-waarde desinv.'!D68</f>
        <v>7195.5569834638591</v>
      </c>
      <c r="G108" s="177">
        <f>'13. Desinvesteringen'!D392</f>
        <v>1994</v>
      </c>
      <c r="H108" s="177">
        <f>'13. Desinvesteringen'!G392</f>
        <v>2022</v>
      </c>
      <c r="I108" s="37" t="str">
        <f>'13. Desinvesteringen'!C392</f>
        <v>02 Gasontvangststations</v>
      </c>
      <c r="J108" s="166">
        <f>'13. Desinvesteringen'!F392</f>
        <v>0</v>
      </c>
      <c r="K108" s="38">
        <f>_xlfn.XLOOKUP(I108,'3. Input (des)investeringen '!$B$11:$B$81,'3. Input (des)investeringen '!$E$11:$E$81)</f>
        <v>0</v>
      </c>
      <c r="L108" s="48"/>
      <c r="M108" s="38">
        <f>_xlfn.XLOOKUP(I108,'3. Input (des)investeringen '!$B$11:$B$81,'3. Input (des)investeringen '!$D$11:$D$81,0)</f>
        <v>30</v>
      </c>
      <c r="N108" s="38">
        <f t="shared" si="9"/>
        <v>2.5</v>
      </c>
      <c r="P108" s="43">
        <f t="shared" si="31"/>
        <v>3367.5206682610865</v>
      </c>
      <c r="Q108" s="43">
        <f t="shared" si="31"/>
        <v>2072.3204112375911</v>
      </c>
      <c r="R108" s="43">
        <f t="shared" si="31"/>
        <v>1036.1602056187955</v>
      </c>
      <c r="S108" s="43">
        <f t="shared" si="31"/>
        <v>0</v>
      </c>
      <c r="T108" s="95">
        <f t="shared" si="31"/>
        <v>0</v>
      </c>
      <c r="V108" s="43">
        <f t="shared" si="11"/>
        <v>287.82227933855438</v>
      </c>
      <c r="W108" s="43">
        <f t="shared" si="12"/>
        <v>287.82227933855432</v>
      </c>
      <c r="X108" s="43">
        <f t="shared" si="13"/>
        <v>143.91113966927716</v>
      </c>
      <c r="Y108" s="43">
        <f t="shared" si="14"/>
        <v>0</v>
      </c>
      <c r="Z108" s="95">
        <f t="shared" si="15"/>
        <v>0</v>
      </c>
      <c r="AB108" s="43">
        <f t="shared" si="16"/>
        <v>3655.3429475996409</v>
      </c>
      <c r="AC108" s="43">
        <f t="shared" si="17"/>
        <v>2360.1426905761455</v>
      </c>
      <c r="AD108" s="43">
        <f t="shared" si="18"/>
        <v>1180.0713452880727</v>
      </c>
      <c r="AE108" s="43">
        <f t="shared" si="19"/>
        <v>0</v>
      </c>
      <c r="AF108" s="95">
        <f t="shared" si="20"/>
        <v>0</v>
      </c>
      <c r="AH108" s="43">
        <f t="shared" si="21"/>
        <v>3540.2140358642182</v>
      </c>
      <c r="AI108" s="43">
        <f t="shared" si="22"/>
        <v>1180.0713452880727</v>
      </c>
      <c r="AJ108" s="43">
        <f t="shared" si="23"/>
        <v>0</v>
      </c>
      <c r="AK108" s="43">
        <f t="shared" si="24"/>
        <v>0</v>
      </c>
      <c r="AL108" s="95">
        <f t="shared" si="25"/>
        <v>0</v>
      </c>
      <c r="AN108" s="47">
        <f t="shared" si="26"/>
        <v>3800.4917230700739</v>
      </c>
      <c r="AO108" s="47">
        <f t="shared" si="27"/>
        <v>2420.326329185837</v>
      </c>
      <c r="AP108" s="47">
        <f t="shared" si="28"/>
        <v>1180.0713452880727</v>
      </c>
      <c r="AQ108" s="47">
        <f t="shared" si="29"/>
        <v>0</v>
      </c>
      <c r="AR108" s="193">
        <f t="shared" si="30"/>
        <v>0</v>
      </c>
      <c r="AY108" s="3"/>
    </row>
    <row r="109" spans="1:51">
      <c r="A109" s="48"/>
      <c r="B109" s="37">
        <f>'13. Desinvesteringen'!B393</f>
        <v>374</v>
      </c>
      <c r="C109" s="48"/>
      <c r="D109" s="48"/>
      <c r="E109" s="48"/>
      <c r="F109" s="42">
        <f>'5. Input GAW-waarde desinv.'!D69</f>
        <v>11931.605633190833</v>
      </c>
      <c r="G109" s="177">
        <f>'13. Desinvesteringen'!D393</f>
        <v>1995</v>
      </c>
      <c r="H109" s="177">
        <f>'13. Desinvesteringen'!G393</f>
        <v>2022</v>
      </c>
      <c r="I109" s="37" t="str">
        <f>'13. Desinvesteringen'!C393</f>
        <v>02 Gasontvangststations</v>
      </c>
      <c r="J109" s="166">
        <f>'13. Desinvesteringen'!F393</f>
        <v>0</v>
      </c>
      <c r="K109" s="38">
        <f>_xlfn.XLOOKUP(I109,'3. Input (des)investeringen '!$B$11:$B$81,'3. Input (des)investeringen '!$E$11:$E$81)</f>
        <v>0</v>
      </c>
      <c r="L109" s="48"/>
      <c r="M109" s="38">
        <f>_xlfn.XLOOKUP(I109,'3. Input (des)investeringen '!$B$11:$B$81,'3. Input (des)investeringen '!$D$11:$D$81,0)</f>
        <v>30</v>
      </c>
      <c r="N109" s="38">
        <f t="shared" si="9"/>
        <v>3.5</v>
      </c>
      <c r="P109" s="43">
        <f t="shared" si="31"/>
        <v>3988.5653116666504</v>
      </c>
      <c r="Q109" s="43">
        <f t="shared" si="31"/>
        <v>2699.9519032820399</v>
      </c>
      <c r="R109" s="43">
        <f t="shared" si="31"/>
        <v>2699.9519032820399</v>
      </c>
      <c r="S109" s="43">
        <f t="shared" si="31"/>
        <v>1349.9759516410199</v>
      </c>
      <c r="T109" s="95">
        <f t="shared" si="31"/>
        <v>0</v>
      </c>
      <c r="V109" s="43">
        <f t="shared" si="11"/>
        <v>340.9030180911667</v>
      </c>
      <c r="W109" s="43">
        <f t="shared" si="12"/>
        <v>340.9030180911667</v>
      </c>
      <c r="X109" s="43">
        <f t="shared" si="13"/>
        <v>340.9030180911667</v>
      </c>
      <c r="Y109" s="43">
        <f t="shared" si="14"/>
        <v>170.45150904558335</v>
      </c>
      <c r="Z109" s="95">
        <f t="shared" si="15"/>
        <v>0</v>
      </c>
      <c r="AB109" s="43">
        <f t="shared" si="16"/>
        <v>4329.4683297578167</v>
      </c>
      <c r="AC109" s="43">
        <f t="shared" si="17"/>
        <v>3040.8549213732067</v>
      </c>
      <c r="AD109" s="43">
        <f t="shared" si="18"/>
        <v>3040.8549213732067</v>
      </c>
      <c r="AE109" s="43">
        <f t="shared" si="19"/>
        <v>1520.4274606866034</v>
      </c>
      <c r="AF109" s="95">
        <f t="shared" si="20"/>
        <v>0</v>
      </c>
      <c r="AH109" s="43">
        <f t="shared" si="21"/>
        <v>7602.1373034330163</v>
      </c>
      <c r="AI109" s="43">
        <f t="shared" si="22"/>
        <v>4561.2823820598096</v>
      </c>
      <c r="AJ109" s="43">
        <f t="shared" si="23"/>
        <v>1520.4274606866029</v>
      </c>
      <c r="AK109" s="43">
        <f t="shared" si="24"/>
        <v>0</v>
      </c>
      <c r="AL109" s="95">
        <f t="shared" si="25"/>
        <v>0</v>
      </c>
      <c r="AN109" s="47">
        <f t="shared" si="26"/>
        <v>4641.1559591985706</v>
      </c>
      <c r="AO109" s="47">
        <f t="shared" si="27"/>
        <v>3273.4803228582568</v>
      </c>
      <c r="AP109" s="47">
        <f t="shared" si="28"/>
        <v>3118.3967218682233</v>
      </c>
      <c r="AQ109" s="47">
        <f t="shared" si="29"/>
        <v>1520.4274606866034</v>
      </c>
      <c r="AR109" s="193">
        <f t="shared" si="30"/>
        <v>0</v>
      </c>
      <c r="AY109" s="3"/>
    </row>
    <row r="110" spans="1:51">
      <c r="A110" s="48"/>
      <c r="B110" s="37">
        <f>'13. Desinvesteringen'!B394</f>
        <v>375</v>
      </c>
      <c r="C110" s="48"/>
      <c r="D110" s="48"/>
      <c r="E110" s="48"/>
      <c r="F110" s="42">
        <f>'5. Input GAW-waarde desinv.'!D70</f>
        <v>4008.6360537194205</v>
      </c>
      <c r="G110" s="177">
        <f>'13. Desinvesteringen'!D394</f>
        <v>1996</v>
      </c>
      <c r="H110" s="177">
        <f>'13. Desinvesteringen'!G394</f>
        <v>2022</v>
      </c>
      <c r="I110" s="37" t="str">
        <f>'13. Desinvesteringen'!C394</f>
        <v>02 Gasontvangststations</v>
      </c>
      <c r="J110" s="166">
        <f>'13. Desinvesteringen'!F394</f>
        <v>0</v>
      </c>
      <c r="K110" s="38">
        <f>_xlfn.XLOOKUP(I110,'3. Input (des)investeringen '!$B$11:$B$81,'3. Input (des)investeringen '!$E$11:$E$81)</f>
        <v>0</v>
      </c>
      <c r="L110" s="48"/>
      <c r="M110" s="38">
        <f>_xlfn.XLOOKUP(I110,'3. Input (des)investeringen '!$B$11:$B$81,'3. Input (des)investeringen '!$D$11:$D$81,0)</f>
        <v>30</v>
      </c>
      <c r="N110" s="38">
        <f t="shared" si="9"/>
        <v>4.5</v>
      </c>
      <c r="P110" s="43">
        <f t="shared" si="31"/>
        <v>1042.2453739670493</v>
      </c>
      <c r="Q110" s="43">
        <f t="shared" si="31"/>
        <v>741.15226593212401</v>
      </c>
      <c r="R110" s="43">
        <f t="shared" si="31"/>
        <v>729.74992337932213</v>
      </c>
      <c r="S110" s="43">
        <f t="shared" si="31"/>
        <v>729.74992337932213</v>
      </c>
      <c r="T110" s="95">
        <f t="shared" si="31"/>
        <v>364.87496168966106</v>
      </c>
      <c r="V110" s="43">
        <f t="shared" si="11"/>
        <v>89.080801193764898</v>
      </c>
      <c r="W110" s="43">
        <f t="shared" si="12"/>
        <v>89.080801193764898</v>
      </c>
      <c r="X110" s="43">
        <f t="shared" si="13"/>
        <v>89.080801193764898</v>
      </c>
      <c r="Y110" s="43">
        <f t="shared" si="14"/>
        <v>89.080801193764898</v>
      </c>
      <c r="Z110" s="95">
        <f t="shared" si="15"/>
        <v>44.540400596882449</v>
      </c>
      <c r="AB110" s="43">
        <f t="shared" si="16"/>
        <v>1131.3261751608143</v>
      </c>
      <c r="AC110" s="43">
        <f t="shared" si="17"/>
        <v>830.23306712588897</v>
      </c>
      <c r="AD110" s="43">
        <f t="shared" si="18"/>
        <v>818.83072457308708</v>
      </c>
      <c r="AE110" s="43">
        <f t="shared" si="19"/>
        <v>818.83072457308708</v>
      </c>
      <c r="AF110" s="95">
        <f t="shared" si="20"/>
        <v>409.41536228654354</v>
      </c>
      <c r="AH110" s="43">
        <f t="shared" si="21"/>
        <v>2877.3098785586062</v>
      </c>
      <c r="AI110" s="43">
        <f t="shared" si="22"/>
        <v>2047.0768114327172</v>
      </c>
      <c r="AJ110" s="43">
        <f t="shared" si="23"/>
        <v>1228.2460868596302</v>
      </c>
      <c r="AK110" s="43">
        <f t="shared" si="24"/>
        <v>409.41536228654309</v>
      </c>
      <c r="AL110" s="95">
        <f t="shared" si="25"/>
        <v>0</v>
      </c>
      <c r="AN110" s="47">
        <f t="shared" si="26"/>
        <v>1249.2958801817172</v>
      </c>
      <c r="AO110" s="47">
        <f t="shared" si="27"/>
        <v>934.6339845089575</v>
      </c>
      <c r="AP110" s="47">
        <f t="shared" si="28"/>
        <v>881.47127500292822</v>
      </c>
      <c r="AQ110" s="47">
        <f t="shared" si="29"/>
        <v>834.38850833997571</v>
      </c>
      <c r="AR110" s="193">
        <f t="shared" si="30"/>
        <v>409.41536228654354</v>
      </c>
      <c r="AY110" s="3"/>
    </row>
    <row r="111" spans="1:51">
      <c r="A111" s="48"/>
      <c r="B111" s="37">
        <f>'13. Desinvesteringen'!B395</f>
        <v>376</v>
      </c>
      <c r="C111" s="48"/>
      <c r="D111" s="48"/>
      <c r="E111" s="48"/>
      <c r="F111" s="42">
        <f>'5. Input GAW-waarde desinv.'!D71</f>
        <v>4682.8462589200817</v>
      </c>
      <c r="G111" s="177">
        <f>'13. Desinvesteringen'!D395</f>
        <v>1997</v>
      </c>
      <c r="H111" s="177">
        <f>'13. Desinvesteringen'!G395</f>
        <v>2022</v>
      </c>
      <c r="I111" s="37" t="str">
        <f>'13. Desinvesteringen'!C395</f>
        <v>02 Gasontvangststations</v>
      </c>
      <c r="J111" s="166">
        <f>'13. Desinvesteringen'!F395</f>
        <v>0</v>
      </c>
      <c r="K111" s="38">
        <f>_xlfn.XLOOKUP(I111,'3. Input (des)investeringen '!$B$11:$B$81,'3. Input (des)investeringen '!$E$11:$E$81)</f>
        <v>0</v>
      </c>
      <c r="L111" s="48"/>
      <c r="M111" s="38">
        <f>_xlfn.XLOOKUP(I111,'3. Input (des)investeringen '!$B$11:$B$81,'3. Input (des)investeringen '!$D$11:$D$81,0)</f>
        <v>30</v>
      </c>
      <c r="N111" s="38">
        <f t="shared" si="9"/>
        <v>5.5</v>
      </c>
      <c r="P111" s="43">
        <f t="shared" si="31"/>
        <v>996.169113261181</v>
      </c>
      <c r="Q111" s="43">
        <f t="shared" si="31"/>
        <v>760.71095921762912</v>
      </c>
      <c r="R111" s="43">
        <f t="shared" si="31"/>
        <v>702.19473158550386</v>
      </c>
      <c r="S111" s="43">
        <f t="shared" si="31"/>
        <v>702.19473158550386</v>
      </c>
      <c r="T111" s="95">
        <f t="shared" si="31"/>
        <v>702.19473158550386</v>
      </c>
      <c r="V111" s="43">
        <f t="shared" si="11"/>
        <v>85.142659253092404</v>
      </c>
      <c r="W111" s="43">
        <f t="shared" si="12"/>
        <v>85.142659253092404</v>
      </c>
      <c r="X111" s="43">
        <f t="shared" si="13"/>
        <v>85.142659253092404</v>
      </c>
      <c r="Y111" s="43">
        <f t="shared" si="14"/>
        <v>85.142659253092404</v>
      </c>
      <c r="Z111" s="95">
        <f t="shared" si="15"/>
        <v>85.142659253092404</v>
      </c>
      <c r="AB111" s="43">
        <f t="shared" si="16"/>
        <v>1081.3117725142733</v>
      </c>
      <c r="AC111" s="43">
        <f t="shared" si="17"/>
        <v>845.85361847072159</v>
      </c>
      <c r="AD111" s="43">
        <f t="shared" si="18"/>
        <v>787.33739083859632</v>
      </c>
      <c r="AE111" s="43">
        <f t="shared" si="19"/>
        <v>787.33739083859632</v>
      </c>
      <c r="AF111" s="95">
        <f t="shared" si="20"/>
        <v>787.33739083859632</v>
      </c>
      <c r="AH111" s="43">
        <f t="shared" si="21"/>
        <v>3601.5344864058084</v>
      </c>
      <c r="AI111" s="43">
        <f t="shared" si="22"/>
        <v>2755.680867935087</v>
      </c>
      <c r="AJ111" s="43">
        <f t="shared" si="23"/>
        <v>1968.3434770964907</v>
      </c>
      <c r="AK111" s="43">
        <f t="shared" si="24"/>
        <v>1181.0060862578944</v>
      </c>
      <c r="AL111" s="95">
        <f t="shared" si="25"/>
        <v>393.66869541929805</v>
      </c>
      <c r="AN111" s="47">
        <f t="shared" si="26"/>
        <v>1228.9746864569115</v>
      </c>
      <c r="AO111" s="47">
        <f t="shared" si="27"/>
        <v>986.39334273541101</v>
      </c>
      <c r="AP111" s="47">
        <f t="shared" si="28"/>
        <v>887.72290817051737</v>
      </c>
      <c r="AQ111" s="47">
        <f t="shared" si="29"/>
        <v>832.21562211639628</v>
      </c>
      <c r="AR111" s="193">
        <f t="shared" si="30"/>
        <v>802.29680126452968</v>
      </c>
      <c r="AY111" s="3"/>
    </row>
    <row r="112" spans="1:51">
      <c r="A112" s="48"/>
      <c r="B112" s="37">
        <f>'13. Desinvesteringen'!B396</f>
        <v>377</v>
      </c>
      <c r="C112" s="48"/>
      <c r="D112" s="48"/>
      <c r="E112" s="48"/>
      <c r="F112" s="42">
        <f>'5. Input GAW-waarde desinv.'!D72</f>
        <v>4626.8552263726942</v>
      </c>
      <c r="G112" s="177">
        <f>'13. Desinvesteringen'!D396</f>
        <v>2000</v>
      </c>
      <c r="H112" s="177">
        <f>'13. Desinvesteringen'!G396</f>
        <v>2022</v>
      </c>
      <c r="I112" s="37" t="str">
        <f>'13. Desinvesteringen'!C396</f>
        <v>02 Gasontvangststations</v>
      </c>
      <c r="J112" s="166">
        <f>'13. Desinvesteringen'!F396</f>
        <v>0</v>
      </c>
      <c r="K112" s="38">
        <f>_xlfn.XLOOKUP(I112,'3. Input (des)investeringen '!$B$11:$B$81,'3. Input (des)investeringen '!$E$11:$E$81)</f>
        <v>0</v>
      </c>
      <c r="L112" s="48"/>
      <c r="M112" s="38">
        <f>_xlfn.XLOOKUP(I112,'3. Input (des)investeringen '!$B$11:$B$81,'3. Input (des)investeringen '!$D$11:$D$81,0)</f>
        <v>30</v>
      </c>
      <c r="N112" s="38">
        <f t="shared" si="9"/>
        <v>8.5</v>
      </c>
      <c r="P112" s="43">
        <f t="shared" si="31"/>
        <v>636.87301351247675</v>
      </c>
      <c r="Q112" s="43">
        <f t="shared" si="31"/>
        <v>539.46890556350968</v>
      </c>
      <c r="R112" s="43">
        <f t="shared" si="31"/>
        <v>459.66581302452897</v>
      </c>
      <c r="S112" s="43">
        <f t="shared" si="31"/>
        <v>459.66581302452897</v>
      </c>
      <c r="T112" s="95">
        <f t="shared" si="31"/>
        <v>459.66581302452897</v>
      </c>
      <c r="V112" s="43">
        <f t="shared" si="11"/>
        <v>54.433590898502281</v>
      </c>
      <c r="W112" s="43">
        <f t="shared" si="12"/>
        <v>54.433590898502295</v>
      </c>
      <c r="X112" s="43">
        <f t="shared" si="13"/>
        <v>54.433590898502295</v>
      </c>
      <c r="Y112" s="43">
        <f t="shared" si="14"/>
        <v>54.433590898502295</v>
      </c>
      <c r="Z112" s="95">
        <f t="shared" si="15"/>
        <v>54.433590898502295</v>
      </c>
      <c r="AB112" s="43">
        <f t="shared" si="16"/>
        <v>691.30660441097905</v>
      </c>
      <c r="AC112" s="43">
        <f t="shared" si="17"/>
        <v>593.90249646201198</v>
      </c>
      <c r="AD112" s="43">
        <f t="shared" si="18"/>
        <v>514.09940392303122</v>
      </c>
      <c r="AE112" s="43">
        <f t="shared" si="19"/>
        <v>514.09940392303122</v>
      </c>
      <c r="AF112" s="95">
        <f t="shared" si="20"/>
        <v>514.09940392303122</v>
      </c>
      <c r="AH112" s="43">
        <f t="shared" si="21"/>
        <v>3935.5486219617151</v>
      </c>
      <c r="AI112" s="43">
        <f t="shared" si="22"/>
        <v>3341.646125499703</v>
      </c>
      <c r="AJ112" s="43">
        <f t="shared" si="23"/>
        <v>2827.5467215766716</v>
      </c>
      <c r="AK112" s="43">
        <f t="shared" si="24"/>
        <v>2313.4473176536403</v>
      </c>
      <c r="AL112" s="95">
        <f t="shared" si="25"/>
        <v>1799.347913730609</v>
      </c>
      <c r="AN112" s="47">
        <f t="shared" si="26"/>
        <v>852.66409791140939</v>
      </c>
      <c r="AO112" s="47">
        <f t="shared" si="27"/>
        <v>764.32644886249682</v>
      </c>
      <c r="AP112" s="47">
        <f t="shared" si="28"/>
        <v>658.30428672344146</v>
      </c>
      <c r="AQ112" s="47">
        <f t="shared" si="29"/>
        <v>602.01040199386955</v>
      </c>
      <c r="AR112" s="193">
        <f t="shared" si="30"/>
        <v>582.4746246447944</v>
      </c>
      <c r="AY112" s="3"/>
    </row>
    <row r="113" spans="1:51">
      <c r="A113" s="48"/>
      <c r="B113" s="37">
        <f>'13. Desinvesteringen'!B397</f>
        <v>378</v>
      </c>
      <c r="C113" s="48"/>
      <c r="D113" s="48"/>
      <c r="E113" s="48"/>
      <c r="F113" s="42">
        <f>'5. Input GAW-waarde desinv.'!D73</f>
        <v>4611.6740310663999</v>
      </c>
      <c r="G113" s="177">
        <f>'13. Desinvesteringen'!D397</f>
        <v>2002</v>
      </c>
      <c r="H113" s="177">
        <f>'13. Desinvesteringen'!G397</f>
        <v>2022</v>
      </c>
      <c r="I113" s="37" t="str">
        <f>'13. Desinvesteringen'!C397</f>
        <v>02 Gasontvangststations</v>
      </c>
      <c r="J113" s="166">
        <f>'13. Desinvesteringen'!F397</f>
        <v>0</v>
      </c>
      <c r="K113" s="38">
        <f>_xlfn.XLOOKUP(I113,'3. Input (des)investeringen '!$B$11:$B$81,'3. Input (des)investeringen '!$E$11:$E$81)</f>
        <v>0</v>
      </c>
      <c r="L113" s="48"/>
      <c r="M113" s="38">
        <f>_xlfn.XLOOKUP(I113,'3. Input (des)investeringen '!$B$11:$B$81,'3. Input (des)investeringen '!$D$11:$D$81,0)</f>
        <v>30</v>
      </c>
      <c r="N113" s="38">
        <f t="shared" si="9"/>
        <v>10.5</v>
      </c>
      <c r="P113" s="43">
        <f t="shared" si="31"/>
        <v>513.8722491759703</v>
      </c>
      <c r="Q113" s="43">
        <f t="shared" si="31"/>
        <v>450.24997070656451</v>
      </c>
      <c r="R113" s="43">
        <f t="shared" si="31"/>
        <v>394.50473623813264</v>
      </c>
      <c r="S113" s="43">
        <f t="shared" si="31"/>
        <v>372.25062291187896</v>
      </c>
      <c r="T113" s="95">
        <f t="shared" si="31"/>
        <v>372.25062291187896</v>
      </c>
      <c r="V113" s="43">
        <f t="shared" si="11"/>
        <v>43.920705057775244</v>
      </c>
      <c r="W113" s="43">
        <f t="shared" si="12"/>
        <v>43.920705057775244</v>
      </c>
      <c r="X113" s="43">
        <f t="shared" si="13"/>
        <v>43.920705057775244</v>
      </c>
      <c r="Y113" s="43">
        <f t="shared" si="14"/>
        <v>43.920705057775244</v>
      </c>
      <c r="Z113" s="95">
        <f t="shared" si="15"/>
        <v>43.920705057775244</v>
      </c>
      <c r="AB113" s="43">
        <f t="shared" si="16"/>
        <v>557.79295423374549</v>
      </c>
      <c r="AC113" s="43">
        <f t="shared" si="17"/>
        <v>494.17067576433976</v>
      </c>
      <c r="AD113" s="43">
        <f t="shared" si="18"/>
        <v>438.42544129590789</v>
      </c>
      <c r="AE113" s="43">
        <f t="shared" si="19"/>
        <v>416.17132796965421</v>
      </c>
      <c r="AF113" s="95">
        <f t="shared" si="20"/>
        <v>416.17132796965421</v>
      </c>
      <c r="AH113" s="43">
        <f t="shared" si="21"/>
        <v>4053.8810768326543</v>
      </c>
      <c r="AI113" s="43">
        <f t="shared" si="22"/>
        <v>3559.7104010683147</v>
      </c>
      <c r="AJ113" s="43">
        <f t="shared" si="23"/>
        <v>3121.2849597724066</v>
      </c>
      <c r="AK113" s="43">
        <f t="shared" si="24"/>
        <v>2705.1136318027525</v>
      </c>
      <c r="AL113" s="95">
        <f t="shared" si="25"/>
        <v>2288.9423038330983</v>
      </c>
      <c r="AN113" s="47">
        <f t="shared" si="26"/>
        <v>724.00207838388428</v>
      </c>
      <c r="AO113" s="47">
        <f t="shared" si="27"/>
        <v>675.71590621882376</v>
      </c>
      <c r="AP113" s="47">
        <f t="shared" si="28"/>
        <v>597.61097424430068</v>
      </c>
      <c r="AQ113" s="47">
        <f t="shared" si="29"/>
        <v>518.96564597815882</v>
      </c>
      <c r="AR113" s="193">
        <f t="shared" si="30"/>
        <v>503.15113551531192</v>
      </c>
      <c r="AY113" s="3"/>
    </row>
    <row r="114" spans="1:51">
      <c r="A114" s="48"/>
      <c r="B114" s="37">
        <f>'13. Desinvesteringen'!B398</f>
        <v>379</v>
      </c>
      <c r="C114" s="48"/>
      <c r="D114" s="48"/>
      <c r="E114" s="48"/>
      <c r="F114" s="42">
        <f>'5. Input GAW-waarde desinv.'!D74</f>
        <v>19084.802391040361</v>
      </c>
      <c r="G114" s="177">
        <f>'13. Desinvesteringen'!D398</f>
        <v>2003</v>
      </c>
      <c r="H114" s="177">
        <f>'13. Desinvesteringen'!G398</f>
        <v>2022</v>
      </c>
      <c r="I114" s="37" t="str">
        <f>'13. Desinvesteringen'!C398</f>
        <v>02 Gasontvangststations</v>
      </c>
      <c r="J114" s="166">
        <f>'13. Desinvesteringen'!F398</f>
        <v>0</v>
      </c>
      <c r="K114" s="38">
        <f>_xlfn.XLOOKUP(I114,'3. Input (des)investeringen '!$B$11:$B$81,'3. Input (des)investeringen '!$E$11:$E$81)</f>
        <v>0</v>
      </c>
      <c r="L114" s="48"/>
      <c r="M114" s="38">
        <f>_xlfn.XLOOKUP(I114,'3. Input (des)investeringen '!$B$11:$B$81,'3. Input (des)investeringen '!$D$11:$D$81,0)</f>
        <v>30</v>
      </c>
      <c r="N114" s="38">
        <f t="shared" si="9"/>
        <v>11.5</v>
      </c>
      <c r="P114" s="43">
        <f t="shared" si="31"/>
        <v>1941.6711997841064</v>
      </c>
      <c r="Q114" s="43">
        <f t="shared" si="31"/>
        <v>1722.1779337215553</v>
      </c>
      <c r="R114" s="43">
        <f t="shared" si="31"/>
        <v>1527.4969499095535</v>
      </c>
      <c r="S114" s="43">
        <f t="shared" si="31"/>
        <v>1409.9971845318955</v>
      </c>
      <c r="T114" s="95">
        <f t="shared" si="31"/>
        <v>1409.9971845318955</v>
      </c>
      <c r="V114" s="43">
        <f t="shared" si="11"/>
        <v>165.95480340035098</v>
      </c>
      <c r="W114" s="43">
        <f t="shared" si="12"/>
        <v>165.95480340035098</v>
      </c>
      <c r="X114" s="43">
        <f t="shared" si="13"/>
        <v>165.95480340035098</v>
      </c>
      <c r="Y114" s="43">
        <f t="shared" si="14"/>
        <v>165.95480340035098</v>
      </c>
      <c r="Z114" s="95">
        <f t="shared" si="15"/>
        <v>165.95480340035098</v>
      </c>
      <c r="AB114" s="43">
        <f t="shared" si="16"/>
        <v>2107.6260031844572</v>
      </c>
      <c r="AC114" s="43">
        <f t="shared" si="17"/>
        <v>1888.1327371219063</v>
      </c>
      <c r="AD114" s="43">
        <f t="shared" si="18"/>
        <v>1693.4517533099045</v>
      </c>
      <c r="AE114" s="43">
        <f t="shared" si="19"/>
        <v>1575.9519879322465</v>
      </c>
      <c r="AF114" s="95">
        <f t="shared" si="20"/>
        <v>1575.9519879322465</v>
      </c>
      <c r="AH114" s="43">
        <f t="shared" si="21"/>
        <v>16977.176387855903</v>
      </c>
      <c r="AI114" s="43">
        <f t="shared" si="22"/>
        <v>15089.043650733996</v>
      </c>
      <c r="AJ114" s="43">
        <f t="shared" si="23"/>
        <v>13395.591897424092</v>
      </c>
      <c r="AK114" s="43">
        <f t="shared" si="24"/>
        <v>11819.639909491845</v>
      </c>
      <c r="AL114" s="95">
        <f t="shared" si="25"/>
        <v>10243.687921559598</v>
      </c>
      <c r="AN114" s="47">
        <f t="shared" si="26"/>
        <v>2803.6902350865494</v>
      </c>
      <c r="AO114" s="47">
        <f t="shared" si="27"/>
        <v>2657.6739633093403</v>
      </c>
      <c r="AP114" s="47">
        <f t="shared" si="28"/>
        <v>2376.6269400785332</v>
      </c>
      <c r="AQ114" s="47">
        <f t="shared" si="29"/>
        <v>2025.0983044929367</v>
      </c>
      <c r="AR114" s="193">
        <f t="shared" si="30"/>
        <v>1965.2121289515112</v>
      </c>
      <c r="AY114" s="3"/>
    </row>
    <row r="115" spans="1:51">
      <c r="A115" s="48"/>
      <c r="B115" s="37">
        <f>'13. Desinvesteringen'!B399</f>
        <v>380</v>
      </c>
      <c r="C115" s="48"/>
      <c r="D115" s="48"/>
      <c r="E115" s="48"/>
      <c r="F115" s="42">
        <f>'5. Input GAW-waarde desinv.'!D75</f>
        <v>7912.0882258856245</v>
      </c>
      <c r="G115" s="177">
        <f>'13. Desinvesteringen'!D399</f>
        <v>2005</v>
      </c>
      <c r="H115" s="177">
        <f>'13. Desinvesteringen'!G399</f>
        <v>2022</v>
      </c>
      <c r="I115" s="37" t="str">
        <f>'13. Desinvesteringen'!C399</f>
        <v>02 Gasontvangststations</v>
      </c>
      <c r="J115" s="166">
        <f>'13. Desinvesteringen'!F399</f>
        <v>0</v>
      </c>
      <c r="K115" s="38">
        <f>_xlfn.XLOOKUP(I115,'3. Input (des)investeringen '!$B$11:$B$81,'3. Input (des)investeringen '!$E$11:$E$81)</f>
        <v>0</v>
      </c>
      <c r="L115" s="48"/>
      <c r="M115" s="38">
        <f>_xlfn.XLOOKUP(I115,'3. Input (des)investeringen '!$B$11:$B$81,'3. Input (des)investeringen '!$D$11:$D$81,0)</f>
        <v>30</v>
      </c>
      <c r="N115" s="38">
        <f t="shared" si="9"/>
        <v>13.5</v>
      </c>
      <c r="P115" s="43">
        <f t="shared" si="31"/>
        <v>685.71431291008741</v>
      </c>
      <c r="Q115" s="43">
        <f t="shared" si="31"/>
        <v>619.68256425948641</v>
      </c>
      <c r="R115" s="43">
        <f t="shared" si="31"/>
        <v>560.00942844190638</v>
      </c>
      <c r="S115" s="43">
        <f t="shared" si="31"/>
        <v>506.082594591945</v>
      </c>
      <c r="T115" s="95">
        <f t="shared" si="31"/>
        <v>499.93584243090925</v>
      </c>
      <c r="V115" s="43">
        <f t="shared" si="11"/>
        <v>58.608060932486104</v>
      </c>
      <c r="W115" s="43">
        <f t="shared" si="12"/>
        <v>58.608060932486104</v>
      </c>
      <c r="X115" s="43">
        <f t="shared" si="13"/>
        <v>58.608060932486104</v>
      </c>
      <c r="Y115" s="43">
        <f t="shared" si="14"/>
        <v>58.608060932486104</v>
      </c>
      <c r="Z115" s="95">
        <f t="shared" si="15"/>
        <v>58.608060932486104</v>
      </c>
      <c r="AB115" s="43">
        <f t="shared" si="16"/>
        <v>744.32237384257348</v>
      </c>
      <c r="AC115" s="43">
        <f t="shared" si="17"/>
        <v>678.29062519197248</v>
      </c>
      <c r="AD115" s="43">
        <f t="shared" si="18"/>
        <v>618.61748937439245</v>
      </c>
      <c r="AE115" s="43">
        <f t="shared" si="19"/>
        <v>564.69065552443112</v>
      </c>
      <c r="AF115" s="95">
        <f t="shared" si="20"/>
        <v>558.54390336339532</v>
      </c>
      <c r="AH115" s="43">
        <f t="shared" si="21"/>
        <v>7167.7658520430514</v>
      </c>
      <c r="AI115" s="43">
        <f t="shared" si="22"/>
        <v>6489.4752268510792</v>
      </c>
      <c r="AJ115" s="43">
        <f t="shared" si="23"/>
        <v>5870.8577374766865</v>
      </c>
      <c r="AK115" s="43">
        <f t="shared" si="24"/>
        <v>5306.1670819522551</v>
      </c>
      <c r="AL115" s="95">
        <f t="shared" si="25"/>
        <v>4747.6231785888594</v>
      </c>
      <c r="AN115" s="47">
        <f t="shared" si="26"/>
        <v>1038.2007737763386</v>
      </c>
      <c r="AO115" s="47">
        <f t="shared" si="27"/>
        <v>1009.2538617613775</v>
      </c>
      <c r="AP115" s="47">
        <f t="shared" si="28"/>
        <v>918.03123398570347</v>
      </c>
      <c r="AQ115" s="47">
        <f t="shared" si="29"/>
        <v>766.32500463861675</v>
      </c>
      <c r="AR115" s="193">
        <f t="shared" si="30"/>
        <v>738.95358414977204</v>
      </c>
      <c r="AY115" s="3"/>
    </row>
    <row r="116" spans="1:51">
      <c r="A116" s="48"/>
      <c r="B116" s="37">
        <f>'13. Desinvesteringen'!B400</f>
        <v>381</v>
      </c>
      <c r="C116" s="48"/>
      <c r="D116" s="48"/>
      <c r="E116" s="48"/>
      <c r="F116" s="42">
        <f>'5. Input GAW-waarde desinv.'!D76</f>
        <v>204757.05379307119</v>
      </c>
      <c r="G116" s="177">
        <f>'13. Desinvesteringen'!D400</f>
        <v>2007</v>
      </c>
      <c r="H116" s="177">
        <f>'13. Desinvesteringen'!G400</f>
        <v>2022</v>
      </c>
      <c r="I116" s="37" t="str">
        <f>'13. Desinvesteringen'!C400</f>
        <v>02 Gasontvangststations</v>
      </c>
      <c r="J116" s="166">
        <f>'13. Desinvesteringen'!F400</f>
        <v>0</v>
      </c>
      <c r="K116" s="38">
        <f>_xlfn.XLOOKUP(I116,'3. Input (des)investeringen '!$B$11:$B$81,'3. Input (des)investeringen '!$E$11:$E$81)</f>
        <v>0</v>
      </c>
      <c r="L116" s="48"/>
      <c r="M116" s="38">
        <f>_xlfn.XLOOKUP(I116,'3. Input (des)investeringen '!$B$11:$B$81,'3. Input (des)investeringen '!$D$11:$D$81,0)</f>
        <v>30</v>
      </c>
      <c r="N116" s="38">
        <f t="shared" ref="N116:N142" si="32">IF($M116&gt;0, MAX(0,IF(G116&lt;2022,M116-2021+G116-0.5,M116)), 0)</f>
        <v>15.5</v>
      </c>
      <c r="P116" s="43">
        <f t="shared" ref="P116:T159" si="33">IF($M116&gt;0, IF(OR($G116&gt;P$49,$G116+$M116&lt;P$49),0,
VDB($F116,0,$N116,MAX(0,P$49-2022),MIN($N116,P$49-2021),$F$22,FALSE))*(1-$F$25), 0)</f>
        <v>15455.855028251181</v>
      </c>
      <c r="Q116" s="43">
        <f t="shared" si="33"/>
        <v>14159.557509752696</v>
      </c>
      <c r="R116" s="43">
        <f t="shared" si="33"/>
        <v>12971.981718612145</v>
      </c>
      <c r="S116" s="43">
        <f t="shared" si="33"/>
        <v>11884.009058341451</v>
      </c>
      <c r="T116" s="95">
        <f t="shared" si="33"/>
        <v>11287.821312939703</v>
      </c>
      <c r="V116" s="43">
        <f t="shared" ref="V116:V142" si="34">IF($M116&gt;0, IF(OR($G116&gt;V$49,$G116+$M116&lt;V$49),0,
VDB($F116,0,$N116,MAX(0,P$49-2022),MIN($N116,P$49-2021),1,FALSE))*$F$25, 0)</f>
        <v>1321.0132502778788</v>
      </c>
      <c r="W116" s="43">
        <f t="shared" ref="W116:W142" si="35">IF($M116&gt;0, IF(OR($G116&gt;W$49,$G116+$M116&lt;W$49),0,
VDB($F116,0,$N116,MAX(0,Q$49-2022),MIN($N116,Q$49-2021),1,FALSE))*$F$25, 0)</f>
        <v>1321.0132502778788</v>
      </c>
      <c r="X116" s="43">
        <f t="shared" ref="X116:X142" si="36">IF($M116&gt;0, IF(OR($G116&gt;X$49,$G116+$M116&lt;X$49),0,
VDB($F116,0,$N116,MAX(0,R$49-2022),MIN($N116,R$49-2021),1,FALSE))*$F$25, 0)</f>
        <v>1321.0132502778788</v>
      </c>
      <c r="Y116" s="43">
        <f t="shared" ref="Y116:Y142" si="37">IF($M116&gt;0, IF(OR($G116&gt;Y$49,$G116+$M116&lt;Y$49),0,
VDB($F116,0,$N116,MAX(0,S$49-2022),MIN($N116,S$49-2021),1,FALSE))*$F$25, 0)</f>
        <v>1321.0132502778788</v>
      </c>
      <c r="Z116" s="95">
        <f t="shared" ref="Z116:Z142" si="38">IF($M116&gt;0, IF(OR($G116&gt;Z$49,$G116+$M116&lt;Z$49),0,
VDB($F116,0,$N116,MAX(0,T$49-2022),MIN($N116,T$49-2021),1,FALSE))*$F$25, 0)</f>
        <v>1321.0132502778788</v>
      </c>
      <c r="AB116" s="43">
        <f t="shared" ref="AB116:AB142" si="39">P116+V116</f>
        <v>16776.868278529058</v>
      </c>
      <c r="AC116" s="43">
        <f t="shared" ref="AC116:AC142" si="40">Q116+W116</f>
        <v>15480.570760030576</v>
      </c>
      <c r="AD116" s="43">
        <f t="shared" ref="AD116:AD142" si="41">R116+X116</f>
        <v>14292.994968890023</v>
      </c>
      <c r="AE116" s="43">
        <f t="shared" ref="AE116:AE142" si="42">S116+Y116</f>
        <v>13205.022308619329</v>
      </c>
      <c r="AF116" s="95">
        <f t="shared" ref="AF116:AF142" si="43">T116+Z116</f>
        <v>12608.834563217581</v>
      </c>
      <c r="AH116" s="43">
        <f t="shared" ref="AH116:AH142" si="44">IF($M116&gt;0, IF($M116&gt;0,IF(OR($G116&gt;AH$49,$G116+$M116&lt;=AH$49),0,IF(AH$49=2022,$F116-AB116,AG116-AB116))), $F116)</f>
        <v>187980.18551454213</v>
      </c>
      <c r="AI116" s="43">
        <f t="shared" ref="AI116:AI142" si="45">IF($M116&gt;0, IF(OR($G116&gt;AI$49,$G116+$M116&lt;=AI$49),0,IF(AI$49=2022,$F116-AC116,AH116-AC116)), AH116)</f>
        <v>172499.61475451157</v>
      </c>
      <c r="AJ116" s="43">
        <f t="shared" ref="AJ116:AJ142" si="46">IF($M116&gt;0, IF(OR($G116&gt;AJ$49,$G116+$M116&lt;=AJ$49),0,IF(AJ$49=2022,$F116-AD116,AI116-AD116)), AI116)</f>
        <v>158206.61978562153</v>
      </c>
      <c r="AK116" s="43">
        <f t="shared" ref="AK116:AK142" si="47">IF($M116&gt;0, IF(OR($G116&gt;AK$49,$G116+$M116&lt;=AK$49),0,IF(AK$49=2022,$F116-AE116,AJ116-AE116)), AJ116)</f>
        <v>145001.59747700219</v>
      </c>
      <c r="AL116" s="95">
        <f t="shared" ref="AL116:AL142" si="48">IF($M116&gt;0, IF(OR($G116&gt;AL$49,$G116+$M116&lt;=AL$49),0,IF(AL$49=2022,$F116-AF116,AK116-AF116)), AK116)</f>
        <v>132392.76291378459</v>
      </c>
      <c r="AN116" s="47">
        <f t="shared" ref="AN116:AN142" si="49">(AB116+AH116*H$16)*IF($K116=1,$F$31,1)</f>
        <v>24484.055884625286</v>
      </c>
      <c r="AO116" s="47">
        <f t="shared" ref="AO116:AO142" si="50">(AC116+AI116*I$16)*IF($K116=1,$F$31,1)</f>
        <v>24278.051112510664</v>
      </c>
      <c r="AP116" s="47">
        <f t="shared" ref="AP116:AP142" si="51">(AD116+AJ116*J$16)*IF($K116=1,$F$31,1)</f>
        <v>22361.532577956721</v>
      </c>
      <c r="AQ116" s="47">
        <f t="shared" ref="AQ116:AQ142" si="52">(AE116+AK116*K$16)*IF($K116=1,$F$31,1)</f>
        <v>18715.08301274541</v>
      </c>
      <c r="AR116" s="193">
        <f t="shared" ref="AR116:AR142" si="53">(AF116+AL116*L$16)*IF($K116=1,$F$31,1)</f>
        <v>17639.759553941396</v>
      </c>
      <c r="AY116" s="3"/>
    </row>
    <row r="117" spans="1:51">
      <c r="A117" s="48"/>
      <c r="B117" s="37">
        <f>'13. Desinvesteringen'!B401</f>
        <v>382</v>
      </c>
      <c r="C117" s="48"/>
      <c r="D117" s="48"/>
      <c r="E117" s="48"/>
      <c r="F117" s="42">
        <f>'5. Input GAW-waarde desinv.'!D77</f>
        <v>114014.92388584625</v>
      </c>
      <c r="G117" s="177">
        <f>'13. Desinvesteringen'!D401</f>
        <v>2010</v>
      </c>
      <c r="H117" s="177">
        <f>'13. Desinvesteringen'!G401</f>
        <v>2022</v>
      </c>
      <c r="I117" s="37" t="str">
        <f>'13. Desinvesteringen'!C401</f>
        <v>02 Gasontvangststations</v>
      </c>
      <c r="J117" s="166">
        <f>'13. Desinvesteringen'!F401</f>
        <v>0</v>
      </c>
      <c r="K117" s="38">
        <f>_xlfn.XLOOKUP(I117,'3. Input (des)investeringen '!$B$11:$B$81,'3. Input (des)investeringen '!$E$11:$E$81)</f>
        <v>0</v>
      </c>
      <c r="L117" s="48"/>
      <c r="M117" s="38">
        <f>_xlfn.XLOOKUP(I117,'3. Input (des)investeringen '!$B$11:$B$81,'3. Input (des)investeringen '!$D$11:$D$81,0)</f>
        <v>30</v>
      </c>
      <c r="N117" s="38">
        <f t="shared" si="32"/>
        <v>18.5</v>
      </c>
      <c r="P117" s="43">
        <f t="shared" si="33"/>
        <v>7210.6735646724383</v>
      </c>
      <c r="Q117" s="43">
        <f t="shared" si="33"/>
        <v>6703.9775844522137</v>
      </c>
      <c r="R117" s="43">
        <f t="shared" si="33"/>
        <v>6232.887267706923</v>
      </c>
      <c r="S117" s="43">
        <f t="shared" si="33"/>
        <v>5794.9005948410313</v>
      </c>
      <c r="T117" s="95">
        <f t="shared" si="33"/>
        <v>5387.6913638522019</v>
      </c>
      <c r="V117" s="43">
        <f t="shared" si="34"/>
        <v>616.29688586943928</v>
      </c>
      <c r="W117" s="43">
        <f t="shared" si="35"/>
        <v>616.29688586943917</v>
      </c>
      <c r="X117" s="43">
        <f t="shared" si="36"/>
        <v>616.29688586943917</v>
      </c>
      <c r="Y117" s="43">
        <f t="shared" si="37"/>
        <v>616.29688586943917</v>
      </c>
      <c r="Z117" s="95">
        <f t="shared" si="38"/>
        <v>616.29688586943917</v>
      </c>
      <c r="AB117" s="43">
        <f t="shared" si="39"/>
        <v>7826.9704505418777</v>
      </c>
      <c r="AC117" s="43">
        <f t="shared" si="40"/>
        <v>7320.2744703216531</v>
      </c>
      <c r="AD117" s="43">
        <f t="shared" si="41"/>
        <v>6849.1841535763624</v>
      </c>
      <c r="AE117" s="43">
        <f t="shared" si="42"/>
        <v>6411.1974807104707</v>
      </c>
      <c r="AF117" s="95">
        <f t="shared" si="43"/>
        <v>6003.9882497216413</v>
      </c>
      <c r="AH117" s="43">
        <f t="shared" si="44"/>
        <v>106187.95343530437</v>
      </c>
      <c r="AI117" s="43">
        <f t="shared" si="45"/>
        <v>98867.678964982711</v>
      </c>
      <c r="AJ117" s="43">
        <f t="shared" si="46"/>
        <v>92018.494811406345</v>
      </c>
      <c r="AK117" s="43">
        <f t="shared" si="47"/>
        <v>85607.297330695874</v>
      </c>
      <c r="AL117" s="95">
        <f t="shared" si="48"/>
        <v>79603.309080974228</v>
      </c>
      <c r="AN117" s="47">
        <f t="shared" si="49"/>
        <v>12180.676541389357</v>
      </c>
      <c r="AO117" s="47">
        <f t="shared" si="50"/>
        <v>12362.526097535771</v>
      </c>
      <c r="AP117" s="47">
        <f t="shared" si="51"/>
        <v>11542.127388958084</v>
      </c>
      <c r="AQ117" s="47">
        <f t="shared" si="52"/>
        <v>9664.2747792769133</v>
      </c>
      <c r="AR117" s="193">
        <f t="shared" si="53"/>
        <v>9028.9139947986623</v>
      </c>
      <c r="AY117" s="3"/>
    </row>
    <row r="118" spans="1:51">
      <c r="A118" s="48"/>
      <c r="B118" s="37">
        <f>'13. Desinvesteringen'!B402</f>
        <v>383</v>
      </c>
      <c r="C118" s="48"/>
      <c r="D118" s="48"/>
      <c r="E118" s="48"/>
      <c r="F118" s="42">
        <f>'5. Input GAW-waarde desinv.'!D78</f>
        <v>32772.828513993481</v>
      </c>
      <c r="G118" s="177">
        <f>'13. Desinvesteringen'!D402</f>
        <v>2012</v>
      </c>
      <c r="H118" s="177">
        <f>'13. Desinvesteringen'!G402</f>
        <v>2022</v>
      </c>
      <c r="I118" s="37" t="str">
        <f>'13. Desinvesteringen'!C402</f>
        <v>02 Gasontvangststations</v>
      </c>
      <c r="J118" s="166">
        <f>'13. Desinvesteringen'!F402</f>
        <v>0</v>
      </c>
      <c r="K118" s="38">
        <f>_xlfn.XLOOKUP(I118,'3. Input (des)investeringen '!$B$11:$B$81,'3. Input (des)investeringen '!$E$11:$E$81)</f>
        <v>0</v>
      </c>
      <c r="L118" s="48"/>
      <c r="M118" s="38">
        <f>_xlfn.XLOOKUP(I118,'3. Input (des)investeringen '!$B$11:$B$81,'3. Input (des)investeringen '!$D$11:$D$81,0)</f>
        <v>30</v>
      </c>
      <c r="N118" s="38">
        <f t="shared" si="32"/>
        <v>20.5</v>
      </c>
      <c r="P118" s="43">
        <f t="shared" si="33"/>
        <v>1870.4492371401157</v>
      </c>
      <c r="Q118" s="43">
        <f t="shared" si="33"/>
        <v>1751.8353830775718</v>
      </c>
      <c r="R118" s="43">
        <f t="shared" si="33"/>
        <v>1640.7433831750918</v>
      </c>
      <c r="S118" s="43">
        <f t="shared" si="33"/>
        <v>1536.6962418030128</v>
      </c>
      <c r="T118" s="95">
        <f t="shared" si="33"/>
        <v>1439.247211835017</v>
      </c>
      <c r="V118" s="43">
        <f t="shared" si="34"/>
        <v>159.86745616582186</v>
      </c>
      <c r="W118" s="43">
        <f t="shared" si="35"/>
        <v>159.86745616582186</v>
      </c>
      <c r="X118" s="43">
        <f t="shared" si="36"/>
        <v>159.86745616582186</v>
      </c>
      <c r="Y118" s="43">
        <f t="shared" si="37"/>
        <v>159.86745616582186</v>
      </c>
      <c r="Z118" s="95">
        <f t="shared" si="38"/>
        <v>159.86745616582186</v>
      </c>
      <c r="AB118" s="43">
        <f t="shared" si="39"/>
        <v>2030.3166933059374</v>
      </c>
      <c r="AC118" s="43">
        <f t="shared" si="40"/>
        <v>1911.7028392433936</v>
      </c>
      <c r="AD118" s="43">
        <f t="shared" si="41"/>
        <v>1800.6108393409136</v>
      </c>
      <c r="AE118" s="43">
        <f t="shared" si="42"/>
        <v>1696.5636979688347</v>
      </c>
      <c r="AF118" s="95">
        <f t="shared" si="43"/>
        <v>1599.1146680008387</v>
      </c>
      <c r="AH118" s="43">
        <f t="shared" si="44"/>
        <v>30742.511820687545</v>
      </c>
      <c r="AI118" s="43">
        <f t="shared" si="45"/>
        <v>28830.808981444152</v>
      </c>
      <c r="AJ118" s="43">
        <f t="shared" si="46"/>
        <v>27030.19814210324</v>
      </c>
      <c r="AK118" s="43">
        <f t="shared" si="47"/>
        <v>25333.634444134404</v>
      </c>
      <c r="AL118" s="95">
        <f t="shared" si="48"/>
        <v>23734.519776133566</v>
      </c>
      <c r="AN118" s="47">
        <f t="shared" si="49"/>
        <v>3290.7596779541268</v>
      </c>
      <c r="AO118" s="47">
        <f t="shared" si="50"/>
        <v>3382.0740972970452</v>
      </c>
      <c r="AP118" s="47">
        <f t="shared" si="51"/>
        <v>3179.1509445881784</v>
      </c>
      <c r="AQ118" s="47">
        <f t="shared" si="52"/>
        <v>2659.2418068459419</v>
      </c>
      <c r="AR118" s="193">
        <f t="shared" si="53"/>
        <v>2501.0264194939141</v>
      </c>
      <c r="AY118" s="3"/>
    </row>
    <row r="119" spans="1:51">
      <c r="A119" s="48"/>
      <c r="B119" s="37">
        <f>'13. Desinvesteringen'!B403</f>
        <v>384</v>
      </c>
      <c r="C119" s="48"/>
      <c r="D119" s="48"/>
      <c r="E119" s="48"/>
      <c r="F119" s="42">
        <f>'5. Input GAW-waarde desinv.'!D79</f>
        <v>0</v>
      </c>
      <c r="G119" s="177">
        <f>'13. Desinvesteringen'!D403</f>
        <v>1980</v>
      </c>
      <c r="H119" s="177">
        <f>'13. Desinvesteringen'!G403</f>
        <v>2022</v>
      </c>
      <c r="I119" s="37" t="str">
        <f>'13. Desinvesteringen'!C403</f>
        <v>06 Utiliteitsgebouwen</v>
      </c>
      <c r="J119" s="166">
        <f>'13. Desinvesteringen'!F403</f>
        <v>0</v>
      </c>
      <c r="K119" s="38">
        <f>_xlfn.XLOOKUP(I119,'3. Input (des)investeringen '!$B$11:$B$81,'3. Input (des)investeringen '!$E$11:$E$81)</f>
        <v>0</v>
      </c>
      <c r="L119" s="48"/>
      <c r="M119" s="38">
        <f>_xlfn.XLOOKUP(I119,'3. Input (des)investeringen '!$B$11:$B$81,'3. Input (des)investeringen '!$D$11:$D$81,0)</f>
        <v>30</v>
      </c>
      <c r="N119" s="38">
        <f t="shared" si="32"/>
        <v>0</v>
      </c>
      <c r="P119" s="43">
        <f t="shared" si="33"/>
        <v>0</v>
      </c>
      <c r="Q119" s="43">
        <f t="shared" si="33"/>
        <v>0</v>
      </c>
      <c r="R119" s="43">
        <f t="shared" si="33"/>
        <v>0</v>
      </c>
      <c r="S119" s="43">
        <f t="shared" si="33"/>
        <v>0</v>
      </c>
      <c r="T119" s="95">
        <f t="shared" si="33"/>
        <v>0</v>
      </c>
      <c r="V119" s="43">
        <f t="shared" si="34"/>
        <v>0</v>
      </c>
      <c r="W119" s="43">
        <f t="shared" si="35"/>
        <v>0</v>
      </c>
      <c r="X119" s="43">
        <f t="shared" si="36"/>
        <v>0</v>
      </c>
      <c r="Y119" s="43">
        <f t="shared" si="37"/>
        <v>0</v>
      </c>
      <c r="Z119" s="95">
        <f t="shared" si="38"/>
        <v>0</v>
      </c>
      <c r="AB119" s="43">
        <f t="shared" si="39"/>
        <v>0</v>
      </c>
      <c r="AC119" s="43">
        <f t="shared" si="40"/>
        <v>0</v>
      </c>
      <c r="AD119" s="43">
        <f t="shared" si="41"/>
        <v>0</v>
      </c>
      <c r="AE119" s="43">
        <f t="shared" si="42"/>
        <v>0</v>
      </c>
      <c r="AF119" s="95">
        <f t="shared" si="43"/>
        <v>0</v>
      </c>
      <c r="AH119" s="43">
        <f t="shared" si="44"/>
        <v>0</v>
      </c>
      <c r="AI119" s="43">
        <f t="shared" si="45"/>
        <v>0</v>
      </c>
      <c r="AJ119" s="43">
        <f t="shared" si="46"/>
        <v>0</v>
      </c>
      <c r="AK119" s="43">
        <f t="shared" si="47"/>
        <v>0</v>
      </c>
      <c r="AL119" s="95">
        <f t="shared" si="48"/>
        <v>0</v>
      </c>
      <c r="AN119" s="47">
        <f t="shared" si="49"/>
        <v>0</v>
      </c>
      <c r="AO119" s="47">
        <f t="shared" si="50"/>
        <v>0</v>
      </c>
      <c r="AP119" s="47">
        <f t="shared" si="51"/>
        <v>0</v>
      </c>
      <c r="AQ119" s="47">
        <f t="shared" si="52"/>
        <v>0</v>
      </c>
      <c r="AR119" s="193">
        <f t="shared" si="53"/>
        <v>0</v>
      </c>
      <c r="AY119" s="3"/>
    </row>
    <row r="120" spans="1:51">
      <c r="A120" s="48"/>
      <c r="B120" s="37">
        <f>'13. Desinvesteringen'!B404</f>
        <v>385</v>
      </c>
      <c r="C120" s="48"/>
      <c r="D120" s="48"/>
      <c r="E120" s="48"/>
      <c r="F120" s="42">
        <f>'5. Input GAW-waarde desinv.'!D80</f>
        <v>0</v>
      </c>
      <c r="G120" s="177">
        <f>'13. Desinvesteringen'!D404</f>
        <v>1970</v>
      </c>
      <c r="H120" s="177">
        <f>'13. Desinvesteringen'!G404</f>
        <v>2022</v>
      </c>
      <c r="I120" s="37" t="str">
        <f>'13. Desinvesteringen'!C404</f>
        <v>15 Compressorstations (TT-BT-AT)</v>
      </c>
      <c r="J120" s="166">
        <f>'13. Desinvesteringen'!F404</f>
        <v>0</v>
      </c>
      <c r="K120" s="38">
        <f>_xlfn.XLOOKUP(I120,'3. Input (des)investeringen '!$B$11:$B$81,'3. Input (des)investeringen '!$E$11:$E$81)</f>
        <v>1</v>
      </c>
      <c r="L120" s="48"/>
      <c r="M120" s="38">
        <f>_xlfn.XLOOKUP(I120,'3. Input (des)investeringen '!$B$11:$B$81,'3. Input (des)investeringen '!$D$11:$D$81,0)</f>
        <v>30</v>
      </c>
      <c r="N120" s="38">
        <f t="shared" si="32"/>
        <v>0</v>
      </c>
      <c r="P120" s="43">
        <f t="shared" si="33"/>
        <v>0</v>
      </c>
      <c r="Q120" s="43">
        <f t="shared" si="33"/>
        <v>0</v>
      </c>
      <c r="R120" s="43">
        <f t="shared" si="33"/>
        <v>0</v>
      </c>
      <c r="S120" s="43">
        <f t="shared" si="33"/>
        <v>0</v>
      </c>
      <c r="T120" s="95">
        <f t="shared" si="33"/>
        <v>0</v>
      </c>
      <c r="V120" s="43">
        <f t="shared" si="34"/>
        <v>0</v>
      </c>
      <c r="W120" s="43">
        <f t="shared" si="35"/>
        <v>0</v>
      </c>
      <c r="X120" s="43">
        <f t="shared" si="36"/>
        <v>0</v>
      </c>
      <c r="Y120" s="43">
        <f t="shared" si="37"/>
        <v>0</v>
      </c>
      <c r="Z120" s="95">
        <f t="shared" si="38"/>
        <v>0</v>
      </c>
      <c r="AB120" s="43">
        <f t="shared" si="39"/>
        <v>0</v>
      </c>
      <c r="AC120" s="43">
        <f t="shared" si="40"/>
        <v>0</v>
      </c>
      <c r="AD120" s="43">
        <f t="shared" si="41"/>
        <v>0</v>
      </c>
      <c r="AE120" s="43">
        <f t="shared" si="42"/>
        <v>0</v>
      </c>
      <c r="AF120" s="95">
        <f t="shared" si="43"/>
        <v>0</v>
      </c>
      <c r="AH120" s="43">
        <f t="shared" si="44"/>
        <v>0</v>
      </c>
      <c r="AI120" s="43">
        <f t="shared" si="45"/>
        <v>0</v>
      </c>
      <c r="AJ120" s="43">
        <f t="shared" si="46"/>
        <v>0</v>
      </c>
      <c r="AK120" s="43">
        <f t="shared" si="47"/>
        <v>0</v>
      </c>
      <c r="AL120" s="95">
        <f t="shared" si="48"/>
        <v>0</v>
      </c>
      <c r="AN120" s="47">
        <f t="shared" si="49"/>
        <v>0</v>
      </c>
      <c r="AO120" s="47">
        <f t="shared" si="50"/>
        <v>0</v>
      </c>
      <c r="AP120" s="47">
        <f t="shared" si="51"/>
        <v>0</v>
      </c>
      <c r="AQ120" s="47">
        <f t="shared" si="52"/>
        <v>0</v>
      </c>
      <c r="AR120" s="193">
        <f t="shared" si="53"/>
        <v>0</v>
      </c>
      <c r="AY120" s="3"/>
    </row>
    <row r="121" spans="1:51">
      <c r="A121" s="48"/>
      <c r="B121" s="37">
        <f>'13. Desinvesteringen'!B405</f>
        <v>386</v>
      </c>
      <c r="C121" s="48"/>
      <c r="D121" s="48"/>
      <c r="E121" s="48"/>
      <c r="F121" s="42">
        <f>'5. Input GAW-waarde desinv.'!D81</f>
        <v>0</v>
      </c>
      <c r="G121" s="177">
        <f>'13. Desinvesteringen'!D405</f>
        <v>1971</v>
      </c>
      <c r="H121" s="177">
        <f>'13. Desinvesteringen'!G405</f>
        <v>2022</v>
      </c>
      <c r="I121" s="37" t="str">
        <f>'13. Desinvesteringen'!C405</f>
        <v>15 Compressorstations (TT-BT-AT)</v>
      </c>
      <c r="J121" s="166">
        <f>'13. Desinvesteringen'!F405</f>
        <v>0</v>
      </c>
      <c r="K121" s="38">
        <f>_xlfn.XLOOKUP(I121,'3. Input (des)investeringen '!$B$11:$B$81,'3. Input (des)investeringen '!$E$11:$E$81)</f>
        <v>1</v>
      </c>
      <c r="L121" s="48"/>
      <c r="M121" s="38">
        <f>_xlfn.XLOOKUP(I121,'3. Input (des)investeringen '!$B$11:$B$81,'3. Input (des)investeringen '!$D$11:$D$81,0)</f>
        <v>30</v>
      </c>
      <c r="N121" s="38">
        <f t="shared" si="32"/>
        <v>0</v>
      </c>
      <c r="P121" s="43">
        <f t="shared" si="33"/>
        <v>0</v>
      </c>
      <c r="Q121" s="43">
        <f t="shared" si="33"/>
        <v>0</v>
      </c>
      <c r="R121" s="43">
        <f t="shared" si="33"/>
        <v>0</v>
      </c>
      <c r="S121" s="43">
        <f t="shared" si="33"/>
        <v>0</v>
      </c>
      <c r="T121" s="95">
        <f t="shared" si="33"/>
        <v>0</v>
      </c>
      <c r="V121" s="43">
        <f t="shared" si="34"/>
        <v>0</v>
      </c>
      <c r="W121" s="43">
        <f t="shared" si="35"/>
        <v>0</v>
      </c>
      <c r="X121" s="43">
        <f t="shared" si="36"/>
        <v>0</v>
      </c>
      <c r="Y121" s="43">
        <f t="shared" si="37"/>
        <v>0</v>
      </c>
      <c r="Z121" s="95">
        <f t="shared" si="38"/>
        <v>0</v>
      </c>
      <c r="AB121" s="43">
        <f t="shared" si="39"/>
        <v>0</v>
      </c>
      <c r="AC121" s="43">
        <f t="shared" si="40"/>
        <v>0</v>
      </c>
      <c r="AD121" s="43">
        <f t="shared" si="41"/>
        <v>0</v>
      </c>
      <c r="AE121" s="43">
        <f t="shared" si="42"/>
        <v>0</v>
      </c>
      <c r="AF121" s="95">
        <f t="shared" si="43"/>
        <v>0</v>
      </c>
      <c r="AH121" s="43">
        <f t="shared" si="44"/>
        <v>0</v>
      </c>
      <c r="AI121" s="43">
        <f t="shared" si="45"/>
        <v>0</v>
      </c>
      <c r="AJ121" s="43">
        <f t="shared" si="46"/>
        <v>0</v>
      </c>
      <c r="AK121" s="43">
        <f t="shared" si="47"/>
        <v>0</v>
      </c>
      <c r="AL121" s="95">
        <f t="shared" si="48"/>
        <v>0</v>
      </c>
      <c r="AN121" s="47">
        <f t="shared" si="49"/>
        <v>0</v>
      </c>
      <c r="AO121" s="47">
        <f t="shared" si="50"/>
        <v>0</v>
      </c>
      <c r="AP121" s="47">
        <f t="shared" si="51"/>
        <v>0</v>
      </c>
      <c r="AQ121" s="47">
        <f t="shared" si="52"/>
        <v>0</v>
      </c>
      <c r="AR121" s="193">
        <f t="shared" si="53"/>
        <v>0</v>
      </c>
      <c r="AY121" s="3"/>
    </row>
    <row r="122" spans="1:51">
      <c r="A122" s="48"/>
      <c r="B122" s="37">
        <f>'13. Desinvesteringen'!B406</f>
        <v>387</v>
      </c>
      <c r="C122" s="48"/>
      <c r="D122" s="48"/>
      <c r="E122" s="48"/>
      <c r="F122" s="42">
        <f>'5. Input GAW-waarde desinv.'!D82</f>
        <v>0</v>
      </c>
      <c r="G122" s="177">
        <f>'13. Desinvesteringen'!D406</f>
        <v>1974</v>
      </c>
      <c r="H122" s="177">
        <f>'13. Desinvesteringen'!G406</f>
        <v>2022</v>
      </c>
      <c r="I122" s="37" t="str">
        <f>'13. Desinvesteringen'!C406</f>
        <v>15 Compressorstations (TT-BT-AT)</v>
      </c>
      <c r="J122" s="166">
        <f>'13. Desinvesteringen'!F406</f>
        <v>0</v>
      </c>
      <c r="K122" s="38">
        <f>_xlfn.XLOOKUP(I122,'3. Input (des)investeringen '!$B$11:$B$81,'3. Input (des)investeringen '!$E$11:$E$81)</f>
        <v>1</v>
      </c>
      <c r="L122" s="48"/>
      <c r="M122" s="38">
        <f>_xlfn.XLOOKUP(I122,'3. Input (des)investeringen '!$B$11:$B$81,'3. Input (des)investeringen '!$D$11:$D$81,0)</f>
        <v>30</v>
      </c>
      <c r="N122" s="38">
        <f t="shared" si="32"/>
        <v>0</v>
      </c>
      <c r="P122" s="43">
        <f t="shared" si="33"/>
        <v>0</v>
      </c>
      <c r="Q122" s="43">
        <f t="shared" si="33"/>
        <v>0</v>
      </c>
      <c r="R122" s="43">
        <f t="shared" si="33"/>
        <v>0</v>
      </c>
      <c r="S122" s="43">
        <f t="shared" si="33"/>
        <v>0</v>
      </c>
      <c r="T122" s="95">
        <f t="shared" si="33"/>
        <v>0</v>
      </c>
      <c r="V122" s="43">
        <f t="shared" si="34"/>
        <v>0</v>
      </c>
      <c r="W122" s="43">
        <f t="shared" si="35"/>
        <v>0</v>
      </c>
      <c r="X122" s="43">
        <f t="shared" si="36"/>
        <v>0</v>
      </c>
      <c r="Y122" s="43">
        <f t="shared" si="37"/>
        <v>0</v>
      </c>
      <c r="Z122" s="95">
        <f t="shared" si="38"/>
        <v>0</v>
      </c>
      <c r="AB122" s="43">
        <f t="shared" si="39"/>
        <v>0</v>
      </c>
      <c r="AC122" s="43">
        <f t="shared" si="40"/>
        <v>0</v>
      </c>
      <c r="AD122" s="43">
        <f t="shared" si="41"/>
        <v>0</v>
      </c>
      <c r="AE122" s="43">
        <f t="shared" si="42"/>
        <v>0</v>
      </c>
      <c r="AF122" s="95">
        <f t="shared" si="43"/>
        <v>0</v>
      </c>
      <c r="AH122" s="43">
        <f t="shared" si="44"/>
        <v>0</v>
      </c>
      <c r="AI122" s="43">
        <f t="shared" si="45"/>
        <v>0</v>
      </c>
      <c r="AJ122" s="43">
        <f t="shared" si="46"/>
        <v>0</v>
      </c>
      <c r="AK122" s="43">
        <f t="shared" si="47"/>
        <v>0</v>
      </c>
      <c r="AL122" s="95">
        <f t="shared" si="48"/>
        <v>0</v>
      </c>
      <c r="AN122" s="47">
        <f t="shared" si="49"/>
        <v>0</v>
      </c>
      <c r="AO122" s="47">
        <f t="shared" si="50"/>
        <v>0</v>
      </c>
      <c r="AP122" s="47">
        <f t="shared" si="51"/>
        <v>0</v>
      </c>
      <c r="AQ122" s="47">
        <f t="shared" si="52"/>
        <v>0</v>
      </c>
      <c r="AR122" s="193">
        <f t="shared" si="53"/>
        <v>0</v>
      </c>
      <c r="AY122" s="3"/>
    </row>
    <row r="123" spans="1:51">
      <c r="A123" s="48"/>
      <c r="B123" s="37">
        <f>'13. Desinvesteringen'!B407</f>
        <v>388</v>
      </c>
      <c r="C123" s="48"/>
      <c r="D123" s="48"/>
      <c r="E123" s="48"/>
      <c r="F123" s="42">
        <f>'5. Input GAW-waarde desinv.'!D83</f>
        <v>4540.0402775800039</v>
      </c>
      <c r="G123" s="177">
        <f>'13. Desinvesteringen'!D407</f>
        <v>1997</v>
      </c>
      <c r="H123" s="177">
        <f>'13. Desinvesteringen'!G407</f>
        <v>2022</v>
      </c>
      <c r="I123" s="37" t="str">
        <f>'13. Desinvesteringen'!C407</f>
        <v>15 Compressorstations (TT-BT-AT)</v>
      </c>
      <c r="J123" s="166">
        <f>'13. Desinvesteringen'!F407</f>
        <v>0</v>
      </c>
      <c r="K123" s="38">
        <f>_xlfn.XLOOKUP(I123,'3. Input (des)investeringen '!$B$11:$B$81,'3. Input (des)investeringen '!$E$11:$E$81)</f>
        <v>1</v>
      </c>
      <c r="L123" s="48"/>
      <c r="M123" s="38">
        <f>_xlfn.XLOOKUP(I123,'3. Input (des)investeringen '!$B$11:$B$81,'3. Input (des)investeringen '!$D$11:$D$81,0)</f>
        <v>30</v>
      </c>
      <c r="N123" s="38">
        <f t="shared" si="32"/>
        <v>5.5</v>
      </c>
      <c r="P123" s="43">
        <f t="shared" si="33"/>
        <v>965.79038632156448</v>
      </c>
      <c r="Q123" s="43">
        <f t="shared" si="33"/>
        <v>737.5126586455583</v>
      </c>
      <c r="R123" s="43">
        <f t="shared" si="33"/>
        <v>680.78091567282297</v>
      </c>
      <c r="S123" s="43">
        <f t="shared" si="33"/>
        <v>680.78091567282297</v>
      </c>
      <c r="T123" s="95">
        <f t="shared" si="33"/>
        <v>680.78091567282297</v>
      </c>
      <c r="V123" s="43">
        <f t="shared" si="34"/>
        <v>82.546186865090988</v>
      </c>
      <c r="W123" s="43">
        <f t="shared" si="35"/>
        <v>82.546186865090988</v>
      </c>
      <c r="X123" s="43">
        <f t="shared" si="36"/>
        <v>82.546186865090988</v>
      </c>
      <c r="Y123" s="43">
        <f t="shared" si="37"/>
        <v>82.546186865090988</v>
      </c>
      <c r="Z123" s="95">
        <f t="shared" si="38"/>
        <v>82.546186865090988</v>
      </c>
      <c r="AB123" s="43">
        <f t="shared" si="39"/>
        <v>1048.3365731866554</v>
      </c>
      <c r="AC123" s="43">
        <f t="shared" si="40"/>
        <v>820.05884551064923</v>
      </c>
      <c r="AD123" s="43">
        <f t="shared" si="41"/>
        <v>763.32710253791402</v>
      </c>
      <c r="AE123" s="43">
        <f t="shared" si="42"/>
        <v>763.32710253791402</v>
      </c>
      <c r="AF123" s="95">
        <f t="shared" si="43"/>
        <v>763.32710253791402</v>
      </c>
      <c r="AH123" s="43">
        <f t="shared" si="44"/>
        <v>3491.7037043933487</v>
      </c>
      <c r="AI123" s="43">
        <f t="shared" si="45"/>
        <v>2671.6448588826997</v>
      </c>
      <c r="AJ123" s="43">
        <f t="shared" si="46"/>
        <v>1908.3177563447857</v>
      </c>
      <c r="AK123" s="43">
        <f t="shared" si="47"/>
        <v>1144.9906538068717</v>
      </c>
      <c r="AL123" s="95">
        <f t="shared" si="48"/>
        <v>381.66355126895769</v>
      </c>
      <c r="AN123" s="47">
        <f t="shared" si="49"/>
        <v>1191.4964250667826</v>
      </c>
      <c r="AO123" s="47">
        <f t="shared" si="50"/>
        <v>956.31273331366697</v>
      </c>
      <c r="AP123" s="47">
        <f t="shared" si="51"/>
        <v>860.65130811149811</v>
      </c>
      <c r="AQ123" s="47">
        <f t="shared" si="52"/>
        <v>806.83674738257514</v>
      </c>
      <c r="AR123" s="193">
        <f t="shared" si="53"/>
        <v>777.83031748613439</v>
      </c>
      <c r="AY123" s="3"/>
    </row>
    <row r="124" spans="1:51">
      <c r="A124" s="48"/>
      <c r="B124" s="37">
        <f>'13. Desinvesteringen'!B408</f>
        <v>389</v>
      </c>
      <c r="C124" s="48"/>
      <c r="D124" s="48"/>
      <c r="E124" s="48"/>
      <c r="F124" s="42">
        <f>'5. Input GAW-waarde desinv.'!D84</f>
        <v>89847.095733059148</v>
      </c>
      <c r="G124" s="177">
        <f>'13. Desinvesteringen'!D408</f>
        <v>2011</v>
      </c>
      <c r="H124" s="177">
        <f>'13. Desinvesteringen'!G408</f>
        <v>2022</v>
      </c>
      <c r="I124" s="37" t="str">
        <f>'13. Desinvesteringen'!C408</f>
        <v>15 Compressorstations (TT-BT-AT)</v>
      </c>
      <c r="J124" s="166">
        <f>'13. Desinvesteringen'!F408</f>
        <v>0</v>
      </c>
      <c r="K124" s="38">
        <f>_xlfn.XLOOKUP(I124,'3. Input (des)investeringen '!$B$11:$B$81,'3. Input (des)investeringen '!$E$11:$E$81)</f>
        <v>1</v>
      </c>
      <c r="L124" s="48"/>
      <c r="M124" s="38">
        <f>_xlfn.XLOOKUP(I124,'3. Input (des)investeringen '!$B$11:$B$81,'3. Input (des)investeringen '!$D$11:$D$81,0)</f>
        <v>30</v>
      </c>
      <c r="N124" s="38">
        <f t="shared" si="32"/>
        <v>19.5</v>
      </c>
      <c r="P124" s="43">
        <f t="shared" si="33"/>
        <v>5390.8257439835488</v>
      </c>
      <c r="Q124" s="43">
        <f t="shared" si="33"/>
        <v>5031.437361051313</v>
      </c>
      <c r="R124" s="43">
        <f t="shared" si="33"/>
        <v>4696.0082036478907</v>
      </c>
      <c r="S124" s="43">
        <f t="shared" si="33"/>
        <v>4382.9409900713654</v>
      </c>
      <c r="T124" s="95">
        <f t="shared" si="33"/>
        <v>4090.7449240666087</v>
      </c>
      <c r="V124" s="43">
        <f t="shared" si="34"/>
        <v>460.75433709261108</v>
      </c>
      <c r="W124" s="43">
        <f t="shared" si="35"/>
        <v>460.75433709261108</v>
      </c>
      <c r="X124" s="43">
        <f t="shared" si="36"/>
        <v>460.75433709261108</v>
      </c>
      <c r="Y124" s="43">
        <f t="shared" si="37"/>
        <v>460.75433709261108</v>
      </c>
      <c r="Z124" s="95">
        <f t="shared" si="38"/>
        <v>460.75433709261108</v>
      </c>
      <c r="AB124" s="43">
        <f t="shared" si="39"/>
        <v>5851.5800810761602</v>
      </c>
      <c r="AC124" s="43">
        <f t="shared" si="40"/>
        <v>5492.1916981439244</v>
      </c>
      <c r="AD124" s="43">
        <f t="shared" si="41"/>
        <v>5156.7625407405021</v>
      </c>
      <c r="AE124" s="43">
        <f t="shared" si="42"/>
        <v>4843.6953271639768</v>
      </c>
      <c r="AF124" s="95">
        <f t="shared" si="43"/>
        <v>4551.4992611592197</v>
      </c>
      <c r="AH124" s="43">
        <f t="shared" si="44"/>
        <v>83995.515651982991</v>
      </c>
      <c r="AI124" s="43">
        <f t="shared" si="45"/>
        <v>78503.323953839063</v>
      </c>
      <c r="AJ124" s="43">
        <f t="shared" si="46"/>
        <v>73346.561413098563</v>
      </c>
      <c r="AK124" s="43">
        <f t="shared" si="47"/>
        <v>68502.866085934584</v>
      </c>
      <c r="AL124" s="95">
        <f t="shared" si="48"/>
        <v>63951.366824775367</v>
      </c>
      <c r="AN124" s="47">
        <f t="shared" si="49"/>
        <v>9295.3962228074633</v>
      </c>
      <c r="AO124" s="47">
        <f t="shared" si="50"/>
        <v>9495.8612197897164</v>
      </c>
      <c r="AP124" s="47">
        <f t="shared" si="51"/>
        <v>8897.437172808528</v>
      </c>
      <c r="AQ124" s="47">
        <f t="shared" si="52"/>
        <v>7446.8042384294913</v>
      </c>
      <c r="AR124" s="193">
        <f t="shared" si="53"/>
        <v>6981.6512005006834</v>
      </c>
      <c r="AY124" s="3"/>
    </row>
    <row r="125" spans="1:51">
      <c r="A125" s="48"/>
      <c r="B125" s="37">
        <f>'13. Desinvesteringen'!B409</f>
        <v>390</v>
      </c>
      <c r="C125" s="48"/>
      <c r="D125" s="48"/>
      <c r="E125" s="48"/>
      <c r="F125" s="42">
        <f>'5. Input GAW-waarde desinv.'!D85</f>
        <v>0</v>
      </c>
      <c r="G125" s="177">
        <f>'13. Desinvesteringen'!D409</f>
        <v>1977</v>
      </c>
      <c r="H125" s="177">
        <f>'13. Desinvesteringen'!G409</f>
        <v>2022</v>
      </c>
      <c r="I125" s="37" t="str">
        <f>'13. Desinvesteringen'!C409</f>
        <v>16 LNG installaties</v>
      </c>
      <c r="J125" s="166">
        <f>'13. Desinvesteringen'!F409</f>
        <v>0</v>
      </c>
      <c r="K125" s="38">
        <f>_xlfn.XLOOKUP(I125,'3. Input (des)investeringen '!$B$11:$B$81,'3. Input (des)investeringen '!$E$11:$E$81)</f>
        <v>0</v>
      </c>
      <c r="L125" s="48"/>
      <c r="M125" s="38">
        <f>_xlfn.XLOOKUP(I125,'3. Input (des)investeringen '!$B$11:$B$81,'3. Input (des)investeringen '!$D$11:$D$81,0)</f>
        <v>30</v>
      </c>
      <c r="N125" s="38">
        <f t="shared" si="32"/>
        <v>0</v>
      </c>
      <c r="P125" s="43">
        <f t="shared" si="33"/>
        <v>0</v>
      </c>
      <c r="Q125" s="43">
        <f t="shared" si="33"/>
        <v>0</v>
      </c>
      <c r="R125" s="43">
        <f t="shared" si="33"/>
        <v>0</v>
      </c>
      <c r="S125" s="43">
        <f t="shared" si="33"/>
        <v>0</v>
      </c>
      <c r="T125" s="95">
        <f t="shared" si="33"/>
        <v>0</v>
      </c>
      <c r="V125" s="43">
        <f t="shared" si="34"/>
        <v>0</v>
      </c>
      <c r="W125" s="43">
        <f t="shared" si="35"/>
        <v>0</v>
      </c>
      <c r="X125" s="43">
        <f t="shared" si="36"/>
        <v>0</v>
      </c>
      <c r="Y125" s="43">
        <f t="shared" si="37"/>
        <v>0</v>
      </c>
      <c r="Z125" s="95">
        <f t="shared" si="38"/>
        <v>0</v>
      </c>
      <c r="AB125" s="43">
        <f t="shared" si="39"/>
        <v>0</v>
      </c>
      <c r="AC125" s="43">
        <f t="shared" si="40"/>
        <v>0</v>
      </c>
      <c r="AD125" s="43">
        <f t="shared" si="41"/>
        <v>0</v>
      </c>
      <c r="AE125" s="43">
        <f t="shared" si="42"/>
        <v>0</v>
      </c>
      <c r="AF125" s="95">
        <f t="shared" si="43"/>
        <v>0</v>
      </c>
      <c r="AH125" s="43">
        <f t="shared" si="44"/>
        <v>0</v>
      </c>
      <c r="AI125" s="43">
        <f t="shared" si="45"/>
        <v>0</v>
      </c>
      <c r="AJ125" s="43">
        <f t="shared" si="46"/>
        <v>0</v>
      </c>
      <c r="AK125" s="43">
        <f t="shared" si="47"/>
        <v>0</v>
      </c>
      <c r="AL125" s="95">
        <f t="shared" si="48"/>
        <v>0</v>
      </c>
      <c r="AN125" s="47">
        <f t="shared" si="49"/>
        <v>0</v>
      </c>
      <c r="AO125" s="47">
        <f t="shared" si="50"/>
        <v>0</v>
      </c>
      <c r="AP125" s="47">
        <f t="shared" si="51"/>
        <v>0</v>
      </c>
      <c r="AQ125" s="47">
        <f t="shared" si="52"/>
        <v>0</v>
      </c>
      <c r="AR125" s="193">
        <f t="shared" si="53"/>
        <v>0</v>
      </c>
      <c r="AY125" s="3"/>
    </row>
    <row r="126" spans="1:51">
      <c r="A126" s="48"/>
      <c r="B126" s="37">
        <f>'13. Desinvesteringen'!B410</f>
        <v>391</v>
      </c>
      <c r="C126" s="48"/>
      <c r="D126" s="48"/>
      <c r="E126" s="48"/>
      <c r="F126" s="42">
        <f>'5. Input GAW-waarde desinv.'!D86</f>
        <v>614953.64546122367</v>
      </c>
      <c r="G126" s="177">
        <f>'13. Desinvesteringen'!D410</f>
        <v>1998</v>
      </c>
      <c r="H126" s="177">
        <f>'13. Desinvesteringen'!G410</f>
        <v>2022</v>
      </c>
      <c r="I126" s="37" t="str">
        <f>'13. Desinvesteringen'!C410</f>
        <v>16 LNG installaties</v>
      </c>
      <c r="J126" s="166">
        <f>'13. Desinvesteringen'!F410</f>
        <v>0</v>
      </c>
      <c r="K126" s="38">
        <f>_xlfn.XLOOKUP(I126,'3. Input (des)investeringen '!$B$11:$B$81,'3. Input (des)investeringen '!$E$11:$E$81)</f>
        <v>0</v>
      </c>
      <c r="L126" s="48"/>
      <c r="M126" s="38">
        <f>_xlfn.XLOOKUP(I126,'3. Input (des)investeringen '!$B$11:$B$81,'3. Input (des)investeringen '!$D$11:$D$81,0)</f>
        <v>30</v>
      </c>
      <c r="N126" s="38">
        <f t="shared" si="32"/>
        <v>6.5</v>
      </c>
      <c r="P126" s="43">
        <f t="shared" si="33"/>
        <v>110691.65618302027</v>
      </c>
      <c r="Q126" s="43">
        <f t="shared" si="33"/>
        <v>88553.324946416207</v>
      </c>
      <c r="R126" s="43">
        <f t="shared" si="33"/>
        <v>78714.066619036632</v>
      </c>
      <c r="S126" s="43">
        <f t="shared" si="33"/>
        <v>78714.066619036632</v>
      </c>
      <c r="T126" s="95">
        <f t="shared" si="33"/>
        <v>78714.066619036632</v>
      </c>
      <c r="V126" s="43">
        <f t="shared" si="34"/>
        <v>9460.8253147880587</v>
      </c>
      <c r="W126" s="43">
        <f t="shared" si="35"/>
        <v>9460.8253147880569</v>
      </c>
      <c r="X126" s="43">
        <f t="shared" si="36"/>
        <v>9460.8253147880569</v>
      </c>
      <c r="Y126" s="43">
        <f t="shared" si="37"/>
        <v>9460.8253147880569</v>
      </c>
      <c r="Z126" s="95">
        <f t="shared" si="38"/>
        <v>9460.8253147880569</v>
      </c>
      <c r="AB126" s="43">
        <f t="shared" si="39"/>
        <v>120152.48149780833</v>
      </c>
      <c r="AC126" s="43">
        <f t="shared" si="40"/>
        <v>98014.150261204268</v>
      </c>
      <c r="AD126" s="43">
        <f t="shared" si="41"/>
        <v>88174.891933824692</v>
      </c>
      <c r="AE126" s="43">
        <f t="shared" si="42"/>
        <v>88174.891933824692</v>
      </c>
      <c r="AF126" s="95">
        <f t="shared" si="43"/>
        <v>88174.891933824692</v>
      </c>
      <c r="AH126" s="43">
        <f t="shared" si="44"/>
        <v>494801.16396341531</v>
      </c>
      <c r="AI126" s="43">
        <f t="shared" si="45"/>
        <v>396787.01370221103</v>
      </c>
      <c r="AJ126" s="43">
        <f t="shared" si="46"/>
        <v>308612.12176838634</v>
      </c>
      <c r="AK126" s="43">
        <f t="shared" si="47"/>
        <v>220437.22983456164</v>
      </c>
      <c r="AL126" s="95">
        <f t="shared" si="48"/>
        <v>132262.33790073695</v>
      </c>
      <c r="AN126" s="47">
        <f t="shared" si="49"/>
        <v>140439.32922030837</v>
      </c>
      <c r="AO126" s="47">
        <f t="shared" si="50"/>
        <v>118250.28796001703</v>
      </c>
      <c r="AP126" s="47">
        <f t="shared" si="51"/>
        <v>103914.11014401239</v>
      </c>
      <c r="AQ126" s="47">
        <f t="shared" si="52"/>
        <v>96551.506667538037</v>
      </c>
      <c r="AR126" s="193">
        <f t="shared" si="53"/>
        <v>93200.860774052693</v>
      </c>
      <c r="AY126" s="3"/>
    </row>
    <row r="127" spans="1:51">
      <c r="A127" s="48"/>
      <c r="B127" s="37">
        <f>'13. Desinvesteringen'!B411</f>
        <v>392</v>
      </c>
      <c r="C127" s="48"/>
      <c r="D127" s="48"/>
      <c r="E127" s="48"/>
      <c r="F127" s="42">
        <f>'5. Input GAW-waarde desinv.'!D87</f>
        <v>61437.139832305947</v>
      </c>
      <c r="G127" s="177">
        <f>'13. Desinvesteringen'!D411</f>
        <v>2019</v>
      </c>
      <c r="H127" s="177">
        <f>'13. Desinvesteringen'!G411</f>
        <v>2022</v>
      </c>
      <c r="I127" s="37" t="str">
        <f>'13. Desinvesteringen'!C411</f>
        <v>17 Mengstations</v>
      </c>
      <c r="J127" s="166">
        <f>'13. Desinvesteringen'!F411</f>
        <v>0</v>
      </c>
      <c r="K127" s="38">
        <f>_xlfn.XLOOKUP(I127,'3. Input (des)investeringen '!$B$11:$B$81,'3. Input (des)investeringen '!$E$11:$E$81)</f>
        <v>0</v>
      </c>
      <c r="L127" s="48"/>
      <c r="M127" s="38">
        <f>_xlfn.XLOOKUP(I127,'3. Input (des)investeringen '!$B$11:$B$81,'3. Input (des)investeringen '!$D$11:$D$81,0)</f>
        <v>30</v>
      </c>
      <c r="N127" s="38">
        <f t="shared" si="32"/>
        <v>27.5</v>
      </c>
      <c r="P127" s="43">
        <f t="shared" si="33"/>
        <v>2613.8710401381077</v>
      </c>
      <c r="Q127" s="43">
        <f t="shared" si="33"/>
        <v>2490.3062273315791</v>
      </c>
      <c r="R127" s="43">
        <f t="shared" si="33"/>
        <v>2372.5826602213592</v>
      </c>
      <c r="S127" s="43">
        <f t="shared" si="33"/>
        <v>2260.4242071927129</v>
      </c>
      <c r="T127" s="95">
        <f t="shared" si="33"/>
        <v>2153.5677901254212</v>
      </c>
      <c r="V127" s="43">
        <f t="shared" si="34"/>
        <v>223.40778120838527</v>
      </c>
      <c r="W127" s="43">
        <f t="shared" si="35"/>
        <v>223.40778120838527</v>
      </c>
      <c r="X127" s="43">
        <f t="shared" si="36"/>
        <v>223.40778120838527</v>
      </c>
      <c r="Y127" s="43">
        <f t="shared" si="37"/>
        <v>223.40778120838527</v>
      </c>
      <c r="Z127" s="95">
        <f t="shared" si="38"/>
        <v>223.40778120838527</v>
      </c>
      <c r="AB127" s="43">
        <f t="shared" si="39"/>
        <v>2837.2788213464928</v>
      </c>
      <c r="AC127" s="43">
        <f t="shared" si="40"/>
        <v>2713.7140085399642</v>
      </c>
      <c r="AD127" s="43">
        <f t="shared" si="41"/>
        <v>2595.9904414297444</v>
      </c>
      <c r="AE127" s="43">
        <f t="shared" si="42"/>
        <v>2483.831988401098</v>
      </c>
      <c r="AF127" s="95">
        <f t="shared" si="43"/>
        <v>2376.9755713338063</v>
      </c>
      <c r="AH127" s="43">
        <f t="shared" si="44"/>
        <v>58599.861010959452</v>
      </c>
      <c r="AI127" s="43">
        <f t="shared" si="45"/>
        <v>55886.147002419486</v>
      </c>
      <c r="AJ127" s="43">
        <f t="shared" si="46"/>
        <v>53290.156560989744</v>
      </c>
      <c r="AK127" s="43">
        <f t="shared" si="47"/>
        <v>50806.324572588645</v>
      </c>
      <c r="AL127" s="95">
        <f t="shared" si="48"/>
        <v>48429.349001254835</v>
      </c>
      <c r="AN127" s="47">
        <f t="shared" si="49"/>
        <v>5239.8731227958306</v>
      </c>
      <c r="AO127" s="47">
        <f t="shared" si="50"/>
        <v>5563.9075056633574</v>
      </c>
      <c r="AP127" s="47">
        <f t="shared" si="51"/>
        <v>5313.7884260402207</v>
      </c>
      <c r="AQ127" s="47">
        <f t="shared" si="52"/>
        <v>4414.4723221594668</v>
      </c>
      <c r="AR127" s="193">
        <f t="shared" si="53"/>
        <v>4217.2908333814903</v>
      </c>
      <c r="AY127" s="3"/>
    </row>
    <row r="128" spans="1:51">
      <c r="A128" s="48"/>
      <c r="B128" s="37">
        <f>'13. Desinvesteringen'!B412</f>
        <v>393</v>
      </c>
      <c r="C128" s="48"/>
      <c r="D128" s="48"/>
      <c r="E128" s="48"/>
      <c r="F128" s="42">
        <f>'5. Input GAW-waarde desinv.'!D88</f>
        <v>0</v>
      </c>
      <c r="G128" s="177">
        <f>'13. Desinvesteringen'!D412</f>
        <v>1964</v>
      </c>
      <c r="H128" s="177">
        <f>'13. Desinvesteringen'!G412</f>
        <v>2022</v>
      </c>
      <c r="I128" s="37" t="str">
        <f>'13. Desinvesteringen'!C412</f>
        <v>21 Hoofdtransportleiding</v>
      </c>
      <c r="J128" s="166">
        <f>'13. Desinvesteringen'!F412</f>
        <v>0</v>
      </c>
      <c r="K128" s="38">
        <f>_xlfn.XLOOKUP(I128,'3. Input (des)investeringen '!$B$11:$B$81,'3. Input (des)investeringen '!$E$11:$E$81)</f>
        <v>1</v>
      </c>
      <c r="L128" s="48"/>
      <c r="M128" s="38">
        <f>_xlfn.XLOOKUP(I128,'3. Input (des)investeringen '!$B$11:$B$81,'3. Input (des)investeringen '!$D$11:$D$81,0)</f>
        <v>55</v>
      </c>
      <c r="N128" s="38">
        <f t="shared" si="32"/>
        <v>0</v>
      </c>
      <c r="P128" s="43">
        <f t="shared" si="33"/>
        <v>0</v>
      </c>
      <c r="Q128" s="43">
        <f t="shared" si="33"/>
        <v>0</v>
      </c>
      <c r="R128" s="43">
        <f t="shared" si="33"/>
        <v>0</v>
      </c>
      <c r="S128" s="43">
        <f t="shared" si="33"/>
        <v>0</v>
      </c>
      <c r="T128" s="95">
        <f t="shared" si="33"/>
        <v>0</v>
      </c>
      <c r="V128" s="43">
        <f t="shared" si="34"/>
        <v>0</v>
      </c>
      <c r="W128" s="43">
        <f t="shared" si="35"/>
        <v>0</v>
      </c>
      <c r="X128" s="43">
        <f t="shared" si="36"/>
        <v>0</v>
      </c>
      <c r="Y128" s="43">
        <f t="shared" si="37"/>
        <v>0</v>
      </c>
      <c r="Z128" s="95">
        <f t="shared" si="38"/>
        <v>0</v>
      </c>
      <c r="AB128" s="43">
        <f t="shared" si="39"/>
        <v>0</v>
      </c>
      <c r="AC128" s="43">
        <f t="shared" si="40"/>
        <v>0</v>
      </c>
      <c r="AD128" s="43">
        <f t="shared" si="41"/>
        <v>0</v>
      </c>
      <c r="AE128" s="43">
        <f t="shared" si="42"/>
        <v>0</v>
      </c>
      <c r="AF128" s="95">
        <f t="shared" si="43"/>
        <v>0</v>
      </c>
      <c r="AH128" s="43">
        <f t="shared" si="44"/>
        <v>0</v>
      </c>
      <c r="AI128" s="43">
        <f t="shared" si="45"/>
        <v>0</v>
      </c>
      <c r="AJ128" s="43">
        <f t="shared" si="46"/>
        <v>0</v>
      </c>
      <c r="AK128" s="43">
        <f t="shared" si="47"/>
        <v>0</v>
      </c>
      <c r="AL128" s="95">
        <f t="shared" si="48"/>
        <v>0</v>
      </c>
      <c r="AN128" s="47">
        <f t="shared" si="49"/>
        <v>0</v>
      </c>
      <c r="AO128" s="47">
        <f t="shared" si="50"/>
        <v>0</v>
      </c>
      <c r="AP128" s="47">
        <f t="shared" si="51"/>
        <v>0</v>
      </c>
      <c r="AQ128" s="47">
        <f t="shared" si="52"/>
        <v>0</v>
      </c>
      <c r="AR128" s="193">
        <f t="shared" si="53"/>
        <v>0</v>
      </c>
      <c r="AY128" s="3"/>
    </row>
    <row r="129" spans="1:51">
      <c r="A129" s="48"/>
      <c r="B129" s="37">
        <f>'13. Desinvesteringen'!B413</f>
        <v>394</v>
      </c>
      <c r="C129" s="48"/>
      <c r="D129" s="48"/>
      <c r="E129" s="48"/>
      <c r="F129" s="42">
        <f>'5. Input GAW-waarde desinv.'!D89</f>
        <v>27710.301790765967</v>
      </c>
      <c r="G129" s="177">
        <f>'13. Desinvesteringen'!D413</f>
        <v>1977</v>
      </c>
      <c r="H129" s="177">
        <f>'13. Desinvesteringen'!G413</f>
        <v>2022</v>
      </c>
      <c r="I129" s="37" t="str">
        <f>'13. Desinvesteringen'!C413</f>
        <v>21 Hoofdtransportleiding</v>
      </c>
      <c r="J129" s="166">
        <f>'13. Desinvesteringen'!F413</f>
        <v>0</v>
      </c>
      <c r="K129" s="38">
        <f>_xlfn.XLOOKUP(I129,'3. Input (des)investeringen '!$B$11:$B$81,'3. Input (des)investeringen '!$E$11:$E$81)</f>
        <v>1</v>
      </c>
      <c r="L129" s="48"/>
      <c r="M129" s="38">
        <f>_xlfn.XLOOKUP(I129,'3. Input (des)investeringen '!$B$11:$B$81,'3. Input (des)investeringen '!$D$11:$D$81,0)</f>
        <v>55</v>
      </c>
      <c r="N129" s="38">
        <f t="shared" si="32"/>
        <v>10.5</v>
      </c>
      <c r="P129" s="43">
        <f t="shared" si="33"/>
        <v>3087.7193423996364</v>
      </c>
      <c r="Q129" s="43">
        <f t="shared" si="33"/>
        <v>2705.4302809596816</v>
      </c>
      <c r="R129" s="43">
        <f t="shared" si="33"/>
        <v>2370.4722461741972</v>
      </c>
      <c r="S129" s="43">
        <f t="shared" si="33"/>
        <v>2236.7532989541141</v>
      </c>
      <c r="T129" s="95">
        <f t="shared" si="33"/>
        <v>2236.7532989541141</v>
      </c>
      <c r="V129" s="43">
        <f t="shared" si="34"/>
        <v>263.90763610253305</v>
      </c>
      <c r="W129" s="43">
        <f t="shared" si="35"/>
        <v>263.90763610253305</v>
      </c>
      <c r="X129" s="43">
        <f t="shared" si="36"/>
        <v>263.90763610253305</v>
      </c>
      <c r="Y129" s="43">
        <f t="shared" si="37"/>
        <v>263.90763610253305</v>
      </c>
      <c r="Z129" s="95">
        <f t="shared" si="38"/>
        <v>263.90763610253305</v>
      </c>
      <c r="AB129" s="43">
        <f t="shared" si="39"/>
        <v>3351.6269785021695</v>
      </c>
      <c r="AC129" s="43">
        <f t="shared" si="40"/>
        <v>2969.3379170622147</v>
      </c>
      <c r="AD129" s="43">
        <f t="shared" si="41"/>
        <v>2634.3798822767303</v>
      </c>
      <c r="AE129" s="43">
        <f t="shared" si="42"/>
        <v>2500.6609350566473</v>
      </c>
      <c r="AF129" s="95">
        <f t="shared" si="43"/>
        <v>2500.6609350566473</v>
      </c>
      <c r="AH129" s="43">
        <f t="shared" si="44"/>
        <v>24358.674812263798</v>
      </c>
      <c r="AI129" s="43">
        <f t="shared" si="45"/>
        <v>21389.336895201584</v>
      </c>
      <c r="AJ129" s="43">
        <f t="shared" si="46"/>
        <v>18754.957012924853</v>
      </c>
      <c r="AK129" s="43">
        <f t="shared" si="47"/>
        <v>16254.296077868206</v>
      </c>
      <c r="AL129" s="95">
        <f t="shared" si="48"/>
        <v>13753.635142811559</v>
      </c>
      <c r="AN129" s="47">
        <f t="shared" si="49"/>
        <v>4350.3326458049851</v>
      </c>
      <c r="AO129" s="47">
        <f t="shared" si="50"/>
        <v>4060.1940987174958</v>
      </c>
      <c r="AP129" s="47">
        <f t="shared" si="51"/>
        <v>3590.8826899358978</v>
      </c>
      <c r="AQ129" s="47">
        <f t="shared" si="52"/>
        <v>3118.324186015639</v>
      </c>
      <c r="AR129" s="193">
        <f t="shared" si="53"/>
        <v>3023.2990704834865</v>
      </c>
      <c r="AY129" s="3"/>
    </row>
    <row r="130" spans="1:51">
      <c r="A130" s="48"/>
      <c r="B130" s="37">
        <f>'13. Desinvesteringen'!B414</f>
        <v>395</v>
      </c>
      <c r="C130" s="48"/>
      <c r="D130" s="48"/>
      <c r="E130" s="48"/>
      <c r="F130" s="42">
        <f>'5. Input GAW-waarde desinv.'!D90</f>
        <v>9353.7976978691713</v>
      </c>
      <c r="G130" s="177">
        <f>'13. Desinvesteringen'!D414</f>
        <v>1978</v>
      </c>
      <c r="H130" s="177">
        <f>'13. Desinvesteringen'!G414</f>
        <v>2022</v>
      </c>
      <c r="I130" s="37" t="str">
        <f>'13. Desinvesteringen'!C414</f>
        <v>21 Hoofdtransportleiding</v>
      </c>
      <c r="J130" s="166">
        <f>'13. Desinvesteringen'!F414</f>
        <v>0</v>
      </c>
      <c r="K130" s="38">
        <f>_xlfn.XLOOKUP(I130,'3. Input (des)investeringen '!$B$11:$B$81,'3. Input (des)investeringen '!$E$11:$E$81)</f>
        <v>1</v>
      </c>
      <c r="L130" s="48"/>
      <c r="M130" s="38">
        <f>_xlfn.XLOOKUP(I130,'3. Input (des)investeringen '!$B$11:$B$81,'3. Input (des)investeringen '!$D$11:$D$81,0)</f>
        <v>55</v>
      </c>
      <c r="N130" s="38">
        <f t="shared" si="32"/>
        <v>11.5</v>
      </c>
      <c r="P130" s="43">
        <f t="shared" si="33"/>
        <v>951.64724404408094</v>
      </c>
      <c r="Q130" s="43">
        <f t="shared" si="33"/>
        <v>844.06972949996748</v>
      </c>
      <c r="R130" s="43">
        <f t="shared" si="33"/>
        <v>748.65315138257984</v>
      </c>
      <c r="S130" s="43">
        <f t="shared" si="33"/>
        <v>691.06444743007376</v>
      </c>
      <c r="T130" s="95">
        <f t="shared" si="33"/>
        <v>691.06444743007376</v>
      </c>
      <c r="V130" s="43">
        <f t="shared" si="34"/>
        <v>81.33737128581889</v>
      </c>
      <c r="W130" s="43">
        <f t="shared" si="35"/>
        <v>81.33737128581889</v>
      </c>
      <c r="X130" s="43">
        <f t="shared" si="36"/>
        <v>81.33737128581889</v>
      </c>
      <c r="Y130" s="43">
        <f t="shared" si="37"/>
        <v>81.33737128581889</v>
      </c>
      <c r="Z130" s="95">
        <f t="shared" si="38"/>
        <v>81.33737128581889</v>
      </c>
      <c r="AB130" s="43">
        <f t="shared" si="39"/>
        <v>1032.9846153298997</v>
      </c>
      <c r="AC130" s="43">
        <f t="shared" si="40"/>
        <v>925.40710078578638</v>
      </c>
      <c r="AD130" s="43">
        <f t="shared" si="41"/>
        <v>829.99052266839874</v>
      </c>
      <c r="AE130" s="43">
        <f t="shared" si="42"/>
        <v>772.40181871589266</v>
      </c>
      <c r="AF130" s="95">
        <f t="shared" si="43"/>
        <v>772.40181871589266</v>
      </c>
      <c r="AH130" s="43">
        <f t="shared" si="44"/>
        <v>8320.8130825392709</v>
      </c>
      <c r="AI130" s="43">
        <f t="shared" si="45"/>
        <v>7395.4059817534844</v>
      </c>
      <c r="AJ130" s="43">
        <f t="shared" si="46"/>
        <v>6565.4154590850858</v>
      </c>
      <c r="AK130" s="43">
        <f t="shared" si="47"/>
        <v>5793.0136403691931</v>
      </c>
      <c r="AL130" s="95">
        <f t="shared" si="48"/>
        <v>5020.6118216533005</v>
      </c>
      <c r="AN130" s="47">
        <f t="shared" si="49"/>
        <v>1374.1379517140099</v>
      </c>
      <c r="AO130" s="47">
        <f t="shared" si="50"/>
        <v>1302.572805855214</v>
      </c>
      <c r="AP130" s="47">
        <f t="shared" si="51"/>
        <v>1164.826711081738</v>
      </c>
      <c r="AQ130" s="47">
        <f t="shared" si="52"/>
        <v>992.53633704992194</v>
      </c>
      <c r="AR130" s="193">
        <f t="shared" si="53"/>
        <v>963.18506793871802</v>
      </c>
      <c r="AY130" s="3"/>
    </row>
    <row r="131" spans="1:51">
      <c r="A131" s="48"/>
      <c r="B131" s="37">
        <f>'13. Desinvesteringen'!B415</f>
        <v>396</v>
      </c>
      <c r="C131" s="48"/>
      <c r="D131" s="48"/>
      <c r="E131" s="48"/>
      <c r="F131" s="42">
        <f>'5. Input GAW-waarde desinv.'!D91</f>
        <v>27670.188323616749</v>
      </c>
      <c r="G131" s="177">
        <f>'13. Desinvesteringen'!D415</f>
        <v>1983</v>
      </c>
      <c r="H131" s="177">
        <f>'13. Desinvesteringen'!G415</f>
        <v>2022</v>
      </c>
      <c r="I131" s="37" t="str">
        <f>'13. Desinvesteringen'!C415</f>
        <v>21 Hoofdtransportleiding</v>
      </c>
      <c r="J131" s="166">
        <f>'13. Desinvesteringen'!F415</f>
        <v>0</v>
      </c>
      <c r="K131" s="38">
        <f>_xlfn.XLOOKUP(I131,'3. Input (des)investeringen '!$B$11:$B$81,'3. Input (des)investeringen '!$E$11:$E$81)</f>
        <v>1</v>
      </c>
      <c r="L131" s="48"/>
      <c r="M131" s="38">
        <f>_xlfn.XLOOKUP(I131,'3. Input (des)investeringen '!$B$11:$B$81,'3. Input (des)investeringen '!$D$11:$D$81,0)</f>
        <v>55</v>
      </c>
      <c r="N131" s="38">
        <f t="shared" si="32"/>
        <v>16.5</v>
      </c>
      <c r="P131" s="43">
        <f t="shared" si="33"/>
        <v>1962.0678993110062</v>
      </c>
      <c r="Q131" s="43">
        <f t="shared" si="33"/>
        <v>1807.4807314865025</v>
      </c>
      <c r="R131" s="43">
        <f t="shared" si="33"/>
        <v>1665.0731587027176</v>
      </c>
      <c r="S131" s="43">
        <f t="shared" si="33"/>
        <v>1533.8855765018973</v>
      </c>
      <c r="T131" s="95">
        <f t="shared" si="33"/>
        <v>1434.7729700202362</v>
      </c>
      <c r="V131" s="43">
        <f t="shared" si="34"/>
        <v>167.69811105222274</v>
      </c>
      <c r="W131" s="43">
        <f t="shared" si="35"/>
        <v>167.69811105222271</v>
      </c>
      <c r="X131" s="43">
        <f t="shared" si="36"/>
        <v>167.69811105222271</v>
      </c>
      <c r="Y131" s="43">
        <f t="shared" si="37"/>
        <v>167.69811105222271</v>
      </c>
      <c r="Z131" s="95">
        <f t="shared" si="38"/>
        <v>167.69811105222271</v>
      </c>
      <c r="AB131" s="43">
        <f t="shared" si="39"/>
        <v>2129.7660103632288</v>
      </c>
      <c r="AC131" s="43">
        <f t="shared" si="40"/>
        <v>1975.1788425387251</v>
      </c>
      <c r="AD131" s="43">
        <f t="shared" si="41"/>
        <v>1832.7712697549402</v>
      </c>
      <c r="AE131" s="43">
        <f t="shared" si="42"/>
        <v>1701.5836875541199</v>
      </c>
      <c r="AF131" s="95">
        <f t="shared" si="43"/>
        <v>1602.4710810724589</v>
      </c>
      <c r="AH131" s="43">
        <f t="shared" si="44"/>
        <v>25540.422313253519</v>
      </c>
      <c r="AI131" s="43">
        <f t="shared" si="45"/>
        <v>23565.243470714795</v>
      </c>
      <c r="AJ131" s="43">
        <f t="shared" si="46"/>
        <v>21732.472200959855</v>
      </c>
      <c r="AK131" s="43">
        <f t="shared" si="47"/>
        <v>20030.888513405735</v>
      </c>
      <c r="AL131" s="95">
        <f t="shared" si="48"/>
        <v>18428.417432333277</v>
      </c>
      <c r="AN131" s="47">
        <f t="shared" si="49"/>
        <v>3176.9233252066233</v>
      </c>
      <c r="AO131" s="47">
        <f t="shared" si="50"/>
        <v>3177.0062595451795</v>
      </c>
      <c r="AP131" s="47">
        <f t="shared" si="51"/>
        <v>2941.1273520038931</v>
      </c>
      <c r="AQ131" s="47">
        <f t="shared" si="52"/>
        <v>2462.7574510635377</v>
      </c>
      <c r="AR131" s="193">
        <f t="shared" si="53"/>
        <v>2302.7509435011234</v>
      </c>
      <c r="AY131" s="3"/>
    </row>
    <row r="132" spans="1:51">
      <c r="A132" s="48"/>
      <c r="B132" s="37">
        <f>'13. Desinvesteringen'!B416</f>
        <v>397</v>
      </c>
      <c r="C132" s="48"/>
      <c r="D132" s="48"/>
      <c r="E132" s="48"/>
      <c r="F132" s="42">
        <f>'5. Input GAW-waarde desinv.'!D92</f>
        <v>65069.242178936642</v>
      </c>
      <c r="G132" s="177">
        <f>'13. Desinvesteringen'!D416</f>
        <v>1987</v>
      </c>
      <c r="H132" s="177">
        <f>'13. Desinvesteringen'!G416</f>
        <v>2022</v>
      </c>
      <c r="I132" s="37" t="str">
        <f>'13. Desinvesteringen'!C416</f>
        <v>21 Hoofdtransportleiding</v>
      </c>
      <c r="J132" s="166">
        <f>'13. Desinvesteringen'!F416</f>
        <v>0</v>
      </c>
      <c r="K132" s="38">
        <f>_xlfn.XLOOKUP(I132,'3. Input (des)investeringen '!$B$11:$B$81,'3. Input (des)investeringen '!$E$11:$E$81)</f>
        <v>1</v>
      </c>
      <c r="L132" s="48"/>
      <c r="M132" s="38">
        <f>_xlfn.XLOOKUP(I132,'3. Input (des)investeringen '!$B$11:$B$81,'3. Input (des)investeringen '!$D$11:$D$81,0)</f>
        <v>55</v>
      </c>
      <c r="N132" s="38">
        <f t="shared" si="32"/>
        <v>20.5</v>
      </c>
      <c r="P132" s="43">
        <f t="shared" si="33"/>
        <v>3713.7079682612616</v>
      </c>
      <c r="Q132" s="43">
        <f t="shared" si="33"/>
        <v>3478.2045361276209</v>
      </c>
      <c r="R132" s="43">
        <f t="shared" si="33"/>
        <v>3257.6354679829424</v>
      </c>
      <c r="S132" s="43">
        <f t="shared" si="33"/>
        <v>3051.0537065986582</v>
      </c>
      <c r="T132" s="95">
        <f t="shared" si="33"/>
        <v>2857.572252033865</v>
      </c>
      <c r="V132" s="43">
        <f t="shared" si="34"/>
        <v>317.41093745822758</v>
      </c>
      <c r="W132" s="43">
        <f t="shared" si="35"/>
        <v>317.41093745822758</v>
      </c>
      <c r="X132" s="43">
        <f t="shared" si="36"/>
        <v>317.41093745822758</v>
      </c>
      <c r="Y132" s="43">
        <f t="shared" si="37"/>
        <v>317.41093745822758</v>
      </c>
      <c r="Z132" s="95">
        <f t="shared" si="38"/>
        <v>317.41093745822758</v>
      </c>
      <c r="AB132" s="43">
        <f t="shared" si="39"/>
        <v>4031.1189057194892</v>
      </c>
      <c r="AC132" s="43">
        <f t="shared" si="40"/>
        <v>3795.6154735858486</v>
      </c>
      <c r="AD132" s="43">
        <f t="shared" si="41"/>
        <v>3575.04640544117</v>
      </c>
      <c r="AE132" s="43">
        <f t="shared" si="42"/>
        <v>3368.4646440568858</v>
      </c>
      <c r="AF132" s="95">
        <f t="shared" si="43"/>
        <v>3174.9831894920926</v>
      </c>
      <c r="AH132" s="43">
        <f t="shared" si="44"/>
        <v>61038.123273217156</v>
      </c>
      <c r="AI132" s="43">
        <f t="shared" si="45"/>
        <v>57242.507799631305</v>
      </c>
      <c r="AJ132" s="43">
        <f t="shared" si="46"/>
        <v>53667.461394190133</v>
      </c>
      <c r="AK132" s="43">
        <f t="shared" si="47"/>
        <v>50298.99675013325</v>
      </c>
      <c r="AL132" s="95">
        <f t="shared" si="48"/>
        <v>47124.013560641157</v>
      </c>
      <c r="AN132" s="47">
        <f t="shared" si="49"/>
        <v>6533.6819599213923</v>
      </c>
      <c r="AO132" s="47">
        <f t="shared" si="50"/>
        <v>6714.983371367045</v>
      </c>
      <c r="AP132" s="47">
        <f t="shared" si="51"/>
        <v>6312.0869365448671</v>
      </c>
      <c r="AQ132" s="47">
        <f t="shared" si="52"/>
        <v>5279.8265205619491</v>
      </c>
      <c r="AR132" s="193">
        <f t="shared" si="53"/>
        <v>4965.695704796457</v>
      </c>
      <c r="AY132" s="3"/>
    </row>
    <row r="133" spans="1:51">
      <c r="A133" s="48"/>
      <c r="B133" s="37">
        <f>'13. Desinvesteringen'!B417</f>
        <v>398</v>
      </c>
      <c r="C133" s="48"/>
      <c r="D133" s="48"/>
      <c r="E133" s="48"/>
      <c r="F133" s="42">
        <f>'5. Input GAW-waarde desinv.'!D93</f>
        <v>0</v>
      </c>
      <c r="G133" s="177">
        <f>'13. Desinvesteringen'!D417</f>
        <v>1964</v>
      </c>
      <c r="H133" s="177">
        <f>'13. Desinvesteringen'!G417</f>
        <v>2022</v>
      </c>
      <c r="I133" s="37" t="str">
        <f>'13. Desinvesteringen'!C417</f>
        <v>32 M&amp;R stations</v>
      </c>
      <c r="J133" s="166">
        <f>'13. Desinvesteringen'!F417</f>
        <v>0</v>
      </c>
      <c r="K133" s="38">
        <f>_xlfn.XLOOKUP(I133,'3. Input (des)investeringen '!$B$11:$B$81,'3. Input (des)investeringen '!$E$11:$E$81)</f>
        <v>1</v>
      </c>
      <c r="L133" s="48"/>
      <c r="M133" s="38">
        <f>_xlfn.XLOOKUP(I133,'3. Input (des)investeringen '!$B$11:$B$81,'3. Input (des)investeringen '!$D$11:$D$81,0)</f>
        <v>30</v>
      </c>
      <c r="N133" s="38">
        <f t="shared" si="32"/>
        <v>0</v>
      </c>
      <c r="P133" s="43">
        <f t="shared" si="33"/>
        <v>0</v>
      </c>
      <c r="Q133" s="43">
        <f t="shared" si="33"/>
        <v>0</v>
      </c>
      <c r="R133" s="43">
        <f t="shared" si="33"/>
        <v>0</v>
      </c>
      <c r="S133" s="43">
        <f t="shared" si="33"/>
        <v>0</v>
      </c>
      <c r="T133" s="95">
        <f t="shared" si="33"/>
        <v>0</v>
      </c>
      <c r="V133" s="43">
        <f t="shared" si="34"/>
        <v>0</v>
      </c>
      <c r="W133" s="43">
        <f t="shared" si="35"/>
        <v>0</v>
      </c>
      <c r="X133" s="43">
        <f t="shared" si="36"/>
        <v>0</v>
      </c>
      <c r="Y133" s="43">
        <f t="shared" si="37"/>
        <v>0</v>
      </c>
      <c r="Z133" s="95">
        <f t="shared" si="38"/>
        <v>0</v>
      </c>
      <c r="AB133" s="43">
        <f t="shared" si="39"/>
        <v>0</v>
      </c>
      <c r="AC133" s="43">
        <f t="shared" si="40"/>
        <v>0</v>
      </c>
      <c r="AD133" s="43">
        <f t="shared" si="41"/>
        <v>0</v>
      </c>
      <c r="AE133" s="43">
        <f t="shared" si="42"/>
        <v>0</v>
      </c>
      <c r="AF133" s="95">
        <f t="shared" si="43"/>
        <v>0</v>
      </c>
      <c r="AH133" s="43">
        <f t="shared" si="44"/>
        <v>0</v>
      </c>
      <c r="AI133" s="43">
        <f t="shared" si="45"/>
        <v>0</v>
      </c>
      <c r="AJ133" s="43">
        <f t="shared" si="46"/>
        <v>0</v>
      </c>
      <c r="AK133" s="43">
        <f t="shared" si="47"/>
        <v>0</v>
      </c>
      <c r="AL133" s="95">
        <f t="shared" si="48"/>
        <v>0</v>
      </c>
      <c r="AN133" s="47">
        <f t="shared" si="49"/>
        <v>0</v>
      </c>
      <c r="AO133" s="47">
        <f t="shared" si="50"/>
        <v>0</v>
      </c>
      <c r="AP133" s="47">
        <f t="shared" si="51"/>
        <v>0</v>
      </c>
      <c r="AQ133" s="47">
        <f t="shared" si="52"/>
        <v>0</v>
      </c>
      <c r="AR133" s="193">
        <f t="shared" si="53"/>
        <v>0</v>
      </c>
      <c r="AY133" s="3"/>
    </row>
    <row r="134" spans="1:51">
      <c r="A134" s="48"/>
      <c r="B134" s="37">
        <f>'13. Desinvesteringen'!B418</f>
        <v>399</v>
      </c>
      <c r="C134" s="48"/>
      <c r="D134" s="48"/>
      <c r="E134" s="48"/>
      <c r="F134" s="42">
        <f>'5. Input GAW-waarde desinv.'!D94</f>
        <v>0</v>
      </c>
      <c r="G134" s="177">
        <f>'13. Desinvesteringen'!D418</f>
        <v>1967</v>
      </c>
      <c r="H134" s="177">
        <f>'13. Desinvesteringen'!G418</f>
        <v>2022</v>
      </c>
      <c r="I134" s="37" t="str">
        <f>'13. Desinvesteringen'!C418</f>
        <v>32 M&amp;R stations</v>
      </c>
      <c r="J134" s="166">
        <f>'13. Desinvesteringen'!F418</f>
        <v>0</v>
      </c>
      <c r="K134" s="38">
        <f>_xlfn.XLOOKUP(I134,'3. Input (des)investeringen '!$B$11:$B$81,'3. Input (des)investeringen '!$E$11:$E$81)</f>
        <v>1</v>
      </c>
      <c r="L134" s="48"/>
      <c r="M134" s="38">
        <f>_xlfn.XLOOKUP(I134,'3. Input (des)investeringen '!$B$11:$B$81,'3. Input (des)investeringen '!$D$11:$D$81,0)</f>
        <v>30</v>
      </c>
      <c r="N134" s="38">
        <f t="shared" si="32"/>
        <v>0</v>
      </c>
      <c r="P134" s="43">
        <f t="shared" si="33"/>
        <v>0</v>
      </c>
      <c r="Q134" s="43">
        <f t="shared" si="33"/>
        <v>0</v>
      </c>
      <c r="R134" s="43">
        <f t="shared" si="33"/>
        <v>0</v>
      </c>
      <c r="S134" s="43">
        <f t="shared" si="33"/>
        <v>0</v>
      </c>
      <c r="T134" s="95">
        <f t="shared" si="33"/>
        <v>0</v>
      </c>
      <c r="V134" s="43">
        <f t="shared" si="34"/>
        <v>0</v>
      </c>
      <c r="W134" s="43">
        <f t="shared" si="35"/>
        <v>0</v>
      </c>
      <c r="X134" s="43">
        <f t="shared" si="36"/>
        <v>0</v>
      </c>
      <c r="Y134" s="43">
        <f t="shared" si="37"/>
        <v>0</v>
      </c>
      <c r="Z134" s="95">
        <f t="shared" si="38"/>
        <v>0</v>
      </c>
      <c r="AB134" s="43">
        <f t="shared" si="39"/>
        <v>0</v>
      </c>
      <c r="AC134" s="43">
        <f t="shared" si="40"/>
        <v>0</v>
      </c>
      <c r="AD134" s="43">
        <f t="shared" si="41"/>
        <v>0</v>
      </c>
      <c r="AE134" s="43">
        <f t="shared" si="42"/>
        <v>0</v>
      </c>
      <c r="AF134" s="95">
        <f t="shared" si="43"/>
        <v>0</v>
      </c>
      <c r="AH134" s="43">
        <f t="shared" si="44"/>
        <v>0</v>
      </c>
      <c r="AI134" s="43">
        <f t="shared" si="45"/>
        <v>0</v>
      </c>
      <c r="AJ134" s="43">
        <f t="shared" si="46"/>
        <v>0</v>
      </c>
      <c r="AK134" s="43">
        <f t="shared" si="47"/>
        <v>0</v>
      </c>
      <c r="AL134" s="95">
        <f t="shared" si="48"/>
        <v>0</v>
      </c>
      <c r="AN134" s="47">
        <f t="shared" si="49"/>
        <v>0</v>
      </c>
      <c r="AO134" s="47">
        <f t="shared" si="50"/>
        <v>0</v>
      </c>
      <c r="AP134" s="47">
        <f t="shared" si="51"/>
        <v>0</v>
      </c>
      <c r="AQ134" s="47">
        <f t="shared" si="52"/>
        <v>0</v>
      </c>
      <c r="AR134" s="193">
        <f t="shared" si="53"/>
        <v>0</v>
      </c>
      <c r="AY134" s="3"/>
    </row>
    <row r="135" spans="1:51">
      <c r="A135" s="48"/>
      <c r="B135" s="37">
        <f>'13. Desinvesteringen'!B419</f>
        <v>400</v>
      </c>
      <c r="C135" s="48"/>
      <c r="D135" s="48"/>
      <c r="E135" s="48"/>
      <c r="F135" s="42">
        <f>'5. Input GAW-waarde desinv.'!D95</f>
        <v>0</v>
      </c>
      <c r="G135" s="177">
        <f>'13. Desinvesteringen'!D419</f>
        <v>1968</v>
      </c>
      <c r="H135" s="177">
        <f>'13. Desinvesteringen'!G419</f>
        <v>2022</v>
      </c>
      <c r="I135" s="37" t="str">
        <f>'13. Desinvesteringen'!C419</f>
        <v>32 M&amp;R stations</v>
      </c>
      <c r="J135" s="166">
        <f>'13. Desinvesteringen'!F419</f>
        <v>0</v>
      </c>
      <c r="K135" s="38">
        <f>_xlfn.XLOOKUP(I135,'3. Input (des)investeringen '!$B$11:$B$81,'3. Input (des)investeringen '!$E$11:$E$81)</f>
        <v>1</v>
      </c>
      <c r="L135" s="48"/>
      <c r="M135" s="38">
        <f>_xlfn.XLOOKUP(I135,'3. Input (des)investeringen '!$B$11:$B$81,'3. Input (des)investeringen '!$D$11:$D$81,0)</f>
        <v>30</v>
      </c>
      <c r="N135" s="38">
        <f t="shared" si="32"/>
        <v>0</v>
      </c>
      <c r="P135" s="43">
        <f t="shared" si="33"/>
        <v>0</v>
      </c>
      <c r="Q135" s="43">
        <f t="shared" si="33"/>
        <v>0</v>
      </c>
      <c r="R135" s="43">
        <f t="shared" si="33"/>
        <v>0</v>
      </c>
      <c r="S135" s="43">
        <f t="shared" si="33"/>
        <v>0</v>
      </c>
      <c r="T135" s="95">
        <f t="shared" si="33"/>
        <v>0</v>
      </c>
      <c r="V135" s="43">
        <f t="shared" si="34"/>
        <v>0</v>
      </c>
      <c r="W135" s="43">
        <f t="shared" si="35"/>
        <v>0</v>
      </c>
      <c r="X135" s="43">
        <f t="shared" si="36"/>
        <v>0</v>
      </c>
      <c r="Y135" s="43">
        <f t="shared" si="37"/>
        <v>0</v>
      </c>
      <c r="Z135" s="95">
        <f t="shared" si="38"/>
        <v>0</v>
      </c>
      <c r="AB135" s="43">
        <f t="shared" si="39"/>
        <v>0</v>
      </c>
      <c r="AC135" s="43">
        <f t="shared" si="40"/>
        <v>0</v>
      </c>
      <c r="AD135" s="43">
        <f t="shared" si="41"/>
        <v>0</v>
      </c>
      <c r="AE135" s="43">
        <f t="shared" si="42"/>
        <v>0</v>
      </c>
      <c r="AF135" s="95">
        <f t="shared" si="43"/>
        <v>0</v>
      </c>
      <c r="AH135" s="43">
        <f t="shared" si="44"/>
        <v>0</v>
      </c>
      <c r="AI135" s="43">
        <f t="shared" si="45"/>
        <v>0</v>
      </c>
      <c r="AJ135" s="43">
        <f t="shared" si="46"/>
        <v>0</v>
      </c>
      <c r="AK135" s="43">
        <f t="shared" si="47"/>
        <v>0</v>
      </c>
      <c r="AL135" s="95">
        <f t="shared" si="48"/>
        <v>0</v>
      </c>
      <c r="AN135" s="47">
        <f t="shared" si="49"/>
        <v>0</v>
      </c>
      <c r="AO135" s="47">
        <f t="shared" si="50"/>
        <v>0</v>
      </c>
      <c r="AP135" s="47">
        <f t="shared" si="51"/>
        <v>0</v>
      </c>
      <c r="AQ135" s="47">
        <f t="shared" si="52"/>
        <v>0</v>
      </c>
      <c r="AR135" s="193">
        <f t="shared" si="53"/>
        <v>0</v>
      </c>
      <c r="AY135" s="3"/>
    </row>
    <row r="136" spans="1:51">
      <c r="A136" s="48"/>
      <c r="B136" s="37">
        <f>'13. Desinvesteringen'!B420</f>
        <v>401</v>
      </c>
      <c r="C136" s="48"/>
      <c r="D136" s="48"/>
      <c r="E136" s="48"/>
      <c r="F136" s="42">
        <f>'5. Input GAW-waarde desinv.'!D96</f>
        <v>0</v>
      </c>
      <c r="G136" s="177">
        <f>'13. Desinvesteringen'!D420</f>
        <v>1969</v>
      </c>
      <c r="H136" s="177">
        <f>'13. Desinvesteringen'!G420</f>
        <v>2022</v>
      </c>
      <c r="I136" s="37" t="str">
        <f>'13. Desinvesteringen'!C420</f>
        <v>32 M&amp;R stations</v>
      </c>
      <c r="J136" s="166">
        <f>'13. Desinvesteringen'!F420</f>
        <v>0</v>
      </c>
      <c r="K136" s="38">
        <f>_xlfn.XLOOKUP(I136,'3. Input (des)investeringen '!$B$11:$B$81,'3. Input (des)investeringen '!$E$11:$E$81)</f>
        <v>1</v>
      </c>
      <c r="L136" s="48"/>
      <c r="M136" s="38">
        <f>_xlfn.XLOOKUP(I136,'3. Input (des)investeringen '!$B$11:$B$81,'3. Input (des)investeringen '!$D$11:$D$81,0)</f>
        <v>30</v>
      </c>
      <c r="N136" s="38">
        <f t="shared" si="32"/>
        <v>0</v>
      </c>
      <c r="P136" s="43">
        <f t="shared" si="33"/>
        <v>0</v>
      </c>
      <c r="Q136" s="43">
        <f t="shared" si="33"/>
        <v>0</v>
      </c>
      <c r="R136" s="43">
        <f t="shared" si="33"/>
        <v>0</v>
      </c>
      <c r="S136" s="43">
        <f t="shared" si="33"/>
        <v>0</v>
      </c>
      <c r="T136" s="95">
        <f t="shared" si="33"/>
        <v>0</v>
      </c>
      <c r="V136" s="43">
        <f t="shared" si="34"/>
        <v>0</v>
      </c>
      <c r="W136" s="43">
        <f t="shared" si="35"/>
        <v>0</v>
      </c>
      <c r="X136" s="43">
        <f t="shared" si="36"/>
        <v>0</v>
      </c>
      <c r="Y136" s="43">
        <f t="shared" si="37"/>
        <v>0</v>
      </c>
      <c r="Z136" s="95">
        <f t="shared" si="38"/>
        <v>0</v>
      </c>
      <c r="AB136" s="43">
        <f t="shared" si="39"/>
        <v>0</v>
      </c>
      <c r="AC136" s="43">
        <f t="shared" si="40"/>
        <v>0</v>
      </c>
      <c r="AD136" s="43">
        <f t="shared" si="41"/>
        <v>0</v>
      </c>
      <c r="AE136" s="43">
        <f t="shared" si="42"/>
        <v>0</v>
      </c>
      <c r="AF136" s="95">
        <f t="shared" si="43"/>
        <v>0</v>
      </c>
      <c r="AH136" s="43">
        <f t="shared" si="44"/>
        <v>0</v>
      </c>
      <c r="AI136" s="43">
        <f t="shared" si="45"/>
        <v>0</v>
      </c>
      <c r="AJ136" s="43">
        <f t="shared" si="46"/>
        <v>0</v>
      </c>
      <c r="AK136" s="43">
        <f t="shared" si="47"/>
        <v>0</v>
      </c>
      <c r="AL136" s="95">
        <f t="shared" si="48"/>
        <v>0</v>
      </c>
      <c r="AN136" s="47">
        <f t="shared" si="49"/>
        <v>0</v>
      </c>
      <c r="AO136" s="47">
        <f t="shared" si="50"/>
        <v>0</v>
      </c>
      <c r="AP136" s="47">
        <f t="shared" si="51"/>
        <v>0</v>
      </c>
      <c r="AQ136" s="47">
        <f t="shared" si="52"/>
        <v>0</v>
      </c>
      <c r="AR136" s="193">
        <f t="shared" si="53"/>
        <v>0</v>
      </c>
      <c r="AY136" s="3"/>
    </row>
    <row r="137" spans="1:51">
      <c r="A137" s="48"/>
      <c r="B137" s="37">
        <f>'13. Desinvesteringen'!B421</f>
        <v>402</v>
      </c>
      <c r="C137" s="48"/>
      <c r="D137" s="48"/>
      <c r="E137" s="48"/>
      <c r="F137" s="42">
        <f>'5. Input GAW-waarde desinv.'!D97</f>
        <v>0</v>
      </c>
      <c r="G137" s="177">
        <f>'13. Desinvesteringen'!D421</f>
        <v>1972</v>
      </c>
      <c r="H137" s="177">
        <f>'13. Desinvesteringen'!G421</f>
        <v>2022</v>
      </c>
      <c r="I137" s="37" t="str">
        <f>'13. Desinvesteringen'!C421</f>
        <v>32 M&amp;R stations</v>
      </c>
      <c r="J137" s="166">
        <f>'13. Desinvesteringen'!F421</f>
        <v>0</v>
      </c>
      <c r="K137" s="38">
        <f>_xlfn.XLOOKUP(I137,'3. Input (des)investeringen '!$B$11:$B$81,'3. Input (des)investeringen '!$E$11:$E$81)</f>
        <v>1</v>
      </c>
      <c r="L137" s="48"/>
      <c r="M137" s="38">
        <f>_xlfn.XLOOKUP(I137,'3. Input (des)investeringen '!$B$11:$B$81,'3. Input (des)investeringen '!$D$11:$D$81,0)</f>
        <v>30</v>
      </c>
      <c r="N137" s="38">
        <f t="shared" si="32"/>
        <v>0</v>
      </c>
      <c r="P137" s="43">
        <f t="shared" si="33"/>
        <v>0</v>
      </c>
      <c r="Q137" s="43">
        <f t="shared" si="33"/>
        <v>0</v>
      </c>
      <c r="R137" s="43">
        <f t="shared" si="33"/>
        <v>0</v>
      </c>
      <c r="S137" s="43">
        <f t="shared" si="33"/>
        <v>0</v>
      </c>
      <c r="T137" s="95">
        <f t="shared" si="33"/>
        <v>0</v>
      </c>
      <c r="V137" s="43">
        <f t="shared" si="34"/>
        <v>0</v>
      </c>
      <c r="W137" s="43">
        <f t="shared" si="35"/>
        <v>0</v>
      </c>
      <c r="X137" s="43">
        <f t="shared" si="36"/>
        <v>0</v>
      </c>
      <c r="Y137" s="43">
        <f t="shared" si="37"/>
        <v>0</v>
      </c>
      <c r="Z137" s="95">
        <f t="shared" si="38"/>
        <v>0</v>
      </c>
      <c r="AB137" s="43">
        <f t="shared" si="39"/>
        <v>0</v>
      </c>
      <c r="AC137" s="43">
        <f t="shared" si="40"/>
        <v>0</v>
      </c>
      <c r="AD137" s="43">
        <f t="shared" si="41"/>
        <v>0</v>
      </c>
      <c r="AE137" s="43">
        <f t="shared" si="42"/>
        <v>0</v>
      </c>
      <c r="AF137" s="95">
        <f t="shared" si="43"/>
        <v>0</v>
      </c>
      <c r="AH137" s="43">
        <f t="shared" si="44"/>
        <v>0</v>
      </c>
      <c r="AI137" s="43">
        <f t="shared" si="45"/>
        <v>0</v>
      </c>
      <c r="AJ137" s="43">
        <f t="shared" si="46"/>
        <v>0</v>
      </c>
      <c r="AK137" s="43">
        <f t="shared" si="47"/>
        <v>0</v>
      </c>
      <c r="AL137" s="95">
        <f t="shared" si="48"/>
        <v>0</v>
      </c>
      <c r="AN137" s="47">
        <f t="shared" si="49"/>
        <v>0</v>
      </c>
      <c r="AO137" s="47">
        <f t="shared" si="50"/>
        <v>0</v>
      </c>
      <c r="AP137" s="47">
        <f t="shared" si="51"/>
        <v>0</v>
      </c>
      <c r="AQ137" s="47">
        <f t="shared" si="52"/>
        <v>0</v>
      </c>
      <c r="AR137" s="193">
        <f t="shared" si="53"/>
        <v>0</v>
      </c>
      <c r="AY137" s="3"/>
    </row>
    <row r="138" spans="1:51">
      <c r="A138" s="48"/>
      <c r="B138" s="37">
        <f>'13. Desinvesteringen'!B422</f>
        <v>403</v>
      </c>
      <c r="C138" s="48"/>
      <c r="D138" s="48"/>
      <c r="E138" s="48"/>
      <c r="F138" s="42">
        <f>'5. Input GAW-waarde desinv.'!D98</f>
        <v>0</v>
      </c>
      <c r="G138" s="177">
        <f>'13. Desinvesteringen'!D422</f>
        <v>1974</v>
      </c>
      <c r="H138" s="177">
        <f>'13. Desinvesteringen'!G422</f>
        <v>2022</v>
      </c>
      <c r="I138" s="37" t="str">
        <f>'13. Desinvesteringen'!C422</f>
        <v>32 M&amp;R stations</v>
      </c>
      <c r="J138" s="166">
        <f>'13. Desinvesteringen'!F422</f>
        <v>0</v>
      </c>
      <c r="K138" s="38">
        <f>_xlfn.XLOOKUP(I138,'3. Input (des)investeringen '!$B$11:$B$81,'3. Input (des)investeringen '!$E$11:$E$81)</f>
        <v>1</v>
      </c>
      <c r="L138" s="48"/>
      <c r="M138" s="38">
        <f>_xlfn.XLOOKUP(I138,'3. Input (des)investeringen '!$B$11:$B$81,'3. Input (des)investeringen '!$D$11:$D$81,0)</f>
        <v>30</v>
      </c>
      <c r="N138" s="38">
        <f t="shared" si="32"/>
        <v>0</v>
      </c>
      <c r="P138" s="43">
        <f t="shared" si="33"/>
        <v>0</v>
      </c>
      <c r="Q138" s="43">
        <f t="shared" si="33"/>
        <v>0</v>
      </c>
      <c r="R138" s="43">
        <f t="shared" si="33"/>
        <v>0</v>
      </c>
      <c r="S138" s="43">
        <f t="shared" si="33"/>
        <v>0</v>
      </c>
      <c r="T138" s="95">
        <f t="shared" si="33"/>
        <v>0</v>
      </c>
      <c r="V138" s="43">
        <f t="shared" si="34"/>
        <v>0</v>
      </c>
      <c r="W138" s="43">
        <f t="shared" si="35"/>
        <v>0</v>
      </c>
      <c r="X138" s="43">
        <f t="shared" si="36"/>
        <v>0</v>
      </c>
      <c r="Y138" s="43">
        <f t="shared" si="37"/>
        <v>0</v>
      </c>
      <c r="Z138" s="95">
        <f t="shared" si="38"/>
        <v>0</v>
      </c>
      <c r="AB138" s="43">
        <f t="shared" si="39"/>
        <v>0</v>
      </c>
      <c r="AC138" s="43">
        <f t="shared" si="40"/>
        <v>0</v>
      </c>
      <c r="AD138" s="43">
        <f t="shared" si="41"/>
        <v>0</v>
      </c>
      <c r="AE138" s="43">
        <f t="shared" si="42"/>
        <v>0</v>
      </c>
      <c r="AF138" s="95">
        <f t="shared" si="43"/>
        <v>0</v>
      </c>
      <c r="AH138" s="43">
        <f t="shared" si="44"/>
        <v>0</v>
      </c>
      <c r="AI138" s="43">
        <f t="shared" si="45"/>
        <v>0</v>
      </c>
      <c r="AJ138" s="43">
        <f t="shared" si="46"/>
        <v>0</v>
      </c>
      <c r="AK138" s="43">
        <f t="shared" si="47"/>
        <v>0</v>
      </c>
      <c r="AL138" s="95">
        <f t="shared" si="48"/>
        <v>0</v>
      </c>
      <c r="AN138" s="47">
        <f t="shared" si="49"/>
        <v>0</v>
      </c>
      <c r="AO138" s="47">
        <f t="shared" si="50"/>
        <v>0</v>
      </c>
      <c r="AP138" s="47">
        <f t="shared" si="51"/>
        <v>0</v>
      </c>
      <c r="AQ138" s="47">
        <f t="shared" si="52"/>
        <v>0</v>
      </c>
      <c r="AR138" s="193">
        <f t="shared" si="53"/>
        <v>0</v>
      </c>
      <c r="AY138" s="3"/>
    </row>
    <row r="139" spans="1:51">
      <c r="A139" s="48"/>
      <c r="B139" s="37">
        <f>'13. Desinvesteringen'!B423</f>
        <v>404</v>
      </c>
      <c r="C139" s="48"/>
      <c r="D139" s="48"/>
      <c r="E139" s="48"/>
      <c r="F139" s="42">
        <f>'5. Input GAW-waarde desinv.'!D99</f>
        <v>0</v>
      </c>
      <c r="G139" s="177">
        <f>'13. Desinvesteringen'!D423</f>
        <v>1978</v>
      </c>
      <c r="H139" s="177">
        <f>'13. Desinvesteringen'!G423</f>
        <v>2022</v>
      </c>
      <c r="I139" s="37" t="str">
        <f>'13. Desinvesteringen'!C423</f>
        <v>32 M&amp;R stations</v>
      </c>
      <c r="J139" s="166">
        <f>'13. Desinvesteringen'!F423</f>
        <v>0</v>
      </c>
      <c r="K139" s="38">
        <f>_xlfn.XLOOKUP(I139,'3. Input (des)investeringen '!$B$11:$B$81,'3. Input (des)investeringen '!$E$11:$E$81)</f>
        <v>1</v>
      </c>
      <c r="L139" s="48"/>
      <c r="M139" s="38">
        <f>_xlfn.XLOOKUP(I139,'3. Input (des)investeringen '!$B$11:$B$81,'3. Input (des)investeringen '!$D$11:$D$81,0)</f>
        <v>30</v>
      </c>
      <c r="N139" s="38">
        <f t="shared" si="32"/>
        <v>0</v>
      </c>
      <c r="P139" s="43">
        <f t="shared" si="33"/>
        <v>0</v>
      </c>
      <c r="Q139" s="43">
        <f t="shared" si="33"/>
        <v>0</v>
      </c>
      <c r="R139" s="43">
        <f t="shared" si="33"/>
        <v>0</v>
      </c>
      <c r="S139" s="43">
        <f t="shared" si="33"/>
        <v>0</v>
      </c>
      <c r="T139" s="95">
        <f t="shared" si="33"/>
        <v>0</v>
      </c>
      <c r="V139" s="43">
        <f t="shared" si="34"/>
        <v>0</v>
      </c>
      <c r="W139" s="43">
        <f t="shared" si="35"/>
        <v>0</v>
      </c>
      <c r="X139" s="43">
        <f t="shared" si="36"/>
        <v>0</v>
      </c>
      <c r="Y139" s="43">
        <f t="shared" si="37"/>
        <v>0</v>
      </c>
      <c r="Z139" s="95">
        <f t="shared" si="38"/>
        <v>0</v>
      </c>
      <c r="AB139" s="43">
        <f t="shared" si="39"/>
        <v>0</v>
      </c>
      <c r="AC139" s="43">
        <f t="shared" si="40"/>
        <v>0</v>
      </c>
      <c r="AD139" s="43">
        <f t="shared" si="41"/>
        <v>0</v>
      </c>
      <c r="AE139" s="43">
        <f t="shared" si="42"/>
        <v>0</v>
      </c>
      <c r="AF139" s="95">
        <f t="shared" si="43"/>
        <v>0</v>
      </c>
      <c r="AH139" s="43">
        <f t="shared" si="44"/>
        <v>0</v>
      </c>
      <c r="AI139" s="43">
        <f t="shared" si="45"/>
        <v>0</v>
      </c>
      <c r="AJ139" s="43">
        <f t="shared" si="46"/>
        <v>0</v>
      </c>
      <c r="AK139" s="43">
        <f t="shared" si="47"/>
        <v>0</v>
      </c>
      <c r="AL139" s="95">
        <f t="shared" si="48"/>
        <v>0</v>
      </c>
      <c r="AN139" s="47">
        <f t="shared" si="49"/>
        <v>0</v>
      </c>
      <c r="AO139" s="47">
        <f t="shared" si="50"/>
        <v>0</v>
      </c>
      <c r="AP139" s="47">
        <f t="shared" si="51"/>
        <v>0</v>
      </c>
      <c r="AQ139" s="47">
        <f t="shared" si="52"/>
        <v>0</v>
      </c>
      <c r="AR139" s="193">
        <f t="shared" si="53"/>
        <v>0</v>
      </c>
      <c r="AY139" s="3"/>
    </row>
    <row r="140" spans="1:51">
      <c r="A140" s="48"/>
      <c r="B140" s="37">
        <f>'13. Desinvesteringen'!B424</f>
        <v>405</v>
      </c>
      <c r="C140" s="48"/>
      <c r="D140" s="48"/>
      <c r="E140" s="48"/>
      <c r="F140" s="42">
        <f>'5. Input GAW-waarde desinv.'!D100</f>
        <v>3006.4882057138966</v>
      </c>
      <c r="G140" s="177">
        <f>'13. Desinvesteringen'!D424</f>
        <v>1995</v>
      </c>
      <c r="H140" s="177">
        <f>'13. Desinvesteringen'!G424</f>
        <v>2022</v>
      </c>
      <c r="I140" s="37" t="str">
        <f>'13. Desinvesteringen'!C424</f>
        <v>32 M&amp;R stations</v>
      </c>
      <c r="J140" s="166">
        <f>'13. Desinvesteringen'!F424</f>
        <v>0</v>
      </c>
      <c r="K140" s="38">
        <f>_xlfn.XLOOKUP(I140,'3. Input (des)investeringen '!$B$11:$B$81,'3. Input (des)investeringen '!$E$11:$E$81)</f>
        <v>1</v>
      </c>
      <c r="L140" s="48"/>
      <c r="M140" s="38">
        <f>_xlfn.XLOOKUP(I140,'3. Input (des)investeringen '!$B$11:$B$81,'3. Input (des)investeringen '!$D$11:$D$81,0)</f>
        <v>30</v>
      </c>
      <c r="N140" s="38">
        <f t="shared" si="32"/>
        <v>3.5</v>
      </c>
      <c r="P140" s="43">
        <f t="shared" si="33"/>
        <v>1005.0260573386455</v>
      </c>
      <c r="Q140" s="43">
        <f t="shared" si="33"/>
        <v>680.32533112154454</v>
      </c>
      <c r="R140" s="43">
        <f t="shared" si="33"/>
        <v>680.32533112154454</v>
      </c>
      <c r="S140" s="43">
        <f t="shared" si="33"/>
        <v>340.16266556077227</v>
      </c>
      <c r="T140" s="95">
        <f t="shared" si="33"/>
        <v>0</v>
      </c>
      <c r="V140" s="43">
        <f t="shared" si="34"/>
        <v>85.899663020397043</v>
      </c>
      <c r="W140" s="43">
        <f t="shared" si="35"/>
        <v>85.899663020397057</v>
      </c>
      <c r="X140" s="43">
        <f t="shared" si="36"/>
        <v>85.899663020397057</v>
      </c>
      <c r="Y140" s="43">
        <f t="shared" si="37"/>
        <v>42.949831510198528</v>
      </c>
      <c r="Z140" s="95">
        <f t="shared" si="38"/>
        <v>0</v>
      </c>
      <c r="AB140" s="43">
        <f t="shared" si="39"/>
        <v>1090.9257203590425</v>
      </c>
      <c r="AC140" s="43">
        <f t="shared" si="40"/>
        <v>766.22499414194158</v>
      </c>
      <c r="AD140" s="43">
        <f t="shared" si="41"/>
        <v>766.22499414194158</v>
      </c>
      <c r="AE140" s="43">
        <f t="shared" si="42"/>
        <v>383.11249707097079</v>
      </c>
      <c r="AF140" s="95">
        <f t="shared" si="43"/>
        <v>0</v>
      </c>
      <c r="AH140" s="43">
        <f t="shared" si="44"/>
        <v>1915.5624853548541</v>
      </c>
      <c r="AI140" s="43">
        <f t="shared" si="45"/>
        <v>1149.3374912129125</v>
      </c>
      <c r="AJ140" s="43">
        <f t="shared" si="46"/>
        <v>383.1124970709709</v>
      </c>
      <c r="AK140" s="43">
        <f t="shared" si="47"/>
        <v>0</v>
      </c>
      <c r="AL140" s="95">
        <f t="shared" si="48"/>
        <v>0</v>
      </c>
      <c r="AN140" s="47">
        <f t="shared" si="49"/>
        <v>1169.4637822585917</v>
      </c>
      <c r="AO140" s="47">
        <f t="shared" si="50"/>
        <v>824.84120619380008</v>
      </c>
      <c r="AP140" s="47">
        <f t="shared" si="51"/>
        <v>785.76373149256108</v>
      </c>
      <c r="AQ140" s="47">
        <f t="shared" si="52"/>
        <v>383.11249707097079</v>
      </c>
      <c r="AR140" s="193">
        <f t="shared" si="53"/>
        <v>0</v>
      </c>
      <c r="AY140" s="3"/>
    </row>
    <row r="141" spans="1:51">
      <c r="A141" s="48"/>
      <c r="B141" s="37">
        <f>'13. Desinvesteringen'!B425</f>
        <v>406</v>
      </c>
      <c r="C141" s="48"/>
      <c r="D141" s="48"/>
      <c r="E141" s="48"/>
      <c r="F141" s="42">
        <f>'5. Input GAW-waarde desinv.'!D101</f>
        <v>303439.87492153718</v>
      </c>
      <c r="G141" s="177">
        <f>'13. Desinvesteringen'!D425</f>
        <v>2012</v>
      </c>
      <c r="H141" s="177">
        <f>'13. Desinvesteringen'!G425</f>
        <v>2022</v>
      </c>
      <c r="I141" s="37" t="str">
        <f>'13. Desinvesteringen'!C425</f>
        <v>32 M&amp;R stations</v>
      </c>
      <c r="J141" s="166">
        <f>'13. Desinvesteringen'!F425</f>
        <v>0</v>
      </c>
      <c r="K141" s="38">
        <f>_xlfn.XLOOKUP(I141,'3. Input (des)investeringen '!$B$11:$B$81,'3. Input (des)investeringen '!$E$11:$E$81)</f>
        <v>1</v>
      </c>
      <c r="L141" s="48"/>
      <c r="M141" s="38">
        <f>_xlfn.XLOOKUP(I141,'3. Input (des)investeringen '!$B$11:$B$81,'3. Input (des)investeringen '!$D$11:$D$81,0)</f>
        <v>30</v>
      </c>
      <c r="N141" s="38">
        <f t="shared" si="32"/>
        <v>20.5</v>
      </c>
      <c r="P141" s="43">
        <f t="shared" si="33"/>
        <v>17318.275788204806</v>
      </c>
      <c r="Q141" s="43">
        <f t="shared" si="33"/>
        <v>16220.043665050354</v>
      </c>
      <c r="R141" s="43">
        <f t="shared" si="33"/>
        <v>15191.455530193502</v>
      </c>
      <c r="S141" s="43">
        <f t="shared" si="33"/>
        <v>14228.094935595866</v>
      </c>
      <c r="T141" s="95">
        <f t="shared" si="33"/>
        <v>13325.825500655641</v>
      </c>
      <c r="V141" s="43">
        <f t="shared" si="34"/>
        <v>1480.1945118123767</v>
      </c>
      <c r="W141" s="43">
        <f t="shared" si="35"/>
        <v>1480.1945118123765</v>
      </c>
      <c r="X141" s="43">
        <f t="shared" si="36"/>
        <v>1480.1945118123765</v>
      </c>
      <c r="Y141" s="43">
        <f t="shared" si="37"/>
        <v>1480.1945118123765</v>
      </c>
      <c r="Z141" s="95">
        <f t="shared" si="38"/>
        <v>1480.1945118123765</v>
      </c>
      <c r="AB141" s="43">
        <f t="shared" si="39"/>
        <v>18798.470300017183</v>
      </c>
      <c r="AC141" s="43">
        <f t="shared" si="40"/>
        <v>17700.238176862731</v>
      </c>
      <c r="AD141" s="43">
        <f t="shared" si="41"/>
        <v>16671.650042005876</v>
      </c>
      <c r="AE141" s="43">
        <f t="shared" si="42"/>
        <v>15708.289447408242</v>
      </c>
      <c r="AF141" s="95">
        <f t="shared" si="43"/>
        <v>14806.020012468018</v>
      </c>
      <c r="AH141" s="43">
        <f t="shared" si="44"/>
        <v>284641.40462152002</v>
      </c>
      <c r="AI141" s="43">
        <f t="shared" si="45"/>
        <v>266941.16644465731</v>
      </c>
      <c r="AJ141" s="43">
        <f t="shared" si="46"/>
        <v>250269.51640265144</v>
      </c>
      <c r="AK141" s="43">
        <f t="shared" si="47"/>
        <v>234561.22695524321</v>
      </c>
      <c r="AL141" s="95">
        <f t="shared" si="48"/>
        <v>219755.2069427752</v>
      </c>
      <c r="AN141" s="47">
        <f t="shared" si="49"/>
        <v>30468.767889499504</v>
      </c>
      <c r="AO141" s="47">
        <f t="shared" si="50"/>
        <v>31314.237665540255</v>
      </c>
      <c r="AP141" s="47">
        <f t="shared" si="51"/>
        <v>29435.395378541099</v>
      </c>
      <c r="AQ141" s="47">
        <f t="shared" si="52"/>
        <v>24621.616071707482</v>
      </c>
      <c r="AR141" s="193">
        <f t="shared" si="53"/>
        <v>23156.717876293475</v>
      </c>
      <c r="AY141" s="3"/>
    </row>
    <row r="142" spans="1:51">
      <c r="A142" s="48"/>
      <c r="B142" s="37">
        <f>'13. Desinvesteringen'!B426</f>
        <v>407</v>
      </c>
      <c r="C142" s="48"/>
      <c r="D142" s="48"/>
      <c r="E142" s="48"/>
      <c r="F142" s="42">
        <f>'5. Input GAW-waarde desinv.'!D102</f>
        <v>0</v>
      </c>
      <c r="G142" s="177">
        <f>'13. Desinvesteringen'!D426</f>
        <v>1986</v>
      </c>
      <c r="H142" s="177">
        <f>'13. Desinvesteringen'!G426</f>
        <v>2022</v>
      </c>
      <c r="I142" s="37" t="str">
        <f>'13. Desinvesteringen'!C426</f>
        <v>34 Reduceerstations</v>
      </c>
      <c r="J142" s="166">
        <f>'13. Desinvesteringen'!F426</f>
        <v>0</v>
      </c>
      <c r="K142" s="38">
        <f>_xlfn.XLOOKUP(I142,'3. Input (des)investeringen '!$B$11:$B$81,'3. Input (des)investeringen '!$E$11:$E$81)</f>
        <v>1</v>
      </c>
      <c r="L142" s="48"/>
      <c r="M142" s="38">
        <f>_xlfn.XLOOKUP(I142,'3. Input (des)investeringen '!$B$11:$B$81,'3. Input (des)investeringen '!$D$11:$D$81,0)</f>
        <v>30</v>
      </c>
      <c r="N142" s="38">
        <f t="shared" si="32"/>
        <v>0</v>
      </c>
      <c r="P142" s="43">
        <f t="shared" si="33"/>
        <v>0</v>
      </c>
      <c r="Q142" s="43">
        <f t="shared" si="33"/>
        <v>0</v>
      </c>
      <c r="R142" s="43">
        <f t="shared" si="33"/>
        <v>0</v>
      </c>
      <c r="S142" s="43">
        <f t="shared" si="33"/>
        <v>0</v>
      </c>
      <c r="T142" s="95">
        <f t="shared" si="33"/>
        <v>0</v>
      </c>
      <c r="V142" s="43">
        <f t="shared" si="34"/>
        <v>0</v>
      </c>
      <c r="W142" s="43">
        <f t="shared" si="35"/>
        <v>0</v>
      </c>
      <c r="X142" s="43">
        <f t="shared" si="36"/>
        <v>0</v>
      </c>
      <c r="Y142" s="43">
        <f t="shared" si="37"/>
        <v>0</v>
      </c>
      <c r="Z142" s="95">
        <f t="shared" si="38"/>
        <v>0</v>
      </c>
      <c r="AB142" s="43">
        <f t="shared" si="39"/>
        <v>0</v>
      </c>
      <c r="AC142" s="43">
        <f t="shared" si="40"/>
        <v>0</v>
      </c>
      <c r="AD142" s="43">
        <f t="shared" si="41"/>
        <v>0</v>
      </c>
      <c r="AE142" s="43">
        <f t="shared" si="42"/>
        <v>0</v>
      </c>
      <c r="AF142" s="95">
        <f t="shared" si="43"/>
        <v>0</v>
      </c>
      <c r="AH142" s="43">
        <f t="shared" si="44"/>
        <v>0</v>
      </c>
      <c r="AI142" s="43">
        <f t="shared" si="45"/>
        <v>0</v>
      </c>
      <c r="AJ142" s="43">
        <f t="shared" si="46"/>
        <v>0</v>
      </c>
      <c r="AK142" s="43">
        <f t="shared" si="47"/>
        <v>0</v>
      </c>
      <c r="AL142" s="95">
        <f t="shared" si="48"/>
        <v>0</v>
      </c>
      <c r="AN142" s="47">
        <f t="shared" si="49"/>
        <v>0</v>
      </c>
      <c r="AO142" s="47">
        <f t="shared" si="50"/>
        <v>0</v>
      </c>
      <c r="AP142" s="47">
        <f t="shared" si="51"/>
        <v>0</v>
      </c>
      <c r="AQ142" s="47">
        <f t="shared" si="52"/>
        <v>0</v>
      </c>
      <c r="AR142" s="193">
        <f t="shared" si="53"/>
        <v>0</v>
      </c>
      <c r="AY142" s="3"/>
    </row>
    <row r="143" spans="1:51">
      <c r="A143" s="229"/>
      <c r="B143" s="37">
        <f>'13. Desinvesteringen'!B427</f>
        <v>408</v>
      </c>
      <c r="C143" s="48"/>
      <c r="D143" s="48"/>
      <c r="E143" s="48"/>
      <c r="F143" s="42">
        <f>'5. Input GAW-waarde desinv.'!D103</f>
        <v>0</v>
      </c>
      <c r="G143" s="177">
        <f>'13. Desinvesteringen'!D427</f>
        <v>1954</v>
      </c>
      <c r="H143" s="177">
        <f>'13. Desinvesteringen'!G427</f>
        <v>2023</v>
      </c>
      <c r="I143" s="37" t="str">
        <f>'13. Desinvesteringen'!C427</f>
        <v>01 Regionale leidingen</v>
      </c>
      <c r="J143" s="166">
        <f>'13. Desinvesteringen'!F427</f>
        <v>0</v>
      </c>
      <c r="K143" s="38">
        <f>_xlfn.XLOOKUP(I143,'3. Input (des)investeringen '!$B$11:$B$81,'3. Input (des)investeringen '!$E$11:$E$81)</f>
        <v>1</v>
      </c>
      <c r="L143" s="48"/>
      <c r="M143" s="38">
        <f>_xlfn.XLOOKUP(I143,'3. Input (des)investeringen '!$B$11:$B$81,'3. Input (des)investeringen '!$D$11:$D$81,0)</f>
        <v>55</v>
      </c>
      <c r="N143" s="38">
        <f t="shared" ref="N143:N206" si="54">IF($M143&gt;0, MAX(0,IF(G143&lt;2022,M143-2021+G143-0.5,M143)), 0)</f>
        <v>0</v>
      </c>
      <c r="P143" s="43">
        <f t="shared" si="33"/>
        <v>0</v>
      </c>
      <c r="Q143" s="43">
        <f t="shared" si="33"/>
        <v>0</v>
      </c>
      <c r="R143" s="43">
        <f t="shared" si="33"/>
        <v>0</v>
      </c>
      <c r="S143" s="43">
        <f t="shared" si="33"/>
        <v>0</v>
      </c>
      <c r="T143" s="95">
        <f t="shared" si="33"/>
        <v>0</v>
      </c>
      <c r="V143" s="43">
        <f t="shared" ref="V143:V206" si="55">IF($M143&gt;0, IF(OR($G143&gt;V$49,$G143+$M143&lt;V$49),0,
VDB($F143,0,$N143,MAX(0,P$49-2022),MIN($N143,P$49-2021),1,FALSE))*$F$25, 0)</f>
        <v>0</v>
      </c>
      <c r="W143" s="43">
        <f t="shared" ref="W143:W206" si="56">IF($M143&gt;0, IF(OR($G143&gt;W$49,$G143+$M143&lt;W$49),0,
VDB($F143,0,$N143,MAX(0,Q$49-2022),MIN($N143,Q$49-2021),1,FALSE))*$F$25, 0)</f>
        <v>0</v>
      </c>
      <c r="X143" s="43">
        <f t="shared" ref="X143:X206" si="57">IF($M143&gt;0, IF(OR($G143&gt;X$49,$G143+$M143&lt;X$49),0,
VDB($F143,0,$N143,MAX(0,R$49-2022),MIN($N143,R$49-2021),1,FALSE))*$F$25, 0)</f>
        <v>0</v>
      </c>
      <c r="Y143" s="43">
        <f t="shared" ref="Y143:Y206" si="58">IF($M143&gt;0, IF(OR($G143&gt;Y$49,$G143+$M143&lt;Y$49),0,
VDB($F143,0,$N143,MAX(0,S$49-2022),MIN($N143,S$49-2021),1,FALSE))*$F$25, 0)</f>
        <v>0</v>
      </c>
      <c r="Z143" s="95">
        <f t="shared" ref="Z143:Z206" si="59">IF($M143&gt;0, IF(OR($G143&gt;Z$49,$G143+$M143&lt;Z$49),0,
VDB($F143,0,$N143,MAX(0,T$49-2022),MIN($N143,T$49-2021),1,FALSE))*$F$25, 0)</f>
        <v>0</v>
      </c>
      <c r="AB143" s="43">
        <f t="shared" ref="AB143:AB206" si="60">P143+V143</f>
        <v>0</v>
      </c>
      <c r="AC143" s="43">
        <f t="shared" ref="AC143:AC206" si="61">Q143+W143</f>
        <v>0</v>
      </c>
      <c r="AD143" s="43">
        <f t="shared" ref="AD143:AD206" si="62">R143+X143</f>
        <v>0</v>
      </c>
      <c r="AE143" s="43">
        <f t="shared" ref="AE143:AE206" si="63">S143+Y143</f>
        <v>0</v>
      </c>
      <c r="AF143" s="95">
        <f t="shared" ref="AF143:AF206" si="64">T143+Z143</f>
        <v>0</v>
      </c>
      <c r="AH143" s="43">
        <f t="shared" ref="AH143:AH206" si="65">IF($M143&gt;0, IF($M143&gt;0,IF(OR($G143&gt;AH$49,$G143+$M143&lt;=AH$49),0,IF(AH$49=2022,$F143-AB143,AG143-AB143))), $F143)</f>
        <v>0</v>
      </c>
      <c r="AI143" s="43">
        <f t="shared" ref="AI143:AI206" si="66">IF($M143&gt;0, IF(OR($G143&gt;AI$49,$G143+$M143&lt;=AI$49),0,IF(AI$49=2022,$F143-AC143,AH143-AC143)), AH143)</f>
        <v>0</v>
      </c>
      <c r="AJ143" s="43">
        <f t="shared" ref="AJ143:AJ206" si="67">IF($M143&gt;0, IF(OR($G143&gt;AJ$49,$G143+$M143&lt;=AJ$49),0,IF(AJ$49=2022,$F143-AD143,AI143-AD143)), AI143)</f>
        <v>0</v>
      </c>
      <c r="AK143" s="43">
        <f t="shared" ref="AK143:AK206" si="68">IF($M143&gt;0, IF(OR($G143&gt;AK$49,$G143+$M143&lt;=AK$49),0,IF(AK$49=2022,$F143-AE143,AJ143-AE143)), AJ143)</f>
        <v>0</v>
      </c>
      <c r="AL143" s="95">
        <f t="shared" ref="AL143:AL206" si="69">IF($M143&gt;0, IF(OR($G143&gt;AL$49,$G143+$M143&lt;=AL$49),0,IF(AL$49=2022,$F143-AF143,AK143-AF143)), AK143)</f>
        <v>0</v>
      </c>
      <c r="AN143" s="47">
        <f t="shared" ref="AN143:AN206" si="70">(AB143+AH143*H$16)*IF($K143=1,$F$31,1)</f>
        <v>0</v>
      </c>
      <c r="AO143" s="47">
        <f t="shared" ref="AO143:AO206" si="71">(AC143+AI143*I$16)*IF($K143=1,$F$31,1)</f>
        <v>0</v>
      </c>
      <c r="AP143" s="47">
        <f t="shared" ref="AP143:AP206" si="72">(AD143+AJ143*J$16)*IF($K143=1,$F$31,1)</f>
        <v>0</v>
      </c>
      <c r="AQ143" s="47">
        <f t="shared" ref="AQ143:AQ206" si="73">(AE143+AK143*K$16)*IF($K143=1,$F$31,1)</f>
        <v>0</v>
      </c>
      <c r="AR143" s="193">
        <f t="shared" ref="AR143:AR206" si="74">(AF143+AL143*L$16)*IF($K143=1,$F$31,1)</f>
        <v>0</v>
      </c>
      <c r="AY143" s="3"/>
    </row>
    <row r="144" spans="1:51">
      <c r="A144" s="229"/>
      <c r="B144" s="37">
        <f>'13. Desinvesteringen'!B428</f>
        <v>409</v>
      </c>
      <c r="C144" s="48"/>
      <c r="D144" s="48"/>
      <c r="E144" s="48"/>
      <c r="F144" s="42">
        <f>'5. Input GAW-waarde desinv.'!D104</f>
        <v>0</v>
      </c>
      <c r="G144" s="177">
        <f>'13. Desinvesteringen'!D428</f>
        <v>1955</v>
      </c>
      <c r="H144" s="177">
        <f>'13. Desinvesteringen'!G428</f>
        <v>2023</v>
      </c>
      <c r="I144" s="37" t="str">
        <f>'13. Desinvesteringen'!C428</f>
        <v>01 Regionale leidingen</v>
      </c>
      <c r="J144" s="166">
        <f>'13. Desinvesteringen'!F428</f>
        <v>0</v>
      </c>
      <c r="K144" s="38">
        <f>_xlfn.XLOOKUP(I144,'3. Input (des)investeringen '!$B$11:$B$81,'3. Input (des)investeringen '!$E$11:$E$81)</f>
        <v>1</v>
      </c>
      <c r="L144" s="48"/>
      <c r="M144" s="38">
        <f>_xlfn.XLOOKUP(I144,'3. Input (des)investeringen '!$B$11:$B$81,'3. Input (des)investeringen '!$D$11:$D$81,0)</f>
        <v>55</v>
      </c>
      <c r="N144" s="38">
        <f t="shared" si="54"/>
        <v>0</v>
      </c>
      <c r="P144" s="43">
        <f t="shared" si="33"/>
        <v>0</v>
      </c>
      <c r="Q144" s="43">
        <f t="shared" si="33"/>
        <v>0</v>
      </c>
      <c r="R144" s="43">
        <f t="shared" si="33"/>
        <v>0</v>
      </c>
      <c r="S144" s="43">
        <f t="shared" si="33"/>
        <v>0</v>
      </c>
      <c r="T144" s="95">
        <f t="shared" si="33"/>
        <v>0</v>
      </c>
      <c r="V144" s="43">
        <f t="shared" si="55"/>
        <v>0</v>
      </c>
      <c r="W144" s="43">
        <f t="shared" si="56"/>
        <v>0</v>
      </c>
      <c r="X144" s="43">
        <f t="shared" si="57"/>
        <v>0</v>
      </c>
      <c r="Y144" s="43">
        <f t="shared" si="58"/>
        <v>0</v>
      </c>
      <c r="Z144" s="95">
        <f t="shared" si="59"/>
        <v>0</v>
      </c>
      <c r="AB144" s="43">
        <f t="shared" si="60"/>
        <v>0</v>
      </c>
      <c r="AC144" s="43">
        <f t="shared" si="61"/>
        <v>0</v>
      </c>
      <c r="AD144" s="43">
        <f t="shared" si="62"/>
        <v>0</v>
      </c>
      <c r="AE144" s="43">
        <f t="shared" si="63"/>
        <v>0</v>
      </c>
      <c r="AF144" s="95">
        <f t="shared" si="64"/>
        <v>0</v>
      </c>
      <c r="AH144" s="43">
        <f t="shared" si="65"/>
        <v>0</v>
      </c>
      <c r="AI144" s="43">
        <f t="shared" si="66"/>
        <v>0</v>
      </c>
      <c r="AJ144" s="43">
        <f t="shared" si="67"/>
        <v>0</v>
      </c>
      <c r="AK144" s="43">
        <f t="shared" si="68"/>
        <v>0</v>
      </c>
      <c r="AL144" s="95">
        <f t="shared" si="69"/>
        <v>0</v>
      </c>
      <c r="AN144" s="47">
        <f t="shared" si="70"/>
        <v>0</v>
      </c>
      <c r="AO144" s="47">
        <f t="shared" si="71"/>
        <v>0</v>
      </c>
      <c r="AP144" s="47">
        <f t="shared" si="72"/>
        <v>0</v>
      </c>
      <c r="AQ144" s="47">
        <f t="shared" si="73"/>
        <v>0</v>
      </c>
      <c r="AR144" s="193">
        <f t="shared" si="74"/>
        <v>0</v>
      </c>
      <c r="AY144" s="3"/>
    </row>
    <row r="145" spans="1:51">
      <c r="A145" s="229"/>
      <c r="B145" s="37">
        <f>'13. Desinvesteringen'!B429</f>
        <v>410</v>
      </c>
      <c r="C145" s="48"/>
      <c r="D145" s="48"/>
      <c r="E145" s="48"/>
      <c r="F145" s="42">
        <f>'5. Input GAW-waarde desinv.'!D105</f>
        <v>0</v>
      </c>
      <c r="G145" s="177">
        <f>'13. Desinvesteringen'!D429</f>
        <v>1958</v>
      </c>
      <c r="H145" s="177">
        <f>'13. Desinvesteringen'!G429</f>
        <v>2023</v>
      </c>
      <c r="I145" s="37" t="str">
        <f>'13. Desinvesteringen'!C429</f>
        <v>01 Regionale leidingen</v>
      </c>
      <c r="J145" s="166">
        <f>'13. Desinvesteringen'!F429</f>
        <v>0</v>
      </c>
      <c r="K145" s="38">
        <f>_xlfn.XLOOKUP(I145,'3. Input (des)investeringen '!$B$11:$B$81,'3. Input (des)investeringen '!$E$11:$E$81)</f>
        <v>1</v>
      </c>
      <c r="L145" s="48"/>
      <c r="M145" s="38">
        <f>_xlfn.XLOOKUP(I145,'3. Input (des)investeringen '!$B$11:$B$81,'3. Input (des)investeringen '!$D$11:$D$81,0)</f>
        <v>55</v>
      </c>
      <c r="N145" s="38">
        <f t="shared" si="54"/>
        <v>0</v>
      </c>
      <c r="P145" s="43">
        <f t="shared" si="33"/>
        <v>0</v>
      </c>
      <c r="Q145" s="43">
        <f t="shared" si="33"/>
        <v>0</v>
      </c>
      <c r="R145" s="43">
        <f t="shared" si="33"/>
        <v>0</v>
      </c>
      <c r="S145" s="43">
        <f t="shared" si="33"/>
        <v>0</v>
      </c>
      <c r="T145" s="95">
        <f t="shared" si="33"/>
        <v>0</v>
      </c>
      <c r="V145" s="43">
        <f t="shared" si="55"/>
        <v>0</v>
      </c>
      <c r="W145" s="43">
        <f t="shared" si="56"/>
        <v>0</v>
      </c>
      <c r="X145" s="43">
        <f t="shared" si="57"/>
        <v>0</v>
      </c>
      <c r="Y145" s="43">
        <f t="shared" si="58"/>
        <v>0</v>
      </c>
      <c r="Z145" s="95">
        <f t="shared" si="59"/>
        <v>0</v>
      </c>
      <c r="AB145" s="43">
        <f t="shared" si="60"/>
        <v>0</v>
      </c>
      <c r="AC145" s="43">
        <f t="shared" si="61"/>
        <v>0</v>
      </c>
      <c r="AD145" s="43">
        <f t="shared" si="62"/>
        <v>0</v>
      </c>
      <c r="AE145" s="43">
        <f t="shared" si="63"/>
        <v>0</v>
      </c>
      <c r="AF145" s="95">
        <f t="shared" si="64"/>
        <v>0</v>
      </c>
      <c r="AH145" s="43">
        <f t="shared" si="65"/>
        <v>0</v>
      </c>
      <c r="AI145" s="43">
        <f t="shared" si="66"/>
        <v>0</v>
      </c>
      <c r="AJ145" s="43">
        <f t="shared" si="67"/>
        <v>0</v>
      </c>
      <c r="AK145" s="43">
        <f t="shared" si="68"/>
        <v>0</v>
      </c>
      <c r="AL145" s="95">
        <f t="shared" si="69"/>
        <v>0</v>
      </c>
      <c r="AN145" s="47">
        <f t="shared" si="70"/>
        <v>0</v>
      </c>
      <c r="AO145" s="47">
        <f t="shared" si="71"/>
        <v>0</v>
      </c>
      <c r="AP145" s="47">
        <f t="shared" si="72"/>
        <v>0</v>
      </c>
      <c r="AQ145" s="47">
        <f t="shared" si="73"/>
        <v>0</v>
      </c>
      <c r="AR145" s="193">
        <f t="shared" si="74"/>
        <v>0</v>
      </c>
      <c r="AY145" s="3"/>
    </row>
    <row r="146" spans="1:51">
      <c r="A146" s="229"/>
      <c r="B146" s="37">
        <f>'13. Desinvesteringen'!B430</f>
        <v>411</v>
      </c>
      <c r="C146" s="48"/>
      <c r="D146" s="48"/>
      <c r="E146" s="48"/>
      <c r="F146" s="42">
        <f>'5. Input GAW-waarde desinv.'!D106</f>
        <v>0</v>
      </c>
      <c r="G146" s="177">
        <f>'13. Desinvesteringen'!D430</f>
        <v>1959</v>
      </c>
      <c r="H146" s="177">
        <f>'13. Desinvesteringen'!G430</f>
        <v>2023</v>
      </c>
      <c r="I146" s="37" t="str">
        <f>'13. Desinvesteringen'!C430</f>
        <v>01 Regionale leidingen</v>
      </c>
      <c r="J146" s="166">
        <f>'13. Desinvesteringen'!F430</f>
        <v>0</v>
      </c>
      <c r="K146" s="38">
        <f>_xlfn.XLOOKUP(I146,'3. Input (des)investeringen '!$B$11:$B$81,'3. Input (des)investeringen '!$E$11:$E$81)</f>
        <v>1</v>
      </c>
      <c r="L146" s="48"/>
      <c r="M146" s="38">
        <f>_xlfn.XLOOKUP(I146,'3. Input (des)investeringen '!$B$11:$B$81,'3. Input (des)investeringen '!$D$11:$D$81,0)</f>
        <v>55</v>
      </c>
      <c r="N146" s="38">
        <f t="shared" si="54"/>
        <v>0</v>
      </c>
      <c r="P146" s="43">
        <f t="shared" si="33"/>
        <v>0</v>
      </c>
      <c r="Q146" s="43">
        <f t="shared" si="33"/>
        <v>0</v>
      </c>
      <c r="R146" s="43">
        <f t="shared" si="33"/>
        <v>0</v>
      </c>
      <c r="S146" s="43">
        <f t="shared" si="33"/>
        <v>0</v>
      </c>
      <c r="T146" s="95">
        <f t="shared" si="33"/>
        <v>0</v>
      </c>
      <c r="V146" s="43">
        <f t="shared" si="55"/>
        <v>0</v>
      </c>
      <c r="W146" s="43">
        <f t="shared" si="56"/>
        <v>0</v>
      </c>
      <c r="X146" s="43">
        <f t="shared" si="57"/>
        <v>0</v>
      </c>
      <c r="Y146" s="43">
        <f t="shared" si="58"/>
        <v>0</v>
      </c>
      <c r="Z146" s="95">
        <f t="shared" si="59"/>
        <v>0</v>
      </c>
      <c r="AB146" s="43">
        <f t="shared" si="60"/>
        <v>0</v>
      </c>
      <c r="AC146" s="43">
        <f t="shared" si="61"/>
        <v>0</v>
      </c>
      <c r="AD146" s="43">
        <f t="shared" si="62"/>
        <v>0</v>
      </c>
      <c r="AE146" s="43">
        <f t="shared" si="63"/>
        <v>0</v>
      </c>
      <c r="AF146" s="95">
        <f t="shared" si="64"/>
        <v>0</v>
      </c>
      <c r="AH146" s="43">
        <f t="shared" si="65"/>
        <v>0</v>
      </c>
      <c r="AI146" s="43">
        <f t="shared" si="66"/>
        <v>0</v>
      </c>
      <c r="AJ146" s="43">
        <f t="shared" si="67"/>
        <v>0</v>
      </c>
      <c r="AK146" s="43">
        <f t="shared" si="68"/>
        <v>0</v>
      </c>
      <c r="AL146" s="95">
        <f t="shared" si="69"/>
        <v>0</v>
      </c>
      <c r="AN146" s="47">
        <f t="shared" si="70"/>
        <v>0</v>
      </c>
      <c r="AO146" s="47">
        <f t="shared" si="71"/>
        <v>0</v>
      </c>
      <c r="AP146" s="47">
        <f t="shared" si="72"/>
        <v>0</v>
      </c>
      <c r="AQ146" s="47">
        <f t="shared" si="73"/>
        <v>0</v>
      </c>
      <c r="AR146" s="193">
        <f t="shared" si="74"/>
        <v>0</v>
      </c>
      <c r="AY146" s="3"/>
    </row>
    <row r="147" spans="1:51">
      <c r="A147" s="229"/>
      <c r="B147" s="37">
        <f>'13. Desinvesteringen'!B431</f>
        <v>412</v>
      </c>
      <c r="C147" s="48"/>
      <c r="D147" s="48"/>
      <c r="E147" s="48"/>
      <c r="F147" s="42">
        <f>'5. Input GAW-waarde desinv.'!D107</f>
        <v>0</v>
      </c>
      <c r="G147" s="177">
        <f>'13. Desinvesteringen'!D431</f>
        <v>1965</v>
      </c>
      <c r="H147" s="177">
        <f>'13. Desinvesteringen'!G431</f>
        <v>2023</v>
      </c>
      <c r="I147" s="37" t="str">
        <f>'13. Desinvesteringen'!C431</f>
        <v>01 Regionale leidingen</v>
      </c>
      <c r="J147" s="166">
        <f>'13. Desinvesteringen'!F431</f>
        <v>0</v>
      </c>
      <c r="K147" s="38">
        <f>_xlfn.XLOOKUP(I147,'3. Input (des)investeringen '!$B$11:$B$81,'3. Input (des)investeringen '!$E$11:$E$81)</f>
        <v>1</v>
      </c>
      <c r="L147" s="48"/>
      <c r="M147" s="38">
        <f>_xlfn.XLOOKUP(I147,'3. Input (des)investeringen '!$B$11:$B$81,'3. Input (des)investeringen '!$D$11:$D$81,0)</f>
        <v>55</v>
      </c>
      <c r="N147" s="38">
        <f t="shared" si="54"/>
        <v>0</v>
      </c>
      <c r="P147" s="43">
        <f t="shared" si="33"/>
        <v>0</v>
      </c>
      <c r="Q147" s="43">
        <f t="shared" si="33"/>
        <v>0</v>
      </c>
      <c r="R147" s="43">
        <f t="shared" si="33"/>
        <v>0</v>
      </c>
      <c r="S147" s="43">
        <f t="shared" si="33"/>
        <v>0</v>
      </c>
      <c r="T147" s="95">
        <f t="shared" si="33"/>
        <v>0</v>
      </c>
      <c r="V147" s="43">
        <f t="shared" si="55"/>
        <v>0</v>
      </c>
      <c r="W147" s="43">
        <f t="shared" si="56"/>
        <v>0</v>
      </c>
      <c r="X147" s="43">
        <f t="shared" si="57"/>
        <v>0</v>
      </c>
      <c r="Y147" s="43">
        <f t="shared" si="58"/>
        <v>0</v>
      </c>
      <c r="Z147" s="95">
        <f t="shared" si="59"/>
        <v>0</v>
      </c>
      <c r="AB147" s="43">
        <f t="shared" si="60"/>
        <v>0</v>
      </c>
      <c r="AC147" s="43">
        <f t="shared" si="61"/>
        <v>0</v>
      </c>
      <c r="AD147" s="43">
        <f t="shared" si="62"/>
        <v>0</v>
      </c>
      <c r="AE147" s="43">
        <f t="shared" si="63"/>
        <v>0</v>
      </c>
      <c r="AF147" s="95">
        <f t="shared" si="64"/>
        <v>0</v>
      </c>
      <c r="AH147" s="43">
        <f t="shared" si="65"/>
        <v>0</v>
      </c>
      <c r="AI147" s="43">
        <f t="shared" si="66"/>
        <v>0</v>
      </c>
      <c r="AJ147" s="43">
        <f t="shared" si="67"/>
        <v>0</v>
      </c>
      <c r="AK147" s="43">
        <f t="shared" si="68"/>
        <v>0</v>
      </c>
      <c r="AL147" s="95">
        <f t="shared" si="69"/>
        <v>0</v>
      </c>
      <c r="AN147" s="47">
        <f t="shared" si="70"/>
        <v>0</v>
      </c>
      <c r="AO147" s="47">
        <f t="shared" si="71"/>
        <v>0</v>
      </c>
      <c r="AP147" s="47">
        <f t="shared" si="72"/>
        <v>0</v>
      </c>
      <c r="AQ147" s="47">
        <f t="shared" si="73"/>
        <v>0</v>
      </c>
      <c r="AR147" s="193">
        <f t="shared" si="74"/>
        <v>0</v>
      </c>
      <c r="AY147" s="3"/>
    </row>
    <row r="148" spans="1:51">
      <c r="A148" s="229"/>
      <c r="B148" s="37">
        <f>'13. Desinvesteringen'!B432</f>
        <v>413</v>
      </c>
      <c r="C148" s="48"/>
      <c r="D148" s="48"/>
      <c r="E148" s="48"/>
      <c r="F148" s="42">
        <f>'5. Input GAW-waarde desinv.'!D108</f>
        <v>0</v>
      </c>
      <c r="G148" s="177">
        <f>'13. Desinvesteringen'!D432</f>
        <v>1966</v>
      </c>
      <c r="H148" s="177">
        <f>'13. Desinvesteringen'!G432</f>
        <v>2023</v>
      </c>
      <c r="I148" s="37" t="str">
        <f>'13. Desinvesteringen'!C432</f>
        <v>01 Regionale leidingen</v>
      </c>
      <c r="J148" s="166">
        <f>'13. Desinvesteringen'!F432</f>
        <v>0</v>
      </c>
      <c r="K148" s="38">
        <f>_xlfn.XLOOKUP(I148,'3. Input (des)investeringen '!$B$11:$B$81,'3. Input (des)investeringen '!$E$11:$E$81)</f>
        <v>1</v>
      </c>
      <c r="L148" s="48"/>
      <c r="M148" s="38">
        <f>_xlfn.XLOOKUP(I148,'3. Input (des)investeringen '!$B$11:$B$81,'3. Input (des)investeringen '!$D$11:$D$81,0)</f>
        <v>55</v>
      </c>
      <c r="N148" s="38">
        <f t="shared" si="54"/>
        <v>0</v>
      </c>
      <c r="P148" s="43">
        <f t="shared" si="33"/>
        <v>0</v>
      </c>
      <c r="Q148" s="43">
        <f t="shared" si="33"/>
        <v>0</v>
      </c>
      <c r="R148" s="43">
        <f t="shared" si="33"/>
        <v>0</v>
      </c>
      <c r="S148" s="43">
        <f t="shared" si="33"/>
        <v>0</v>
      </c>
      <c r="T148" s="95">
        <f t="shared" si="33"/>
        <v>0</v>
      </c>
      <c r="V148" s="43">
        <f t="shared" si="55"/>
        <v>0</v>
      </c>
      <c r="W148" s="43">
        <f t="shared" si="56"/>
        <v>0</v>
      </c>
      <c r="X148" s="43">
        <f t="shared" si="57"/>
        <v>0</v>
      </c>
      <c r="Y148" s="43">
        <f t="shared" si="58"/>
        <v>0</v>
      </c>
      <c r="Z148" s="95">
        <f t="shared" si="59"/>
        <v>0</v>
      </c>
      <c r="AB148" s="43">
        <f t="shared" si="60"/>
        <v>0</v>
      </c>
      <c r="AC148" s="43">
        <f t="shared" si="61"/>
        <v>0</v>
      </c>
      <c r="AD148" s="43">
        <f t="shared" si="62"/>
        <v>0</v>
      </c>
      <c r="AE148" s="43">
        <f t="shared" si="63"/>
        <v>0</v>
      </c>
      <c r="AF148" s="95">
        <f t="shared" si="64"/>
        <v>0</v>
      </c>
      <c r="AH148" s="43">
        <f t="shared" si="65"/>
        <v>0</v>
      </c>
      <c r="AI148" s="43">
        <f t="shared" si="66"/>
        <v>0</v>
      </c>
      <c r="AJ148" s="43">
        <f t="shared" si="67"/>
        <v>0</v>
      </c>
      <c r="AK148" s="43">
        <f t="shared" si="68"/>
        <v>0</v>
      </c>
      <c r="AL148" s="95">
        <f t="shared" si="69"/>
        <v>0</v>
      </c>
      <c r="AN148" s="47">
        <f t="shared" si="70"/>
        <v>0</v>
      </c>
      <c r="AO148" s="47">
        <f t="shared" si="71"/>
        <v>0</v>
      </c>
      <c r="AP148" s="47">
        <f t="shared" si="72"/>
        <v>0</v>
      </c>
      <c r="AQ148" s="47">
        <f t="shared" si="73"/>
        <v>0</v>
      </c>
      <c r="AR148" s="193">
        <f t="shared" si="74"/>
        <v>0</v>
      </c>
      <c r="AY148" s="3"/>
    </row>
    <row r="149" spans="1:51">
      <c r="A149" s="229"/>
      <c r="B149" s="37">
        <f>'13. Desinvesteringen'!B433</f>
        <v>414</v>
      </c>
      <c r="C149" s="48"/>
      <c r="D149" s="48"/>
      <c r="E149" s="48"/>
      <c r="F149" s="42">
        <f>'5. Input GAW-waarde desinv.'!D109</f>
        <v>4066.6917785254955</v>
      </c>
      <c r="G149" s="177">
        <f>'13. Desinvesteringen'!D433</f>
        <v>1967</v>
      </c>
      <c r="H149" s="177">
        <f>'13. Desinvesteringen'!G433</f>
        <v>2023</v>
      </c>
      <c r="I149" s="37" t="str">
        <f>'13. Desinvesteringen'!C433</f>
        <v>01 Regionale leidingen</v>
      </c>
      <c r="J149" s="166">
        <f>'13. Desinvesteringen'!F433</f>
        <v>0</v>
      </c>
      <c r="K149" s="38">
        <f>_xlfn.XLOOKUP(I149,'3. Input (des)investeringen '!$B$11:$B$81,'3. Input (des)investeringen '!$E$11:$E$81)</f>
        <v>1</v>
      </c>
      <c r="L149" s="48"/>
      <c r="M149" s="38">
        <f>_xlfn.XLOOKUP(I149,'3. Input (des)investeringen '!$B$11:$B$81,'3. Input (des)investeringen '!$D$11:$D$81,0)</f>
        <v>55</v>
      </c>
      <c r="N149" s="38">
        <f t="shared" si="54"/>
        <v>0.5</v>
      </c>
      <c r="P149" s="43">
        <f t="shared" si="33"/>
        <v>3660.0226006729458</v>
      </c>
      <c r="Q149" s="43">
        <f t="shared" si="33"/>
        <v>0</v>
      </c>
      <c r="R149" s="43">
        <f t="shared" si="33"/>
        <v>0</v>
      </c>
      <c r="S149" s="43">
        <f t="shared" si="33"/>
        <v>0</v>
      </c>
      <c r="T149" s="95">
        <f t="shared" si="33"/>
        <v>0</v>
      </c>
      <c r="V149" s="43">
        <f t="shared" si="55"/>
        <v>406.66917785254958</v>
      </c>
      <c r="W149" s="43">
        <f t="shared" si="56"/>
        <v>0</v>
      </c>
      <c r="X149" s="43">
        <f t="shared" si="57"/>
        <v>0</v>
      </c>
      <c r="Y149" s="43">
        <f t="shared" si="58"/>
        <v>0</v>
      </c>
      <c r="Z149" s="95">
        <f t="shared" si="59"/>
        <v>0</v>
      </c>
      <c r="AB149" s="43">
        <f t="shared" si="60"/>
        <v>4066.6917785254955</v>
      </c>
      <c r="AC149" s="43">
        <f t="shared" si="61"/>
        <v>0</v>
      </c>
      <c r="AD149" s="43">
        <f t="shared" si="62"/>
        <v>0</v>
      </c>
      <c r="AE149" s="43">
        <f t="shared" si="63"/>
        <v>0</v>
      </c>
      <c r="AF149" s="95">
        <f t="shared" si="64"/>
        <v>0</v>
      </c>
      <c r="AH149" s="43">
        <f t="shared" si="65"/>
        <v>0</v>
      </c>
      <c r="AI149" s="43">
        <f t="shared" si="66"/>
        <v>0</v>
      </c>
      <c r="AJ149" s="43">
        <f t="shared" si="67"/>
        <v>0</v>
      </c>
      <c r="AK149" s="43">
        <f t="shared" si="68"/>
        <v>0</v>
      </c>
      <c r="AL149" s="95">
        <f t="shared" si="69"/>
        <v>0</v>
      </c>
      <c r="AN149" s="47">
        <f t="shared" si="70"/>
        <v>4066.6917785254955</v>
      </c>
      <c r="AO149" s="47">
        <f t="shared" si="71"/>
        <v>0</v>
      </c>
      <c r="AP149" s="47">
        <f t="shared" si="72"/>
        <v>0</v>
      </c>
      <c r="AQ149" s="47">
        <f t="shared" si="73"/>
        <v>0</v>
      </c>
      <c r="AR149" s="193">
        <f t="shared" si="74"/>
        <v>0</v>
      </c>
      <c r="AY149" s="3"/>
    </row>
    <row r="150" spans="1:51">
      <c r="A150" s="229"/>
      <c r="B150" s="37">
        <f>'13. Desinvesteringen'!B434</f>
        <v>415</v>
      </c>
      <c r="C150" s="48"/>
      <c r="D150" s="48"/>
      <c r="E150" s="48"/>
      <c r="F150" s="42">
        <f>'5. Input GAW-waarde desinv.'!D110</f>
        <v>72313.792532278865</v>
      </c>
      <c r="G150" s="177">
        <f>'13. Desinvesteringen'!D434</f>
        <v>1968</v>
      </c>
      <c r="H150" s="177">
        <f>'13. Desinvesteringen'!G434</f>
        <v>2023</v>
      </c>
      <c r="I150" s="37" t="str">
        <f>'13. Desinvesteringen'!C434</f>
        <v>01 Regionale leidingen</v>
      </c>
      <c r="J150" s="166">
        <f>'13. Desinvesteringen'!F434</f>
        <v>0</v>
      </c>
      <c r="K150" s="38">
        <f>_xlfn.XLOOKUP(I150,'3. Input (des)investeringen '!$B$11:$B$81,'3. Input (des)investeringen '!$E$11:$E$81)</f>
        <v>1</v>
      </c>
      <c r="L150" s="48"/>
      <c r="M150" s="38">
        <f>_xlfn.XLOOKUP(I150,'3. Input (des)investeringen '!$B$11:$B$81,'3. Input (des)investeringen '!$D$11:$D$81,0)</f>
        <v>55</v>
      </c>
      <c r="N150" s="38">
        <f t="shared" si="54"/>
        <v>1.5</v>
      </c>
      <c r="P150" s="43">
        <f t="shared" si="33"/>
        <v>56404.758175177521</v>
      </c>
      <c r="Q150" s="43">
        <f t="shared" si="33"/>
        <v>8677.6551038734615</v>
      </c>
      <c r="R150" s="43">
        <f t="shared" si="33"/>
        <v>0</v>
      </c>
      <c r="S150" s="43">
        <f t="shared" si="33"/>
        <v>0</v>
      </c>
      <c r="T150" s="95">
        <f t="shared" si="33"/>
        <v>0</v>
      </c>
      <c r="V150" s="43">
        <f t="shared" si="55"/>
        <v>4820.9195021519245</v>
      </c>
      <c r="W150" s="43">
        <f t="shared" si="56"/>
        <v>2410.4597510759627</v>
      </c>
      <c r="X150" s="43">
        <f t="shared" si="57"/>
        <v>0</v>
      </c>
      <c r="Y150" s="43">
        <f t="shared" si="58"/>
        <v>0</v>
      </c>
      <c r="Z150" s="95">
        <f t="shared" si="59"/>
        <v>0</v>
      </c>
      <c r="AB150" s="43">
        <f t="shared" si="60"/>
        <v>61225.677677329448</v>
      </c>
      <c r="AC150" s="43">
        <f t="shared" si="61"/>
        <v>11088.114854949425</v>
      </c>
      <c r="AD150" s="43">
        <f t="shared" si="62"/>
        <v>0</v>
      </c>
      <c r="AE150" s="43">
        <f t="shared" si="63"/>
        <v>0</v>
      </c>
      <c r="AF150" s="95">
        <f t="shared" si="64"/>
        <v>0</v>
      </c>
      <c r="AH150" s="43">
        <f t="shared" si="65"/>
        <v>11088.114854949417</v>
      </c>
      <c r="AI150" s="43">
        <f t="shared" si="66"/>
        <v>0</v>
      </c>
      <c r="AJ150" s="43">
        <f t="shared" si="67"/>
        <v>0</v>
      </c>
      <c r="AK150" s="43">
        <f t="shared" si="68"/>
        <v>0</v>
      </c>
      <c r="AL150" s="95">
        <f t="shared" si="69"/>
        <v>0</v>
      </c>
      <c r="AN150" s="47">
        <f t="shared" si="70"/>
        <v>61680.290386382374</v>
      </c>
      <c r="AO150" s="47">
        <f t="shared" si="71"/>
        <v>11088.114854949425</v>
      </c>
      <c r="AP150" s="47">
        <f t="shared" si="72"/>
        <v>0</v>
      </c>
      <c r="AQ150" s="47">
        <f t="shared" si="73"/>
        <v>0</v>
      </c>
      <c r="AR150" s="193">
        <f t="shared" si="74"/>
        <v>0</v>
      </c>
      <c r="AY150" s="3"/>
    </row>
    <row r="151" spans="1:51">
      <c r="A151" s="229"/>
      <c r="B151" s="37">
        <f>'13. Desinvesteringen'!B435</f>
        <v>416</v>
      </c>
      <c r="C151" s="48"/>
      <c r="D151" s="48"/>
      <c r="E151" s="48"/>
      <c r="F151" s="42">
        <f>'5. Input GAW-waarde desinv.'!D111</f>
        <v>39219.604478837689</v>
      </c>
      <c r="G151" s="177">
        <f>'13. Desinvesteringen'!D435</f>
        <v>1969</v>
      </c>
      <c r="H151" s="177">
        <f>'13. Desinvesteringen'!G435</f>
        <v>2023</v>
      </c>
      <c r="I151" s="37" t="str">
        <f>'13. Desinvesteringen'!C435</f>
        <v>01 Regionale leidingen</v>
      </c>
      <c r="J151" s="166">
        <f>'13. Desinvesteringen'!F435</f>
        <v>0</v>
      </c>
      <c r="K151" s="38">
        <f>_xlfn.XLOOKUP(I151,'3. Input (des)investeringen '!$B$11:$B$81,'3. Input (des)investeringen '!$E$11:$E$81)</f>
        <v>1</v>
      </c>
      <c r="L151" s="48"/>
      <c r="M151" s="38">
        <f>_xlfn.XLOOKUP(I151,'3. Input (des)investeringen '!$B$11:$B$81,'3. Input (des)investeringen '!$D$11:$D$81,0)</f>
        <v>55</v>
      </c>
      <c r="N151" s="38">
        <f t="shared" si="54"/>
        <v>2.5</v>
      </c>
      <c r="P151" s="43">
        <f t="shared" si="33"/>
        <v>18354.774896096042</v>
      </c>
      <c r="Q151" s="43">
        <f t="shared" si="33"/>
        <v>11295.246089905255</v>
      </c>
      <c r="R151" s="43">
        <f t="shared" si="33"/>
        <v>5647.6230449526274</v>
      </c>
      <c r="S151" s="43">
        <f t="shared" si="33"/>
        <v>0</v>
      </c>
      <c r="T151" s="95">
        <f t="shared" si="33"/>
        <v>0</v>
      </c>
      <c r="V151" s="43">
        <f t="shared" si="55"/>
        <v>1568.7841791535077</v>
      </c>
      <c r="W151" s="43">
        <f t="shared" si="56"/>
        <v>1568.7841791535075</v>
      </c>
      <c r="X151" s="43">
        <f t="shared" si="57"/>
        <v>784.39208957675373</v>
      </c>
      <c r="Y151" s="43">
        <f t="shared" si="58"/>
        <v>0</v>
      </c>
      <c r="Z151" s="95">
        <f t="shared" si="59"/>
        <v>0</v>
      </c>
      <c r="AB151" s="43">
        <f t="shared" si="60"/>
        <v>19923.559075249548</v>
      </c>
      <c r="AC151" s="43">
        <f t="shared" si="61"/>
        <v>12864.030269058763</v>
      </c>
      <c r="AD151" s="43">
        <f t="shared" si="62"/>
        <v>6432.0151345293816</v>
      </c>
      <c r="AE151" s="43">
        <f t="shared" si="63"/>
        <v>0</v>
      </c>
      <c r="AF151" s="95">
        <f t="shared" si="64"/>
        <v>0</v>
      </c>
      <c r="AH151" s="43">
        <f t="shared" si="65"/>
        <v>19296.045403588141</v>
      </c>
      <c r="AI151" s="43">
        <f t="shared" si="66"/>
        <v>6432.015134529378</v>
      </c>
      <c r="AJ151" s="43">
        <f t="shared" si="67"/>
        <v>0</v>
      </c>
      <c r="AK151" s="43">
        <f t="shared" si="68"/>
        <v>0</v>
      </c>
      <c r="AL151" s="95">
        <f t="shared" si="69"/>
        <v>0</v>
      </c>
      <c r="AN151" s="47">
        <f t="shared" si="70"/>
        <v>20714.696936796663</v>
      </c>
      <c r="AO151" s="47">
        <f t="shared" si="71"/>
        <v>13192.063040919762</v>
      </c>
      <c r="AP151" s="47">
        <f t="shared" si="72"/>
        <v>6432.0151345293816</v>
      </c>
      <c r="AQ151" s="47">
        <f t="shared" si="73"/>
        <v>0</v>
      </c>
      <c r="AR151" s="193">
        <f t="shared" si="74"/>
        <v>0</v>
      </c>
      <c r="AY151" s="3"/>
    </row>
    <row r="152" spans="1:51">
      <c r="A152" s="229"/>
      <c r="B152" s="37">
        <f>'13. Desinvesteringen'!B436</f>
        <v>417</v>
      </c>
      <c r="C152" s="48"/>
      <c r="D152" s="48"/>
      <c r="E152" s="48"/>
      <c r="F152" s="42">
        <f>'5. Input GAW-waarde desinv.'!D112</f>
        <v>69808.707803642814</v>
      </c>
      <c r="G152" s="177">
        <f>'13. Desinvesteringen'!D436</f>
        <v>1970</v>
      </c>
      <c r="H152" s="177">
        <f>'13. Desinvesteringen'!G436</f>
        <v>2023</v>
      </c>
      <c r="I152" s="37" t="str">
        <f>'13. Desinvesteringen'!C436</f>
        <v>01 Regionale leidingen</v>
      </c>
      <c r="J152" s="166">
        <f>'13. Desinvesteringen'!F436</f>
        <v>0</v>
      </c>
      <c r="K152" s="38">
        <f>_xlfn.XLOOKUP(I152,'3. Input (des)investeringen '!$B$11:$B$81,'3. Input (des)investeringen '!$E$11:$E$81)</f>
        <v>1</v>
      </c>
      <c r="L152" s="48"/>
      <c r="M152" s="38">
        <f>_xlfn.XLOOKUP(I152,'3. Input (des)investeringen '!$B$11:$B$81,'3. Input (des)investeringen '!$D$11:$D$81,0)</f>
        <v>55</v>
      </c>
      <c r="N152" s="38">
        <f t="shared" si="54"/>
        <v>3.5</v>
      </c>
      <c r="P152" s="43">
        <f t="shared" si="33"/>
        <v>23336.053751503456</v>
      </c>
      <c r="Q152" s="43">
        <f t="shared" si="33"/>
        <v>15796.71330871003</v>
      </c>
      <c r="R152" s="43">
        <f t="shared" si="33"/>
        <v>15796.71330871003</v>
      </c>
      <c r="S152" s="43">
        <f t="shared" si="33"/>
        <v>7898.3566543550151</v>
      </c>
      <c r="T152" s="95">
        <f t="shared" si="33"/>
        <v>0</v>
      </c>
      <c r="V152" s="43">
        <f t="shared" si="55"/>
        <v>1994.534508675509</v>
      </c>
      <c r="W152" s="43">
        <f t="shared" si="56"/>
        <v>1994.5345086755094</v>
      </c>
      <c r="X152" s="43">
        <f t="shared" si="57"/>
        <v>1994.5345086755094</v>
      </c>
      <c r="Y152" s="43">
        <f t="shared" si="58"/>
        <v>997.26725433775471</v>
      </c>
      <c r="Z152" s="95">
        <f t="shared" si="59"/>
        <v>0</v>
      </c>
      <c r="AB152" s="43">
        <f t="shared" si="60"/>
        <v>25330.588260178964</v>
      </c>
      <c r="AC152" s="43">
        <f t="shared" si="61"/>
        <v>17791.247817385538</v>
      </c>
      <c r="AD152" s="43">
        <f t="shared" si="62"/>
        <v>17791.247817385538</v>
      </c>
      <c r="AE152" s="43">
        <f t="shared" si="63"/>
        <v>8895.623908692769</v>
      </c>
      <c r="AF152" s="95">
        <f t="shared" si="64"/>
        <v>0</v>
      </c>
      <c r="AH152" s="43">
        <f t="shared" si="65"/>
        <v>44478.11954346385</v>
      </c>
      <c r="AI152" s="43">
        <f t="shared" si="66"/>
        <v>26686.871726078312</v>
      </c>
      <c r="AJ152" s="43">
        <f t="shared" si="67"/>
        <v>8895.6239086927744</v>
      </c>
      <c r="AK152" s="43">
        <f t="shared" si="68"/>
        <v>0</v>
      </c>
      <c r="AL152" s="95">
        <f t="shared" si="69"/>
        <v>0</v>
      </c>
      <c r="AN152" s="47">
        <f t="shared" si="70"/>
        <v>27154.191161460982</v>
      </c>
      <c r="AO152" s="47">
        <f t="shared" si="71"/>
        <v>19152.278275415531</v>
      </c>
      <c r="AP152" s="47">
        <f t="shared" si="72"/>
        <v>18244.924636728869</v>
      </c>
      <c r="AQ152" s="47">
        <f t="shared" si="73"/>
        <v>8895.623908692769</v>
      </c>
      <c r="AR152" s="193">
        <f t="shared" si="74"/>
        <v>0</v>
      </c>
      <c r="AY152" s="3"/>
    </row>
    <row r="153" spans="1:51">
      <c r="A153" s="229"/>
      <c r="B153" s="37">
        <f>'13. Desinvesteringen'!B437</f>
        <v>418</v>
      </c>
      <c r="C153" s="48"/>
      <c r="D153" s="48"/>
      <c r="E153" s="48"/>
      <c r="F153" s="42">
        <f>'5. Input GAW-waarde desinv.'!D113</f>
        <v>38586.635084201873</v>
      </c>
      <c r="G153" s="177">
        <f>'13. Desinvesteringen'!D437</f>
        <v>1971</v>
      </c>
      <c r="H153" s="177">
        <f>'13. Desinvesteringen'!G437</f>
        <v>2023</v>
      </c>
      <c r="I153" s="37" t="str">
        <f>'13. Desinvesteringen'!C437</f>
        <v>01 Regionale leidingen</v>
      </c>
      <c r="J153" s="166">
        <f>'13. Desinvesteringen'!F437</f>
        <v>0</v>
      </c>
      <c r="K153" s="38">
        <f>_xlfn.XLOOKUP(I153,'3. Input (des)investeringen '!$B$11:$B$81,'3. Input (des)investeringen '!$E$11:$E$81)</f>
        <v>1</v>
      </c>
      <c r="L153" s="48"/>
      <c r="M153" s="38">
        <f>_xlfn.XLOOKUP(I153,'3. Input (des)investeringen '!$B$11:$B$81,'3. Input (des)investeringen '!$D$11:$D$81,0)</f>
        <v>55</v>
      </c>
      <c r="N153" s="38">
        <f t="shared" si="54"/>
        <v>4.5</v>
      </c>
      <c r="P153" s="43">
        <f t="shared" si="33"/>
        <v>10032.525121892488</v>
      </c>
      <c r="Q153" s="43">
        <f t="shared" si="33"/>
        <v>7134.2400866791022</v>
      </c>
      <c r="R153" s="43">
        <f t="shared" si="33"/>
        <v>7024.4825468840381</v>
      </c>
      <c r="S153" s="43">
        <f t="shared" si="33"/>
        <v>7024.4825468840381</v>
      </c>
      <c r="T153" s="95">
        <f t="shared" si="33"/>
        <v>3512.2412734420191</v>
      </c>
      <c r="V153" s="43">
        <f t="shared" si="55"/>
        <v>857.48077964893059</v>
      </c>
      <c r="W153" s="43">
        <f t="shared" si="56"/>
        <v>857.48077964893059</v>
      </c>
      <c r="X153" s="43">
        <f t="shared" si="57"/>
        <v>857.48077964893059</v>
      </c>
      <c r="Y153" s="43">
        <f t="shared" si="58"/>
        <v>857.48077964893059</v>
      </c>
      <c r="Z153" s="95">
        <f t="shared" si="59"/>
        <v>428.7403898244653</v>
      </c>
      <c r="AB153" s="43">
        <f t="shared" si="60"/>
        <v>10890.005901541419</v>
      </c>
      <c r="AC153" s="43">
        <f t="shared" si="61"/>
        <v>7991.7208663280326</v>
      </c>
      <c r="AD153" s="43">
        <f t="shared" si="62"/>
        <v>7881.9633265329685</v>
      </c>
      <c r="AE153" s="43">
        <f t="shared" si="63"/>
        <v>7881.9633265329685</v>
      </c>
      <c r="AF153" s="95">
        <f t="shared" si="64"/>
        <v>3940.9816632664842</v>
      </c>
      <c r="AH153" s="43">
        <f t="shared" si="65"/>
        <v>27696.629182660454</v>
      </c>
      <c r="AI153" s="43">
        <f t="shared" si="66"/>
        <v>19704.908316332421</v>
      </c>
      <c r="AJ153" s="43">
        <f t="shared" si="67"/>
        <v>11822.944989799453</v>
      </c>
      <c r="AK153" s="43">
        <f t="shared" si="68"/>
        <v>3940.9816632664842</v>
      </c>
      <c r="AL153" s="95">
        <f t="shared" si="69"/>
        <v>0</v>
      </c>
      <c r="AN153" s="47">
        <f t="shared" si="70"/>
        <v>12025.567698030498</v>
      </c>
      <c r="AO153" s="47">
        <f t="shared" si="71"/>
        <v>8996.6711904609856</v>
      </c>
      <c r="AP153" s="47">
        <f t="shared" si="72"/>
        <v>8484.933521012741</v>
      </c>
      <c r="AQ153" s="47">
        <f t="shared" si="73"/>
        <v>8031.7206297370949</v>
      </c>
      <c r="AR153" s="193">
        <f t="shared" si="74"/>
        <v>3940.9816632664842</v>
      </c>
      <c r="AY153" s="3"/>
    </row>
    <row r="154" spans="1:51">
      <c r="A154" s="229"/>
      <c r="B154" s="37">
        <f>'13. Desinvesteringen'!B438</f>
        <v>419</v>
      </c>
      <c r="C154" s="48"/>
      <c r="D154" s="48"/>
      <c r="E154" s="48"/>
      <c r="F154" s="42">
        <f>'5. Input GAW-waarde desinv.'!D114</f>
        <v>21904.077054372625</v>
      </c>
      <c r="G154" s="177">
        <f>'13. Desinvesteringen'!D438</f>
        <v>1972</v>
      </c>
      <c r="H154" s="177">
        <f>'13. Desinvesteringen'!G438</f>
        <v>2023</v>
      </c>
      <c r="I154" s="37" t="str">
        <f>'13. Desinvesteringen'!C438</f>
        <v>01 Regionale leidingen</v>
      </c>
      <c r="J154" s="166">
        <f>'13. Desinvesteringen'!F438</f>
        <v>0</v>
      </c>
      <c r="K154" s="38">
        <f>_xlfn.XLOOKUP(I154,'3. Input (des)investeringen '!$B$11:$B$81,'3. Input (des)investeringen '!$E$11:$E$81)</f>
        <v>1</v>
      </c>
      <c r="L154" s="48"/>
      <c r="M154" s="38">
        <f>_xlfn.XLOOKUP(I154,'3. Input (des)investeringen '!$B$11:$B$81,'3. Input (des)investeringen '!$D$11:$D$81,0)</f>
        <v>55</v>
      </c>
      <c r="N154" s="38">
        <f t="shared" si="54"/>
        <v>5.5</v>
      </c>
      <c r="P154" s="43">
        <f t="shared" si="33"/>
        <v>4659.594573384722</v>
      </c>
      <c r="Q154" s="43">
        <f t="shared" si="33"/>
        <v>3558.2358560392422</v>
      </c>
      <c r="R154" s="43">
        <f t="shared" si="33"/>
        <v>3284.5254055746855</v>
      </c>
      <c r="S154" s="43">
        <f t="shared" si="33"/>
        <v>3284.5254055746855</v>
      </c>
      <c r="T154" s="95">
        <f t="shared" si="33"/>
        <v>3284.5254055746855</v>
      </c>
      <c r="V154" s="43">
        <f t="shared" si="55"/>
        <v>398.25594644313867</v>
      </c>
      <c r="W154" s="43">
        <f t="shared" si="56"/>
        <v>398.25594644313867</v>
      </c>
      <c r="X154" s="43">
        <f t="shared" si="57"/>
        <v>398.25594644313867</v>
      </c>
      <c r="Y154" s="43">
        <f t="shared" si="58"/>
        <v>398.25594644313867</v>
      </c>
      <c r="Z154" s="95">
        <f t="shared" si="59"/>
        <v>398.25594644313867</v>
      </c>
      <c r="AB154" s="43">
        <f t="shared" si="60"/>
        <v>5057.8505198278608</v>
      </c>
      <c r="AC154" s="43">
        <f t="shared" si="61"/>
        <v>3956.491802482381</v>
      </c>
      <c r="AD154" s="43">
        <f t="shared" si="62"/>
        <v>3682.7813520178242</v>
      </c>
      <c r="AE154" s="43">
        <f t="shared" si="63"/>
        <v>3682.7813520178242</v>
      </c>
      <c r="AF154" s="95">
        <f t="shared" si="64"/>
        <v>3682.7813520178242</v>
      </c>
      <c r="AH154" s="43">
        <f t="shared" si="65"/>
        <v>16846.226534544763</v>
      </c>
      <c r="AI154" s="43">
        <f t="shared" si="66"/>
        <v>12889.734732062381</v>
      </c>
      <c r="AJ154" s="43">
        <f t="shared" si="67"/>
        <v>9206.953380044557</v>
      </c>
      <c r="AK154" s="43">
        <f t="shared" si="68"/>
        <v>5524.1720280267327</v>
      </c>
      <c r="AL154" s="95">
        <f t="shared" si="69"/>
        <v>1841.3906760089085</v>
      </c>
      <c r="AN154" s="47">
        <f t="shared" si="70"/>
        <v>5748.5458077441963</v>
      </c>
      <c r="AO154" s="47">
        <f t="shared" si="71"/>
        <v>4613.8682738175621</v>
      </c>
      <c r="AP154" s="47">
        <f t="shared" si="72"/>
        <v>4152.3359744000963</v>
      </c>
      <c r="AQ154" s="47">
        <f t="shared" si="73"/>
        <v>3892.6998890828399</v>
      </c>
      <c r="AR154" s="193">
        <f t="shared" si="74"/>
        <v>3752.7541977061628</v>
      </c>
      <c r="AY154" s="3"/>
    </row>
    <row r="155" spans="1:51">
      <c r="A155" s="229"/>
      <c r="B155" s="37">
        <f>'13. Desinvesteringen'!B439</f>
        <v>420</v>
      </c>
      <c r="C155" s="48"/>
      <c r="D155" s="48"/>
      <c r="E155" s="48"/>
      <c r="F155" s="42">
        <f>'5. Input GAW-waarde desinv.'!D115</f>
        <v>17162.736023996706</v>
      </c>
      <c r="G155" s="177">
        <f>'13. Desinvesteringen'!D439</f>
        <v>1973</v>
      </c>
      <c r="H155" s="177">
        <f>'13. Desinvesteringen'!G439</f>
        <v>2023</v>
      </c>
      <c r="I155" s="37" t="str">
        <f>'13. Desinvesteringen'!C439</f>
        <v>01 Regionale leidingen</v>
      </c>
      <c r="J155" s="166">
        <f>'13. Desinvesteringen'!F439</f>
        <v>0</v>
      </c>
      <c r="K155" s="38">
        <f>_xlfn.XLOOKUP(I155,'3. Input (des)investeringen '!$B$11:$B$81,'3. Input (des)investeringen '!$E$11:$E$81)</f>
        <v>1</v>
      </c>
      <c r="L155" s="48"/>
      <c r="M155" s="38">
        <f>_xlfn.XLOOKUP(I155,'3. Input (des)investeringen '!$B$11:$B$81,'3. Input (des)investeringen '!$D$11:$D$81,0)</f>
        <v>55</v>
      </c>
      <c r="N155" s="38">
        <f t="shared" si="54"/>
        <v>6.5</v>
      </c>
      <c r="P155" s="43">
        <f t="shared" si="33"/>
        <v>3089.2924843194073</v>
      </c>
      <c r="Q155" s="43">
        <f t="shared" si="33"/>
        <v>2471.4339874555258</v>
      </c>
      <c r="R155" s="43">
        <f t="shared" si="33"/>
        <v>2196.8302110715786</v>
      </c>
      <c r="S155" s="43">
        <f t="shared" si="33"/>
        <v>2196.8302110715786</v>
      </c>
      <c r="T155" s="95">
        <f t="shared" si="33"/>
        <v>2196.8302110715786</v>
      </c>
      <c r="V155" s="43">
        <f t="shared" si="55"/>
        <v>264.04209267687241</v>
      </c>
      <c r="W155" s="43">
        <f t="shared" si="56"/>
        <v>264.04209267687241</v>
      </c>
      <c r="X155" s="43">
        <f t="shared" si="57"/>
        <v>264.04209267687241</v>
      </c>
      <c r="Y155" s="43">
        <f t="shared" si="58"/>
        <v>264.04209267687241</v>
      </c>
      <c r="Z155" s="95">
        <f t="shared" si="59"/>
        <v>264.04209267687241</v>
      </c>
      <c r="AB155" s="43">
        <f t="shared" si="60"/>
        <v>3353.3345769962798</v>
      </c>
      <c r="AC155" s="43">
        <f t="shared" si="61"/>
        <v>2735.4760801323982</v>
      </c>
      <c r="AD155" s="43">
        <f t="shared" si="62"/>
        <v>2460.872303748451</v>
      </c>
      <c r="AE155" s="43">
        <f t="shared" si="63"/>
        <v>2460.872303748451</v>
      </c>
      <c r="AF155" s="95">
        <f t="shared" si="64"/>
        <v>2460.872303748451</v>
      </c>
      <c r="AH155" s="43">
        <f t="shared" si="65"/>
        <v>13809.401447000426</v>
      </c>
      <c r="AI155" s="43">
        <f t="shared" si="66"/>
        <v>11073.925366868029</v>
      </c>
      <c r="AJ155" s="43">
        <f t="shared" si="67"/>
        <v>8613.0530631195779</v>
      </c>
      <c r="AK155" s="43">
        <f t="shared" si="68"/>
        <v>6152.1807593711274</v>
      </c>
      <c r="AL155" s="95">
        <f t="shared" si="69"/>
        <v>3691.3084556226763</v>
      </c>
      <c r="AN155" s="47">
        <f t="shared" si="70"/>
        <v>3919.5200363232971</v>
      </c>
      <c r="AO155" s="47">
        <f t="shared" si="71"/>
        <v>3300.2462738426675</v>
      </c>
      <c r="AP155" s="47">
        <f t="shared" si="72"/>
        <v>2900.1380099675494</v>
      </c>
      <c r="AQ155" s="47">
        <f t="shared" si="73"/>
        <v>2694.6551726045536</v>
      </c>
      <c r="AR155" s="193">
        <f t="shared" si="74"/>
        <v>2601.1420250621127</v>
      </c>
      <c r="AY155" s="3"/>
    </row>
    <row r="156" spans="1:51">
      <c r="A156" s="229"/>
      <c r="B156" s="37">
        <f>'13. Desinvesteringen'!B440</f>
        <v>421</v>
      </c>
      <c r="C156" s="48"/>
      <c r="D156" s="48"/>
      <c r="E156" s="48"/>
      <c r="F156" s="42">
        <f>'5. Input GAW-waarde desinv.'!D116</f>
        <v>2951.3714473540831</v>
      </c>
      <c r="G156" s="177">
        <f>'13. Desinvesteringen'!D440</f>
        <v>1985</v>
      </c>
      <c r="H156" s="177">
        <f>'13. Desinvesteringen'!G440</f>
        <v>2023</v>
      </c>
      <c r="I156" s="37" t="str">
        <f>'13. Desinvesteringen'!C440</f>
        <v>01 Regionale leidingen</v>
      </c>
      <c r="J156" s="166">
        <f>'13. Desinvesteringen'!F440</f>
        <v>0</v>
      </c>
      <c r="K156" s="38">
        <f>_xlfn.XLOOKUP(I156,'3. Input (des)investeringen '!$B$11:$B$81,'3. Input (des)investeringen '!$E$11:$E$81)</f>
        <v>1</v>
      </c>
      <c r="L156" s="48"/>
      <c r="M156" s="38">
        <f>_xlfn.XLOOKUP(I156,'3. Input (des)investeringen '!$B$11:$B$81,'3. Input (des)investeringen '!$D$11:$D$81,0)</f>
        <v>55</v>
      </c>
      <c r="N156" s="38">
        <f t="shared" si="54"/>
        <v>18.5</v>
      </c>
      <c r="P156" s="43">
        <f t="shared" si="33"/>
        <v>186.65430234617716</v>
      </c>
      <c r="Q156" s="43">
        <f t="shared" si="33"/>
        <v>173.53805407320257</v>
      </c>
      <c r="R156" s="43">
        <f t="shared" si="33"/>
        <v>161.34348811130184</v>
      </c>
      <c r="S156" s="43">
        <f t="shared" si="33"/>
        <v>150.00583759537253</v>
      </c>
      <c r="T156" s="95">
        <f t="shared" si="33"/>
        <v>139.46488684542743</v>
      </c>
      <c r="V156" s="43">
        <f t="shared" si="55"/>
        <v>15.953359174886936</v>
      </c>
      <c r="W156" s="43">
        <f t="shared" si="56"/>
        <v>15.953359174886936</v>
      </c>
      <c r="X156" s="43">
        <f t="shared" si="57"/>
        <v>15.953359174886936</v>
      </c>
      <c r="Y156" s="43">
        <f t="shared" si="58"/>
        <v>15.953359174886936</v>
      </c>
      <c r="Z156" s="95">
        <f t="shared" si="59"/>
        <v>15.953359174886936</v>
      </c>
      <c r="AB156" s="43">
        <f t="shared" si="60"/>
        <v>202.6076615210641</v>
      </c>
      <c r="AC156" s="43">
        <f t="shared" si="61"/>
        <v>189.49141324808951</v>
      </c>
      <c r="AD156" s="43">
        <f t="shared" si="62"/>
        <v>177.29684728618878</v>
      </c>
      <c r="AE156" s="43">
        <f t="shared" si="63"/>
        <v>165.95919677025947</v>
      </c>
      <c r="AF156" s="95">
        <f t="shared" si="64"/>
        <v>155.41824602031437</v>
      </c>
      <c r="AH156" s="43">
        <f t="shared" si="65"/>
        <v>2748.763785833019</v>
      </c>
      <c r="AI156" s="43">
        <f t="shared" si="66"/>
        <v>2559.2723725849296</v>
      </c>
      <c r="AJ156" s="43">
        <f t="shared" si="67"/>
        <v>2381.9755252987406</v>
      </c>
      <c r="AK156" s="43">
        <f t="shared" si="68"/>
        <v>2216.0163285284812</v>
      </c>
      <c r="AL156" s="95">
        <f t="shared" si="69"/>
        <v>2060.598082508167</v>
      </c>
      <c r="AN156" s="47">
        <f t="shared" si="70"/>
        <v>315.30697674021792</v>
      </c>
      <c r="AO156" s="47">
        <f t="shared" si="71"/>
        <v>320.01430424992088</v>
      </c>
      <c r="AP156" s="47">
        <f t="shared" si="72"/>
        <v>298.77759907642456</v>
      </c>
      <c r="AQ156" s="47">
        <f t="shared" si="73"/>
        <v>250.16781725434174</v>
      </c>
      <c r="AR156" s="193">
        <f t="shared" si="74"/>
        <v>233.72097315562473</v>
      </c>
      <c r="AY156" s="3"/>
    </row>
    <row r="157" spans="1:51">
      <c r="A157" s="229"/>
      <c r="B157" s="37">
        <f>'13. Desinvesteringen'!B441</f>
        <v>422</v>
      </c>
      <c r="C157" s="48"/>
      <c r="D157" s="48"/>
      <c r="E157" s="48"/>
      <c r="F157" s="42">
        <f>'5. Input GAW-waarde desinv.'!D117</f>
        <v>1042.7959463378704</v>
      </c>
      <c r="G157" s="177">
        <f>'13. Desinvesteringen'!D441</f>
        <v>1988</v>
      </c>
      <c r="H157" s="177">
        <f>'13. Desinvesteringen'!G441</f>
        <v>2023</v>
      </c>
      <c r="I157" s="37" t="str">
        <f>'13. Desinvesteringen'!C441</f>
        <v>01 Regionale leidingen</v>
      </c>
      <c r="J157" s="166">
        <f>'13. Desinvesteringen'!F441</f>
        <v>0</v>
      </c>
      <c r="K157" s="38">
        <f>_xlfn.XLOOKUP(I157,'3. Input (des)investeringen '!$B$11:$B$81,'3. Input (des)investeringen '!$E$11:$E$81)</f>
        <v>1</v>
      </c>
      <c r="L157" s="48"/>
      <c r="M157" s="38">
        <f>_xlfn.XLOOKUP(I157,'3. Input (des)investeringen '!$B$11:$B$81,'3. Input (des)investeringen '!$D$11:$D$81,0)</f>
        <v>55</v>
      </c>
      <c r="N157" s="38">
        <f t="shared" si="54"/>
        <v>21.5</v>
      </c>
      <c r="P157" s="43">
        <f t="shared" si="33"/>
        <v>56.747500335595738</v>
      </c>
      <c r="Q157" s="43">
        <f t="shared" si="33"/>
        <v>53.316256129257397</v>
      </c>
      <c r="R157" s="43">
        <f t="shared" si="33"/>
        <v>50.092482502837179</v>
      </c>
      <c r="S157" s="43">
        <f t="shared" si="33"/>
        <v>47.063634723595868</v>
      </c>
      <c r="T157" s="95">
        <f t="shared" si="33"/>
        <v>44.217926577517972</v>
      </c>
      <c r="V157" s="43">
        <f t="shared" si="55"/>
        <v>4.8502137038970723</v>
      </c>
      <c r="W157" s="43">
        <f t="shared" si="56"/>
        <v>4.8502137038970723</v>
      </c>
      <c r="X157" s="43">
        <f t="shared" si="57"/>
        <v>4.8502137038970723</v>
      </c>
      <c r="Y157" s="43">
        <f t="shared" si="58"/>
        <v>4.8502137038970723</v>
      </c>
      <c r="Z157" s="95">
        <f t="shared" si="59"/>
        <v>4.8502137038970723</v>
      </c>
      <c r="AB157" s="43">
        <f t="shared" si="60"/>
        <v>61.597714039492814</v>
      </c>
      <c r="AC157" s="43">
        <f t="shared" si="61"/>
        <v>58.166469833154466</v>
      </c>
      <c r="AD157" s="43">
        <f t="shared" si="62"/>
        <v>54.942696206734254</v>
      </c>
      <c r="AE157" s="43">
        <f t="shared" si="63"/>
        <v>51.913848427492937</v>
      </c>
      <c r="AF157" s="95">
        <f t="shared" si="64"/>
        <v>49.06814028141504</v>
      </c>
      <c r="AH157" s="43">
        <f t="shared" si="65"/>
        <v>981.19823229837766</v>
      </c>
      <c r="AI157" s="43">
        <f t="shared" si="66"/>
        <v>923.03176246522321</v>
      </c>
      <c r="AJ157" s="43">
        <f t="shared" si="67"/>
        <v>868.08906625848897</v>
      </c>
      <c r="AK157" s="43">
        <f t="shared" si="68"/>
        <v>816.17521783099608</v>
      </c>
      <c r="AL157" s="95">
        <f t="shared" si="69"/>
        <v>767.10707754958105</v>
      </c>
      <c r="AN157" s="47">
        <f t="shared" si="70"/>
        <v>101.8268415637263</v>
      </c>
      <c r="AO157" s="47">
        <f t="shared" si="71"/>
        <v>105.24108971888084</v>
      </c>
      <c r="AP157" s="47">
        <f t="shared" si="72"/>
        <v>99.215238585917191</v>
      </c>
      <c r="AQ157" s="47">
        <f t="shared" si="73"/>
        <v>82.928506705070788</v>
      </c>
      <c r="AR157" s="193">
        <f t="shared" si="74"/>
        <v>78.218209228299116</v>
      </c>
      <c r="AY157" s="3"/>
    </row>
    <row r="158" spans="1:51">
      <c r="A158" s="229"/>
      <c r="B158" s="37">
        <f>'13. Desinvesteringen'!B442</f>
        <v>423</v>
      </c>
      <c r="C158" s="48"/>
      <c r="D158" s="48"/>
      <c r="E158" s="48"/>
      <c r="F158" s="42">
        <f>'5. Input GAW-waarde desinv.'!D118</f>
        <v>1583.1020339233444</v>
      </c>
      <c r="G158" s="177">
        <f>'13. Desinvesteringen'!D442</f>
        <v>1989</v>
      </c>
      <c r="H158" s="177">
        <f>'13. Desinvesteringen'!G442</f>
        <v>2023</v>
      </c>
      <c r="I158" s="37" t="str">
        <f>'13. Desinvesteringen'!C442</f>
        <v>01 Regionale leidingen</v>
      </c>
      <c r="J158" s="166">
        <f>'13. Desinvesteringen'!F442</f>
        <v>0</v>
      </c>
      <c r="K158" s="38">
        <f>_xlfn.XLOOKUP(I158,'3. Input (des)investeringen '!$B$11:$B$81,'3. Input (des)investeringen '!$E$11:$E$81)</f>
        <v>1</v>
      </c>
      <c r="L158" s="48"/>
      <c r="M158" s="38">
        <f>_xlfn.XLOOKUP(I158,'3. Input (des)investeringen '!$B$11:$B$81,'3. Input (des)investeringen '!$D$11:$D$81,0)</f>
        <v>55</v>
      </c>
      <c r="N158" s="38">
        <f t="shared" si="54"/>
        <v>22.5</v>
      </c>
      <c r="P158" s="43">
        <f t="shared" si="33"/>
        <v>82.321305764013914</v>
      </c>
      <c r="Q158" s="43">
        <f t="shared" si="33"/>
        <v>77.564963653204231</v>
      </c>
      <c r="R158" s="43">
        <f t="shared" si="33"/>
        <v>73.083432419907979</v>
      </c>
      <c r="S158" s="43">
        <f t="shared" si="33"/>
        <v>68.860834102313291</v>
      </c>
      <c r="T158" s="95">
        <f t="shared" si="33"/>
        <v>64.882208131957412</v>
      </c>
      <c r="V158" s="43">
        <f t="shared" si="55"/>
        <v>7.0360090396593087</v>
      </c>
      <c r="W158" s="43">
        <f t="shared" si="56"/>
        <v>7.0360090396593087</v>
      </c>
      <c r="X158" s="43">
        <f t="shared" si="57"/>
        <v>7.0360090396593087</v>
      </c>
      <c r="Y158" s="43">
        <f t="shared" si="58"/>
        <v>7.0360090396593087</v>
      </c>
      <c r="Z158" s="95">
        <f t="shared" si="59"/>
        <v>7.0360090396593087</v>
      </c>
      <c r="AB158" s="43">
        <f t="shared" si="60"/>
        <v>89.357314803673219</v>
      </c>
      <c r="AC158" s="43">
        <f t="shared" si="61"/>
        <v>84.600972692863536</v>
      </c>
      <c r="AD158" s="43">
        <f t="shared" si="62"/>
        <v>80.119441459567284</v>
      </c>
      <c r="AE158" s="43">
        <f t="shared" si="63"/>
        <v>75.896843141972596</v>
      </c>
      <c r="AF158" s="95">
        <f t="shared" si="64"/>
        <v>71.918217171616718</v>
      </c>
      <c r="AH158" s="43">
        <f t="shared" si="65"/>
        <v>1493.7447191196711</v>
      </c>
      <c r="AI158" s="43">
        <f t="shared" si="66"/>
        <v>1409.1437464268076</v>
      </c>
      <c r="AJ158" s="43">
        <f t="shared" si="67"/>
        <v>1329.0243049672404</v>
      </c>
      <c r="AK158" s="43">
        <f t="shared" si="68"/>
        <v>1253.1274618252678</v>
      </c>
      <c r="AL158" s="95">
        <f t="shared" si="69"/>
        <v>1181.209244653651</v>
      </c>
      <c r="AN158" s="47">
        <f t="shared" si="70"/>
        <v>150.60084828757974</v>
      </c>
      <c r="AO158" s="47">
        <f t="shared" si="71"/>
        <v>156.46730376063073</v>
      </c>
      <c r="AP158" s="47">
        <f t="shared" si="72"/>
        <v>147.89968101289654</v>
      </c>
      <c r="AQ158" s="47">
        <f t="shared" si="73"/>
        <v>123.51568669133277</v>
      </c>
      <c r="AR158" s="193">
        <f t="shared" si="74"/>
        <v>116.80416846845546</v>
      </c>
      <c r="AY158" s="3"/>
    </row>
    <row r="159" spans="1:51">
      <c r="A159" s="229"/>
      <c r="B159" s="37">
        <f>'13. Desinvesteringen'!B443</f>
        <v>424</v>
      </c>
      <c r="C159" s="48"/>
      <c r="D159" s="48"/>
      <c r="E159" s="48"/>
      <c r="F159" s="42">
        <f>'5. Input GAW-waarde desinv.'!D119</f>
        <v>7373.2798573001292</v>
      </c>
      <c r="G159" s="177">
        <f>'13. Desinvesteringen'!D443</f>
        <v>1992</v>
      </c>
      <c r="H159" s="177">
        <f>'13. Desinvesteringen'!G443</f>
        <v>2023</v>
      </c>
      <c r="I159" s="37" t="str">
        <f>'13. Desinvesteringen'!C443</f>
        <v>01 Regionale leidingen</v>
      </c>
      <c r="J159" s="166">
        <f>'13. Desinvesteringen'!F443</f>
        <v>0</v>
      </c>
      <c r="K159" s="38">
        <f>_xlfn.XLOOKUP(I159,'3. Input (des)investeringen '!$B$11:$B$81,'3. Input (des)investeringen '!$E$11:$E$81)</f>
        <v>1</v>
      </c>
      <c r="L159" s="48"/>
      <c r="M159" s="38">
        <f>_xlfn.XLOOKUP(I159,'3. Input (des)investeringen '!$B$11:$B$81,'3. Input (des)investeringen '!$D$11:$D$81,0)</f>
        <v>55</v>
      </c>
      <c r="N159" s="38">
        <f t="shared" si="54"/>
        <v>25.5</v>
      </c>
      <c r="P159" s="43">
        <f t="shared" si="33"/>
        <v>338.3034287467118</v>
      </c>
      <c r="Q159" s="43">
        <f t="shared" si="33"/>
        <v>321.05658728119317</v>
      </c>
      <c r="R159" s="43">
        <f t="shared" si="33"/>
        <v>304.68899655705394</v>
      </c>
      <c r="S159" s="43">
        <f t="shared" si="33"/>
        <v>289.15583202669433</v>
      </c>
      <c r="T159" s="95">
        <f t="shared" si="33"/>
        <v>274.41455431552953</v>
      </c>
      <c r="V159" s="43">
        <f t="shared" si="55"/>
        <v>28.914822969804433</v>
      </c>
      <c r="W159" s="43">
        <f t="shared" si="56"/>
        <v>28.914822969804433</v>
      </c>
      <c r="X159" s="43">
        <f t="shared" si="57"/>
        <v>28.914822969804433</v>
      </c>
      <c r="Y159" s="43">
        <f t="shared" si="58"/>
        <v>28.914822969804433</v>
      </c>
      <c r="Z159" s="95">
        <f t="shared" si="59"/>
        <v>28.914822969804433</v>
      </c>
      <c r="AB159" s="43">
        <f t="shared" si="60"/>
        <v>367.21825171651625</v>
      </c>
      <c r="AC159" s="43">
        <f t="shared" si="61"/>
        <v>349.97141025099762</v>
      </c>
      <c r="AD159" s="43">
        <f t="shared" si="62"/>
        <v>333.60381952685839</v>
      </c>
      <c r="AE159" s="43">
        <f t="shared" si="63"/>
        <v>318.07065499649877</v>
      </c>
      <c r="AF159" s="95">
        <f t="shared" si="64"/>
        <v>303.32937728533398</v>
      </c>
      <c r="AH159" s="43">
        <f t="shared" si="65"/>
        <v>7006.0616055836126</v>
      </c>
      <c r="AI159" s="43">
        <f t="shared" si="66"/>
        <v>6656.0901953326147</v>
      </c>
      <c r="AJ159" s="43">
        <f t="shared" si="67"/>
        <v>6322.4863758057563</v>
      </c>
      <c r="AK159" s="43">
        <f t="shared" si="68"/>
        <v>6004.4157208092574</v>
      </c>
      <c r="AL159" s="95">
        <f t="shared" si="69"/>
        <v>5701.0863435239235</v>
      </c>
      <c r="AN159" s="47">
        <f t="shared" si="70"/>
        <v>654.4667775454443</v>
      </c>
      <c r="AO159" s="47">
        <f t="shared" si="71"/>
        <v>689.4320102129609</v>
      </c>
      <c r="AP159" s="47">
        <f t="shared" si="72"/>
        <v>656.05062469295194</v>
      </c>
      <c r="AQ159" s="47">
        <f t="shared" si="73"/>
        <v>546.23845238725062</v>
      </c>
      <c r="AR159" s="193">
        <f t="shared" si="74"/>
        <v>519.97065833924307</v>
      </c>
      <c r="AY159" s="3"/>
    </row>
    <row r="160" spans="1:51">
      <c r="A160" s="229"/>
      <c r="B160" s="37">
        <f>'13. Desinvesteringen'!B444</f>
        <v>425</v>
      </c>
      <c r="C160" s="48"/>
      <c r="D160" s="48"/>
      <c r="E160" s="48"/>
      <c r="F160" s="42">
        <f>'5. Input GAW-waarde desinv.'!D120</f>
        <v>138596.0081293541</v>
      </c>
      <c r="G160" s="177">
        <f>'13. Desinvesteringen'!D444</f>
        <v>1993</v>
      </c>
      <c r="H160" s="177">
        <f>'13. Desinvesteringen'!G444</f>
        <v>2023</v>
      </c>
      <c r="I160" s="37" t="str">
        <f>'13. Desinvesteringen'!C444</f>
        <v>01 Regionale leidingen</v>
      </c>
      <c r="J160" s="166">
        <f>'13. Desinvesteringen'!F444</f>
        <v>0</v>
      </c>
      <c r="K160" s="38">
        <f>_xlfn.XLOOKUP(I160,'3. Input (des)investeringen '!$B$11:$B$81,'3. Input (des)investeringen '!$E$11:$E$81)</f>
        <v>1</v>
      </c>
      <c r="L160" s="48"/>
      <c r="M160" s="38">
        <f>_xlfn.XLOOKUP(I160,'3. Input (des)investeringen '!$B$11:$B$81,'3. Input (des)investeringen '!$D$11:$D$81,0)</f>
        <v>55</v>
      </c>
      <c r="N160" s="38">
        <f t="shared" si="54"/>
        <v>26.5</v>
      </c>
      <c r="P160" s="43">
        <f t="shared" ref="P160:T210" si="75">IF($M160&gt;0, IF(OR($G160&gt;P$49,$G160+$M160&lt;P$49),0,
VDB($F160,0,$N160,MAX(0,P$49-2022),MIN($N160,P$49-2021),$F$22,FALSE))*(1-$F$25), 0)</f>
        <v>6119.1445098620497</v>
      </c>
      <c r="Q160" s="43">
        <f t="shared" si="75"/>
        <v>5818.9600622084399</v>
      </c>
      <c r="R160" s="43">
        <f t="shared" si="75"/>
        <v>5533.5016440623658</v>
      </c>
      <c r="S160" s="43">
        <f t="shared" si="75"/>
        <v>5262.0468464291171</v>
      </c>
      <c r="T160" s="95">
        <f t="shared" si="75"/>
        <v>5003.9086992458024</v>
      </c>
      <c r="V160" s="43">
        <f t="shared" si="55"/>
        <v>523.00380426171364</v>
      </c>
      <c r="W160" s="43">
        <f t="shared" si="56"/>
        <v>523.00380426171353</v>
      </c>
      <c r="X160" s="43">
        <f t="shared" si="57"/>
        <v>523.00380426171353</v>
      </c>
      <c r="Y160" s="43">
        <f t="shared" si="58"/>
        <v>523.00380426171353</v>
      </c>
      <c r="Z160" s="95">
        <f t="shared" si="59"/>
        <v>523.00380426171353</v>
      </c>
      <c r="AB160" s="43">
        <f t="shared" si="60"/>
        <v>6642.1483141237632</v>
      </c>
      <c r="AC160" s="43">
        <f t="shared" si="61"/>
        <v>6341.9638664701533</v>
      </c>
      <c r="AD160" s="43">
        <f t="shared" si="62"/>
        <v>6056.5054483240792</v>
      </c>
      <c r="AE160" s="43">
        <f t="shared" si="63"/>
        <v>5785.0506506908305</v>
      </c>
      <c r="AF160" s="95">
        <f t="shared" si="64"/>
        <v>5526.9125035075158</v>
      </c>
      <c r="AH160" s="43">
        <f t="shared" si="65"/>
        <v>131953.85981523033</v>
      </c>
      <c r="AI160" s="43">
        <f t="shared" si="66"/>
        <v>125611.89594876018</v>
      </c>
      <c r="AJ160" s="43">
        <f t="shared" si="67"/>
        <v>119555.3905004361</v>
      </c>
      <c r="AK160" s="43">
        <f t="shared" si="68"/>
        <v>113770.33984974527</v>
      </c>
      <c r="AL160" s="95">
        <f t="shared" si="69"/>
        <v>108243.42734623776</v>
      </c>
      <c r="AN160" s="47">
        <f t="shared" si="70"/>
        <v>12052.256566548207</v>
      </c>
      <c r="AO160" s="47">
        <f t="shared" si="71"/>
        <v>12748.170559856922</v>
      </c>
      <c r="AP160" s="47">
        <f t="shared" si="72"/>
        <v>12153.83036384632</v>
      </c>
      <c r="AQ160" s="47">
        <f t="shared" si="73"/>
        <v>10108.32356498115</v>
      </c>
      <c r="AR160" s="193">
        <f t="shared" si="74"/>
        <v>9640.16274266455</v>
      </c>
      <c r="AY160" s="3"/>
    </row>
    <row r="161" spans="1:51">
      <c r="A161" s="229"/>
      <c r="B161" s="37">
        <f>'13. Desinvesteringen'!B445</f>
        <v>426</v>
      </c>
      <c r="C161" s="48"/>
      <c r="D161" s="48"/>
      <c r="E161" s="48"/>
      <c r="F161" s="42">
        <f>'5. Input GAW-waarde desinv.'!D121</f>
        <v>0</v>
      </c>
      <c r="G161" s="177">
        <f>'13. Desinvesteringen'!D445</f>
        <v>1998</v>
      </c>
      <c r="H161" s="177">
        <f>'13. Desinvesteringen'!G445</f>
        <v>2023</v>
      </c>
      <c r="I161" s="37" t="str">
        <f>'13. Desinvesteringen'!C445</f>
        <v>01 Regionale leidingen</v>
      </c>
      <c r="J161" s="166">
        <f>'13. Desinvesteringen'!F445</f>
        <v>0</v>
      </c>
      <c r="K161" s="38">
        <f>_xlfn.XLOOKUP(I161,'3. Input (des)investeringen '!$B$11:$B$81,'3. Input (des)investeringen '!$E$11:$E$81)</f>
        <v>1</v>
      </c>
      <c r="L161" s="48"/>
      <c r="M161" s="38">
        <f>_xlfn.XLOOKUP(I161,'3. Input (des)investeringen '!$B$11:$B$81,'3. Input (des)investeringen '!$D$11:$D$81,0)</f>
        <v>55</v>
      </c>
      <c r="N161" s="38">
        <f t="shared" si="54"/>
        <v>31.5</v>
      </c>
      <c r="P161" s="43">
        <f t="shared" si="75"/>
        <v>0</v>
      </c>
      <c r="Q161" s="43">
        <f t="shared" si="75"/>
        <v>0</v>
      </c>
      <c r="R161" s="43">
        <f t="shared" si="75"/>
        <v>0</v>
      </c>
      <c r="S161" s="43">
        <f t="shared" si="75"/>
        <v>0</v>
      </c>
      <c r="T161" s="95">
        <f t="shared" si="75"/>
        <v>0</v>
      </c>
      <c r="V161" s="43">
        <f t="shared" si="55"/>
        <v>0</v>
      </c>
      <c r="W161" s="43">
        <f t="shared" si="56"/>
        <v>0</v>
      </c>
      <c r="X161" s="43">
        <f t="shared" si="57"/>
        <v>0</v>
      </c>
      <c r="Y161" s="43">
        <f t="shared" si="58"/>
        <v>0</v>
      </c>
      <c r="Z161" s="95">
        <f t="shared" si="59"/>
        <v>0</v>
      </c>
      <c r="AB161" s="43">
        <f t="shared" si="60"/>
        <v>0</v>
      </c>
      <c r="AC161" s="43">
        <f t="shared" si="61"/>
        <v>0</v>
      </c>
      <c r="AD161" s="43">
        <f t="shared" si="62"/>
        <v>0</v>
      </c>
      <c r="AE161" s="43">
        <f t="shared" si="63"/>
        <v>0</v>
      </c>
      <c r="AF161" s="95">
        <f t="shared" si="64"/>
        <v>0</v>
      </c>
      <c r="AH161" s="43">
        <f t="shared" si="65"/>
        <v>0</v>
      </c>
      <c r="AI161" s="43">
        <f t="shared" si="66"/>
        <v>0</v>
      </c>
      <c r="AJ161" s="43">
        <f t="shared" si="67"/>
        <v>0</v>
      </c>
      <c r="AK161" s="43">
        <f t="shared" si="68"/>
        <v>0</v>
      </c>
      <c r="AL161" s="95">
        <f t="shared" si="69"/>
        <v>0</v>
      </c>
      <c r="AN161" s="47">
        <f t="shared" si="70"/>
        <v>0</v>
      </c>
      <c r="AO161" s="47">
        <f t="shared" si="71"/>
        <v>0</v>
      </c>
      <c r="AP161" s="47">
        <f t="shared" si="72"/>
        <v>0</v>
      </c>
      <c r="AQ161" s="47">
        <f t="shared" si="73"/>
        <v>0</v>
      </c>
      <c r="AR161" s="193">
        <f t="shared" si="74"/>
        <v>0</v>
      </c>
      <c r="AY161" s="3"/>
    </row>
    <row r="162" spans="1:51">
      <c r="A162" s="229"/>
      <c r="B162" s="37">
        <f>'13. Desinvesteringen'!B446</f>
        <v>427</v>
      </c>
      <c r="C162" s="48"/>
      <c r="D162" s="48"/>
      <c r="E162" s="48"/>
      <c r="F162" s="42">
        <f>'5. Input GAW-waarde desinv.'!D122</f>
        <v>30711.765477463152</v>
      </c>
      <c r="G162" s="177">
        <f>'13. Desinvesteringen'!D446</f>
        <v>1999</v>
      </c>
      <c r="H162" s="177">
        <f>'13. Desinvesteringen'!G446</f>
        <v>2023</v>
      </c>
      <c r="I162" s="37" t="str">
        <f>'13. Desinvesteringen'!C446</f>
        <v>01 Regionale leidingen</v>
      </c>
      <c r="J162" s="166">
        <f>'13. Desinvesteringen'!F446</f>
        <v>0</v>
      </c>
      <c r="K162" s="38">
        <f>_xlfn.XLOOKUP(I162,'3. Input (des)investeringen '!$B$11:$B$81,'3. Input (des)investeringen '!$E$11:$E$81)</f>
        <v>1</v>
      </c>
      <c r="L162" s="48"/>
      <c r="M162" s="38">
        <f>_xlfn.XLOOKUP(I162,'3. Input (des)investeringen '!$B$11:$B$81,'3. Input (des)investeringen '!$D$11:$D$81,0)</f>
        <v>55</v>
      </c>
      <c r="N162" s="38">
        <f t="shared" si="54"/>
        <v>32.5</v>
      </c>
      <c r="P162" s="43">
        <f t="shared" si="75"/>
        <v>1105.6235571886737</v>
      </c>
      <c r="Q162" s="43">
        <f t="shared" si="75"/>
        <v>1061.3986149011266</v>
      </c>
      <c r="R162" s="43">
        <f t="shared" si="75"/>
        <v>1018.9426703050815</v>
      </c>
      <c r="S162" s="43">
        <f t="shared" si="75"/>
        <v>978.18496349287818</v>
      </c>
      <c r="T162" s="95">
        <f t="shared" si="75"/>
        <v>939.05756495316314</v>
      </c>
      <c r="V162" s="43">
        <f t="shared" si="55"/>
        <v>94.497739930655868</v>
      </c>
      <c r="W162" s="43">
        <f t="shared" si="56"/>
        <v>94.497739930655868</v>
      </c>
      <c r="X162" s="43">
        <f t="shared" si="57"/>
        <v>94.497739930655868</v>
      </c>
      <c r="Y162" s="43">
        <f t="shared" si="58"/>
        <v>94.497739930655868</v>
      </c>
      <c r="Z162" s="95">
        <f t="shared" si="59"/>
        <v>94.497739930655868</v>
      </c>
      <c r="AB162" s="43">
        <f t="shared" si="60"/>
        <v>1200.1212971193295</v>
      </c>
      <c r="AC162" s="43">
        <f t="shared" si="61"/>
        <v>1155.8963548317824</v>
      </c>
      <c r="AD162" s="43">
        <f t="shared" si="62"/>
        <v>1113.4404102357373</v>
      </c>
      <c r="AE162" s="43">
        <f t="shared" si="63"/>
        <v>1072.6827034235341</v>
      </c>
      <c r="AF162" s="95">
        <f t="shared" si="64"/>
        <v>1033.555304883819</v>
      </c>
      <c r="AH162" s="43">
        <f t="shared" si="65"/>
        <v>29511.644180343821</v>
      </c>
      <c r="AI162" s="43">
        <f t="shared" si="66"/>
        <v>28355.747825512037</v>
      </c>
      <c r="AJ162" s="43">
        <f t="shared" si="67"/>
        <v>27242.3074152763</v>
      </c>
      <c r="AK162" s="43">
        <f t="shared" si="68"/>
        <v>26169.624711852764</v>
      </c>
      <c r="AL162" s="95">
        <f t="shared" si="69"/>
        <v>25136.069406968945</v>
      </c>
      <c r="AN162" s="47">
        <f t="shared" si="70"/>
        <v>2410.0987085134261</v>
      </c>
      <c r="AO162" s="47">
        <f t="shared" si="71"/>
        <v>2602.0394939328962</v>
      </c>
      <c r="AP162" s="47">
        <f t="shared" si="72"/>
        <v>2502.7980884148283</v>
      </c>
      <c r="AQ162" s="47">
        <f t="shared" si="73"/>
        <v>2067.1284424739392</v>
      </c>
      <c r="AR162" s="193">
        <f t="shared" si="74"/>
        <v>1988.7259423486389</v>
      </c>
      <c r="AY162" s="3"/>
    </row>
    <row r="163" spans="1:51">
      <c r="A163" s="229"/>
      <c r="B163" s="37">
        <f>'13. Desinvesteringen'!B447</f>
        <v>428</v>
      </c>
      <c r="C163" s="48"/>
      <c r="D163" s="48"/>
      <c r="E163" s="48"/>
      <c r="F163" s="42">
        <f>'5. Input GAW-waarde desinv.'!D123</f>
        <v>13771.568761085329</v>
      </c>
      <c r="G163" s="177">
        <f>'13. Desinvesteringen'!D447</f>
        <v>2002</v>
      </c>
      <c r="H163" s="177">
        <f>'13. Desinvesteringen'!G447</f>
        <v>2023</v>
      </c>
      <c r="I163" s="37" t="str">
        <f>'13. Desinvesteringen'!C447</f>
        <v>01 Regionale leidingen</v>
      </c>
      <c r="J163" s="166">
        <f>'13. Desinvesteringen'!F447</f>
        <v>0</v>
      </c>
      <c r="K163" s="38">
        <f>_xlfn.XLOOKUP(I163,'3. Input (des)investeringen '!$B$11:$B$81,'3. Input (des)investeringen '!$E$11:$E$81)</f>
        <v>1</v>
      </c>
      <c r="L163" s="48"/>
      <c r="M163" s="38">
        <f>_xlfn.XLOOKUP(I163,'3. Input (des)investeringen '!$B$11:$B$81,'3. Input (des)investeringen '!$D$11:$D$81,0)</f>
        <v>55</v>
      </c>
      <c r="N163" s="38">
        <f t="shared" si="54"/>
        <v>35.5</v>
      </c>
      <c r="P163" s="43">
        <f t="shared" si="75"/>
        <v>453.87987184422076</v>
      </c>
      <c r="Q163" s="43">
        <f t="shared" si="75"/>
        <v>437.25891879077034</v>
      </c>
      <c r="R163" s="43">
        <f t="shared" si="75"/>
        <v>421.24662035617882</v>
      </c>
      <c r="S163" s="43">
        <f t="shared" si="75"/>
        <v>405.82068777975536</v>
      </c>
      <c r="T163" s="95">
        <f t="shared" si="75"/>
        <v>390.9596485089474</v>
      </c>
      <c r="V163" s="43">
        <f t="shared" si="55"/>
        <v>38.79315143967699</v>
      </c>
      <c r="W163" s="43">
        <f t="shared" si="56"/>
        <v>38.79315143967699</v>
      </c>
      <c r="X163" s="43">
        <f t="shared" si="57"/>
        <v>38.79315143967699</v>
      </c>
      <c r="Y163" s="43">
        <f t="shared" si="58"/>
        <v>38.79315143967699</v>
      </c>
      <c r="Z163" s="95">
        <f t="shared" si="59"/>
        <v>38.79315143967699</v>
      </c>
      <c r="AB163" s="43">
        <f t="shared" si="60"/>
        <v>492.67302328389775</v>
      </c>
      <c r="AC163" s="43">
        <f t="shared" si="61"/>
        <v>476.05207023044733</v>
      </c>
      <c r="AD163" s="43">
        <f t="shared" si="62"/>
        <v>460.03977179585581</v>
      </c>
      <c r="AE163" s="43">
        <f t="shared" si="63"/>
        <v>444.61383921943235</v>
      </c>
      <c r="AF163" s="95">
        <f t="shared" si="64"/>
        <v>429.75279994862439</v>
      </c>
      <c r="AH163" s="43">
        <f t="shared" si="65"/>
        <v>13278.895737801431</v>
      </c>
      <c r="AI163" s="43">
        <f t="shared" si="66"/>
        <v>12802.843667570984</v>
      </c>
      <c r="AJ163" s="43">
        <f t="shared" si="67"/>
        <v>12342.803895775127</v>
      </c>
      <c r="AK163" s="43">
        <f t="shared" si="68"/>
        <v>11898.190056555695</v>
      </c>
      <c r="AL163" s="95">
        <f t="shared" si="69"/>
        <v>11468.437256607071</v>
      </c>
      <c r="AN163" s="47">
        <f t="shared" si="70"/>
        <v>1037.1077485337564</v>
      </c>
      <c r="AO163" s="47">
        <f t="shared" si="71"/>
        <v>1128.9970972765675</v>
      </c>
      <c r="AP163" s="47">
        <f t="shared" si="72"/>
        <v>1089.5227704803874</v>
      </c>
      <c r="AQ163" s="47">
        <f t="shared" si="73"/>
        <v>896.7450613685487</v>
      </c>
      <c r="AR163" s="193">
        <f t="shared" si="74"/>
        <v>865.55341569969301</v>
      </c>
      <c r="AY163" s="3"/>
    </row>
    <row r="164" spans="1:51">
      <c r="A164" s="229"/>
      <c r="B164" s="37">
        <f>'13. Desinvesteringen'!B448</f>
        <v>429</v>
      </c>
      <c r="C164" s="48"/>
      <c r="D164" s="48"/>
      <c r="E164" s="48"/>
      <c r="F164" s="42">
        <f>'5. Input GAW-waarde desinv.'!D124</f>
        <v>38953.348948547842</v>
      </c>
      <c r="G164" s="177">
        <f>'13. Desinvesteringen'!D448</f>
        <v>2004</v>
      </c>
      <c r="H164" s="177">
        <f>'13. Desinvesteringen'!G448</f>
        <v>2023</v>
      </c>
      <c r="I164" s="37" t="str">
        <f>'13. Desinvesteringen'!C448</f>
        <v>01 Regionale leidingen</v>
      </c>
      <c r="J164" s="166">
        <f>'13. Desinvesteringen'!F448</f>
        <v>0</v>
      </c>
      <c r="K164" s="38">
        <f>_xlfn.XLOOKUP(I164,'3. Input (des)investeringen '!$B$11:$B$81,'3. Input (des)investeringen '!$E$11:$E$81)</f>
        <v>1</v>
      </c>
      <c r="L164" s="48"/>
      <c r="M164" s="38">
        <f>_xlfn.XLOOKUP(I164,'3. Input (des)investeringen '!$B$11:$B$81,'3. Input (des)investeringen '!$D$11:$D$81,0)</f>
        <v>55</v>
      </c>
      <c r="N164" s="38">
        <f t="shared" si="54"/>
        <v>37.5</v>
      </c>
      <c r="P164" s="43">
        <f t="shared" si="75"/>
        <v>1215.3444871946926</v>
      </c>
      <c r="Q164" s="43">
        <f t="shared" si="75"/>
        <v>1173.2125449719433</v>
      </c>
      <c r="R164" s="43">
        <f t="shared" si="75"/>
        <v>1132.5411767462494</v>
      </c>
      <c r="S164" s="43">
        <f t="shared" si="75"/>
        <v>1093.2797492857128</v>
      </c>
      <c r="T164" s="95">
        <f t="shared" si="75"/>
        <v>1055.379384643808</v>
      </c>
      <c r="V164" s="43">
        <f t="shared" si="55"/>
        <v>103.8755971961276</v>
      </c>
      <c r="W164" s="43">
        <f t="shared" si="56"/>
        <v>103.87559719612757</v>
      </c>
      <c r="X164" s="43">
        <f t="shared" si="57"/>
        <v>103.87559719612757</v>
      </c>
      <c r="Y164" s="43">
        <f t="shared" si="58"/>
        <v>103.87559719612757</v>
      </c>
      <c r="Z164" s="95">
        <f t="shared" si="59"/>
        <v>103.87559719612757</v>
      </c>
      <c r="AB164" s="43">
        <f t="shared" si="60"/>
        <v>1319.2200843908201</v>
      </c>
      <c r="AC164" s="43">
        <f t="shared" si="61"/>
        <v>1277.0881421680708</v>
      </c>
      <c r="AD164" s="43">
        <f t="shared" si="62"/>
        <v>1236.4167739423769</v>
      </c>
      <c r="AE164" s="43">
        <f t="shared" si="63"/>
        <v>1197.1553464818403</v>
      </c>
      <c r="AF164" s="95">
        <f t="shared" si="64"/>
        <v>1159.2549818399355</v>
      </c>
      <c r="AH164" s="43">
        <f t="shared" si="65"/>
        <v>37634.128864157021</v>
      </c>
      <c r="AI164" s="43">
        <f t="shared" si="66"/>
        <v>36357.040721988953</v>
      </c>
      <c r="AJ164" s="43">
        <f t="shared" si="67"/>
        <v>35120.623948046574</v>
      </c>
      <c r="AK164" s="43">
        <f t="shared" si="68"/>
        <v>33923.468601564731</v>
      </c>
      <c r="AL164" s="95">
        <f t="shared" si="69"/>
        <v>32764.213619724796</v>
      </c>
      <c r="AN164" s="47">
        <f t="shared" si="70"/>
        <v>2862.2193678212579</v>
      </c>
      <c r="AO164" s="47">
        <f t="shared" si="71"/>
        <v>3131.2972189895072</v>
      </c>
      <c r="AP164" s="47">
        <f t="shared" si="72"/>
        <v>3027.5685952927524</v>
      </c>
      <c r="AQ164" s="47">
        <f t="shared" si="73"/>
        <v>2486.2471533413</v>
      </c>
      <c r="AR164" s="193">
        <f t="shared" si="74"/>
        <v>2404.2950993894774</v>
      </c>
      <c r="AY164" s="3"/>
    </row>
    <row r="165" spans="1:51">
      <c r="A165" s="229"/>
      <c r="B165" s="37">
        <f>'13. Desinvesteringen'!B449</f>
        <v>430</v>
      </c>
      <c r="C165" s="48"/>
      <c r="D165" s="48"/>
      <c r="E165" s="48"/>
      <c r="F165" s="42">
        <f>'5. Input GAW-waarde desinv.'!D125</f>
        <v>49700.604054063915</v>
      </c>
      <c r="G165" s="177">
        <f>'13. Desinvesteringen'!D449</f>
        <v>2005</v>
      </c>
      <c r="H165" s="177">
        <f>'13. Desinvesteringen'!G449</f>
        <v>2023</v>
      </c>
      <c r="I165" s="37" t="str">
        <f>'13. Desinvesteringen'!C449</f>
        <v>01 Regionale leidingen</v>
      </c>
      <c r="J165" s="166">
        <f>'13. Desinvesteringen'!F449</f>
        <v>0</v>
      </c>
      <c r="K165" s="38">
        <f>_xlfn.XLOOKUP(I165,'3. Input (des)investeringen '!$B$11:$B$81,'3. Input (des)investeringen '!$E$11:$E$81)</f>
        <v>1</v>
      </c>
      <c r="L165" s="48"/>
      <c r="M165" s="38">
        <f>_xlfn.XLOOKUP(I165,'3. Input (des)investeringen '!$B$11:$B$81,'3. Input (des)investeringen '!$D$11:$D$81,0)</f>
        <v>55</v>
      </c>
      <c r="N165" s="38">
        <f t="shared" si="54"/>
        <v>38.5</v>
      </c>
      <c r="P165" s="43">
        <f t="shared" si="75"/>
        <v>1510.3819933312932</v>
      </c>
      <c r="Q165" s="43">
        <f t="shared" si="75"/>
        <v>1459.3820818681586</v>
      </c>
      <c r="R165" s="43">
        <f t="shared" si="75"/>
        <v>1410.1042453375455</v>
      </c>
      <c r="S165" s="43">
        <f t="shared" si="75"/>
        <v>1362.4903357547191</v>
      </c>
      <c r="T165" s="95">
        <f t="shared" si="75"/>
        <v>1316.4841685733909</v>
      </c>
      <c r="V165" s="43">
        <f t="shared" si="55"/>
        <v>129.09247806250369</v>
      </c>
      <c r="W165" s="43">
        <f t="shared" si="56"/>
        <v>129.09247806250369</v>
      </c>
      <c r="X165" s="43">
        <f t="shared" si="57"/>
        <v>129.09247806250369</v>
      </c>
      <c r="Y165" s="43">
        <f t="shared" si="58"/>
        <v>129.09247806250369</v>
      </c>
      <c r="Z165" s="95">
        <f t="shared" si="59"/>
        <v>129.09247806250369</v>
      </c>
      <c r="AB165" s="43">
        <f t="shared" si="60"/>
        <v>1639.4744713937969</v>
      </c>
      <c r="AC165" s="43">
        <f t="shared" si="61"/>
        <v>1588.4745599306623</v>
      </c>
      <c r="AD165" s="43">
        <f t="shared" si="62"/>
        <v>1539.1967234000492</v>
      </c>
      <c r="AE165" s="43">
        <f t="shared" si="63"/>
        <v>1491.5828138172228</v>
      </c>
      <c r="AF165" s="95">
        <f t="shared" si="64"/>
        <v>1445.5766466358946</v>
      </c>
      <c r="AH165" s="43">
        <f t="shared" si="65"/>
        <v>48061.129582670117</v>
      </c>
      <c r="AI165" s="43">
        <f t="shared" si="66"/>
        <v>46472.655022739455</v>
      </c>
      <c r="AJ165" s="43">
        <f t="shared" si="67"/>
        <v>44933.458299339407</v>
      </c>
      <c r="AK165" s="43">
        <f t="shared" si="68"/>
        <v>43441.875485522185</v>
      </c>
      <c r="AL165" s="95">
        <f t="shared" si="69"/>
        <v>41996.298838886287</v>
      </c>
      <c r="AN165" s="47">
        <f t="shared" si="70"/>
        <v>3609.9807842832715</v>
      </c>
      <c r="AO165" s="47">
        <f t="shared" si="71"/>
        <v>3958.579966090374</v>
      </c>
      <c r="AP165" s="47">
        <f t="shared" si="72"/>
        <v>3830.8030966663591</v>
      </c>
      <c r="AQ165" s="47">
        <f t="shared" si="73"/>
        <v>3142.3740822670661</v>
      </c>
      <c r="AR165" s="193">
        <f t="shared" si="74"/>
        <v>3041.4360025135734</v>
      </c>
      <c r="AY165" s="3"/>
    </row>
    <row r="166" spans="1:51">
      <c r="A166" s="229"/>
      <c r="B166" s="37">
        <f>'13. Desinvesteringen'!B450</f>
        <v>431</v>
      </c>
      <c r="C166" s="48"/>
      <c r="D166" s="48"/>
      <c r="E166" s="48"/>
      <c r="F166" s="42">
        <f>'5. Input GAW-waarde desinv.'!D126</f>
        <v>9176.6384417978097</v>
      </c>
      <c r="G166" s="177">
        <f>'13. Desinvesteringen'!D450</f>
        <v>2006</v>
      </c>
      <c r="H166" s="177">
        <f>'13. Desinvesteringen'!G450</f>
        <v>2023</v>
      </c>
      <c r="I166" s="37" t="str">
        <f>'13. Desinvesteringen'!C450</f>
        <v>01 Regionale leidingen</v>
      </c>
      <c r="J166" s="166">
        <f>'13. Desinvesteringen'!F450</f>
        <v>0</v>
      </c>
      <c r="K166" s="38">
        <f>_xlfn.XLOOKUP(I166,'3. Input (des)investeringen '!$B$11:$B$81,'3. Input (des)investeringen '!$E$11:$E$81)</f>
        <v>1</v>
      </c>
      <c r="L166" s="48"/>
      <c r="M166" s="38">
        <f>_xlfn.XLOOKUP(I166,'3. Input (des)investeringen '!$B$11:$B$81,'3. Input (des)investeringen '!$D$11:$D$81,0)</f>
        <v>55</v>
      </c>
      <c r="N166" s="38">
        <f t="shared" si="54"/>
        <v>39.5</v>
      </c>
      <c r="P166" s="43">
        <f t="shared" si="75"/>
        <v>271.81435384565663</v>
      </c>
      <c r="Q166" s="43">
        <f t="shared" si="75"/>
        <v>262.86856498491352</v>
      </c>
      <c r="R166" s="43">
        <f t="shared" si="75"/>
        <v>254.21719449173912</v>
      </c>
      <c r="S166" s="43">
        <f t="shared" si="75"/>
        <v>245.85055264770722</v>
      </c>
      <c r="T166" s="95">
        <f t="shared" si="75"/>
        <v>237.75926863651688</v>
      </c>
      <c r="V166" s="43">
        <f t="shared" si="55"/>
        <v>23.231996055184329</v>
      </c>
      <c r="W166" s="43">
        <f t="shared" si="56"/>
        <v>23.231996055184329</v>
      </c>
      <c r="X166" s="43">
        <f t="shared" si="57"/>
        <v>23.231996055184329</v>
      </c>
      <c r="Y166" s="43">
        <f t="shared" si="58"/>
        <v>23.231996055184329</v>
      </c>
      <c r="Z166" s="95">
        <f t="shared" si="59"/>
        <v>23.231996055184329</v>
      </c>
      <c r="AB166" s="43">
        <f t="shared" si="60"/>
        <v>295.04634990084094</v>
      </c>
      <c r="AC166" s="43">
        <f t="shared" si="61"/>
        <v>286.10056104009783</v>
      </c>
      <c r="AD166" s="43">
        <f t="shared" si="62"/>
        <v>277.44919054692343</v>
      </c>
      <c r="AE166" s="43">
        <f t="shared" si="63"/>
        <v>269.08254870289153</v>
      </c>
      <c r="AF166" s="95">
        <f t="shared" si="64"/>
        <v>260.99126469170119</v>
      </c>
      <c r="AH166" s="43">
        <f t="shared" si="65"/>
        <v>8881.5920918969696</v>
      </c>
      <c r="AI166" s="43">
        <f t="shared" si="66"/>
        <v>8595.4915308568725</v>
      </c>
      <c r="AJ166" s="43">
        <f t="shared" si="67"/>
        <v>8318.0423403099485</v>
      </c>
      <c r="AK166" s="43">
        <f t="shared" si="68"/>
        <v>8048.959791607057</v>
      </c>
      <c r="AL166" s="95">
        <f t="shared" si="69"/>
        <v>7787.9685269153561</v>
      </c>
      <c r="AN166" s="47">
        <f t="shared" si="70"/>
        <v>659.19162566861678</v>
      </c>
      <c r="AO166" s="47">
        <f t="shared" si="71"/>
        <v>724.47062911379828</v>
      </c>
      <c r="AP166" s="47">
        <f t="shared" si="72"/>
        <v>701.6693499027308</v>
      </c>
      <c r="AQ166" s="47">
        <f t="shared" si="73"/>
        <v>574.9430207839597</v>
      </c>
      <c r="AR166" s="193">
        <f t="shared" si="74"/>
        <v>556.93406871448474</v>
      </c>
      <c r="AY166" s="3"/>
    </row>
    <row r="167" spans="1:51">
      <c r="A167" s="229"/>
      <c r="B167" s="37">
        <f>'13. Desinvesteringen'!B451</f>
        <v>432</v>
      </c>
      <c r="C167" s="48"/>
      <c r="D167" s="48"/>
      <c r="E167" s="48"/>
      <c r="F167" s="42">
        <f>'5. Input GAW-waarde desinv.'!D127</f>
        <v>350173.006424536</v>
      </c>
      <c r="G167" s="177">
        <f>'13. Desinvesteringen'!D451</f>
        <v>2009</v>
      </c>
      <c r="H167" s="177">
        <f>'13. Desinvesteringen'!G451</f>
        <v>2023</v>
      </c>
      <c r="I167" s="37" t="str">
        <f>'13. Desinvesteringen'!C451</f>
        <v>01 Regionale leidingen</v>
      </c>
      <c r="J167" s="166">
        <f>'13. Desinvesteringen'!F451</f>
        <v>0</v>
      </c>
      <c r="K167" s="38">
        <f>_xlfn.XLOOKUP(I167,'3. Input (des)investeringen '!$B$11:$B$81,'3. Input (des)investeringen '!$E$11:$E$81)</f>
        <v>1</v>
      </c>
      <c r="L167" s="48"/>
      <c r="M167" s="38">
        <f>_xlfn.XLOOKUP(I167,'3. Input (des)investeringen '!$B$11:$B$81,'3. Input (des)investeringen '!$D$11:$D$81,0)</f>
        <v>55</v>
      </c>
      <c r="N167" s="38">
        <f t="shared" si="54"/>
        <v>42.5</v>
      </c>
      <c r="P167" s="43">
        <f t="shared" si="75"/>
        <v>9640.0568827460502</v>
      </c>
      <c r="Q167" s="43">
        <f t="shared" si="75"/>
        <v>9345.1845545679353</v>
      </c>
      <c r="R167" s="43">
        <f t="shared" si="75"/>
        <v>9059.3318505458592</v>
      </c>
      <c r="S167" s="43">
        <f t="shared" si="75"/>
        <v>8782.2228762938666</v>
      </c>
      <c r="T167" s="95">
        <f t="shared" si="75"/>
        <v>8513.5901765484068</v>
      </c>
      <c r="V167" s="43">
        <f t="shared" si="55"/>
        <v>823.93648570479058</v>
      </c>
      <c r="W167" s="43">
        <f t="shared" si="56"/>
        <v>823.93648570479058</v>
      </c>
      <c r="X167" s="43">
        <f t="shared" si="57"/>
        <v>823.93648570479058</v>
      </c>
      <c r="Y167" s="43">
        <f t="shared" si="58"/>
        <v>823.93648570479058</v>
      </c>
      <c r="Z167" s="95">
        <f t="shared" si="59"/>
        <v>823.93648570479058</v>
      </c>
      <c r="AB167" s="43">
        <f t="shared" si="60"/>
        <v>10463.993368450841</v>
      </c>
      <c r="AC167" s="43">
        <f t="shared" si="61"/>
        <v>10169.121040272727</v>
      </c>
      <c r="AD167" s="43">
        <f t="shared" si="62"/>
        <v>9883.2683362506505</v>
      </c>
      <c r="AE167" s="43">
        <f t="shared" si="63"/>
        <v>9606.1593619986579</v>
      </c>
      <c r="AF167" s="95">
        <f t="shared" si="64"/>
        <v>9337.5266622531981</v>
      </c>
      <c r="AH167" s="43">
        <f t="shared" si="65"/>
        <v>339709.01305608515</v>
      </c>
      <c r="AI167" s="43">
        <f t="shared" si="66"/>
        <v>329539.89201581245</v>
      </c>
      <c r="AJ167" s="43">
        <f t="shared" si="67"/>
        <v>319656.62367956177</v>
      </c>
      <c r="AK167" s="43">
        <f t="shared" si="68"/>
        <v>310050.46431756311</v>
      </c>
      <c r="AL167" s="95">
        <f t="shared" si="69"/>
        <v>300712.93765530991</v>
      </c>
      <c r="AN167" s="47">
        <f t="shared" si="70"/>
        <v>24392.062903750331</v>
      </c>
      <c r="AO167" s="47">
        <f t="shared" si="71"/>
        <v>26975.65553307916</v>
      </c>
      <c r="AP167" s="47">
        <f t="shared" si="72"/>
        <v>26185.7561439083</v>
      </c>
      <c r="AQ167" s="47">
        <f t="shared" si="73"/>
        <v>21388.077006066058</v>
      </c>
      <c r="AR167" s="193">
        <f t="shared" si="74"/>
        <v>20764.618293154974</v>
      </c>
      <c r="AY167" s="3"/>
    </row>
    <row r="168" spans="1:51">
      <c r="A168" s="229"/>
      <c r="B168" s="37">
        <f>'13. Desinvesteringen'!B452</f>
        <v>433</v>
      </c>
      <c r="C168" s="48"/>
      <c r="D168" s="48"/>
      <c r="E168" s="48"/>
      <c r="F168" s="42">
        <f>'5. Input GAW-waarde desinv.'!D128</f>
        <v>16791.944833574824</v>
      </c>
      <c r="G168" s="177">
        <f>'13. Desinvesteringen'!D452</f>
        <v>2011</v>
      </c>
      <c r="H168" s="177">
        <f>'13. Desinvesteringen'!G452</f>
        <v>2023</v>
      </c>
      <c r="I168" s="37" t="str">
        <f>'13. Desinvesteringen'!C452</f>
        <v>01 Regionale leidingen</v>
      </c>
      <c r="J168" s="166">
        <f>'13. Desinvesteringen'!F452</f>
        <v>0</v>
      </c>
      <c r="K168" s="38">
        <f>_xlfn.XLOOKUP(I168,'3. Input (des)investeringen '!$B$11:$B$81,'3. Input (des)investeringen '!$E$11:$E$81)</f>
        <v>1</v>
      </c>
      <c r="L168" s="48"/>
      <c r="M168" s="38">
        <f>_xlfn.XLOOKUP(I168,'3. Input (des)investeringen '!$B$11:$B$81,'3. Input (des)investeringen '!$D$11:$D$81,0)</f>
        <v>55</v>
      </c>
      <c r="N168" s="38">
        <f t="shared" si="54"/>
        <v>44.5</v>
      </c>
      <c r="P168" s="43">
        <f t="shared" si="75"/>
        <v>441.49607764679877</v>
      </c>
      <c r="Q168" s="43">
        <f t="shared" si="75"/>
        <v>428.5984394234091</v>
      </c>
      <c r="R168" s="43">
        <f t="shared" si="75"/>
        <v>416.07758613688259</v>
      </c>
      <c r="S168" s="43">
        <f t="shared" si="75"/>
        <v>403.92251058681637</v>
      </c>
      <c r="T168" s="95">
        <f t="shared" si="75"/>
        <v>392.12252713147114</v>
      </c>
      <c r="V168" s="43">
        <f t="shared" si="55"/>
        <v>37.734707491179385</v>
      </c>
      <c r="W168" s="43">
        <f t="shared" si="56"/>
        <v>37.734707491179378</v>
      </c>
      <c r="X168" s="43">
        <f t="shared" si="57"/>
        <v>37.734707491179378</v>
      </c>
      <c r="Y168" s="43">
        <f t="shared" si="58"/>
        <v>37.734707491179378</v>
      </c>
      <c r="Z168" s="95">
        <f t="shared" si="59"/>
        <v>37.734707491179378</v>
      </c>
      <c r="AB168" s="43">
        <f t="shared" si="60"/>
        <v>479.23078513797816</v>
      </c>
      <c r="AC168" s="43">
        <f t="shared" si="61"/>
        <v>466.3331469145885</v>
      </c>
      <c r="AD168" s="43">
        <f t="shared" si="62"/>
        <v>453.81229362806198</v>
      </c>
      <c r="AE168" s="43">
        <f t="shared" si="63"/>
        <v>441.65721807799576</v>
      </c>
      <c r="AF168" s="95">
        <f t="shared" si="64"/>
        <v>429.85723462265054</v>
      </c>
      <c r="AH168" s="43">
        <f t="shared" si="65"/>
        <v>16312.714048436846</v>
      </c>
      <c r="AI168" s="43">
        <f t="shared" si="66"/>
        <v>15846.380901522258</v>
      </c>
      <c r="AJ168" s="43">
        <f t="shared" si="67"/>
        <v>15392.568607894196</v>
      </c>
      <c r="AK168" s="43">
        <f t="shared" si="68"/>
        <v>14950.911389816201</v>
      </c>
      <c r="AL168" s="95">
        <f t="shared" si="69"/>
        <v>14521.054155193551</v>
      </c>
      <c r="AN168" s="47">
        <f t="shared" si="70"/>
        <v>1148.052061123889</v>
      </c>
      <c r="AO168" s="47">
        <f t="shared" si="71"/>
        <v>1274.4985728922236</v>
      </c>
      <c r="AP168" s="47">
        <f t="shared" si="72"/>
        <v>1238.8332926306659</v>
      </c>
      <c r="AQ168" s="47">
        <f t="shared" si="73"/>
        <v>1009.7918508910113</v>
      </c>
      <c r="AR168" s="193">
        <f t="shared" si="74"/>
        <v>981.65729252000551</v>
      </c>
      <c r="AY168" s="3"/>
    </row>
    <row r="169" spans="1:51">
      <c r="A169" s="229"/>
      <c r="B169" s="37">
        <f>'13. Desinvesteringen'!B453</f>
        <v>434</v>
      </c>
      <c r="C169" s="48"/>
      <c r="D169" s="48"/>
      <c r="E169" s="48"/>
      <c r="F169" s="42">
        <f>'5. Input GAW-waarde desinv.'!D129</f>
        <v>368844.5346481328</v>
      </c>
      <c r="G169" s="177">
        <f>'13. Desinvesteringen'!D453</f>
        <v>2012</v>
      </c>
      <c r="H169" s="177">
        <f>'13. Desinvesteringen'!G453</f>
        <v>2023</v>
      </c>
      <c r="I169" s="37" t="str">
        <f>'13. Desinvesteringen'!C453</f>
        <v>01 Regionale leidingen</v>
      </c>
      <c r="J169" s="166">
        <f>'13. Desinvesteringen'!F453</f>
        <v>0</v>
      </c>
      <c r="K169" s="38">
        <f>_xlfn.XLOOKUP(I169,'3. Input (des)investeringen '!$B$11:$B$81,'3. Input (des)investeringen '!$E$11:$E$81)</f>
        <v>1</v>
      </c>
      <c r="L169" s="48"/>
      <c r="M169" s="38">
        <f>_xlfn.XLOOKUP(I169,'3. Input (des)investeringen '!$B$11:$B$81,'3. Input (des)investeringen '!$D$11:$D$81,0)</f>
        <v>55</v>
      </c>
      <c r="N169" s="38">
        <f t="shared" si="54"/>
        <v>45.5</v>
      </c>
      <c r="P169" s="43">
        <f t="shared" si="75"/>
        <v>9484.5737480948446</v>
      </c>
      <c r="Q169" s="43">
        <f t="shared" si="75"/>
        <v>9213.585926720707</v>
      </c>
      <c r="R169" s="43">
        <f t="shared" si="75"/>
        <v>8950.3406145286863</v>
      </c>
      <c r="S169" s="43">
        <f t="shared" si="75"/>
        <v>8694.6165969707254</v>
      </c>
      <c r="T169" s="95">
        <f t="shared" si="75"/>
        <v>8446.1989799144194</v>
      </c>
      <c r="V169" s="43">
        <f t="shared" si="55"/>
        <v>810.6473288969953</v>
      </c>
      <c r="W169" s="43">
        <f t="shared" si="56"/>
        <v>810.64732889699519</v>
      </c>
      <c r="X169" s="43">
        <f t="shared" si="57"/>
        <v>810.64732889699519</v>
      </c>
      <c r="Y169" s="43">
        <f t="shared" si="58"/>
        <v>810.64732889699519</v>
      </c>
      <c r="Z169" s="95">
        <f t="shared" si="59"/>
        <v>810.64732889699519</v>
      </c>
      <c r="AB169" s="43">
        <f t="shared" si="60"/>
        <v>10295.22107699184</v>
      </c>
      <c r="AC169" s="43">
        <f t="shared" si="61"/>
        <v>10024.233255617703</v>
      </c>
      <c r="AD169" s="43">
        <f t="shared" si="62"/>
        <v>9760.9879434256818</v>
      </c>
      <c r="AE169" s="43">
        <f t="shared" si="63"/>
        <v>9505.2639258677209</v>
      </c>
      <c r="AF169" s="95">
        <f t="shared" si="64"/>
        <v>9256.8463088114149</v>
      </c>
      <c r="AH169" s="43">
        <f t="shared" si="65"/>
        <v>358549.31357114099</v>
      </c>
      <c r="AI169" s="43">
        <f t="shared" si="66"/>
        <v>348525.08031552326</v>
      </c>
      <c r="AJ169" s="43">
        <f t="shared" si="67"/>
        <v>338764.0923720976</v>
      </c>
      <c r="AK169" s="43">
        <f t="shared" si="68"/>
        <v>329258.82844622986</v>
      </c>
      <c r="AL169" s="95">
        <f t="shared" si="69"/>
        <v>320001.98213741847</v>
      </c>
      <c r="AN169" s="47">
        <f t="shared" si="70"/>
        <v>24995.742933408619</v>
      </c>
      <c r="AO169" s="47">
        <f t="shared" si="71"/>
        <v>27799.012351709389</v>
      </c>
      <c r="AP169" s="47">
        <f t="shared" si="72"/>
        <v>27037.95665440266</v>
      </c>
      <c r="AQ169" s="47">
        <f t="shared" si="73"/>
        <v>22017.099406824454</v>
      </c>
      <c r="AR169" s="193">
        <f t="shared" si="74"/>
        <v>21416.921630033314</v>
      </c>
      <c r="AY169" s="3"/>
    </row>
    <row r="170" spans="1:51">
      <c r="A170" s="229"/>
      <c r="B170" s="37">
        <f>'13. Desinvesteringen'!B454</f>
        <v>435</v>
      </c>
      <c r="C170" s="48"/>
      <c r="D170" s="48"/>
      <c r="E170" s="48"/>
      <c r="F170" s="42">
        <f>'5. Input GAW-waarde desinv.'!D130</f>
        <v>0</v>
      </c>
      <c r="G170" s="177">
        <f>'13. Desinvesteringen'!D454</f>
        <v>1965</v>
      </c>
      <c r="H170" s="177">
        <f>'13. Desinvesteringen'!G454</f>
        <v>2023</v>
      </c>
      <c r="I170" s="37" t="str">
        <f>'13. Desinvesteringen'!C454</f>
        <v>02 Gasontvangststations</v>
      </c>
      <c r="J170" s="166">
        <f>'13. Desinvesteringen'!F454</f>
        <v>0</v>
      </c>
      <c r="K170" s="38">
        <f>_xlfn.XLOOKUP(I170,'3. Input (des)investeringen '!$B$11:$B$81,'3. Input (des)investeringen '!$E$11:$E$81)</f>
        <v>0</v>
      </c>
      <c r="L170" s="48"/>
      <c r="M170" s="38">
        <f>_xlfn.XLOOKUP(I170,'3. Input (des)investeringen '!$B$11:$B$81,'3. Input (des)investeringen '!$D$11:$D$81,0)</f>
        <v>30</v>
      </c>
      <c r="N170" s="38">
        <f t="shared" si="54"/>
        <v>0</v>
      </c>
      <c r="P170" s="43">
        <f t="shared" si="75"/>
        <v>0</v>
      </c>
      <c r="Q170" s="43">
        <f t="shared" si="75"/>
        <v>0</v>
      </c>
      <c r="R170" s="43">
        <f t="shared" si="75"/>
        <v>0</v>
      </c>
      <c r="S170" s="43">
        <f t="shared" si="75"/>
        <v>0</v>
      </c>
      <c r="T170" s="95">
        <f t="shared" si="75"/>
        <v>0</v>
      </c>
      <c r="V170" s="43">
        <f t="shared" si="55"/>
        <v>0</v>
      </c>
      <c r="W170" s="43">
        <f t="shared" si="56"/>
        <v>0</v>
      </c>
      <c r="X170" s="43">
        <f t="shared" si="57"/>
        <v>0</v>
      </c>
      <c r="Y170" s="43">
        <f t="shared" si="58"/>
        <v>0</v>
      </c>
      <c r="Z170" s="95">
        <f t="shared" si="59"/>
        <v>0</v>
      </c>
      <c r="AB170" s="43">
        <f t="shared" si="60"/>
        <v>0</v>
      </c>
      <c r="AC170" s="43">
        <f t="shared" si="61"/>
        <v>0</v>
      </c>
      <c r="AD170" s="43">
        <f t="shared" si="62"/>
        <v>0</v>
      </c>
      <c r="AE170" s="43">
        <f t="shared" si="63"/>
        <v>0</v>
      </c>
      <c r="AF170" s="95">
        <f t="shared" si="64"/>
        <v>0</v>
      </c>
      <c r="AH170" s="43">
        <f t="shared" si="65"/>
        <v>0</v>
      </c>
      <c r="AI170" s="43">
        <f t="shared" si="66"/>
        <v>0</v>
      </c>
      <c r="AJ170" s="43">
        <f t="shared" si="67"/>
        <v>0</v>
      </c>
      <c r="AK170" s="43">
        <f t="shared" si="68"/>
        <v>0</v>
      </c>
      <c r="AL170" s="95">
        <f t="shared" si="69"/>
        <v>0</v>
      </c>
      <c r="AN170" s="47">
        <f t="shared" si="70"/>
        <v>0</v>
      </c>
      <c r="AO170" s="47">
        <f t="shared" si="71"/>
        <v>0</v>
      </c>
      <c r="AP170" s="47">
        <f t="shared" si="72"/>
        <v>0</v>
      </c>
      <c r="AQ170" s="47">
        <f t="shared" si="73"/>
        <v>0</v>
      </c>
      <c r="AR170" s="193">
        <f t="shared" si="74"/>
        <v>0</v>
      </c>
      <c r="AY170" s="3"/>
    </row>
    <row r="171" spans="1:51">
      <c r="A171" s="229"/>
      <c r="B171" s="37">
        <f>'13. Desinvesteringen'!B455</f>
        <v>436</v>
      </c>
      <c r="C171" s="48"/>
      <c r="D171" s="48"/>
      <c r="E171" s="48"/>
      <c r="F171" s="42">
        <f>'5. Input GAW-waarde desinv.'!D131</f>
        <v>0</v>
      </c>
      <c r="G171" s="177">
        <f>'13. Desinvesteringen'!D455</f>
        <v>1966</v>
      </c>
      <c r="H171" s="177">
        <f>'13. Desinvesteringen'!G455</f>
        <v>2023</v>
      </c>
      <c r="I171" s="37" t="str">
        <f>'13. Desinvesteringen'!C455</f>
        <v>02 Gasontvangststations</v>
      </c>
      <c r="J171" s="166">
        <f>'13. Desinvesteringen'!F455</f>
        <v>0</v>
      </c>
      <c r="K171" s="38">
        <f>_xlfn.XLOOKUP(I171,'3. Input (des)investeringen '!$B$11:$B$81,'3. Input (des)investeringen '!$E$11:$E$81)</f>
        <v>0</v>
      </c>
      <c r="L171" s="48"/>
      <c r="M171" s="38">
        <f>_xlfn.XLOOKUP(I171,'3. Input (des)investeringen '!$B$11:$B$81,'3. Input (des)investeringen '!$D$11:$D$81,0)</f>
        <v>30</v>
      </c>
      <c r="N171" s="38">
        <f t="shared" si="54"/>
        <v>0</v>
      </c>
      <c r="P171" s="43">
        <f t="shared" si="75"/>
        <v>0</v>
      </c>
      <c r="Q171" s="43">
        <f t="shared" si="75"/>
        <v>0</v>
      </c>
      <c r="R171" s="43">
        <f t="shared" si="75"/>
        <v>0</v>
      </c>
      <c r="S171" s="43">
        <f t="shared" si="75"/>
        <v>0</v>
      </c>
      <c r="T171" s="95">
        <f t="shared" si="75"/>
        <v>0</v>
      </c>
      <c r="V171" s="43">
        <f t="shared" si="55"/>
        <v>0</v>
      </c>
      <c r="W171" s="43">
        <f t="shared" si="56"/>
        <v>0</v>
      </c>
      <c r="X171" s="43">
        <f t="shared" si="57"/>
        <v>0</v>
      </c>
      <c r="Y171" s="43">
        <f t="shared" si="58"/>
        <v>0</v>
      </c>
      <c r="Z171" s="95">
        <f t="shared" si="59"/>
        <v>0</v>
      </c>
      <c r="AB171" s="43">
        <f t="shared" si="60"/>
        <v>0</v>
      </c>
      <c r="AC171" s="43">
        <f t="shared" si="61"/>
        <v>0</v>
      </c>
      <c r="AD171" s="43">
        <f t="shared" si="62"/>
        <v>0</v>
      </c>
      <c r="AE171" s="43">
        <f t="shared" si="63"/>
        <v>0</v>
      </c>
      <c r="AF171" s="95">
        <f t="shared" si="64"/>
        <v>0</v>
      </c>
      <c r="AH171" s="43">
        <f t="shared" si="65"/>
        <v>0</v>
      </c>
      <c r="AI171" s="43">
        <f t="shared" si="66"/>
        <v>0</v>
      </c>
      <c r="AJ171" s="43">
        <f t="shared" si="67"/>
        <v>0</v>
      </c>
      <c r="AK171" s="43">
        <f t="shared" si="68"/>
        <v>0</v>
      </c>
      <c r="AL171" s="95">
        <f t="shared" si="69"/>
        <v>0</v>
      </c>
      <c r="AN171" s="47">
        <f t="shared" si="70"/>
        <v>0</v>
      </c>
      <c r="AO171" s="47">
        <f t="shared" si="71"/>
        <v>0</v>
      </c>
      <c r="AP171" s="47">
        <f t="shared" si="72"/>
        <v>0</v>
      </c>
      <c r="AQ171" s="47">
        <f t="shared" si="73"/>
        <v>0</v>
      </c>
      <c r="AR171" s="193">
        <f t="shared" si="74"/>
        <v>0</v>
      </c>
      <c r="AY171" s="3"/>
    </row>
    <row r="172" spans="1:51">
      <c r="A172" s="229"/>
      <c r="B172" s="37">
        <f>'13. Desinvesteringen'!B456</f>
        <v>437</v>
      </c>
      <c r="C172" s="48"/>
      <c r="D172" s="48"/>
      <c r="E172" s="48"/>
      <c r="F172" s="42">
        <f>'5. Input GAW-waarde desinv.'!D132</f>
        <v>0</v>
      </c>
      <c r="G172" s="177">
        <f>'13. Desinvesteringen'!D456</f>
        <v>1967</v>
      </c>
      <c r="H172" s="177">
        <f>'13. Desinvesteringen'!G456</f>
        <v>2023</v>
      </c>
      <c r="I172" s="37" t="str">
        <f>'13. Desinvesteringen'!C456</f>
        <v>02 Gasontvangststations</v>
      </c>
      <c r="J172" s="166">
        <f>'13. Desinvesteringen'!F456</f>
        <v>0</v>
      </c>
      <c r="K172" s="38">
        <f>_xlfn.XLOOKUP(I172,'3. Input (des)investeringen '!$B$11:$B$81,'3. Input (des)investeringen '!$E$11:$E$81)</f>
        <v>0</v>
      </c>
      <c r="L172" s="48"/>
      <c r="M172" s="38">
        <f>_xlfn.XLOOKUP(I172,'3. Input (des)investeringen '!$B$11:$B$81,'3. Input (des)investeringen '!$D$11:$D$81,0)</f>
        <v>30</v>
      </c>
      <c r="N172" s="38">
        <f t="shared" si="54"/>
        <v>0</v>
      </c>
      <c r="P172" s="43">
        <f t="shared" si="75"/>
        <v>0</v>
      </c>
      <c r="Q172" s="43">
        <f t="shared" si="75"/>
        <v>0</v>
      </c>
      <c r="R172" s="43">
        <f t="shared" si="75"/>
        <v>0</v>
      </c>
      <c r="S172" s="43">
        <f t="shared" si="75"/>
        <v>0</v>
      </c>
      <c r="T172" s="95">
        <f t="shared" si="75"/>
        <v>0</v>
      </c>
      <c r="V172" s="43">
        <f t="shared" si="55"/>
        <v>0</v>
      </c>
      <c r="W172" s="43">
        <f t="shared" si="56"/>
        <v>0</v>
      </c>
      <c r="X172" s="43">
        <f t="shared" si="57"/>
        <v>0</v>
      </c>
      <c r="Y172" s="43">
        <f t="shared" si="58"/>
        <v>0</v>
      </c>
      <c r="Z172" s="95">
        <f t="shared" si="59"/>
        <v>0</v>
      </c>
      <c r="AB172" s="43">
        <f t="shared" si="60"/>
        <v>0</v>
      </c>
      <c r="AC172" s="43">
        <f t="shared" si="61"/>
        <v>0</v>
      </c>
      <c r="AD172" s="43">
        <f t="shared" si="62"/>
        <v>0</v>
      </c>
      <c r="AE172" s="43">
        <f t="shared" si="63"/>
        <v>0</v>
      </c>
      <c r="AF172" s="95">
        <f t="shared" si="64"/>
        <v>0</v>
      </c>
      <c r="AH172" s="43">
        <f t="shared" si="65"/>
        <v>0</v>
      </c>
      <c r="AI172" s="43">
        <f t="shared" si="66"/>
        <v>0</v>
      </c>
      <c r="AJ172" s="43">
        <f t="shared" si="67"/>
        <v>0</v>
      </c>
      <c r="AK172" s="43">
        <f t="shared" si="68"/>
        <v>0</v>
      </c>
      <c r="AL172" s="95">
        <f t="shared" si="69"/>
        <v>0</v>
      </c>
      <c r="AN172" s="47">
        <f t="shared" si="70"/>
        <v>0</v>
      </c>
      <c r="AO172" s="47">
        <f t="shared" si="71"/>
        <v>0</v>
      </c>
      <c r="AP172" s="47">
        <f t="shared" si="72"/>
        <v>0</v>
      </c>
      <c r="AQ172" s="47">
        <f t="shared" si="73"/>
        <v>0</v>
      </c>
      <c r="AR172" s="193">
        <f t="shared" si="74"/>
        <v>0</v>
      </c>
      <c r="AY172" s="3"/>
    </row>
    <row r="173" spans="1:51">
      <c r="A173" s="229"/>
      <c r="B173" s="37">
        <f>'13. Desinvesteringen'!B457</f>
        <v>438</v>
      </c>
      <c r="C173" s="48"/>
      <c r="D173" s="48"/>
      <c r="E173" s="48"/>
      <c r="F173" s="42">
        <f>'5. Input GAW-waarde desinv.'!D133</f>
        <v>0</v>
      </c>
      <c r="G173" s="177">
        <f>'13. Desinvesteringen'!D457</f>
        <v>1968</v>
      </c>
      <c r="H173" s="177">
        <f>'13. Desinvesteringen'!G457</f>
        <v>2023</v>
      </c>
      <c r="I173" s="37" t="str">
        <f>'13. Desinvesteringen'!C457</f>
        <v>02 Gasontvangststations</v>
      </c>
      <c r="J173" s="166">
        <f>'13. Desinvesteringen'!F457</f>
        <v>0</v>
      </c>
      <c r="K173" s="38">
        <f>_xlfn.XLOOKUP(I173,'3. Input (des)investeringen '!$B$11:$B$81,'3. Input (des)investeringen '!$E$11:$E$81)</f>
        <v>0</v>
      </c>
      <c r="L173" s="48"/>
      <c r="M173" s="38">
        <f>_xlfn.XLOOKUP(I173,'3. Input (des)investeringen '!$B$11:$B$81,'3. Input (des)investeringen '!$D$11:$D$81,0)</f>
        <v>30</v>
      </c>
      <c r="N173" s="38">
        <f t="shared" si="54"/>
        <v>0</v>
      </c>
      <c r="P173" s="43">
        <f t="shared" si="75"/>
        <v>0</v>
      </c>
      <c r="Q173" s="43">
        <f t="shared" si="75"/>
        <v>0</v>
      </c>
      <c r="R173" s="43">
        <f t="shared" si="75"/>
        <v>0</v>
      </c>
      <c r="S173" s="43">
        <f t="shared" si="75"/>
        <v>0</v>
      </c>
      <c r="T173" s="95">
        <f t="shared" si="75"/>
        <v>0</v>
      </c>
      <c r="V173" s="43">
        <f t="shared" si="55"/>
        <v>0</v>
      </c>
      <c r="W173" s="43">
        <f t="shared" si="56"/>
        <v>0</v>
      </c>
      <c r="X173" s="43">
        <f t="shared" si="57"/>
        <v>0</v>
      </c>
      <c r="Y173" s="43">
        <f t="shared" si="58"/>
        <v>0</v>
      </c>
      <c r="Z173" s="95">
        <f t="shared" si="59"/>
        <v>0</v>
      </c>
      <c r="AB173" s="43">
        <f t="shared" si="60"/>
        <v>0</v>
      </c>
      <c r="AC173" s="43">
        <f t="shared" si="61"/>
        <v>0</v>
      </c>
      <c r="AD173" s="43">
        <f t="shared" si="62"/>
        <v>0</v>
      </c>
      <c r="AE173" s="43">
        <f t="shared" si="63"/>
        <v>0</v>
      </c>
      <c r="AF173" s="95">
        <f t="shared" si="64"/>
        <v>0</v>
      </c>
      <c r="AH173" s="43">
        <f t="shared" si="65"/>
        <v>0</v>
      </c>
      <c r="AI173" s="43">
        <f t="shared" si="66"/>
        <v>0</v>
      </c>
      <c r="AJ173" s="43">
        <f t="shared" si="67"/>
        <v>0</v>
      </c>
      <c r="AK173" s="43">
        <f t="shared" si="68"/>
        <v>0</v>
      </c>
      <c r="AL173" s="95">
        <f t="shared" si="69"/>
        <v>0</v>
      </c>
      <c r="AN173" s="47">
        <f t="shared" si="70"/>
        <v>0</v>
      </c>
      <c r="AO173" s="47">
        <f t="shared" si="71"/>
        <v>0</v>
      </c>
      <c r="AP173" s="47">
        <f t="shared" si="72"/>
        <v>0</v>
      </c>
      <c r="AQ173" s="47">
        <f t="shared" si="73"/>
        <v>0</v>
      </c>
      <c r="AR173" s="193">
        <f t="shared" si="74"/>
        <v>0</v>
      </c>
      <c r="AY173" s="3"/>
    </row>
    <row r="174" spans="1:51">
      <c r="A174" s="229"/>
      <c r="B174" s="37">
        <f>'13. Desinvesteringen'!B458</f>
        <v>439</v>
      </c>
      <c r="C174" s="48"/>
      <c r="D174" s="48"/>
      <c r="E174" s="48"/>
      <c r="F174" s="42">
        <f>'5. Input GAW-waarde desinv.'!D134</f>
        <v>0</v>
      </c>
      <c r="G174" s="177">
        <f>'13. Desinvesteringen'!D458</f>
        <v>1969</v>
      </c>
      <c r="H174" s="177">
        <f>'13. Desinvesteringen'!G458</f>
        <v>2023</v>
      </c>
      <c r="I174" s="37" t="str">
        <f>'13. Desinvesteringen'!C458</f>
        <v>02 Gasontvangststations</v>
      </c>
      <c r="J174" s="166">
        <f>'13. Desinvesteringen'!F458</f>
        <v>0</v>
      </c>
      <c r="K174" s="38">
        <f>_xlfn.XLOOKUP(I174,'3. Input (des)investeringen '!$B$11:$B$81,'3. Input (des)investeringen '!$E$11:$E$81)</f>
        <v>0</v>
      </c>
      <c r="L174" s="48"/>
      <c r="M174" s="38">
        <f>_xlfn.XLOOKUP(I174,'3. Input (des)investeringen '!$B$11:$B$81,'3. Input (des)investeringen '!$D$11:$D$81,0)</f>
        <v>30</v>
      </c>
      <c r="N174" s="38">
        <f t="shared" si="54"/>
        <v>0</v>
      </c>
      <c r="P174" s="43">
        <f t="shared" si="75"/>
        <v>0</v>
      </c>
      <c r="Q174" s="43">
        <f t="shared" si="75"/>
        <v>0</v>
      </c>
      <c r="R174" s="43">
        <f t="shared" si="75"/>
        <v>0</v>
      </c>
      <c r="S174" s="43">
        <f t="shared" si="75"/>
        <v>0</v>
      </c>
      <c r="T174" s="95">
        <f t="shared" si="75"/>
        <v>0</v>
      </c>
      <c r="V174" s="43">
        <f t="shared" si="55"/>
        <v>0</v>
      </c>
      <c r="W174" s="43">
        <f t="shared" si="56"/>
        <v>0</v>
      </c>
      <c r="X174" s="43">
        <f t="shared" si="57"/>
        <v>0</v>
      </c>
      <c r="Y174" s="43">
        <f t="shared" si="58"/>
        <v>0</v>
      </c>
      <c r="Z174" s="95">
        <f t="shared" si="59"/>
        <v>0</v>
      </c>
      <c r="AB174" s="43">
        <f t="shared" si="60"/>
        <v>0</v>
      </c>
      <c r="AC174" s="43">
        <f t="shared" si="61"/>
        <v>0</v>
      </c>
      <c r="AD174" s="43">
        <f t="shared" si="62"/>
        <v>0</v>
      </c>
      <c r="AE174" s="43">
        <f t="shared" si="63"/>
        <v>0</v>
      </c>
      <c r="AF174" s="95">
        <f t="shared" si="64"/>
        <v>0</v>
      </c>
      <c r="AH174" s="43">
        <f t="shared" si="65"/>
        <v>0</v>
      </c>
      <c r="AI174" s="43">
        <f t="shared" si="66"/>
        <v>0</v>
      </c>
      <c r="AJ174" s="43">
        <f t="shared" si="67"/>
        <v>0</v>
      </c>
      <c r="AK174" s="43">
        <f t="shared" si="68"/>
        <v>0</v>
      </c>
      <c r="AL174" s="95">
        <f t="shared" si="69"/>
        <v>0</v>
      </c>
      <c r="AN174" s="47">
        <f t="shared" si="70"/>
        <v>0</v>
      </c>
      <c r="AO174" s="47">
        <f t="shared" si="71"/>
        <v>0</v>
      </c>
      <c r="AP174" s="47">
        <f t="shared" si="72"/>
        <v>0</v>
      </c>
      <c r="AQ174" s="47">
        <f t="shared" si="73"/>
        <v>0</v>
      </c>
      <c r="AR174" s="193">
        <f t="shared" si="74"/>
        <v>0</v>
      </c>
      <c r="AY174" s="3"/>
    </row>
    <row r="175" spans="1:51">
      <c r="A175" s="229"/>
      <c r="B175" s="37">
        <f>'13. Desinvesteringen'!B459</f>
        <v>440</v>
      </c>
      <c r="C175" s="48"/>
      <c r="D175" s="48"/>
      <c r="E175" s="48"/>
      <c r="F175" s="42">
        <f>'5. Input GAW-waarde desinv.'!D135</f>
        <v>0</v>
      </c>
      <c r="G175" s="177">
        <f>'13. Desinvesteringen'!D459</f>
        <v>1970</v>
      </c>
      <c r="H175" s="177">
        <f>'13. Desinvesteringen'!G459</f>
        <v>2023</v>
      </c>
      <c r="I175" s="37" t="str">
        <f>'13. Desinvesteringen'!C459</f>
        <v>02 Gasontvangststations</v>
      </c>
      <c r="J175" s="166">
        <f>'13. Desinvesteringen'!F459</f>
        <v>0</v>
      </c>
      <c r="K175" s="38">
        <f>_xlfn.XLOOKUP(I175,'3. Input (des)investeringen '!$B$11:$B$81,'3. Input (des)investeringen '!$E$11:$E$81)</f>
        <v>0</v>
      </c>
      <c r="L175" s="48"/>
      <c r="M175" s="38">
        <f>_xlfn.XLOOKUP(I175,'3. Input (des)investeringen '!$B$11:$B$81,'3. Input (des)investeringen '!$D$11:$D$81,0)</f>
        <v>30</v>
      </c>
      <c r="N175" s="38">
        <f t="shared" si="54"/>
        <v>0</v>
      </c>
      <c r="P175" s="43">
        <f t="shared" si="75"/>
        <v>0</v>
      </c>
      <c r="Q175" s="43">
        <f t="shared" si="75"/>
        <v>0</v>
      </c>
      <c r="R175" s="43">
        <f t="shared" si="75"/>
        <v>0</v>
      </c>
      <c r="S175" s="43">
        <f t="shared" si="75"/>
        <v>0</v>
      </c>
      <c r="T175" s="95">
        <f t="shared" si="75"/>
        <v>0</v>
      </c>
      <c r="V175" s="43">
        <f t="shared" si="55"/>
        <v>0</v>
      </c>
      <c r="W175" s="43">
        <f t="shared" si="56"/>
        <v>0</v>
      </c>
      <c r="X175" s="43">
        <f t="shared" si="57"/>
        <v>0</v>
      </c>
      <c r="Y175" s="43">
        <f t="shared" si="58"/>
        <v>0</v>
      </c>
      <c r="Z175" s="95">
        <f t="shared" si="59"/>
        <v>0</v>
      </c>
      <c r="AB175" s="43">
        <f t="shared" si="60"/>
        <v>0</v>
      </c>
      <c r="AC175" s="43">
        <f t="shared" si="61"/>
        <v>0</v>
      </c>
      <c r="AD175" s="43">
        <f t="shared" si="62"/>
        <v>0</v>
      </c>
      <c r="AE175" s="43">
        <f t="shared" si="63"/>
        <v>0</v>
      </c>
      <c r="AF175" s="95">
        <f t="shared" si="64"/>
        <v>0</v>
      </c>
      <c r="AH175" s="43">
        <f t="shared" si="65"/>
        <v>0</v>
      </c>
      <c r="AI175" s="43">
        <f t="shared" si="66"/>
        <v>0</v>
      </c>
      <c r="AJ175" s="43">
        <f t="shared" si="67"/>
        <v>0</v>
      </c>
      <c r="AK175" s="43">
        <f t="shared" si="68"/>
        <v>0</v>
      </c>
      <c r="AL175" s="95">
        <f t="shared" si="69"/>
        <v>0</v>
      </c>
      <c r="AN175" s="47">
        <f t="shared" si="70"/>
        <v>0</v>
      </c>
      <c r="AO175" s="47">
        <f t="shared" si="71"/>
        <v>0</v>
      </c>
      <c r="AP175" s="47">
        <f t="shared" si="72"/>
        <v>0</v>
      </c>
      <c r="AQ175" s="47">
        <f t="shared" si="73"/>
        <v>0</v>
      </c>
      <c r="AR175" s="193">
        <f t="shared" si="74"/>
        <v>0</v>
      </c>
      <c r="AY175" s="3"/>
    </row>
    <row r="176" spans="1:51">
      <c r="A176" s="229"/>
      <c r="B176" s="37">
        <f>'13. Desinvesteringen'!B460</f>
        <v>441</v>
      </c>
      <c r="C176" s="48"/>
      <c r="D176" s="48"/>
      <c r="E176" s="48"/>
      <c r="F176" s="42">
        <f>'5. Input GAW-waarde desinv.'!D136</f>
        <v>0</v>
      </c>
      <c r="G176" s="177">
        <f>'13. Desinvesteringen'!D460</f>
        <v>1971</v>
      </c>
      <c r="H176" s="177">
        <f>'13. Desinvesteringen'!G460</f>
        <v>2023</v>
      </c>
      <c r="I176" s="37" t="str">
        <f>'13. Desinvesteringen'!C460</f>
        <v>02 Gasontvangststations</v>
      </c>
      <c r="J176" s="166">
        <f>'13. Desinvesteringen'!F460</f>
        <v>0</v>
      </c>
      <c r="K176" s="38">
        <f>_xlfn.XLOOKUP(I176,'3. Input (des)investeringen '!$B$11:$B$81,'3. Input (des)investeringen '!$E$11:$E$81)</f>
        <v>0</v>
      </c>
      <c r="L176" s="48"/>
      <c r="M176" s="38">
        <f>_xlfn.XLOOKUP(I176,'3. Input (des)investeringen '!$B$11:$B$81,'3. Input (des)investeringen '!$D$11:$D$81,0)</f>
        <v>30</v>
      </c>
      <c r="N176" s="38">
        <f t="shared" si="54"/>
        <v>0</v>
      </c>
      <c r="P176" s="43">
        <f t="shared" si="75"/>
        <v>0</v>
      </c>
      <c r="Q176" s="43">
        <f t="shared" si="75"/>
        <v>0</v>
      </c>
      <c r="R176" s="43">
        <f t="shared" si="75"/>
        <v>0</v>
      </c>
      <c r="S176" s="43">
        <f t="shared" si="75"/>
        <v>0</v>
      </c>
      <c r="T176" s="95">
        <f t="shared" si="75"/>
        <v>0</v>
      </c>
      <c r="V176" s="43">
        <f t="shared" si="55"/>
        <v>0</v>
      </c>
      <c r="W176" s="43">
        <f t="shared" si="56"/>
        <v>0</v>
      </c>
      <c r="X176" s="43">
        <f t="shared" si="57"/>
        <v>0</v>
      </c>
      <c r="Y176" s="43">
        <f t="shared" si="58"/>
        <v>0</v>
      </c>
      <c r="Z176" s="95">
        <f t="shared" si="59"/>
        <v>0</v>
      </c>
      <c r="AB176" s="43">
        <f t="shared" si="60"/>
        <v>0</v>
      </c>
      <c r="AC176" s="43">
        <f t="shared" si="61"/>
        <v>0</v>
      </c>
      <c r="AD176" s="43">
        <f t="shared" si="62"/>
        <v>0</v>
      </c>
      <c r="AE176" s="43">
        <f t="shared" si="63"/>
        <v>0</v>
      </c>
      <c r="AF176" s="95">
        <f t="shared" si="64"/>
        <v>0</v>
      </c>
      <c r="AH176" s="43">
        <f t="shared" si="65"/>
        <v>0</v>
      </c>
      <c r="AI176" s="43">
        <f t="shared" si="66"/>
        <v>0</v>
      </c>
      <c r="AJ176" s="43">
        <f t="shared" si="67"/>
        <v>0</v>
      </c>
      <c r="AK176" s="43">
        <f t="shared" si="68"/>
        <v>0</v>
      </c>
      <c r="AL176" s="95">
        <f t="shared" si="69"/>
        <v>0</v>
      </c>
      <c r="AN176" s="47">
        <f t="shared" si="70"/>
        <v>0</v>
      </c>
      <c r="AO176" s="47">
        <f t="shared" si="71"/>
        <v>0</v>
      </c>
      <c r="AP176" s="47">
        <f t="shared" si="72"/>
        <v>0</v>
      </c>
      <c r="AQ176" s="47">
        <f t="shared" si="73"/>
        <v>0</v>
      </c>
      <c r="AR176" s="193">
        <f t="shared" si="74"/>
        <v>0</v>
      </c>
      <c r="AY176" s="3"/>
    </row>
    <row r="177" spans="1:51">
      <c r="A177" s="229"/>
      <c r="B177" s="37">
        <f>'13. Desinvesteringen'!B461</f>
        <v>442</v>
      </c>
      <c r="C177" s="48"/>
      <c r="D177" s="48"/>
      <c r="E177" s="48"/>
      <c r="F177" s="42">
        <f>'5. Input GAW-waarde desinv.'!D137</f>
        <v>0</v>
      </c>
      <c r="G177" s="177">
        <f>'13. Desinvesteringen'!D461</f>
        <v>1972</v>
      </c>
      <c r="H177" s="177">
        <f>'13. Desinvesteringen'!G461</f>
        <v>2023</v>
      </c>
      <c r="I177" s="37" t="str">
        <f>'13. Desinvesteringen'!C461</f>
        <v>02 Gasontvangststations</v>
      </c>
      <c r="J177" s="166">
        <f>'13. Desinvesteringen'!F461</f>
        <v>0</v>
      </c>
      <c r="K177" s="38">
        <f>_xlfn.XLOOKUP(I177,'3. Input (des)investeringen '!$B$11:$B$81,'3. Input (des)investeringen '!$E$11:$E$81)</f>
        <v>0</v>
      </c>
      <c r="L177" s="48"/>
      <c r="M177" s="38">
        <f>_xlfn.XLOOKUP(I177,'3. Input (des)investeringen '!$B$11:$B$81,'3. Input (des)investeringen '!$D$11:$D$81,0)</f>
        <v>30</v>
      </c>
      <c r="N177" s="38">
        <f t="shared" si="54"/>
        <v>0</v>
      </c>
      <c r="P177" s="43">
        <f t="shared" si="75"/>
        <v>0</v>
      </c>
      <c r="Q177" s="43">
        <f t="shared" si="75"/>
        <v>0</v>
      </c>
      <c r="R177" s="43">
        <f t="shared" si="75"/>
        <v>0</v>
      </c>
      <c r="S177" s="43">
        <f t="shared" si="75"/>
        <v>0</v>
      </c>
      <c r="T177" s="95">
        <f t="shared" si="75"/>
        <v>0</v>
      </c>
      <c r="V177" s="43">
        <f t="shared" si="55"/>
        <v>0</v>
      </c>
      <c r="W177" s="43">
        <f t="shared" si="56"/>
        <v>0</v>
      </c>
      <c r="X177" s="43">
        <f t="shared" si="57"/>
        <v>0</v>
      </c>
      <c r="Y177" s="43">
        <f t="shared" si="58"/>
        <v>0</v>
      </c>
      <c r="Z177" s="95">
        <f t="shared" si="59"/>
        <v>0</v>
      </c>
      <c r="AB177" s="43">
        <f t="shared" si="60"/>
        <v>0</v>
      </c>
      <c r="AC177" s="43">
        <f t="shared" si="61"/>
        <v>0</v>
      </c>
      <c r="AD177" s="43">
        <f t="shared" si="62"/>
        <v>0</v>
      </c>
      <c r="AE177" s="43">
        <f t="shared" si="63"/>
        <v>0</v>
      </c>
      <c r="AF177" s="95">
        <f t="shared" si="64"/>
        <v>0</v>
      </c>
      <c r="AH177" s="43">
        <f t="shared" si="65"/>
        <v>0</v>
      </c>
      <c r="AI177" s="43">
        <f t="shared" si="66"/>
        <v>0</v>
      </c>
      <c r="AJ177" s="43">
        <f t="shared" si="67"/>
        <v>0</v>
      </c>
      <c r="AK177" s="43">
        <f t="shared" si="68"/>
        <v>0</v>
      </c>
      <c r="AL177" s="95">
        <f t="shared" si="69"/>
        <v>0</v>
      </c>
      <c r="AN177" s="47">
        <f t="shared" si="70"/>
        <v>0</v>
      </c>
      <c r="AO177" s="47">
        <f t="shared" si="71"/>
        <v>0</v>
      </c>
      <c r="AP177" s="47">
        <f t="shared" si="72"/>
        <v>0</v>
      </c>
      <c r="AQ177" s="47">
        <f t="shared" si="73"/>
        <v>0</v>
      </c>
      <c r="AR177" s="193">
        <f t="shared" si="74"/>
        <v>0</v>
      </c>
      <c r="AY177" s="3"/>
    </row>
    <row r="178" spans="1:51">
      <c r="A178" s="229"/>
      <c r="B178" s="37">
        <f>'13. Desinvesteringen'!B462</f>
        <v>443</v>
      </c>
      <c r="C178" s="48"/>
      <c r="D178" s="48"/>
      <c r="E178" s="48"/>
      <c r="F178" s="42">
        <f>'5. Input GAW-waarde desinv.'!D138</f>
        <v>0</v>
      </c>
      <c r="G178" s="177">
        <f>'13. Desinvesteringen'!D462</f>
        <v>1973</v>
      </c>
      <c r="H178" s="177">
        <f>'13. Desinvesteringen'!G462</f>
        <v>2023</v>
      </c>
      <c r="I178" s="37" t="str">
        <f>'13. Desinvesteringen'!C462</f>
        <v>02 Gasontvangststations</v>
      </c>
      <c r="J178" s="166">
        <f>'13. Desinvesteringen'!F462</f>
        <v>0</v>
      </c>
      <c r="K178" s="38">
        <f>_xlfn.XLOOKUP(I178,'3. Input (des)investeringen '!$B$11:$B$81,'3. Input (des)investeringen '!$E$11:$E$81)</f>
        <v>0</v>
      </c>
      <c r="L178" s="48"/>
      <c r="M178" s="38">
        <f>_xlfn.XLOOKUP(I178,'3. Input (des)investeringen '!$B$11:$B$81,'3. Input (des)investeringen '!$D$11:$D$81,0)</f>
        <v>30</v>
      </c>
      <c r="N178" s="38">
        <f t="shared" si="54"/>
        <v>0</v>
      </c>
      <c r="P178" s="43">
        <f t="shared" si="75"/>
        <v>0</v>
      </c>
      <c r="Q178" s="43">
        <f t="shared" si="75"/>
        <v>0</v>
      </c>
      <c r="R178" s="43">
        <f t="shared" si="75"/>
        <v>0</v>
      </c>
      <c r="S178" s="43">
        <f t="shared" si="75"/>
        <v>0</v>
      </c>
      <c r="T178" s="95">
        <f t="shared" si="75"/>
        <v>0</v>
      </c>
      <c r="V178" s="43">
        <f t="shared" si="55"/>
        <v>0</v>
      </c>
      <c r="W178" s="43">
        <f t="shared" si="56"/>
        <v>0</v>
      </c>
      <c r="X178" s="43">
        <f t="shared" si="57"/>
        <v>0</v>
      </c>
      <c r="Y178" s="43">
        <f t="shared" si="58"/>
        <v>0</v>
      </c>
      <c r="Z178" s="95">
        <f t="shared" si="59"/>
        <v>0</v>
      </c>
      <c r="AB178" s="43">
        <f t="shared" si="60"/>
        <v>0</v>
      </c>
      <c r="AC178" s="43">
        <f t="shared" si="61"/>
        <v>0</v>
      </c>
      <c r="AD178" s="43">
        <f t="shared" si="62"/>
        <v>0</v>
      </c>
      <c r="AE178" s="43">
        <f t="shared" si="63"/>
        <v>0</v>
      </c>
      <c r="AF178" s="95">
        <f t="shared" si="64"/>
        <v>0</v>
      </c>
      <c r="AH178" s="43">
        <f t="shared" si="65"/>
        <v>0</v>
      </c>
      <c r="AI178" s="43">
        <f t="shared" si="66"/>
        <v>0</v>
      </c>
      <c r="AJ178" s="43">
        <f t="shared" si="67"/>
        <v>0</v>
      </c>
      <c r="AK178" s="43">
        <f t="shared" si="68"/>
        <v>0</v>
      </c>
      <c r="AL178" s="95">
        <f t="shared" si="69"/>
        <v>0</v>
      </c>
      <c r="AN178" s="47">
        <f t="shared" si="70"/>
        <v>0</v>
      </c>
      <c r="AO178" s="47">
        <f t="shared" si="71"/>
        <v>0</v>
      </c>
      <c r="AP178" s="47">
        <f t="shared" si="72"/>
        <v>0</v>
      </c>
      <c r="AQ178" s="47">
        <f t="shared" si="73"/>
        <v>0</v>
      </c>
      <c r="AR178" s="193">
        <f t="shared" si="74"/>
        <v>0</v>
      </c>
      <c r="AY178" s="3"/>
    </row>
    <row r="179" spans="1:51">
      <c r="A179" s="229"/>
      <c r="B179" s="37">
        <f>'13. Desinvesteringen'!B463</f>
        <v>444</v>
      </c>
      <c r="C179" s="48"/>
      <c r="D179" s="48"/>
      <c r="E179" s="48"/>
      <c r="F179" s="42">
        <f>'5. Input GAW-waarde desinv.'!D139</f>
        <v>0</v>
      </c>
      <c r="G179" s="177">
        <f>'13. Desinvesteringen'!D463</f>
        <v>1974</v>
      </c>
      <c r="H179" s="177">
        <f>'13. Desinvesteringen'!G463</f>
        <v>2023</v>
      </c>
      <c r="I179" s="37" t="str">
        <f>'13. Desinvesteringen'!C463</f>
        <v>02 Gasontvangststations</v>
      </c>
      <c r="J179" s="166">
        <f>'13. Desinvesteringen'!F463</f>
        <v>0</v>
      </c>
      <c r="K179" s="38">
        <f>_xlfn.XLOOKUP(I179,'3. Input (des)investeringen '!$B$11:$B$81,'3. Input (des)investeringen '!$E$11:$E$81)</f>
        <v>0</v>
      </c>
      <c r="L179" s="48"/>
      <c r="M179" s="38">
        <f>_xlfn.XLOOKUP(I179,'3. Input (des)investeringen '!$B$11:$B$81,'3. Input (des)investeringen '!$D$11:$D$81,0)</f>
        <v>30</v>
      </c>
      <c r="N179" s="38">
        <f t="shared" si="54"/>
        <v>0</v>
      </c>
      <c r="P179" s="43">
        <f t="shared" si="75"/>
        <v>0</v>
      </c>
      <c r="Q179" s="43">
        <f t="shared" si="75"/>
        <v>0</v>
      </c>
      <c r="R179" s="43">
        <f t="shared" si="75"/>
        <v>0</v>
      </c>
      <c r="S179" s="43">
        <f t="shared" si="75"/>
        <v>0</v>
      </c>
      <c r="T179" s="95">
        <f t="shared" si="75"/>
        <v>0</v>
      </c>
      <c r="V179" s="43">
        <f t="shared" si="55"/>
        <v>0</v>
      </c>
      <c r="W179" s="43">
        <f t="shared" si="56"/>
        <v>0</v>
      </c>
      <c r="X179" s="43">
        <f t="shared" si="57"/>
        <v>0</v>
      </c>
      <c r="Y179" s="43">
        <f t="shared" si="58"/>
        <v>0</v>
      </c>
      <c r="Z179" s="95">
        <f t="shared" si="59"/>
        <v>0</v>
      </c>
      <c r="AB179" s="43">
        <f t="shared" si="60"/>
        <v>0</v>
      </c>
      <c r="AC179" s="43">
        <f t="shared" si="61"/>
        <v>0</v>
      </c>
      <c r="AD179" s="43">
        <f t="shared" si="62"/>
        <v>0</v>
      </c>
      <c r="AE179" s="43">
        <f t="shared" si="63"/>
        <v>0</v>
      </c>
      <c r="AF179" s="95">
        <f t="shared" si="64"/>
        <v>0</v>
      </c>
      <c r="AH179" s="43">
        <f t="shared" si="65"/>
        <v>0</v>
      </c>
      <c r="AI179" s="43">
        <f t="shared" si="66"/>
        <v>0</v>
      </c>
      <c r="AJ179" s="43">
        <f t="shared" si="67"/>
        <v>0</v>
      </c>
      <c r="AK179" s="43">
        <f t="shared" si="68"/>
        <v>0</v>
      </c>
      <c r="AL179" s="95">
        <f t="shared" si="69"/>
        <v>0</v>
      </c>
      <c r="AN179" s="47">
        <f t="shared" si="70"/>
        <v>0</v>
      </c>
      <c r="AO179" s="47">
        <f t="shared" si="71"/>
        <v>0</v>
      </c>
      <c r="AP179" s="47">
        <f t="shared" si="72"/>
        <v>0</v>
      </c>
      <c r="AQ179" s="47">
        <f t="shared" si="73"/>
        <v>0</v>
      </c>
      <c r="AR179" s="193">
        <f t="shared" si="74"/>
        <v>0</v>
      </c>
      <c r="AY179" s="3"/>
    </row>
    <row r="180" spans="1:51">
      <c r="A180" s="229"/>
      <c r="B180" s="37">
        <f>'13. Desinvesteringen'!B464</f>
        <v>445</v>
      </c>
      <c r="C180" s="48"/>
      <c r="D180" s="48"/>
      <c r="E180" s="48"/>
      <c r="F180" s="42">
        <f>'5. Input GAW-waarde desinv.'!D140</f>
        <v>0</v>
      </c>
      <c r="G180" s="177">
        <f>'13. Desinvesteringen'!D464</f>
        <v>1976</v>
      </c>
      <c r="H180" s="177">
        <f>'13. Desinvesteringen'!G464</f>
        <v>2023</v>
      </c>
      <c r="I180" s="37" t="str">
        <f>'13. Desinvesteringen'!C464</f>
        <v>02 Gasontvangststations</v>
      </c>
      <c r="J180" s="166">
        <f>'13. Desinvesteringen'!F464</f>
        <v>0</v>
      </c>
      <c r="K180" s="38">
        <f>_xlfn.XLOOKUP(I180,'3. Input (des)investeringen '!$B$11:$B$81,'3. Input (des)investeringen '!$E$11:$E$81)</f>
        <v>0</v>
      </c>
      <c r="L180" s="48"/>
      <c r="M180" s="38">
        <f>_xlfn.XLOOKUP(I180,'3. Input (des)investeringen '!$B$11:$B$81,'3. Input (des)investeringen '!$D$11:$D$81,0)</f>
        <v>30</v>
      </c>
      <c r="N180" s="38">
        <f t="shared" si="54"/>
        <v>0</v>
      </c>
      <c r="P180" s="43">
        <f t="shared" si="75"/>
        <v>0</v>
      </c>
      <c r="Q180" s="43">
        <f t="shared" si="75"/>
        <v>0</v>
      </c>
      <c r="R180" s="43">
        <f t="shared" si="75"/>
        <v>0</v>
      </c>
      <c r="S180" s="43">
        <f t="shared" si="75"/>
        <v>0</v>
      </c>
      <c r="T180" s="95">
        <f t="shared" si="75"/>
        <v>0</v>
      </c>
      <c r="V180" s="43">
        <f t="shared" si="55"/>
        <v>0</v>
      </c>
      <c r="W180" s="43">
        <f t="shared" si="56"/>
        <v>0</v>
      </c>
      <c r="X180" s="43">
        <f t="shared" si="57"/>
        <v>0</v>
      </c>
      <c r="Y180" s="43">
        <f t="shared" si="58"/>
        <v>0</v>
      </c>
      <c r="Z180" s="95">
        <f t="shared" si="59"/>
        <v>0</v>
      </c>
      <c r="AB180" s="43">
        <f t="shared" si="60"/>
        <v>0</v>
      </c>
      <c r="AC180" s="43">
        <f t="shared" si="61"/>
        <v>0</v>
      </c>
      <c r="AD180" s="43">
        <f t="shared" si="62"/>
        <v>0</v>
      </c>
      <c r="AE180" s="43">
        <f t="shared" si="63"/>
        <v>0</v>
      </c>
      <c r="AF180" s="95">
        <f t="shared" si="64"/>
        <v>0</v>
      </c>
      <c r="AH180" s="43">
        <f t="shared" si="65"/>
        <v>0</v>
      </c>
      <c r="AI180" s="43">
        <f t="shared" si="66"/>
        <v>0</v>
      </c>
      <c r="AJ180" s="43">
        <f t="shared" si="67"/>
        <v>0</v>
      </c>
      <c r="AK180" s="43">
        <f t="shared" si="68"/>
        <v>0</v>
      </c>
      <c r="AL180" s="95">
        <f t="shared" si="69"/>
        <v>0</v>
      </c>
      <c r="AN180" s="47">
        <f t="shared" si="70"/>
        <v>0</v>
      </c>
      <c r="AO180" s="47">
        <f t="shared" si="71"/>
        <v>0</v>
      </c>
      <c r="AP180" s="47">
        <f t="shared" si="72"/>
        <v>0</v>
      </c>
      <c r="AQ180" s="47">
        <f t="shared" si="73"/>
        <v>0</v>
      </c>
      <c r="AR180" s="193">
        <f t="shared" si="74"/>
        <v>0</v>
      </c>
      <c r="AY180" s="3"/>
    </row>
    <row r="181" spans="1:51">
      <c r="A181" s="229"/>
      <c r="B181" s="37">
        <f>'13. Desinvesteringen'!B465</f>
        <v>446</v>
      </c>
      <c r="C181" s="48"/>
      <c r="D181" s="48"/>
      <c r="E181" s="48"/>
      <c r="F181" s="42">
        <f>'5. Input GAW-waarde desinv.'!D141</f>
        <v>0</v>
      </c>
      <c r="G181" s="177">
        <f>'13. Desinvesteringen'!D465</f>
        <v>1979</v>
      </c>
      <c r="H181" s="177">
        <f>'13. Desinvesteringen'!G465</f>
        <v>2023</v>
      </c>
      <c r="I181" s="37" t="str">
        <f>'13. Desinvesteringen'!C465</f>
        <v>02 Gasontvangststations</v>
      </c>
      <c r="J181" s="166">
        <f>'13. Desinvesteringen'!F465</f>
        <v>0</v>
      </c>
      <c r="K181" s="38">
        <f>_xlfn.XLOOKUP(I181,'3. Input (des)investeringen '!$B$11:$B$81,'3. Input (des)investeringen '!$E$11:$E$81)</f>
        <v>0</v>
      </c>
      <c r="L181" s="48"/>
      <c r="M181" s="38">
        <f>_xlfn.XLOOKUP(I181,'3. Input (des)investeringen '!$B$11:$B$81,'3. Input (des)investeringen '!$D$11:$D$81,0)</f>
        <v>30</v>
      </c>
      <c r="N181" s="38">
        <f t="shared" si="54"/>
        <v>0</v>
      </c>
      <c r="P181" s="43">
        <f t="shared" si="75"/>
        <v>0</v>
      </c>
      <c r="Q181" s="43">
        <f t="shared" si="75"/>
        <v>0</v>
      </c>
      <c r="R181" s="43">
        <f t="shared" si="75"/>
        <v>0</v>
      </c>
      <c r="S181" s="43">
        <f t="shared" si="75"/>
        <v>0</v>
      </c>
      <c r="T181" s="95">
        <f t="shared" si="75"/>
        <v>0</v>
      </c>
      <c r="V181" s="43">
        <f t="shared" si="55"/>
        <v>0</v>
      </c>
      <c r="W181" s="43">
        <f t="shared" si="56"/>
        <v>0</v>
      </c>
      <c r="X181" s="43">
        <f t="shared" si="57"/>
        <v>0</v>
      </c>
      <c r="Y181" s="43">
        <f t="shared" si="58"/>
        <v>0</v>
      </c>
      <c r="Z181" s="95">
        <f t="shared" si="59"/>
        <v>0</v>
      </c>
      <c r="AB181" s="43">
        <f t="shared" si="60"/>
        <v>0</v>
      </c>
      <c r="AC181" s="43">
        <f t="shared" si="61"/>
        <v>0</v>
      </c>
      <c r="AD181" s="43">
        <f t="shared" si="62"/>
        <v>0</v>
      </c>
      <c r="AE181" s="43">
        <f t="shared" si="63"/>
        <v>0</v>
      </c>
      <c r="AF181" s="95">
        <f t="shared" si="64"/>
        <v>0</v>
      </c>
      <c r="AH181" s="43">
        <f t="shared" si="65"/>
        <v>0</v>
      </c>
      <c r="AI181" s="43">
        <f t="shared" si="66"/>
        <v>0</v>
      </c>
      <c r="AJ181" s="43">
        <f t="shared" si="67"/>
        <v>0</v>
      </c>
      <c r="AK181" s="43">
        <f t="shared" si="68"/>
        <v>0</v>
      </c>
      <c r="AL181" s="95">
        <f t="shared" si="69"/>
        <v>0</v>
      </c>
      <c r="AN181" s="47">
        <f t="shared" si="70"/>
        <v>0</v>
      </c>
      <c r="AO181" s="47">
        <f t="shared" si="71"/>
        <v>0</v>
      </c>
      <c r="AP181" s="47">
        <f t="shared" si="72"/>
        <v>0</v>
      </c>
      <c r="AQ181" s="47">
        <f t="shared" si="73"/>
        <v>0</v>
      </c>
      <c r="AR181" s="193">
        <f t="shared" si="74"/>
        <v>0</v>
      </c>
      <c r="AY181" s="3"/>
    </row>
    <row r="182" spans="1:51">
      <c r="A182" s="229"/>
      <c r="B182" s="37">
        <f>'13. Desinvesteringen'!B466</f>
        <v>447</v>
      </c>
      <c r="C182" s="48"/>
      <c r="D182" s="48"/>
      <c r="E182" s="48"/>
      <c r="F182" s="42">
        <f>'5. Input GAW-waarde desinv.'!D142</f>
        <v>0</v>
      </c>
      <c r="G182" s="177">
        <f>'13. Desinvesteringen'!D466</f>
        <v>1980</v>
      </c>
      <c r="H182" s="177">
        <f>'13. Desinvesteringen'!G466</f>
        <v>2023</v>
      </c>
      <c r="I182" s="37" t="str">
        <f>'13. Desinvesteringen'!C466</f>
        <v>02 Gasontvangststations</v>
      </c>
      <c r="J182" s="166">
        <f>'13. Desinvesteringen'!F466</f>
        <v>0</v>
      </c>
      <c r="K182" s="38">
        <f>_xlfn.XLOOKUP(I182,'3. Input (des)investeringen '!$B$11:$B$81,'3. Input (des)investeringen '!$E$11:$E$81)</f>
        <v>0</v>
      </c>
      <c r="L182" s="48"/>
      <c r="M182" s="38">
        <f>_xlfn.XLOOKUP(I182,'3. Input (des)investeringen '!$B$11:$B$81,'3. Input (des)investeringen '!$D$11:$D$81,0)</f>
        <v>30</v>
      </c>
      <c r="N182" s="38">
        <f t="shared" si="54"/>
        <v>0</v>
      </c>
      <c r="P182" s="43">
        <f t="shared" si="75"/>
        <v>0</v>
      </c>
      <c r="Q182" s="43">
        <f t="shared" si="75"/>
        <v>0</v>
      </c>
      <c r="R182" s="43">
        <f t="shared" si="75"/>
        <v>0</v>
      </c>
      <c r="S182" s="43">
        <f t="shared" si="75"/>
        <v>0</v>
      </c>
      <c r="T182" s="95">
        <f t="shared" si="75"/>
        <v>0</v>
      </c>
      <c r="V182" s="43">
        <f t="shared" si="55"/>
        <v>0</v>
      </c>
      <c r="W182" s="43">
        <f t="shared" si="56"/>
        <v>0</v>
      </c>
      <c r="X182" s="43">
        <f t="shared" si="57"/>
        <v>0</v>
      </c>
      <c r="Y182" s="43">
        <f t="shared" si="58"/>
        <v>0</v>
      </c>
      <c r="Z182" s="95">
        <f t="shared" si="59"/>
        <v>0</v>
      </c>
      <c r="AB182" s="43">
        <f t="shared" si="60"/>
        <v>0</v>
      </c>
      <c r="AC182" s="43">
        <f t="shared" si="61"/>
        <v>0</v>
      </c>
      <c r="AD182" s="43">
        <f t="shared" si="62"/>
        <v>0</v>
      </c>
      <c r="AE182" s="43">
        <f t="shared" si="63"/>
        <v>0</v>
      </c>
      <c r="AF182" s="95">
        <f t="shared" si="64"/>
        <v>0</v>
      </c>
      <c r="AH182" s="43">
        <f t="shared" si="65"/>
        <v>0</v>
      </c>
      <c r="AI182" s="43">
        <f t="shared" si="66"/>
        <v>0</v>
      </c>
      <c r="AJ182" s="43">
        <f t="shared" si="67"/>
        <v>0</v>
      </c>
      <c r="AK182" s="43">
        <f t="shared" si="68"/>
        <v>0</v>
      </c>
      <c r="AL182" s="95">
        <f t="shared" si="69"/>
        <v>0</v>
      </c>
      <c r="AN182" s="47">
        <f t="shared" si="70"/>
        <v>0</v>
      </c>
      <c r="AO182" s="47">
        <f t="shared" si="71"/>
        <v>0</v>
      </c>
      <c r="AP182" s="47">
        <f t="shared" si="72"/>
        <v>0</v>
      </c>
      <c r="AQ182" s="47">
        <f t="shared" si="73"/>
        <v>0</v>
      </c>
      <c r="AR182" s="193">
        <f t="shared" si="74"/>
        <v>0</v>
      </c>
      <c r="AY182" s="3"/>
    </row>
    <row r="183" spans="1:51">
      <c r="A183" s="229"/>
      <c r="B183" s="37">
        <f>'13. Desinvesteringen'!B467</f>
        <v>448</v>
      </c>
      <c r="C183" s="48"/>
      <c r="D183" s="48"/>
      <c r="E183" s="48"/>
      <c r="F183" s="42">
        <f>'5. Input GAW-waarde desinv.'!D143</f>
        <v>0</v>
      </c>
      <c r="G183" s="177">
        <f>'13. Desinvesteringen'!D467</f>
        <v>1983</v>
      </c>
      <c r="H183" s="177">
        <f>'13. Desinvesteringen'!G467</f>
        <v>2023</v>
      </c>
      <c r="I183" s="37" t="str">
        <f>'13. Desinvesteringen'!C467</f>
        <v>02 Gasontvangststations</v>
      </c>
      <c r="J183" s="166">
        <f>'13. Desinvesteringen'!F467</f>
        <v>0</v>
      </c>
      <c r="K183" s="38">
        <f>_xlfn.XLOOKUP(I183,'3. Input (des)investeringen '!$B$11:$B$81,'3. Input (des)investeringen '!$E$11:$E$81)</f>
        <v>0</v>
      </c>
      <c r="L183" s="48"/>
      <c r="M183" s="38">
        <f>_xlfn.XLOOKUP(I183,'3. Input (des)investeringen '!$B$11:$B$81,'3. Input (des)investeringen '!$D$11:$D$81,0)</f>
        <v>30</v>
      </c>
      <c r="N183" s="38">
        <f t="shared" si="54"/>
        <v>0</v>
      </c>
      <c r="P183" s="43">
        <f t="shared" si="75"/>
        <v>0</v>
      </c>
      <c r="Q183" s="43">
        <f t="shared" si="75"/>
        <v>0</v>
      </c>
      <c r="R183" s="43">
        <f t="shared" si="75"/>
        <v>0</v>
      </c>
      <c r="S183" s="43">
        <f t="shared" si="75"/>
        <v>0</v>
      </c>
      <c r="T183" s="95">
        <f t="shared" si="75"/>
        <v>0</v>
      </c>
      <c r="V183" s="43">
        <f t="shared" si="55"/>
        <v>0</v>
      </c>
      <c r="W183" s="43">
        <f t="shared" si="56"/>
        <v>0</v>
      </c>
      <c r="X183" s="43">
        <f t="shared" si="57"/>
        <v>0</v>
      </c>
      <c r="Y183" s="43">
        <f t="shared" si="58"/>
        <v>0</v>
      </c>
      <c r="Z183" s="95">
        <f t="shared" si="59"/>
        <v>0</v>
      </c>
      <c r="AB183" s="43">
        <f t="shared" si="60"/>
        <v>0</v>
      </c>
      <c r="AC183" s="43">
        <f t="shared" si="61"/>
        <v>0</v>
      </c>
      <c r="AD183" s="43">
        <f t="shared" si="62"/>
        <v>0</v>
      </c>
      <c r="AE183" s="43">
        <f t="shared" si="63"/>
        <v>0</v>
      </c>
      <c r="AF183" s="95">
        <f t="shared" si="64"/>
        <v>0</v>
      </c>
      <c r="AH183" s="43">
        <f t="shared" si="65"/>
        <v>0</v>
      </c>
      <c r="AI183" s="43">
        <f t="shared" si="66"/>
        <v>0</v>
      </c>
      <c r="AJ183" s="43">
        <f t="shared" si="67"/>
        <v>0</v>
      </c>
      <c r="AK183" s="43">
        <f t="shared" si="68"/>
        <v>0</v>
      </c>
      <c r="AL183" s="95">
        <f t="shared" si="69"/>
        <v>0</v>
      </c>
      <c r="AN183" s="47">
        <f t="shared" si="70"/>
        <v>0</v>
      </c>
      <c r="AO183" s="47">
        <f t="shared" si="71"/>
        <v>0</v>
      </c>
      <c r="AP183" s="47">
        <f t="shared" si="72"/>
        <v>0</v>
      </c>
      <c r="AQ183" s="47">
        <f t="shared" si="73"/>
        <v>0</v>
      </c>
      <c r="AR183" s="193">
        <f t="shared" si="74"/>
        <v>0</v>
      </c>
      <c r="AY183" s="3"/>
    </row>
    <row r="184" spans="1:51">
      <c r="A184" s="229"/>
      <c r="B184" s="37">
        <f>'13. Desinvesteringen'!B468</f>
        <v>449</v>
      </c>
      <c r="C184" s="48"/>
      <c r="D184" s="48"/>
      <c r="E184" s="48"/>
      <c r="F184" s="42">
        <f>'5. Input GAW-waarde desinv.'!D144</f>
        <v>0</v>
      </c>
      <c r="G184" s="177">
        <f>'13. Desinvesteringen'!D468</f>
        <v>1986</v>
      </c>
      <c r="H184" s="177">
        <f>'13. Desinvesteringen'!G468</f>
        <v>2023</v>
      </c>
      <c r="I184" s="37" t="str">
        <f>'13. Desinvesteringen'!C468</f>
        <v>02 Gasontvangststations</v>
      </c>
      <c r="J184" s="166">
        <f>'13. Desinvesteringen'!F468</f>
        <v>0</v>
      </c>
      <c r="K184" s="38">
        <f>_xlfn.XLOOKUP(I184,'3. Input (des)investeringen '!$B$11:$B$81,'3. Input (des)investeringen '!$E$11:$E$81)</f>
        <v>0</v>
      </c>
      <c r="L184" s="48"/>
      <c r="M184" s="38">
        <f>_xlfn.XLOOKUP(I184,'3. Input (des)investeringen '!$B$11:$B$81,'3. Input (des)investeringen '!$D$11:$D$81,0)</f>
        <v>30</v>
      </c>
      <c r="N184" s="38">
        <f t="shared" si="54"/>
        <v>0</v>
      </c>
      <c r="P184" s="43">
        <f t="shared" si="75"/>
        <v>0</v>
      </c>
      <c r="Q184" s="43">
        <f t="shared" si="75"/>
        <v>0</v>
      </c>
      <c r="R184" s="43">
        <f t="shared" si="75"/>
        <v>0</v>
      </c>
      <c r="S184" s="43">
        <f t="shared" si="75"/>
        <v>0</v>
      </c>
      <c r="T184" s="95">
        <f t="shared" si="75"/>
        <v>0</v>
      </c>
      <c r="V184" s="43">
        <f t="shared" si="55"/>
        <v>0</v>
      </c>
      <c r="W184" s="43">
        <f t="shared" si="56"/>
        <v>0</v>
      </c>
      <c r="X184" s="43">
        <f t="shared" si="57"/>
        <v>0</v>
      </c>
      <c r="Y184" s="43">
        <f t="shared" si="58"/>
        <v>0</v>
      </c>
      <c r="Z184" s="95">
        <f t="shared" si="59"/>
        <v>0</v>
      </c>
      <c r="AB184" s="43">
        <f t="shared" si="60"/>
        <v>0</v>
      </c>
      <c r="AC184" s="43">
        <f t="shared" si="61"/>
        <v>0</v>
      </c>
      <c r="AD184" s="43">
        <f t="shared" si="62"/>
        <v>0</v>
      </c>
      <c r="AE184" s="43">
        <f t="shared" si="63"/>
        <v>0</v>
      </c>
      <c r="AF184" s="95">
        <f t="shared" si="64"/>
        <v>0</v>
      </c>
      <c r="AH184" s="43">
        <f t="shared" si="65"/>
        <v>0</v>
      </c>
      <c r="AI184" s="43">
        <f t="shared" si="66"/>
        <v>0</v>
      </c>
      <c r="AJ184" s="43">
        <f t="shared" si="67"/>
        <v>0</v>
      </c>
      <c r="AK184" s="43">
        <f t="shared" si="68"/>
        <v>0</v>
      </c>
      <c r="AL184" s="95">
        <f t="shared" si="69"/>
        <v>0</v>
      </c>
      <c r="AN184" s="47">
        <f t="shared" si="70"/>
        <v>0</v>
      </c>
      <c r="AO184" s="47">
        <f t="shared" si="71"/>
        <v>0</v>
      </c>
      <c r="AP184" s="47">
        <f t="shared" si="72"/>
        <v>0</v>
      </c>
      <c r="AQ184" s="47">
        <f t="shared" si="73"/>
        <v>0</v>
      </c>
      <c r="AR184" s="193">
        <f t="shared" si="74"/>
        <v>0</v>
      </c>
      <c r="AY184" s="3"/>
    </row>
    <row r="185" spans="1:51">
      <c r="A185" s="229"/>
      <c r="B185" s="37">
        <f>'13. Desinvesteringen'!B469</f>
        <v>450</v>
      </c>
      <c r="C185" s="48"/>
      <c r="D185" s="48"/>
      <c r="E185" s="48"/>
      <c r="F185" s="42">
        <f>'5. Input GAW-waarde desinv.'!D145</f>
        <v>0</v>
      </c>
      <c r="G185" s="177">
        <f>'13. Desinvesteringen'!D469</f>
        <v>1990</v>
      </c>
      <c r="H185" s="177">
        <f>'13. Desinvesteringen'!G469</f>
        <v>2023</v>
      </c>
      <c r="I185" s="37" t="str">
        <f>'13. Desinvesteringen'!C469</f>
        <v>02 Gasontvangststations</v>
      </c>
      <c r="J185" s="166">
        <f>'13. Desinvesteringen'!F469</f>
        <v>0</v>
      </c>
      <c r="K185" s="38">
        <f>_xlfn.XLOOKUP(I185,'3. Input (des)investeringen '!$B$11:$B$81,'3. Input (des)investeringen '!$E$11:$E$81)</f>
        <v>0</v>
      </c>
      <c r="L185" s="48"/>
      <c r="M185" s="38">
        <f>_xlfn.XLOOKUP(I185,'3. Input (des)investeringen '!$B$11:$B$81,'3. Input (des)investeringen '!$D$11:$D$81,0)</f>
        <v>30</v>
      </c>
      <c r="N185" s="38">
        <f t="shared" si="54"/>
        <v>0</v>
      </c>
      <c r="P185" s="43">
        <f t="shared" si="75"/>
        <v>0</v>
      </c>
      <c r="Q185" s="43">
        <f t="shared" si="75"/>
        <v>0</v>
      </c>
      <c r="R185" s="43">
        <f t="shared" si="75"/>
        <v>0</v>
      </c>
      <c r="S185" s="43">
        <f t="shared" si="75"/>
        <v>0</v>
      </c>
      <c r="T185" s="95">
        <f t="shared" si="75"/>
        <v>0</v>
      </c>
      <c r="V185" s="43">
        <f t="shared" si="55"/>
        <v>0</v>
      </c>
      <c r="W185" s="43">
        <f t="shared" si="56"/>
        <v>0</v>
      </c>
      <c r="X185" s="43">
        <f t="shared" si="57"/>
        <v>0</v>
      </c>
      <c r="Y185" s="43">
        <f t="shared" si="58"/>
        <v>0</v>
      </c>
      <c r="Z185" s="95">
        <f t="shared" si="59"/>
        <v>0</v>
      </c>
      <c r="AB185" s="43">
        <f t="shared" si="60"/>
        <v>0</v>
      </c>
      <c r="AC185" s="43">
        <f t="shared" si="61"/>
        <v>0</v>
      </c>
      <c r="AD185" s="43">
        <f t="shared" si="62"/>
        <v>0</v>
      </c>
      <c r="AE185" s="43">
        <f t="shared" si="63"/>
        <v>0</v>
      </c>
      <c r="AF185" s="95">
        <f t="shared" si="64"/>
        <v>0</v>
      </c>
      <c r="AH185" s="43">
        <f t="shared" si="65"/>
        <v>0</v>
      </c>
      <c r="AI185" s="43">
        <f t="shared" si="66"/>
        <v>0</v>
      </c>
      <c r="AJ185" s="43">
        <f t="shared" si="67"/>
        <v>0</v>
      </c>
      <c r="AK185" s="43">
        <f t="shared" si="68"/>
        <v>0</v>
      </c>
      <c r="AL185" s="95">
        <f t="shared" si="69"/>
        <v>0</v>
      </c>
      <c r="AN185" s="47">
        <f t="shared" si="70"/>
        <v>0</v>
      </c>
      <c r="AO185" s="47">
        <f t="shared" si="71"/>
        <v>0</v>
      </c>
      <c r="AP185" s="47">
        <f t="shared" si="72"/>
        <v>0</v>
      </c>
      <c r="AQ185" s="47">
        <f t="shared" si="73"/>
        <v>0</v>
      </c>
      <c r="AR185" s="193">
        <f t="shared" si="74"/>
        <v>0</v>
      </c>
      <c r="AY185" s="3"/>
    </row>
    <row r="186" spans="1:51">
      <c r="A186" s="229"/>
      <c r="B186" s="37">
        <f>'13. Desinvesteringen'!B470</f>
        <v>451</v>
      </c>
      <c r="C186" s="48"/>
      <c r="D186" s="48"/>
      <c r="E186" s="48"/>
      <c r="F186" s="42">
        <f>'5. Input GAW-waarde desinv.'!D146</f>
        <v>192.7950154920913</v>
      </c>
      <c r="G186" s="177">
        <f>'13. Desinvesteringen'!D470</f>
        <v>1992</v>
      </c>
      <c r="H186" s="177">
        <f>'13. Desinvesteringen'!G470</f>
        <v>2023</v>
      </c>
      <c r="I186" s="37" t="str">
        <f>'13. Desinvesteringen'!C470</f>
        <v>02 Gasontvangststations</v>
      </c>
      <c r="J186" s="166">
        <f>'13. Desinvesteringen'!F470</f>
        <v>0</v>
      </c>
      <c r="K186" s="38">
        <f>_xlfn.XLOOKUP(I186,'3. Input (des)investeringen '!$B$11:$B$81,'3. Input (des)investeringen '!$E$11:$E$81)</f>
        <v>0</v>
      </c>
      <c r="L186" s="48"/>
      <c r="M186" s="38">
        <f>_xlfn.XLOOKUP(I186,'3. Input (des)investeringen '!$B$11:$B$81,'3. Input (des)investeringen '!$D$11:$D$81,0)</f>
        <v>30</v>
      </c>
      <c r="N186" s="38">
        <f t="shared" si="54"/>
        <v>0.5</v>
      </c>
      <c r="P186" s="43">
        <f t="shared" si="75"/>
        <v>173.51551394288217</v>
      </c>
      <c r="Q186" s="43">
        <f t="shared" si="75"/>
        <v>0</v>
      </c>
      <c r="R186" s="43">
        <f t="shared" si="75"/>
        <v>0</v>
      </c>
      <c r="S186" s="43">
        <f t="shared" si="75"/>
        <v>0</v>
      </c>
      <c r="T186" s="95">
        <f t="shared" si="75"/>
        <v>0</v>
      </c>
      <c r="V186" s="43">
        <f t="shared" si="55"/>
        <v>19.27950154920913</v>
      </c>
      <c r="W186" s="43">
        <f t="shared" si="56"/>
        <v>0</v>
      </c>
      <c r="X186" s="43">
        <f t="shared" si="57"/>
        <v>0</v>
      </c>
      <c r="Y186" s="43">
        <f t="shared" si="58"/>
        <v>0</v>
      </c>
      <c r="Z186" s="95">
        <f t="shared" si="59"/>
        <v>0</v>
      </c>
      <c r="AB186" s="43">
        <f t="shared" si="60"/>
        <v>192.7950154920913</v>
      </c>
      <c r="AC186" s="43">
        <f t="shared" si="61"/>
        <v>0</v>
      </c>
      <c r="AD186" s="43">
        <f t="shared" si="62"/>
        <v>0</v>
      </c>
      <c r="AE186" s="43">
        <f t="shared" si="63"/>
        <v>0</v>
      </c>
      <c r="AF186" s="95">
        <f t="shared" si="64"/>
        <v>0</v>
      </c>
      <c r="AH186" s="43">
        <f t="shared" si="65"/>
        <v>0</v>
      </c>
      <c r="AI186" s="43">
        <f t="shared" si="66"/>
        <v>0</v>
      </c>
      <c r="AJ186" s="43">
        <f t="shared" si="67"/>
        <v>0</v>
      </c>
      <c r="AK186" s="43">
        <f t="shared" si="68"/>
        <v>0</v>
      </c>
      <c r="AL186" s="95">
        <f t="shared" si="69"/>
        <v>0</v>
      </c>
      <c r="AN186" s="47">
        <f t="shared" si="70"/>
        <v>192.7950154920913</v>
      </c>
      <c r="AO186" s="47">
        <f t="shared" si="71"/>
        <v>0</v>
      </c>
      <c r="AP186" s="47">
        <f t="shared" si="72"/>
        <v>0</v>
      </c>
      <c r="AQ186" s="47">
        <f t="shared" si="73"/>
        <v>0</v>
      </c>
      <c r="AR186" s="193">
        <f t="shared" si="74"/>
        <v>0</v>
      </c>
      <c r="AY186" s="3"/>
    </row>
    <row r="187" spans="1:51">
      <c r="A187" s="229"/>
      <c r="B187" s="37">
        <f>'13. Desinvesteringen'!B471</f>
        <v>452</v>
      </c>
      <c r="C187" s="48"/>
      <c r="D187" s="48"/>
      <c r="E187" s="48"/>
      <c r="F187" s="42">
        <f>'5. Input GAW-waarde desinv.'!D147</f>
        <v>17486.319304522516</v>
      </c>
      <c r="G187" s="177">
        <f>'13. Desinvesteringen'!D471</f>
        <v>1993</v>
      </c>
      <c r="H187" s="177">
        <f>'13. Desinvesteringen'!G471</f>
        <v>2023</v>
      </c>
      <c r="I187" s="37" t="str">
        <f>'13. Desinvesteringen'!C471</f>
        <v>02 Gasontvangststations</v>
      </c>
      <c r="J187" s="166">
        <f>'13. Desinvesteringen'!F471</f>
        <v>0</v>
      </c>
      <c r="K187" s="38">
        <f>_xlfn.XLOOKUP(I187,'3. Input (des)investeringen '!$B$11:$B$81,'3. Input (des)investeringen '!$E$11:$E$81)</f>
        <v>0</v>
      </c>
      <c r="L187" s="48"/>
      <c r="M187" s="38">
        <f>_xlfn.XLOOKUP(I187,'3. Input (des)investeringen '!$B$11:$B$81,'3. Input (des)investeringen '!$D$11:$D$81,0)</f>
        <v>30</v>
      </c>
      <c r="N187" s="38">
        <f t="shared" si="54"/>
        <v>1.5</v>
      </c>
      <c r="P187" s="43">
        <f t="shared" si="75"/>
        <v>13639.329057527564</v>
      </c>
      <c r="Q187" s="43">
        <f t="shared" si="75"/>
        <v>2098.3583165427017</v>
      </c>
      <c r="R187" s="43">
        <f t="shared" si="75"/>
        <v>0</v>
      </c>
      <c r="S187" s="43">
        <f t="shared" si="75"/>
        <v>0</v>
      </c>
      <c r="T187" s="95">
        <f t="shared" si="75"/>
        <v>0</v>
      </c>
      <c r="V187" s="43">
        <f t="shared" si="55"/>
        <v>1165.7546203015011</v>
      </c>
      <c r="W187" s="43">
        <f t="shared" si="56"/>
        <v>582.87731015075065</v>
      </c>
      <c r="X187" s="43">
        <f t="shared" si="57"/>
        <v>0</v>
      </c>
      <c r="Y187" s="43">
        <f t="shared" si="58"/>
        <v>0</v>
      </c>
      <c r="Z187" s="95">
        <f t="shared" si="59"/>
        <v>0</v>
      </c>
      <c r="AB187" s="43">
        <f t="shared" si="60"/>
        <v>14805.083677829065</v>
      </c>
      <c r="AC187" s="43">
        <f t="shared" si="61"/>
        <v>2681.2356266934521</v>
      </c>
      <c r="AD187" s="43">
        <f t="shared" si="62"/>
        <v>0</v>
      </c>
      <c r="AE187" s="43">
        <f t="shared" si="63"/>
        <v>0</v>
      </c>
      <c r="AF187" s="95">
        <f t="shared" si="64"/>
        <v>0</v>
      </c>
      <c r="AH187" s="43">
        <f t="shared" si="65"/>
        <v>2681.2356266934512</v>
      </c>
      <c r="AI187" s="43">
        <f t="shared" si="66"/>
        <v>0</v>
      </c>
      <c r="AJ187" s="43">
        <f t="shared" si="67"/>
        <v>0</v>
      </c>
      <c r="AK187" s="43">
        <f t="shared" si="68"/>
        <v>0</v>
      </c>
      <c r="AL187" s="95">
        <f t="shared" si="69"/>
        <v>0</v>
      </c>
      <c r="AN187" s="47">
        <f t="shared" si="70"/>
        <v>14915.014338523497</v>
      </c>
      <c r="AO187" s="47">
        <f t="shared" si="71"/>
        <v>2681.2356266934521</v>
      </c>
      <c r="AP187" s="47">
        <f t="shared" si="72"/>
        <v>0</v>
      </c>
      <c r="AQ187" s="47">
        <f t="shared" si="73"/>
        <v>0</v>
      </c>
      <c r="AR187" s="193">
        <f t="shared" si="74"/>
        <v>0</v>
      </c>
      <c r="AY187" s="3"/>
    </row>
    <row r="188" spans="1:51">
      <c r="A188" s="229"/>
      <c r="B188" s="37">
        <f>'13. Desinvesteringen'!B472</f>
        <v>453</v>
      </c>
      <c r="C188" s="48"/>
      <c r="D188" s="48"/>
      <c r="E188" s="48"/>
      <c r="F188" s="42">
        <f>'5. Input GAW-waarde desinv.'!D148</f>
        <v>1732.4051614647706</v>
      </c>
      <c r="G188" s="177">
        <f>'13. Desinvesteringen'!D472</f>
        <v>1995</v>
      </c>
      <c r="H188" s="177">
        <f>'13. Desinvesteringen'!G472</f>
        <v>2023</v>
      </c>
      <c r="I188" s="37" t="str">
        <f>'13. Desinvesteringen'!C472</f>
        <v>02 Gasontvangststations</v>
      </c>
      <c r="J188" s="166">
        <f>'13. Desinvesteringen'!F472</f>
        <v>0</v>
      </c>
      <c r="K188" s="38">
        <f>_xlfn.XLOOKUP(I188,'3. Input (des)investeringen '!$B$11:$B$81,'3. Input (des)investeringen '!$E$11:$E$81)</f>
        <v>0</v>
      </c>
      <c r="L188" s="48"/>
      <c r="M188" s="38">
        <f>_xlfn.XLOOKUP(I188,'3. Input (des)investeringen '!$B$11:$B$81,'3. Input (des)investeringen '!$D$11:$D$81,0)</f>
        <v>30</v>
      </c>
      <c r="N188" s="38">
        <f t="shared" si="54"/>
        <v>3.5</v>
      </c>
      <c r="P188" s="43">
        <f t="shared" si="75"/>
        <v>579.11829683250903</v>
      </c>
      <c r="Q188" s="43">
        <f t="shared" si="75"/>
        <v>392.01853939431385</v>
      </c>
      <c r="R188" s="43">
        <f t="shared" si="75"/>
        <v>392.01853939431385</v>
      </c>
      <c r="S188" s="43">
        <f t="shared" si="75"/>
        <v>196.00926969715692</v>
      </c>
      <c r="T188" s="95">
        <f t="shared" si="75"/>
        <v>0</v>
      </c>
      <c r="V188" s="43">
        <f t="shared" si="55"/>
        <v>49.497290327564876</v>
      </c>
      <c r="W188" s="43">
        <f t="shared" si="56"/>
        <v>49.497290327564883</v>
      </c>
      <c r="X188" s="43">
        <f t="shared" si="57"/>
        <v>49.497290327564883</v>
      </c>
      <c r="Y188" s="43">
        <f t="shared" si="58"/>
        <v>24.748645163782442</v>
      </c>
      <c r="Z188" s="95">
        <f t="shared" si="59"/>
        <v>0</v>
      </c>
      <c r="AB188" s="43">
        <f t="shared" si="60"/>
        <v>628.61558716007391</v>
      </c>
      <c r="AC188" s="43">
        <f t="shared" si="61"/>
        <v>441.51582972187873</v>
      </c>
      <c r="AD188" s="43">
        <f t="shared" si="62"/>
        <v>441.51582972187873</v>
      </c>
      <c r="AE188" s="43">
        <f t="shared" si="63"/>
        <v>220.75791486093937</v>
      </c>
      <c r="AF188" s="95">
        <f t="shared" si="64"/>
        <v>0</v>
      </c>
      <c r="AH188" s="43">
        <f t="shared" si="65"/>
        <v>1103.7895743046965</v>
      </c>
      <c r="AI188" s="43">
        <f t="shared" si="66"/>
        <v>662.27374458281781</v>
      </c>
      <c r="AJ188" s="43">
        <f t="shared" si="67"/>
        <v>220.75791486093908</v>
      </c>
      <c r="AK188" s="43">
        <f t="shared" si="68"/>
        <v>0</v>
      </c>
      <c r="AL188" s="95">
        <f t="shared" si="69"/>
        <v>0</v>
      </c>
      <c r="AN188" s="47">
        <f t="shared" si="70"/>
        <v>673.87095970656651</v>
      </c>
      <c r="AO188" s="47">
        <f t="shared" si="71"/>
        <v>475.29179069560246</v>
      </c>
      <c r="AP188" s="47">
        <f t="shared" si="72"/>
        <v>452.7744833797866</v>
      </c>
      <c r="AQ188" s="47">
        <f t="shared" si="73"/>
        <v>220.75791486093937</v>
      </c>
      <c r="AR188" s="193">
        <f t="shared" si="74"/>
        <v>0</v>
      </c>
      <c r="AY188" s="3"/>
    </row>
    <row r="189" spans="1:51">
      <c r="A189" s="229"/>
      <c r="B189" s="37">
        <f>'13. Desinvesteringen'!B473</f>
        <v>454</v>
      </c>
      <c r="C189" s="48"/>
      <c r="D189" s="48"/>
      <c r="E189" s="48"/>
      <c r="F189" s="42">
        <f>'5. Input GAW-waarde desinv.'!D149</f>
        <v>2852.1763921840106</v>
      </c>
      <c r="G189" s="177">
        <f>'13. Desinvesteringen'!D473</f>
        <v>1997</v>
      </c>
      <c r="H189" s="177">
        <f>'13. Desinvesteringen'!G473</f>
        <v>2023</v>
      </c>
      <c r="I189" s="37" t="str">
        <f>'13. Desinvesteringen'!C473</f>
        <v>02 Gasontvangststations</v>
      </c>
      <c r="J189" s="166">
        <f>'13. Desinvesteringen'!F473</f>
        <v>0</v>
      </c>
      <c r="K189" s="38">
        <f>_xlfn.XLOOKUP(I189,'3. Input (des)investeringen '!$B$11:$B$81,'3. Input (des)investeringen '!$E$11:$E$81)</f>
        <v>0</v>
      </c>
      <c r="L189" s="48"/>
      <c r="M189" s="38">
        <f>_xlfn.XLOOKUP(I189,'3. Input (des)investeringen '!$B$11:$B$81,'3. Input (des)investeringen '!$D$11:$D$81,0)</f>
        <v>30</v>
      </c>
      <c r="N189" s="38">
        <f t="shared" si="54"/>
        <v>5.5</v>
      </c>
      <c r="P189" s="43">
        <f t="shared" si="75"/>
        <v>606.73570524641684</v>
      </c>
      <c r="Q189" s="43">
        <f t="shared" si="75"/>
        <v>463.32544764271825</v>
      </c>
      <c r="R189" s="43">
        <f t="shared" si="75"/>
        <v>427.68502859327839</v>
      </c>
      <c r="S189" s="43">
        <f t="shared" si="75"/>
        <v>427.68502859327839</v>
      </c>
      <c r="T189" s="95">
        <f t="shared" si="75"/>
        <v>427.68502859327839</v>
      </c>
      <c r="V189" s="43">
        <f t="shared" si="55"/>
        <v>51.85775258516383</v>
      </c>
      <c r="W189" s="43">
        <f t="shared" si="56"/>
        <v>51.85775258516383</v>
      </c>
      <c r="X189" s="43">
        <f t="shared" si="57"/>
        <v>51.85775258516383</v>
      </c>
      <c r="Y189" s="43">
        <f t="shared" si="58"/>
        <v>51.85775258516383</v>
      </c>
      <c r="Z189" s="95">
        <f t="shared" si="59"/>
        <v>51.85775258516383</v>
      </c>
      <c r="AB189" s="43">
        <f t="shared" si="60"/>
        <v>658.59345783158062</v>
      </c>
      <c r="AC189" s="43">
        <f t="shared" si="61"/>
        <v>515.18320022788203</v>
      </c>
      <c r="AD189" s="43">
        <f t="shared" si="62"/>
        <v>479.54278117844223</v>
      </c>
      <c r="AE189" s="43">
        <f t="shared" si="63"/>
        <v>479.54278117844223</v>
      </c>
      <c r="AF189" s="95">
        <f t="shared" si="64"/>
        <v>479.54278117844223</v>
      </c>
      <c r="AH189" s="43">
        <f t="shared" si="65"/>
        <v>2193.5829343524301</v>
      </c>
      <c r="AI189" s="43">
        <f t="shared" si="66"/>
        <v>1678.3997341245481</v>
      </c>
      <c r="AJ189" s="43">
        <f t="shared" si="67"/>
        <v>1198.8569529461058</v>
      </c>
      <c r="AK189" s="43">
        <f t="shared" si="68"/>
        <v>719.31417176766354</v>
      </c>
      <c r="AL189" s="95">
        <f t="shared" si="69"/>
        <v>239.77139058922131</v>
      </c>
      <c r="AN189" s="47">
        <f t="shared" si="70"/>
        <v>748.53035814003022</v>
      </c>
      <c r="AO189" s="47">
        <f t="shared" si="71"/>
        <v>600.78158666823401</v>
      </c>
      <c r="AP189" s="47">
        <f t="shared" si="72"/>
        <v>540.68448577869367</v>
      </c>
      <c r="AQ189" s="47">
        <f t="shared" si="73"/>
        <v>506.87671970561343</v>
      </c>
      <c r="AR189" s="193">
        <f t="shared" si="74"/>
        <v>488.65409402083264</v>
      </c>
      <c r="AY189" s="3"/>
    </row>
    <row r="190" spans="1:51">
      <c r="A190" s="229"/>
      <c r="B190" s="37">
        <f>'13. Desinvesteringen'!B474</f>
        <v>455</v>
      </c>
      <c r="C190" s="48"/>
      <c r="D190" s="48"/>
      <c r="E190" s="48"/>
      <c r="F190" s="42">
        <f>'5. Input GAW-waarde desinv.'!D150</f>
        <v>9316.2155574158933</v>
      </c>
      <c r="G190" s="177">
        <f>'13. Desinvesteringen'!D474</f>
        <v>2003</v>
      </c>
      <c r="H190" s="177">
        <f>'13. Desinvesteringen'!G474</f>
        <v>2023</v>
      </c>
      <c r="I190" s="37" t="str">
        <f>'13. Desinvesteringen'!C474</f>
        <v>02 Gasontvangststations</v>
      </c>
      <c r="J190" s="166">
        <f>'13. Desinvesteringen'!F474</f>
        <v>0</v>
      </c>
      <c r="K190" s="38">
        <f>_xlfn.XLOOKUP(I190,'3. Input (des)investeringen '!$B$11:$B$81,'3. Input (des)investeringen '!$E$11:$E$81)</f>
        <v>0</v>
      </c>
      <c r="L190" s="48"/>
      <c r="M190" s="38">
        <f>_xlfn.XLOOKUP(I190,'3. Input (des)investeringen '!$B$11:$B$81,'3. Input (des)investeringen '!$D$11:$D$81,0)</f>
        <v>30</v>
      </c>
      <c r="N190" s="38">
        <f t="shared" si="54"/>
        <v>11.5</v>
      </c>
      <c r="P190" s="43">
        <f t="shared" si="75"/>
        <v>947.82366975448656</v>
      </c>
      <c r="Q190" s="43">
        <f t="shared" si="75"/>
        <v>840.67838534745749</v>
      </c>
      <c r="R190" s="43">
        <f t="shared" si="75"/>
        <v>745.64517656904934</v>
      </c>
      <c r="S190" s="43">
        <f t="shared" si="75"/>
        <v>688.28785529450715</v>
      </c>
      <c r="T190" s="95">
        <f t="shared" si="75"/>
        <v>688.28785529450715</v>
      </c>
      <c r="V190" s="43">
        <f t="shared" si="55"/>
        <v>81.010570064486032</v>
      </c>
      <c r="W190" s="43">
        <f t="shared" si="56"/>
        <v>81.010570064486032</v>
      </c>
      <c r="X190" s="43">
        <f t="shared" si="57"/>
        <v>81.010570064486032</v>
      </c>
      <c r="Y190" s="43">
        <f t="shared" si="58"/>
        <v>81.010570064486032</v>
      </c>
      <c r="Z190" s="95">
        <f t="shared" si="59"/>
        <v>81.010570064486032</v>
      </c>
      <c r="AB190" s="43">
        <f t="shared" si="60"/>
        <v>1028.8342398189725</v>
      </c>
      <c r="AC190" s="43">
        <f t="shared" si="61"/>
        <v>921.68895541194354</v>
      </c>
      <c r="AD190" s="43">
        <f t="shared" si="62"/>
        <v>826.65574663353539</v>
      </c>
      <c r="AE190" s="43">
        <f t="shared" si="63"/>
        <v>769.2984253589932</v>
      </c>
      <c r="AF190" s="95">
        <f t="shared" si="64"/>
        <v>769.2984253589932</v>
      </c>
      <c r="AH190" s="43">
        <f t="shared" si="65"/>
        <v>8287.3813175969208</v>
      </c>
      <c r="AI190" s="43">
        <f t="shared" si="66"/>
        <v>7365.6923621849774</v>
      </c>
      <c r="AJ190" s="43">
        <f t="shared" si="67"/>
        <v>6539.0366155514421</v>
      </c>
      <c r="AK190" s="43">
        <f t="shared" si="68"/>
        <v>5769.7381901924491</v>
      </c>
      <c r="AL190" s="95">
        <f t="shared" si="69"/>
        <v>5000.4397648334561</v>
      </c>
      <c r="AN190" s="47">
        <f t="shared" si="70"/>
        <v>1368.6168738404463</v>
      </c>
      <c r="AO190" s="47">
        <f t="shared" si="71"/>
        <v>1297.3392658833773</v>
      </c>
      <c r="AP190" s="47">
        <f t="shared" si="72"/>
        <v>1160.1466140266589</v>
      </c>
      <c r="AQ190" s="47">
        <f t="shared" si="73"/>
        <v>988.54847658630626</v>
      </c>
      <c r="AR190" s="193">
        <f t="shared" si="74"/>
        <v>959.31513642266452</v>
      </c>
      <c r="AY190" s="3"/>
    </row>
    <row r="191" spans="1:51">
      <c r="A191" s="229"/>
      <c r="B191" s="37">
        <f>'13. Desinvesteringen'!B475</f>
        <v>456</v>
      </c>
      <c r="C191" s="48"/>
      <c r="D191" s="48"/>
      <c r="E191" s="48"/>
      <c r="F191" s="42">
        <f>'5. Input GAW-waarde desinv.'!D151</f>
        <v>14209.467414292769</v>
      </c>
      <c r="G191" s="177">
        <f>'13. Desinvesteringen'!D475</f>
        <v>2005</v>
      </c>
      <c r="H191" s="177">
        <f>'13. Desinvesteringen'!G475</f>
        <v>2023</v>
      </c>
      <c r="I191" s="37" t="str">
        <f>'13. Desinvesteringen'!C475</f>
        <v>02 Gasontvangststations</v>
      </c>
      <c r="J191" s="166">
        <f>'13. Desinvesteringen'!F475</f>
        <v>0</v>
      </c>
      <c r="K191" s="38">
        <f>_xlfn.XLOOKUP(I191,'3. Input (des)investeringen '!$B$11:$B$81,'3. Input (des)investeringen '!$E$11:$E$81)</f>
        <v>0</v>
      </c>
      <c r="L191" s="48"/>
      <c r="M191" s="38">
        <f>_xlfn.XLOOKUP(I191,'3. Input (des)investeringen '!$B$11:$B$81,'3. Input (des)investeringen '!$D$11:$D$81,0)</f>
        <v>30</v>
      </c>
      <c r="N191" s="38">
        <f t="shared" si="54"/>
        <v>13.5</v>
      </c>
      <c r="P191" s="43">
        <f t="shared" si="75"/>
        <v>1231.4871759053733</v>
      </c>
      <c r="Q191" s="43">
        <f t="shared" si="75"/>
        <v>1112.8995219293004</v>
      </c>
      <c r="R191" s="43">
        <f t="shared" si="75"/>
        <v>1005.73141981759</v>
      </c>
      <c r="S191" s="43">
        <f t="shared" si="75"/>
        <v>908.88320902034047</v>
      </c>
      <c r="T191" s="95">
        <f t="shared" si="75"/>
        <v>897.84414170430398</v>
      </c>
      <c r="V191" s="43">
        <f t="shared" si="55"/>
        <v>105.25531417994644</v>
      </c>
      <c r="W191" s="43">
        <f t="shared" si="56"/>
        <v>105.25531417994644</v>
      </c>
      <c r="X191" s="43">
        <f t="shared" si="57"/>
        <v>105.25531417994644</v>
      </c>
      <c r="Y191" s="43">
        <f t="shared" si="58"/>
        <v>105.25531417994644</v>
      </c>
      <c r="Z191" s="95">
        <f t="shared" si="59"/>
        <v>105.25531417994644</v>
      </c>
      <c r="AB191" s="43">
        <f t="shared" si="60"/>
        <v>1336.7424900853198</v>
      </c>
      <c r="AC191" s="43">
        <f t="shared" si="61"/>
        <v>1218.1548361092468</v>
      </c>
      <c r="AD191" s="43">
        <f t="shared" si="62"/>
        <v>1110.9867339975365</v>
      </c>
      <c r="AE191" s="43">
        <f t="shared" si="63"/>
        <v>1014.138523200287</v>
      </c>
      <c r="AF191" s="95">
        <f t="shared" si="64"/>
        <v>1003.0994558842505</v>
      </c>
      <c r="AH191" s="43">
        <f t="shared" si="65"/>
        <v>12872.724924207449</v>
      </c>
      <c r="AI191" s="43">
        <f t="shared" si="66"/>
        <v>11654.570088098202</v>
      </c>
      <c r="AJ191" s="43">
        <f t="shared" si="67"/>
        <v>10543.583354100665</v>
      </c>
      <c r="AK191" s="43">
        <f t="shared" si="68"/>
        <v>9529.4448309003783</v>
      </c>
      <c r="AL191" s="95">
        <f t="shared" si="69"/>
        <v>8526.3453750161279</v>
      </c>
      <c r="AN191" s="47">
        <f t="shared" si="70"/>
        <v>1864.5242119778252</v>
      </c>
      <c r="AO191" s="47">
        <f t="shared" si="71"/>
        <v>1812.5379106022551</v>
      </c>
      <c r="AP191" s="47">
        <f t="shared" si="72"/>
        <v>1648.7094850566705</v>
      </c>
      <c r="AQ191" s="47">
        <f t="shared" si="73"/>
        <v>1376.2574267745013</v>
      </c>
      <c r="AR191" s="193">
        <f t="shared" si="74"/>
        <v>1327.1005801348633</v>
      </c>
      <c r="AY191" s="3"/>
    </row>
    <row r="192" spans="1:51">
      <c r="A192" s="229"/>
      <c r="B192" s="37">
        <f>'13. Desinvesteringen'!B476</f>
        <v>457</v>
      </c>
      <c r="C192" s="48"/>
      <c r="D192" s="48"/>
      <c r="E192" s="48"/>
      <c r="F192" s="42">
        <f>'5. Input GAW-waarde desinv.'!D152</f>
        <v>37532.285815813477</v>
      </c>
      <c r="G192" s="177">
        <f>'13. Desinvesteringen'!D476</f>
        <v>2007</v>
      </c>
      <c r="H192" s="177">
        <f>'13. Desinvesteringen'!G476</f>
        <v>2023</v>
      </c>
      <c r="I192" s="37" t="str">
        <f>'13. Desinvesteringen'!C476</f>
        <v>02 Gasontvangststations</v>
      </c>
      <c r="J192" s="166">
        <f>'13. Desinvesteringen'!F476</f>
        <v>0</v>
      </c>
      <c r="K192" s="38">
        <f>_xlfn.XLOOKUP(I192,'3. Input (des)investeringen '!$B$11:$B$81,'3. Input (des)investeringen '!$E$11:$E$81)</f>
        <v>0</v>
      </c>
      <c r="L192" s="48"/>
      <c r="M192" s="38">
        <f>_xlfn.XLOOKUP(I192,'3. Input (des)investeringen '!$B$11:$B$81,'3. Input (des)investeringen '!$D$11:$D$81,0)</f>
        <v>30</v>
      </c>
      <c r="N192" s="38">
        <f t="shared" si="54"/>
        <v>15.5</v>
      </c>
      <c r="P192" s="43">
        <f t="shared" si="75"/>
        <v>2833.0822196452755</v>
      </c>
      <c r="Q192" s="43">
        <f t="shared" si="75"/>
        <v>2595.4688721911557</v>
      </c>
      <c r="R192" s="43">
        <f t="shared" si="75"/>
        <v>2377.7843861364136</v>
      </c>
      <c r="S192" s="43">
        <f t="shared" si="75"/>
        <v>2178.3573085894882</v>
      </c>
      <c r="T192" s="95">
        <f t="shared" si="75"/>
        <v>2069.0751693625907</v>
      </c>
      <c r="V192" s="43">
        <f t="shared" si="55"/>
        <v>242.14377945686115</v>
      </c>
      <c r="W192" s="43">
        <f t="shared" si="56"/>
        <v>242.14377945686113</v>
      </c>
      <c r="X192" s="43">
        <f t="shared" si="57"/>
        <v>242.14377945686113</v>
      </c>
      <c r="Y192" s="43">
        <f t="shared" si="58"/>
        <v>242.14377945686113</v>
      </c>
      <c r="Z192" s="95">
        <f t="shared" si="59"/>
        <v>242.14377945686113</v>
      </c>
      <c r="AB192" s="43">
        <f t="shared" si="60"/>
        <v>3075.2259991021365</v>
      </c>
      <c r="AC192" s="43">
        <f t="shared" si="61"/>
        <v>2837.6126516480167</v>
      </c>
      <c r="AD192" s="43">
        <f t="shared" si="62"/>
        <v>2619.9281655932746</v>
      </c>
      <c r="AE192" s="43">
        <f t="shared" si="63"/>
        <v>2420.5010880463492</v>
      </c>
      <c r="AF192" s="95">
        <f t="shared" si="64"/>
        <v>2311.2189488194517</v>
      </c>
      <c r="AH192" s="43">
        <f t="shared" si="65"/>
        <v>34457.059816711342</v>
      </c>
      <c r="AI192" s="43">
        <f t="shared" si="66"/>
        <v>31619.447165063324</v>
      </c>
      <c r="AJ192" s="43">
        <f t="shared" si="67"/>
        <v>28999.518999470049</v>
      </c>
      <c r="AK192" s="43">
        <f t="shared" si="68"/>
        <v>26579.0179114237</v>
      </c>
      <c r="AL192" s="95">
        <f t="shared" si="69"/>
        <v>24267.798962604247</v>
      </c>
      <c r="AN192" s="47">
        <f t="shared" si="70"/>
        <v>4487.9654515873017</v>
      </c>
      <c r="AO192" s="47">
        <f t="shared" si="71"/>
        <v>4450.2044570662456</v>
      </c>
      <c r="AP192" s="47">
        <f t="shared" si="72"/>
        <v>4098.9036345662471</v>
      </c>
      <c r="AQ192" s="47">
        <f t="shared" si="73"/>
        <v>3430.5037686804499</v>
      </c>
      <c r="AR192" s="193">
        <f t="shared" si="74"/>
        <v>3233.3953093984132</v>
      </c>
      <c r="AY192" s="3"/>
    </row>
    <row r="193" spans="1:51">
      <c r="A193" s="229"/>
      <c r="B193" s="37">
        <f>'13. Desinvesteringen'!B477</f>
        <v>458</v>
      </c>
      <c r="C193" s="48"/>
      <c r="D193" s="48"/>
      <c r="E193" s="48"/>
      <c r="F193" s="42">
        <f>'5. Input GAW-waarde desinv.'!D153</f>
        <v>18395.575662272393</v>
      </c>
      <c r="G193" s="177">
        <f>'13. Desinvesteringen'!D477</f>
        <v>2009</v>
      </c>
      <c r="H193" s="177">
        <f>'13. Desinvesteringen'!G477</f>
        <v>2023</v>
      </c>
      <c r="I193" s="37" t="str">
        <f>'13. Desinvesteringen'!C477</f>
        <v>02 Gasontvangststations</v>
      </c>
      <c r="J193" s="166">
        <f>'13. Desinvesteringen'!F477</f>
        <v>0</v>
      </c>
      <c r="K193" s="38">
        <f>_xlfn.XLOOKUP(I193,'3. Input (des)investeringen '!$B$11:$B$81,'3. Input (des)investeringen '!$E$11:$E$81)</f>
        <v>0</v>
      </c>
      <c r="L193" s="48"/>
      <c r="M193" s="38">
        <f>_xlfn.XLOOKUP(I193,'3. Input (des)investeringen '!$B$11:$B$81,'3. Input (des)investeringen '!$D$11:$D$81,0)</f>
        <v>30</v>
      </c>
      <c r="N193" s="38">
        <f t="shared" si="54"/>
        <v>17.5</v>
      </c>
      <c r="P193" s="43">
        <f t="shared" si="75"/>
        <v>1229.8756299919257</v>
      </c>
      <c r="Q193" s="43">
        <f t="shared" si="75"/>
        <v>1138.5134403353827</v>
      </c>
      <c r="R193" s="43">
        <f t="shared" si="75"/>
        <v>1053.9381561961827</v>
      </c>
      <c r="S193" s="43">
        <f t="shared" si="75"/>
        <v>975.64560745018071</v>
      </c>
      <c r="T193" s="95">
        <f t="shared" si="75"/>
        <v>903.16907661102437</v>
      </c>
      <c r="V193" s="43">
        <f t="shared" si="55"/>
        <v>105.1175752129851</v>
      </c>
      <c r="W193" s="43">
        <f t="shared" si="56"/>
        <v>105.11757521298512</v>
      </c>
      <c r="X193" s="43">
        <f t="shared" si="57"/>
        <v>105.11757521298512</v>
      </c>
      <c r="Y193" s="43">
        <f t="shared" si="58"/>
        <v>105.11757521298512</v>
      </c>
      <c r="Z193" s="95">
        <f t="shared" si="59"/>
        <v>105.11757521298512</v>
      </c>
      <c r="AB193" s="43">
        <f t="shared" si="60"/>
        <v>1334.9932052049107</v>
      </c>
      <c r="AC193" s="43">
        <f t="shared" si="61"/>
        <v>1243.6310155483679</v>
      </c>
      <c r="AD193" s="43">
        <f t="shared" si="62"/>
        <v>1159.0557314091679</v>
      </c>
      <c r="AE193" s="43">
        <f t="shared" si="63"/>
        <v>1080.7631826631659</v>
      </c>
      <c r="AF193" s="95">
        <f t="shared" si="64"/>
        <v>1008.2866518240095</v>
      </c>
      <c r="AH193" s="43">
        <f t="shared" si="65"/>
        <v>17060.582457067481</v>
      </c>
      <c r="AI193" s="43">
        <f t="shared" si="66"/>
        <v>15816.951441519113</v>
      </c>
      <c r="AJ193" s="43">
        <f t="shared" si="67"/>
        <v>14657.895710109946</v>
      </c>
      <c r="AK193" s="43">
        <f t="shared" si="68"/>
        <v>13577.13252744678</v>
      </c>
      <c r="AL193" s="95">
        <f t="shared" si="69"/>
        <v>12568.84587562277</v>
      </c>
      <c r="AN193" s="47">
        <f t="shared" si="70"/>
        <v>2034.4770859446776</v>
      </c>
      <c r="AO193" s="47">
        <f t="shared" si="71"/>
        <v>2050.2955390658426</v>
      </c>
      <c r="AP193" s="47">
        <f t="shared" si="72"/>
        <v>1906.6084126247752</v>
      </c>
      <c r="AQ193" s="47">
        <f t="shared" si="73"/>
        <v>1596.6942187061436</v>
      </c>
      <c r="AR193" s="193">
        <f t="shared" si="74"/>
        <v>1485.9027950976747</v>
      </c>
      <c r="AY193" s="3"/>
    </row>
    <row r="194" spans="1:51">
      <c r="A194" s="229"/>
      <c r="B194" s="37">
        <f>'13. Desinvesteringen'!B478</f>
        <v>459</v>
      </c>
      <c r="C194" s="48"/>
      <c r="D194" s="48"/>
      <c r="E194" s="48"/>
      <c r="F194" s="42">
        <f>'5. Input GAW-waarde desinv.'!D154</f>
        <v>45342.950536082608</v>
      </c>
      <c r="G194" s="177">
        <f>'13. Desinvesteringen'!D478</f>
        <v>2007</v>
      </c>
      <c r="H194" s="177">
        <f>'13. Desinvesteringen'!G478</f>
        <v>2023</v>
      </c>
      <c r="I194" s="37" t="str">
        <f>'13. Desinvesteringen'!C478</f>
        <v>06 Utiliteitsgebouwen</v>
      </c>
      <c r="J194" s="166">
        <f>'13. Desinvesteringen'!F478</f>
        <v>0</v>
      </c>
      <c r="K194" s="38">
        <f>_xlfn.XLOOKUP(I194,'3. Input (des)investeringen '!$B$11:$B$81,'3. Input (des)investeringen '!$E$11:$E$81)</f>
        <v>0</v>
      </c>
      <c r="L194" s="48"/>
      <c r="M194" s="38">
        <f>_xlfn.XLOOKUP(I194,'3. Input (des)investeringen '!$B$11:$B$81,'3. Input (des)investeringen '!$D$11:$D$81,0)</f>
        <v>30</v>
      </c>
      <c r="N194" s="38">
        <f t="shared" si="54"/>
        <v>15.5</v>
      </c>
      <c r="P194" s="43">
        <f t="shared" si="75"/>
        <v>3422.6614275623651</v>
      </c>
      <c r="Q194" s="43">
        <f t="shared" si="75"/>
        <v>3135.5995013797146</v>
      </c>
      <c r="R194" s="43">
        <f t="shared" si="75"/>
        <v>2872.6137367478677</v>
      </c>
      <c r="S194" s="43">
        <f t="shared" si="75"/>
        <v>2631.6848426980469</v>
      </c>
      <c r="T194" s="95">
        <f t="shared" si="75"/>
        <v>2499.6605194857702</v>
      </c>
      <c r="V194" s="43">
        <f t="shared" si="55"/>
        <v>292.53516474892007</v>
      </c>
      <c r="W194" s="43">
        <f t="shared" si="56"/>
        <v>292.53516474892007</v>
      </c>
      <c r="X194" s="43">
        <f t="shared" si="57"/>
        <v>292.53516474892007</v>
      </c>
      <c r="Y194" s="43">
        <f t="shared" si="58"/>
        <v>292.53516474892007</v>
      </c>
      <c r="Z194" s="95">
        <f t="shared" si="59"/>
        <v>292.53516474892007</v>
      </c>
      <c r="AB194" s="43">
        <f t="shared" si="60"/>
        <v>3715.1965923112853</v>
      </c>
      <c r="AC194" s="43">
        <f t="shared" si="61"/>
        <v>3428.1346661286348</v>
      </c>
      <c r="AD194" s="43">
        <f t="shared" si="62"/>
        <v>3165.1489014967879</v>
      </c>
      <c r="AE194" s="43">
        <f t="shared" si="63"/>
        <v>2924.220007446967</v>
      </c>
      <c r="AF194" s="95">
        <f t="shared" si="64"/>
        <v>2792.1956842346904</v>
      </c>
      <c r="AH194" s="43">
        <f t="shared" si="65"/>
        <v>41627.75394377132</v>
      </c>
      <c r="AI194" s="43">
        <f t="shared" si="66"/>
        <v>38199.619277642683</v>
      </c>
      <c r="AJ194" s="43">
        <f t="shared" si="67"/>
        <v>35034.470376145895</v>
      </c>
      <c r="AK194" s="43">
        <f t="shared" si="68"/>
        <v>32110.250368698929</v>
      </c>
      <c r="AL194" s="95">
        <f t="shared" si="69"/>
        <v>29318.054684464238</v>
      </c>
      <c r="AN194" s="47">
        <f t="shared" si="70"/>
        <v>5421.9345040059097</v>
      </c>
      <c r="AO194" s="47">
        <f t="shared" si="71"/>
        <v>5376.315249288411</v>
      </c>
      <c r="AP194" s="47">
        <f t="shared" si="72"/>
        <v>4951.9068906802286</v>
      </c>
      <c r="AQ194" s="47">
        <f t="shared" si="73"/>
        <v>4144.4095214575264</v>
      </c>
      <c r="AR194" s="193">
        <f t="shared" si="74"/>
        <v>3906.2817622443313</v>
      </c>
      <c r="AY194" s="3"/>
    </row>
    <row r="195" spans="1:51">
      <c r="A195" s="229"/>
      <c r="B195" s="37">
        <f>'13. Desinvesteringen'!B479</f>
        <v>460</v>
      </c>
      <c r="C195" s="48"/>
      <c r="D195" s="48"/>
      <c r="E195" s="48"/>
      <c r="F195" s="42">
        <f>'5. Input GAW-waarde desinv.'!D155</f>
        <v>0</v>
      </c>
      <c r="G195" s="177">
        <f>'13. Desinvesteringen'!D479</f>
        <v>2003</v>
      </c>
      <c r="H195" s="177">
        <f>'13. Desinvesteringen'!G479</f>
        <v>2023</v>
      </c>
      <c r="I195" s="37" t="str">
        <f>'13. Desinvesteringen'!C479</f>
        <v>09 Bedrijfsinventaris</v>
      </c>
      <c r="J195" s="166">
        <f>'13. Desinvesteringen'!F479</f>
        <v>0</v>
      </c>
      <c r="K195" s="38">
        <f>_xlfn.XLOOKUP(I195,'3. Input (des)investeringen '!$B$11:$B$81,'3. Input (des)investeringen '!$E$11:$E$81)</f>
        <v>1</v>
      </c>
      <c r="L195" s="48"/>
      <c r="M195" s="38">
        <f>_xlfn.XLOOKUP(I195,'3. Input (des)investeringen '!$B$11:$B$81,'3. Input (des)investeringen '!$D$11:$D$81,0)</f>
        <v>10</v>
      </c>
      <c r="N195" s="38">
        <f t="shared" si="54"/>
        <v>0</v>
      </c>
      <c r="P195" s="43">
        <f t="shared" si="75"/>
        <v>0</v>
      </c>
      <c r="Q195" s="43">
        <f t="shared" si="75"/>
        <v>0</v>
      </c>
      <c r="R195" s="43">
        <f t="shared" si="75"/>
        <v>0</v>
      </c>
      <c r="S195" s="43">
        <f t="shared" si="75"/>
        <v>0</v>
      </c>
      <c r="T195" s="95">
        <f t="shared" si="75"/>
        <v>0</v>
      </c>
      <c r="V195" s="43">
        <f t="shared" si="55"/>
        <v>0</v>
      </c>
      <c r="W195" s="43">
        <f t="shared" si="56"/>
        <v>0</v>
      </c>
      <c r="X195" s="43">
        <f t="shared" si="57"/>
        <v>0</v>
      </c>
      <c r="Y195" s="43">
        <f t="shared" si="58"/>
        <v>0</v>
      </c>
      <c r="Z195" s="95">
        <f t="shared" si="59"/>
        <v>0</v>
      </c>
      <c r="AB195" s="43">
        <f t="shared" si="60"/>
        <v>0</v>
      </c>
      <c r="AC195" s="43">
        <f t="shared" si="61"/>
        <v>0</v>
      </c>
      <c r="AD195" s="43">
        <f t="shared" si="62"/>
        <v>0</v>
      </c>
      <c r="AE195" s="43">
        <f t="shared" si="63"/>
        <v>0</v>
      </c>
      <c r="AF195" s="95">
        <f t="shared" si="64"/>
        <v>0</v>
      </c>
      <c r="AH195" s="43">
        <f t="shared" si="65"/>
        <v>0</v>
      </c>
      <c r="AI195" s="43">
        <f t="shared" si="66"/>
        <v>0</v>
      </c>
      <c r="AJ195" s="43">
        <f t="shared" si="67"/>
        <v>0</v>
      </c>
      <c r="AK195" s="43">
        <f t="shared" si="68"/>
        <v>0</v>
      </c>
      <c r="AL195" s="95">
        <f t="shared" si="69"/>
        <v>0</v>
      </c>
      <c r="AN195" s="47">
        <f t="shared" si="70"/>
        <v>0</v>
      </c>
      <c r="AO195" s="47">
        <f t="shared" si="71"/>
        <v>0</v>
      </c>
      <c r="AP195" s="47">
        <f t="shared" si="72"/>
        <v>0</v>
      </c>
      <c r="AQ195" s="47">
        <f t="shared" si="73"/>
        <v>0</v>
      </c>
      <c r="AR195" s="193">
        <f t="shared" si="74"/>
        <v>0</v>
      </c>
      <c r="AY195" s="3"/>
    </row>
    <row r="196" spans="1:51">
      <c r="A196" s="229"/>
      <c r="B196" s="37">
        <f>'13. Desinvesteringen'!B480</f>
        <v>461</v>
      </c>
      <c r="C196" s="48"/>
      <c r="D196" s="48"/>
      <c r="E196" s="48"/>
      <c r="F196" s="42">
        <f>'5. Input GAW-waarde desinv.'!D156</f>
        <v>0</v>
      </c>
      <c r="G196" s="177">
        <f>'13. Desinvesteringen'!D480</f>
        <v>1970</v>
      </c>
      <c r="H196" s="177">
        <f>'13. Desinvesteringen'!G480</f>
        <v>2023</v>
      </c>
      <c r="I196" s="37" t="str">
        <f>'13. Desinvesteringen'!C480</f>
        <v>15 Compressorstations (KC)</v>
      </c>
      <c r="J196" s="166">
        <f>'13. Desinvesteringen'!F480</f>
        <v>0</v>
      </c>
      <c r="K196" s="38">
        <f>_xlfn.XLOOKUP(I196,'3. Input (des)investeringen '!$B$11:$B$81,'3. Input (des)investeringen '!$E$11:$E$81)</f>
        <v>0</v>
      </c>
      <c r="L196" s="48"/>
      <c r="M196" s="38">
        <f>_xlfn.XLOOKUP(I196,'3. Input (des)investeringen '!$B$11:$B$81,'3. Input (des)investeringen '!$D$11:$D$81,0)</f>
        <v>30</v>
      </c>
      <c r="N196" s="38">
        <f t="shared" si="54"/>
        <v>0</v>
      </c>
      <c r="P196" s="43">
        <f t="shared" si="75"/>
        <v>0</v>
      </c>
      <c r="Q196" s="43">
        <f t="shared" si="75"/>
        <v>0</v>
      </c>
      <c r="R196" s="43">
        <f t="shared" si="75"/>
        <v>0</v>
      </c>
      <c r="S196" s="43">
        <f t="shared" si="75"/>
        <v>0</v>
      </c>
      <c r="T196" s="95">
        <f t="shared" si="75"/>
        <v>0</v>
      </c>
      <c r="V196" s="43">
        <f t="shared" si="55"/>
        <v>0</v>
      </c>
      <c r="W196" s="43">
        <f t="shared" si="56"/>
        <v>0</v>
      </c>
      <c r="X196" s="43">
        <f t="shared" si="57"/>
        <v>0</v>
      </c>
      <c r="Y196" s="43">
        <f t="shared" si="58"/>
        <v>0</v>
      </c>
      <c r="Z196" s="95">
        <f t="shared" si="59"/>
        <v>0</v>
      </c>
      <c r="AB196" s="43">
        <f t="shared" si="60"/>
        <v>0</v>
      </c>
      <c r="AC196" s="43">
        <f t="shared" si="61"/>
        <v>0</v>
      </c>
      <c r="AD196" s="43">
        <f t="shared" si="62"/>
        <v>0</v>
      </c>
      <c r="AE196" s="43">
        <f t="shared" si="63"/>
        <v>0</v>
      </c>
      <c r="AF196" s="95">
        <f t="shared" si="64"/>
        <v>0</v>
      </c>
      <c r="AH196" s="43">
        <f t="shared" si="65"/>
        <v>0</v>
      </c>
      <c r="AI196" s="43">
        <f t="shared" si="66"/>
        <v>0</v>
      </c>
      <c r="AJ196" s="43">
        <f t="shared" si="67"/>
        <v>0</v>
      </c>
      <c r="AK196" s="43">
        <f t="shared" si="68"/>
        <v>0</v>
      </c>
      <c r="AL196" s="95">
        <f t="shared" si="69"/>
        <v>0</v>
      </c>
      <c r="AN196" s="47">
        <f t="shared" si="70"/>
        <v>0</v>
      </c>
      <c r="AO196" s="47">
        <f t="shared" si="71"/>
        <v>0</v>
      </c>
      <c r="AP196" s="47">
        <f t="shared" si="72"/>
        <v>0</v>
      </c>
      <c r="AQ196" s="47">
        <f t="shared" si="73"/>
        <v>0</v>
      </c>
      <c r="AR196" s="193">
        <f t="shared" si="74"/>
        <v>0</v>
      </c>
      <c r="AY196" s="3"/>
    </row>
    <row r="197" spans="1:51">
      <c r="A197" s="229"/>
      <c r="B197" s="37">
        <f>'13. Desinvesteringen'!B481</f>
        <v>462</v>
      </c>
      <c r="C197" s="48"/>
      <c r="D197" s="48"/>
      <c r="E197" s="48"/>
      <c r="F197" s="42">
        <f>'5. Input GAW-waarde desinv.'!D157</f>
        <v>0</v>
      </c>
      <c r="G197" s="177">
        <f>'13. Desinvesteringen'!D481</f>
        <v>1971</v>
      </c>
      <c r="H197" s="177">
        <f>'13. Desinvesteringen'!G481</f>
        <v>2023</v>
      </c>
      <c r="I197" s="37" t="str">
        <f>'13. Desinvesteringen'!C481</f>
        <v>15 Compressorstations (KC)</v>
      </c>
      <c r="J197" s="166">
        <f>'13. Desinvesteringen'!F481</f>
        <v>0</v>
      </c>
      <c r="K197" s="38">
        <f>_xlfn.XLOOKUP(I197,'3. Input (des)investeringen '!$B$11:$B$81,'3. Input (des)investeringen '!$E$11:$E$81)</f>
        <v>0</v>
      </c>
      <c r="L197" s="48"/>
      <c r="M197" s="38">
        <f>_xlfn.XLOOKUP(I197,'3. Input (des)investeringen '!$B$11:$B$81,'3. Input (des)investeringen '!$D$11:$D$81,0)</f>
        <v>30</v>
      </c>
      <c r="N197" s="38">
        <f t="shared" si="54"/>
        <v>0</v>
      </c>
      <c r="P197" s="43">
        <f t="shared" si="75"/>
        <v>0</v>
      </c>
      <c r="Q197" s="43">
        <f t="shared" si="75"/>
        <v>0</v>
      </c>
      <c r="R197" s="43">
        <f t="shared" si="75"/>
        <v>0</v>
      </c>
      <c r="S197" s="43">
        <f t="shared" si="75"/>
        <v>0</v>
      </c>
      <c r="T197" s="95">
        <f t="shared" si="75"/>
        <v>0</v>
      </c>
      <c r="V197" s="43">
        <f t="shared" si="55"/>
        <v>0</v>
      </c>
      <c r="W197" s="43">
        <f t="shared" si="56"/>
        <v>0</v>
      </c>
      <c r="X197" s="43">
        <f t="shared" si="57"/>
        <v>0</v>
      </c>
      <c r="Y197" s="43">
        <f t="shared" si="58"/>
        <v>0</v>
      </c>
      <c r="Z197" s="95">
        <f t="shared" si="59"/>
        <v>0</v>
      </c>
      <c r="AB197" s="43">
        <f t="shared" si="60"/>
        <v>0</v>
      </c>
      <c r="AC197" s="43">
        <f t="shared" si="61"/>
        <v>0</v>
      </c>
      <c r="AD197" s="43">
        <f t="shared" si="62"/>
        <v>0</v>
      </c>
      <c r="AE197" s="43">
        <f t="shared" si="63"/>
        <v>0</v>
      </c>
      <c r="AF197" s="95">
        <f t="shared" si="64"/>
        <v>0</v>
      </c>
      <c r="AH197" s="43">
        <f t="shared" si="65"/>
        <v>0</v>
      </c>
      <c r="AI197" s="43">
        <f t="shared" si="66"/>
        <v>0</v>
      </c>
      <c r="AJ197" s="43">
        <f t="shared" si="67"/>
        <v>0</v>
      </c>
      <c r="AK197" s="43">
        <f t="shared" si="68"/>
        <v>0</v>
      </c>
      <c r="AL197" s="95">
        <f t="shared" si="69"/>
        <v>0</v>
      </c>
      <c r="AN197" s="47">
        <f t="shared" si="70"/>
        <v>0</v>
      </c>
      <c r="AO197" s="47">
        <f t="shared" si="71"/>
        <v>0</v>
      </c>
      <c r="AP197" s="47">
        <f t="shared" si="72"/>
        <v>0</v>
      </c>
      <c r="AQ197" s="47">
        <f t="shared" si="73"/>
        <v>0</v>
      </c>
      <c r="AR197" s="193">
        <f t="shared" si="74"/>
        <v>0</v>
      </c>
      <c r="AY197" s="3"/>
    </row>
    <row r="198" spans="1:51">
      <c r="A198" s="229"/>
      <c r="B198" s="37">
        <f>'13. Desinvesteringen'!B482</f>
        <v>463</v>
      </c>
      <c r="C198" s="48"/>
      <c r="D198" s="48"/>
      <c r="E198" s="48"/>
      <c r="F198" s="42">
        <f>'5. Input GAW-waarde desinv.'!D158</f>
        <v>0</v>
      </c>
      <c r="G198" s="177">
        <f>'13. Desinvesteringen'!D482</f>
        <v>1970</v>
      </c>
      <c r="H198" s="177">
        <f>'13. Desinvesteringen'!G482</f>
        <v>2023</v>
      </c>
      <c r="I198" s="37" t="str">
        <f>'13. Desinvesteringen'!C482</f>
        <v>15 Compressorstations (TT-BT-AT)</v>
      </c>
      <c r="J198" s="166">
        <f>'13. Desinvesteringen'!F482</f>
        <v>0</v>
      </c>
      <c r="K198" s="38">
        <f>_xlfn.XLOOKUP(I198,'3. Input (des)investeringen '!$B$11:$B$81,'3. Input (des)investeringen '!$E$11:$E$81)</f>
        <v>1</v>
      </c>
      <c r="L198" s="48"/>
      <c r="M198" s="38">
        <f>_xlfn.XLOOKUP(I198,'3. Input (des)investeringen '!$B$11:$B$81,'3. Input (des)investeringen '!$D$11:$D$81,0)</f>
        <v>30</v>
      </c>
      <c r="N198" s="38">
        <f t="shared" si="54"/>
        <v>0</v>
      </c>
      <c r="P198" s="43">
        <f t="shared" si="75"/>
        <v>0</v>
      </c>
      <c r="Q198" s="43">
        <f t="shared" si="75"/>
        <v>0</v>
      </c>
      <c r="R198" s="43">
        <f t="shared" si="75"/>
        <v>0</v>
      </c>
      <c r="S198" s="43">
        <f t="shared" si="75"/>
        <v>0</v>
      </c>
      <c r="T198" s="95">
        <f t="shared" si="75"/>
        <v>0</v>
      </c>
      <c r="V198" s="43">
        <f t="shared" si="55"/>
        <v>0</v>
      </c>
      <c r="W198" s="43">
        <f t="shared" si="56"/>
        <v>0</v>
      </c>
      <c r="X198" s="43">
        <f t="shared" si="57"/>
        <v>0</v>
      </c>
      <c r="Y198" s="43">
        <f t="shared" si="58"/>
        <v>0</v>
      </c>
      <c r="Z198" s="95">
        <f t="shared" si="59"/>
        <v>0</v>
      </c>
      <c r="AB198" s="43">
        <f t="shared" si="60"/>
        <v>0</v>
      </c>
      <c r="AC198" s="43">
        <f t="shared" si="61"/>
        <v>0</v>
      </c>
      <c r="AD198" s="43">
        <f t="shared" si="62"/>
        <v>0</v>
      </c>
      <c r="AE198" s="43">
        <f t="shared" si="63"/>
        <v>0</v>
      </c>
      <c r="AF198" s="95">
        <f t="shared" si="64"/>
        <v>0</v>
      </c>
      <c r="AH198" s="43">
        <f t="shared" si="65"/>
        <v>0</v>
      </c>
      <c r="AI198" s="43">
        <f t="shared" si="66"/>
        <v>0</v>
      </c>
      <c r="AJ198" s="43">
        <f t="shared" si="67"/>
        <v>0</v>
      </c>
      <c r="AK198" s="43">
        <f t="shared" si="68"/>
        <v>0</v>
      </c>
      <c r="AL198" s="95">
        <f t="shared" si="69"/>
        <v>0</v>
      </c>
      <c r="AN198" s="47">
        <f t="shared" si="70"/>
        <v>0</v>
      </c>
      <c r="AO198" s="47">
        <f t="shared" si="71"/>
        <v>0</v>
      </c>
      <c r="AP198" s="47">
        <f t="shared" si="72"/>
        <v>0</v>
      </c>
      <c r="AQ198" s="47">
        <f t="shared" si="73"/>
        <v>0</v>
      </c>
      <c r="AR198" s="193">
        <f t="shared" si="74"/>
        <v>0</v>
      </c>
      <c r="AY198" s="3"/>
    </row>
    <row r="199" spans="1:51">
      <c r="A199" s="229"/>
      <c r="B199" s="37">
        <f>'13. Desinvesteringen'!B483</f>
        <v>464</v>
      </c>
      <c r="C199" s="48"/>
      <c r="D199" s="48"/>
      <c r="E199" s="48"/>
      <c r="F199" s="42">
        <f>'5. Input GAW-waarde desinv.'!D159</f>
        <v>0</v>
      </c>
      <c r="G199" s="177">
        <f>'13. Desinvesteringen'!D483</f>
        <v>1971</v>
      </c>
      <c r="H199" s="177">
        <f>'13. Desinvesteringen'!G483</f>
        <v>2023</v>
      </c>
      <c r="I199" s="37" t="str">
        <f>'13. Desinvesteringen'!C483</f>
        <v>15 Compressorstations (TT-BT-AT)</v>
      </c>
      <c r="J199" s="166">
        <f>'13. Desinvesteringen'!F483</f>
        <v>0</v>
      </c>
      <c r="K199" s="38">
        <f>_xlfn.XLOOKUP(I199,'3. Input (des)investeringen '!$B$11:$B$81,'3. Input (des)investeringen '!$E$11:$E$81)</f>
        <v>1</v>
      </c>
      <c r="L199" s="48"/>
      <c r="M199" s="38">
        <f>_xlfn.XLOOKUP(I199,'3. Input (des)investeringen '!$B$11:$B$81,'3. Input (des)investeringen '!$D$11:$D$81,0)</f>
        <v>30</v>
      </c>
      <c r="N199" s="38">
        <f t="shared" si="54"/>
        <v>0</v>
      </c>
      <c r="P199" s="43">
        <f t="shared" si="75"/>
        <v>0</v>
      </c>
      <c r="Q199" s="43">
        <f t="shared" si="75"/>
        <v>0</v>
      </c>
      <c r="R199" s="43">
        <f t="shared" si="75"/>
        <v>0</v>
      </c>
      <c r="S199" s="43">
        <f t="shared" si="75"/>
        <v>0</v>
      </c>
      <c r="T199" s="95">
        <f t="shared" si="75"/>
        <v>0</v>
      </c>
      <c r="V199" s="43">
        <f t="shared" si="55"/>
        <v>0</v>
      </c>
      <c r="W199" s="43">
        <f t="shared" si="56"/>
        <v>0</v>
      </c>
      <c r="X199" s="43">
        <f t="shared" si="57"/>
        <v>0</v>
      </c>
      <c r="Y199" s="43">
        <f t="shared" si="58"/>
        <v>0</v>
      </c>
      <c r="Z199" s="95">
        <f t="shared" si="59"/>
        <v>0</v>
      </c>
      <c r="AB199" s="43">
        <f t="shared" si="60"/>
        <v>0</v>
      </c>
      <c r="AC199" s="43">
        <f t="shared" si="61"/>
        <v>0</v>
      </c>
      <c r="AD199" s="43">
        <f t="shared" si="62"/>
        <v>0</v>
      </c>
      <c r="AE199" s="43">
        <f t="shared" si="63"/>
        <v>0</v>
      </c>
      <c r="AF199" s="95">
        <f t="shared" si="64"/>
        <v>0</v>
      </c>
      <c r="AH199" s="43">
        <f t="shared" si="65"/>
        <v>0</v>
      </c>
      <c r="AI199" s="43">
        <f t="shared" si="66"/>
        <v>0</v>
      </c>
      <c r="AJ199" s="43">
        <f t="shared" si="67"/>
        <v>0</v>
      </c>
      <c r="AK199" s="43">
        <f t="shared" si="68"/>
        <v>0</v>
      </c>
      <c r="AL199" s="95">
        <f t="shared" si="69"/>
        <v>0</v>
      </c>
      <c r="AN199" s="47">
        <f t="shared" si="70"/>
        <v>0</v>
      </c>
      <c r="AO199" s="47">
        <f t="shared" si="71"/>
        <v>0</v>
      </c>
      <c r="AP199" s="47">
        <f t="shared" si="72"/>
        <v>0</v>
      </c>
      <c r="AQ199" s="47">
        <f t="shared" si="73"/>
        <v>0</v>
      </c>
      <c r="AR199" s="193">
        <f t="shared" si="74"/>
        <v>0</v>
      </c>
      <c r="AY199" s="3"/>
    </row>
    <row r="200" spans="1:51">
      <c r="A200" s="229"/>
      <c r="B200" s="37">
        <f>'13. Desinvesteringen'!B484</f>
        <v>465</v>
      </c>
      <c r="C200" s="48"/>
      <c r="D200" s="48"/>
      <c r="E200" s="48"/>
      <c r="F200" s="42">
        <f>'5. Input GAW-waarde desinv.'!D160</f>
        <v>0</v>
      </c>
      <c r="G200" s="177">
        <f>'13. Desinvesteringen'!D484</f>
        <v>1973</v>
      </c>
      <c r="H200" s="177">
        <f>'13. Desinvesteringen'!G484</f>
        <v>2023</v>
      </c>
      <c r="I200" s="37" t="str">
        <f>'13. Desinvesteringen'!C484</f>
        <v>15 Compressorstations (TT-BT-AT)</v>
      </c>
      <c r="J200" s="166">
        <f>'13. Desinvesteringen'!F484</f>
        <v>0</v>
      </c>
      <c r="K200" s="38">
        <f>_xlfn.XLOOKUP(I200,'3. Input (des)investeringen '!$B$11:$B$81,'3. Input (des)investeringen '!$E$11:$E$81)</f>
        <v>1</v>
      </c>
      <c r="L200" s="48"/>
      <c r="M200" s="38">
        <f>_xlfn.XLOOKUP(I200,'3. Input (des)investeringen '!$B$11:$B$81,'3. Input (des)investeringen '!$D$11:$D$81,0)</f>
        <v>30</v>
      </c>
      <c r="N200" s="38">
        <f t="shared" si="54"/>
        <v>0</v>
      </c>
      <c r="P200" s="43">
        <f t="shared" si="75"/>
        <v>0</v>
      </c>
      <c r="Q200" s="43">
        <f t="shared" si="75"/>
        <v>0</v>
      </c>
      <c r="R200" s="43">
        <f t="shared" si="75"/>
        <v>0</v>
      </c>
      <c r="S200" s="43">
        <f t="shared" si="75"/>
        <v>0</v>
      </c>
      <c r="T200" s="95">
        <f t="shared" si="75"/>
        <v>0</v>
      </c>
      <c r="V200" s="43">
        <f t="shared" si="55"/>
        <v>0</v>
      </c>
      <c r="W200" s="43">
        <f t="shared" si="56"/>
        <v>0</v>
      </c>
      <c r="X200" s="43">
        <f t="shared" si="57"/>
        <v>0</v>
      </c>
      <c r="Y200" s="43">
        <f t="shared" si="58"/>
        <v>0</v>
      </c>
      <c r="Z200" s="95">
        <f t="shared" si="59"/>
        <v>0</v>
      </c>
      <c r="AB200" s="43">
        <f t="shared" si="60"/>
        <v>0</v>
      </c>
      <c r="AC200" s="43">
        <f t="shared" si="61"/>
        <v>0</v>
      </c>
      <c r="AD200" s="43">
        <f t="shared" si="62"/>
        <v>0</v>
      </c>
      <c r="AE200" s="43">
        <f t="shared" si="63"/>
        <v>0</v>
      </c>
      <c r="AF200" s="95">
        <f t="shared" si="64"/>
        <v>0</v>
      </c>
      <c r="AH200" s="43">
        <f t="shared" si="65"/>
        <v>0</v>
      </c>
      <c r="AI200" s="43">
        <f t="shared" si="66"/>
        <v>0</v>
      </c>
      <c r="AJ200" s="43">
        <f t="shared" si="67"/>
        <v>0</v>
      </c>
      <c r="AK200" s="43">
        <f t="shared" si="68"/>
        <v>0</v>
      </c>
      <c r="AL200" s="95">
        <f t="shared" si="69"/>
        <v>0</v>
      </c>
      <c r="AN200" s="47">
        <f t="shared" si="70"/>
        <v>0</v>
      </c>
      <c r="AO200" s="47">
        <f t="shared" si="71"/>
        <v>0</v>
      </c>
      <c r="AP200" s="47">
        <f t="shared" si="72"/>
        <v>0</v>
      </c>
      <c r="AQ200" s="47">
        <f t="shared" si="73"/>
        <v>0</v>
      </c>
      <c r="AR200" s="193">
        <f t="shared" si="74"/>
        <v>0</v>
      </c>
      <c r="AY200" s="3"/>
    </row>
    <row r="201" spans="1:51">
      <c r="A201" s="229"/>
      <c r="B201" s="37">
        <f>'13. Desinvesteringen'!B485</f>
        <v>466</v>
      </c>
      <c r="C201" s="48"/>
      <c r="D201" s="48"/>
      <c r="E201" s="48"/>
      <c r="F201" s="42">
        <f>'5. Input GAW-waarde desinv.'!D161</f>
        <v>0</v>
      </c>
      <c r="G201" s="177">
        <f>'13. Desinvesteringen'!D485</f>
        <v>1974</v>
      </c>
      <c r="H201" s="177">
        <f>'13. Desinvesteringen'!G485</f>
        <v>2023</v>
      </c>
      <c r="I201" s="37" t="str">
        <f>'13. Desinvesteringen'!C485</f>
        <v>15 Compressorstations (TT-BT-AT)</v>
      </c>
      <c r="J201" s="166">
        <f>'13. Desinvesteringen'!F485</f>
        <v>0</v>
      </c>
      <c r="K201" s="38">
        <f>_xlfn.XLOOKUP(I201,'3. Input (des)investeringen '!$B$11:$B$81,'3. Input (des)investeringen '!$E$11:$E$81)</f>
        <v>1</v>
      </c>
      <c r="L201" s="48"/>
      <c r="M201" s="38">
        <f>_xlfn.XLOOKUP(I201,'3. Input (des)investeringen '!$B$11:$B$81,'3. Input (des)investeringen '!$D$11:$D$81,0)</f>
        <v>30</v>
      </c>
      <c r="N201" s="38">
        <f t="shared" si="54"/>
        <v>0</v>
      </c>
      <c r="P201" s="43">
        <f t="shared" si="75"/>
        <v>0</v>
      </c>
      <c r="Q201" s="43">
        <f t="shared" si="75"/>
        <v>0</v>
      </c>
      <c r="R201" s="43">
        <f t="shared" si="75"/>
        <v>0</v>
      </c>
      <c r="S201" s="43">
        <f t="shared" si="75"/>
        <v>0</v>
      </c>
      <c r="T201" s="95">
        <f t="shared" si="75"/>
        <v>0</v>
      </c>
      <c r="V201" s="43">
        <f t="shared" si="55"/>
        <v>0</v>
      </c>
      <c r="W201" s="43">
        <f t="shared" si="56"/>
        <v>0</v>
      </c>
      <c r="X201" s="43">
        <f t="shared" si="57"/>
        <v>0</v>
      </c>
      <c r="Y201" s="43">
        <f t="shared" si="58"/>
        <v>0</v>
      </c>
      <c r="Z201" s="95">
        <f t="shared" si="59"/>
        <v>0</v>
      </c>
      <c r="AB201" s="43">
        <f t="shared" si="60"/>
        <v>0</v>
      </c>
      <c r="AC201" s="43">
        <f t="shared" si="61"/>
        <v>0</v>
      </c>
      <c r="AD201" s="43">
        <f t="shared" si="62"/>
        <v>0</v>
      </c>
      <c r="AE201" s="43">
        <f t="shared" si="63"/>
        <v>0</v>
      </c>
      <c r="AF201" s="95">
        <f t="shared" si="64"/>
        <v>0</v>
      </c>
      <c r="AH201" s="43">
        <f t="shared" si="65"/>
        <v>0</v>
      </c>
      <c r="AI201" s="43">
        <f t="shared" si="66"/>
        <v>0</v>
      </c>
      <c r="AJ201" s="43">
        <f t="shared" si="67"/>
        <v>0</v>
      </c>
      <c r="AK201" s="43">
        <f t="shared" si="68"/>
        <v>0</v>
      </c>
      <c r="AL201" s="95">
        <f t="shared" si="69"/>
        <v>0</v>
      </c>
      <c r="AN201" s="47">
        <f t="shared" si="70"/>
        <v>0</v>
      </c>
      <c r="AO201" s="47">
        <f t="shared" si="71"/>
        <v>0</v>
      </c>
      <c r="AP201" s="47">
        <f t="shared" si="72"/>
        <v>0</v>
      </c>
      <c r="AQ201" s="47">
        <f t="shared" si="73"/>
        <v>0</v>
      </c>
      <c r="AR201" s="193">
        <f t="shared" si="74"/>
        <v>0</v>
      </c>
      <c r="AY201" s="3"/>
    </row>
    <row r="202" spans="1:51">
      <c r="A202" s="229"/>
      <c r="B202" s="37">
        <f>'13. Desinvesteringen'!B486</f>
        <v>467</v>
      </c>
      <c r="C202" s="48"/>
      <c r="D202" s="48"/>
      <c r="E202" s="48"/>
      <c r="F202" s="42">
        <f>'5. Input GAW-waarde desinv.'!D162</f>
        <v>0</v>
      </c>
      <c r="G202" s="177">
        <f>'13. Desinvesteringen'!D486</f>
        <v>1977</v>
      </c>
      <c r="H202" s="177">
        <f>'13. Desinvesteringen'!G486</f>
        <v>2023</v>
      </c>
      <c r="I202" s="37" t="str">
        <f>'13. Desinvesteringen'!C486</f>
        <v>15 Compressorstations (TT-BT-AT)</v>
      </c>
      <c r="J202" s="166">
        <f>'13. Desinvesteringen'!F486</f>
        <v>0</v>
      </c>
      <c r="K202" s="38">
        <f>_xlfn.XLOOKUP(I202,'3. Input (des)investeringen '!$B$11:$B$81,'3. Input (des)investeringen '!$E$11:$E$81)</f>
        <v>1</v>
      </c>
      <c r="L202" s="48"/>
      <c r="M202" s="38">
        <f>_xlfn.XLOOKUP(I202,'3. Input (des)investeringen '!$B$11:$B$81,'3. Input (des)investeringen '!$D$11:$D$81,0)</f>
        <v>30</v>
      </c>
      <c r="N202" s="38">
        <f t="shared" si="54"/>
        <v>0</v>
      </c>
      <c r="P202" s="43">
        <f t="shared" si="75"/>
        <v>0</v>
      </c>
      <c r="Q202" s="43">
        <f t="shared" si="75"/>
        <v>0</v>
      </c>
      <c r="R202" s="43">
        <f t="shared" si="75"/>
        <v>0</v>
      </c>
      <c r="S202" s="43">
        <f t="shared" si="75"/>
        <v>0</v>
      </c>
      <c r="T202" s="95">
        <f t="shared" si="75"/>
        <v>0</v>
      </c>
      <c r="V202" s="43">
        <f t="shared" si="55"/>
        <v>0</v>
      </c>
      <c r="W202" s="43">
        <f t="shared" si="56"/>
        <v>0</v>
      </c>
      <c r="X202" s="43">
        <f t="shared" si="57"/>
        <v>0</v>
      </c>
      <c r="Y202" s="43">
        <f t="shared" si="58"/>
        <v>0</v>
      </c>
      <c r="Z202" s="95">
        <f t="shared" si="59"/>
        <v>0</v>
      </c>
      <c r="AB202" s="43">
        <f t="shared" si="60"/>
        <v>0</v>
      </c>
      <c r="AC202" s="43">
        <f t="shared" si="61"/>
        <v>0</v>
      </c>
      <c r="AD202" s="43">
        <f t="shared" si="62"/>
        <v>0</v>
      </c>
      <c r="AE202" s="43">
        <f t="shared" si="63"/>
        <v>0</v>
      </c>
      <c r="AF202" s="95">
        <f t="shared" si="64"/>
        <v>0</v>
      </c>
      <c r="AH202" s="43">
        <f t="shared" si="65"/>
        <v>0</v>
      </c>
      <c r="AI202" s="43">
        <f t="shared" si="66"/>
        <v>0</v>
      </c>
      <c r="AJ202" s="43">
        <f t="shared" si="67"/>
        <v>0</v>
      </c>
      <c r="AK202" s="43">
        <f t="shared" si="68"/>
        <v>0</v>
      </c>
      <c r="AL202" s="95">
        <f t="shared" si="69"/>
        <v>0</v>
      </c>
      <c r="AN202" s="47">
        <f t="shared" si="70"/>
        <v>0</v>
      </c>
      <c r="AO202" s="47">
        <f t="shared" si="71"/>
        <v>0</v>
      </c>
      <c r="AP202" s="47">
        <f t="shared" si="72"/>
        <v>0</v>
      </c>
      <c r="AQ202" s="47">
        <f t="shared" si="73"/>
        <v>0</v>
      </c>
      <c r="AR202" s="193">
        <f t="shared" si="74"/>
        <v>0</v>
      </c>
      <c r="AY202" s="3"/>
    </row>
    <row r="203" spans="1:51">
      <c r="A203" s="229"/>
      <c r="B203" s="37">
        <f>'13. Desinvesteringen'!B487</f>
        <v>468</v>
      </c>
      <c r="C203" s="48"/>
      <c r="D203" s="48"/>
      <c r="E203" s="48"/>
      <c r="F203" s="42">
        <f>'5. Input GAW-waarde desinv.'!D163</f>
        <v>0</v>
      </c>
      <c r="G203" s="177">
        <f>'13. Desinvesteringen'!D487</f>
        <v>1978</v>
      </c>
      <c r="H203" s="177">
        <f>'13. Desinvesteringen'!G487</f>
        <v>2023</v>
      </c>
      <c r="I203" s="37" t="str">
        <f>'13. Desinvesteringen'!C487</f>
        <v>15 Compressorstations (TT-BT-AT)</v>
      </c>
      <c r="J203" s="166">
        <f>'13. Desinvesteringen'!F487</f>
        <v>0</v>
      </c>
      <c r="K203" s="38">
        <f>_xlfn.XLOOKUP(I203,'3. Input (des)investeringen '!$B$11:$B$81,'3. Input (des)investeringen '!$E$11:$E$81)</f>
        <v>1</v>
      </c>
      <c r="L203" s="48"/>
      <c r="M203" s="38">
        <f>_xlfn.XLOOKUP(I203,'3. Input (des)investeringen '!$B$11:$B$81,'3. Input (des)investeringen '!$D$11:$D$81,0)</f>
        <v>30</v>
      </c>
      <c r="N203" s="38">
        <f t="shared" si="54"/>
        <v>0</v>
      </c>
      <c r="P203" s="43">
        <f t="shared" si="75"/>
        <v>0</v>
      </c>
      <c r="Q203" s="43">
        <f t="shared" si="75"/>
        <v>0</v>
      </c>
      <c r="R203" s="43">
        <f t="shared" si="75"/>
        <v>0</v>
      </c>
      <c r="S203" s="43">
        <f t="shared" si="75"/>
        <v>0</v>
      </c>
      <c r="T203" s="95">
        <f t="shared" si="75"/>
        <v>0</v>
      </c>
      <c r="V203" s="43">
        <f t="shared" si="55"/>
        <v>0</v>
      </c>
      <c r="W203" s="43">
        <f t="shared" si="56"/>
        <v>0</v>
      </c>
      <c r="X203" s="43">
        <f t="shared" si="57"/>
        <v>0</v>
      </c>
      <c r="Y203" s="43">
        <f t="shared" si="58"/>
        <v>0</v>
      </c>
      <c r="Z203" s="95">
        <f t="shared" si="59"/>
        <v>0</v>
      </c>
      <c r="AB203" s="43">
        <f t="shared" si="60"/>
        <v>0</v>
      </c>
      <c r="AC203" s="43">
        <f t="shared" si="61"/>
        <v>0</v>
      </c>
      <c r="AD203" s="43">
        <f t="shared" si="62"/>
        <v>0</v>
      </c>
      <c r="AE203" s="43">
        <f t="shared" si="63"/>
        <v>0</v>
      </c>
      <c r="AF203" s="95">
        <f t="shared" si="64"/>
        <v>0</v>
      </c>
      <c r="AH203" s="43">
        <f t="shared" si="65"/>
        <v>0</v>
      </c>
      <c r="AI203" s="43">
        <f t="shared" si="66"/>
        <v>0</v>
      </c>
      <c r="AJ203" s="43">
        <f t="shared" si="67"/>
        <v>0</v>
      </c>
      <c r="AK203" s="43">
        <f t="shared" si="68"/>
        <v>0</v>
      </c>
      <c r="AL203" s="95">
        <f t="shared" si="69"/>
        <v>0</v>
      </c>
      <c r="AN203" s="47">
        <f t="shared" si="70"/>
        <v>0</v>
      </c>
      <c r="AO203" s="47">
        <f t="shared" si="71"/>
        <v>0</v>
      </c>
      <c r="AP203" s="47">
        <f t="shared" si="72"/>
        <v>0</v>
      </c>
      <c r="AQ203" s="47">
        <f t="shared" si="73"/>
        <v>0</v>
      </c>
      <c r="AR203" s="193">
        <f t="shared" si="74"/>
        <v>0</v>
      </c>
      <c r="AY203" s="3"/>
    </row>
    <row r="204" spans="1:51">
      <c r="A204" s="229"/>
      <c r="B204" s="37">
        <f>'13. Desinvesteringen'!B488</f>
        <v>469</v>
      </c>
      <c r="C204" s="48"/>
      <c r="D204" s="48"/>
      <c r="E204" s="48"/>
      <c r="F204" s="42">
        <f>'5. Input GAW-waarde desinv.'!D164</f>
        <v>0</v>
      </c>
      <c r="G204" s="177">
        <f>'13. Desinvesteringen'!D488</f>
        <v>1980</v>
      </c>
      <c r="H204" s="177">
        <f>'13. Desinvesteringen'!G488</f>
        <v>2023</v>
      </c>
      <c r="I204" s="37" t="str">
        <f>'13. Desinvesteringen'!C488</f>
        <v>15 Compressorstations (TT-BT-AT)</v>
      </c>
      <c r="J204" s="166">
        <f>'13. Desinvesteringen'!F488</f>
        <v>0</v>
      </c>
      <c r="K204" s="38">
        <f>_xlfn.XLOOKUP(I204,'3. Input (des)investeringen '!$B$11:$B$81,'3. Input (des)investeringen '!$E$11:$E$81)</f>
        <v>1</v>
      </c>
      <c r="L204" s="48"/>
      <c r="M204" s="38">
        <f>_xlfn.XLOOKUP(I204,'3. Input (des)investeringen '!$B$11:$B$81,'3. Input (des)investeringen '!$D$11:$D$81,0)</f>
        <v>30</v>
      </c>
      <c r="N204" s="38">
        <f t="shared" si="54"/>
        <v>0</v>
      </c>
      <c r="P204" s="43">
        <f t="shared" si="75"/>
        <v>0</v>
      </c>
      <c r="Q204" s="43">
        <f t="shared" si="75"/>
        <v>0</v>
      </c>
      <c r="R204" s="43">
        <f t="shared" si="75"/>
        <v>0</v>
      </c>
      <c r="S204" s="43">
        <f t="shared" si="75"/>
        <v>0</v>
      </c>
      <c r="T204" s="95">
        <f t="shared" si="75"/>
        <v>0</v>
      </c>
      <c r="V204" s="43">
        <f t="shared" si="55"/>
        <v>0</v>
      </c>
      <c r="W204" s="43">
        <f t="shared" si="56"/>
        <v>0</v>
      </c>
      <c r="X204" s="43">
        <f t="shared" si="57"/>
        <v>0</v>
      </c>
      <c r="Y204" s="43">
        <f t="shared" si="58"/>
        <v>0</v>
      </c>
      <c r="Z204" s="95">
        <f t="shared" si="59"/>
        <v>0</v>
      </c>
      <c r="AB204" s="43">
        <f t="shared" si="60"/>
        <v>0</v>
      </c>
      <c r="AC204" s="43">
        <f t="shared" si="61"/>
        <v>0</v>
      </c>
      <c r="AD204" s="43">
        <f t="shared" si="62"/>
        <v>0</v>
      </c>
      <c r="AE204" s="43">
        <f t="shared" si="63"/>
        <v>0</v>
      </c>
      <c r="AF204" s="95">
        <f t="shared" si="64"/>
        <v>0</v>
      </c>
      <c r="AH204" s="43">
        <f t="shared" si="65"/>
        <v>0</v>
      </c>
      <c r="AI204" s="43">
        <f t="shared" si="66"/>
        <v>0</v>
      </c>
      <c r="AJ204" s="43">
        <f t="shared" si="67"/>
        <v>0</v>
      </c>
      <c r="AK204" s="43">
        <f t="shared" si="68"/>
        <v>0</v>
      </c>
      <c r="AL204" s="95">
        <f t="shared" si="69"/>
        <v>0</v>
      </c>
      <c r="AN204" s="47">
        <f t="shared" si="70"/>
        <v>0</v>
      </c>
      <c r="AO204" s="47">
        <f t="shared" si="71"/>
        <v>0</v>
      </c>
      <c r="AP204" s="47">
        <f t="shared" si="72"/>
        <v>0</v>
      </c>
      <c r="AQ204" s="47">
        <f t="shared" si="73"/>
        <v>0</v>
      </c>
      <c r="AR204" s="193">
        <f t="shared" si="74"/>
        <v>0</v>
      </c>
      <c r="AY204" s="3"/>
    </row>
    <row r="205" spans="1:51">
      <c r="A205" s="229"/>
      <c r="B205" s="37">
        <f>'13. Desinvesteringen'!B489</f>
        <v>470</v>
      </c>
      <c r="C205" s="48"/>
      <c r="D205" s="48"/>
      <c r="E205" s="48"/>
      <c r="F205" s="42">
        <f>'5. Input GAW-waarde desinv.'!D165</f>
        <v>0</v>
      </c>
      <c r="G205" s="177">
        <f>'13. Desinvesteringen'!D489</f>
        <v>1989</v>
      </c>
      <c r="H205" s="177">
        <f>'13. Desinvesteringen'!G489</f>
        <v>2023</v>
      </c>
      <c r="I205" s="37" t="str">
        <f>'13. Desinvesteringen'!C489</f>
        <v>15 Compressorstations (TT-BT-AT)</v>
      </c>
      <c r="J205" s="166">
        <f>'13. Desinvesteringen'!F489</f>
        <v>0</v>
      </c>
      <c r="K205" s="38">
        <f>_xlfn.XLOOKUP(I205,'3. Input (des)investeringen '!$B$11:$B$81,'3. Input (des)investeringen '!$E$11:$E$81)</f>
        <v>1</v>
      </c>
      <c r="L205" s="48"/>
      <c r="M205" s="38">
        <f>_xlfn.XLOOKUP(I205,'3. Input (des)investeringen '!$B$11:$B$81,'3. Input (des)investeringen '!$D$11:$D$81,0)</f>
        <v>30</v>
      </c>
      <c r="N205" s="38">
        <f t="shared" si="54"/>
        <v>0</v>
      </c>
      <c r="P205" s="43">
        <f t="shared" si="75"/>
        <v>0</v>
      </c>
      <c r="Q205" s="43">
        <f t="shared" si="75"/>
        <v>0</v>
      </c>
      <c r="R205" s="43">
        <f t="shared" si="75"/>
        <v>0</v>
      </c>
      <c r="S205" s="43">
        <f t="shared" si="75"/>
        <v>0</v>
      </c>
      <c r="T205" s="95">
        <f t="shared" si="75"/>
        <v>0</v>
      </c>
      <c r="V205" s="43">
        <f t="shared" si="55"/>
        <v>0</v>
      </c>
      <c r="W205" s="43">
        <f t="shared" si="56"/>
        <v>0</v>
      </c>
      <c r="X205" s="43">
        <f t="shared" si="57"/>
        <v>0</v>
      </c>
      <c r="Y205" s="43">
        <f t="shared" si="58"/>
        <v>0</v>
      </c>
      <c r="Z205" s="95">
        <f t="shared" si="59"/>
        <v>0</v>
      </c>
      <c r="AB205" s="43">
        <f t="shared" si="60"/>
        <v>0</v>
      </c>
      <c r="AC205" s="43">
        <f t="shared" si="61"/>
        <v>0</v>
      </c>
      <c r="AD205" s="43">
        <f t="shared" si="62"/>
        <v>0</v>
      </c>
      <c r="AE205" s="43">
        <f t="shared" si="63"/>
        <v>0</v>
      </c>
      <c r="AF205" s="95">
        <f t="shared" si="64"/>
        <v>0</v>
      </c>
      <c r="AH205" s="43">
        <f t="shared" si="65"/>
        <v>0</v>
      </c>
      <c r="AI205" s="43">
        <f t="shared" si="66"/>
        <v>0</v>
      </c>
      <c r="AJ205" s="43">
        <f t="shared" si="67"/>
        <v>0</v>
      </c>
      <c r="AK205" s="43">
        <f t="shared" si="68"/>
        <v>0</v>
      </c>
      <c r="AL205" s="95">
        <f t="shared" si="69"/>
        <v>0</v>
      </c>
      <c r="AN205" s="47">
        <f t="shared" si="70"/>
        <v>0</v>
      </c>
      <c r="AO205" s="47">
        <f t="shared" si="71"/>
        <v>0</v>
      </c>
      <c r="AP205" s="47">
        <f t="shared" si="72"/>
        <v>0</v>
      </c>
      <c r="AQ205" s="47">
        <f t="shared" si="73"/>
        <v>0</v>
      </c>
      <c r="AR205" s="193">
        <f t="shared" si="74"/>
        <v>0</v>
      </c>
      <c r="AY205" s="3"/>
    </row>
    <row r="206" spans="1:51">
      <c r="A206" s="229"/>
      <c r="B206" s="37">
        <f>'13. Desinvesteringen'!B490</f>
        <v>471</v>
      </c>
      <c r="C206" s="48"/>
      <c r="D206" s="48"/>
      <c r="E206" s="48"/>
      <c r="F206" s="42">
        <f>'5. Input GAW-waarde desinv.'!D166</f>
        <v>0</v>
      </c>
      <c r="G206" s="177">
        <f>'13. Desinvesteringen'!D490</f>
        <v>1990</v>
      </c>
      <c r="H206" s="177">
        <f>'13. Desinvesteringen'!G490</f>
        <v>2023</v>
      </c>
      <c r="I206" s="37" t="str">
        <f>'13. Desinvesteringen'!C490</f>
        <v>15 Compressorstations (TT-BT-AT)</v>
      </c>
      <c r="J206" s="166">
        <f>'13. Desinvesteringen'!F490</f>
        <v>0</v>
      </c>
      <c r="K206" s="38">
        <f>_xlfn.XLOOKUP(I206,'3. Input (des)investeringen '!$B$11:$B$81,'3. Input (des)investeringen '!$E$11:$E$81)</f>
        <v>1</v>
      </c>
      <c r="L206" s="48"/>
      <c r="M206" s="38">
        <f>_xlfn.XLOOKUP(I206,'3. Input (des)investeringen '!$B$11:$B$81,'3. Input (des)investeringen '!$D$11:$D$81,0)</f>
        <v>30</v>
      </c>
      <c r="N206" s="38">
        <f t="shared" si="54"/>
        <v>0</v>
      </c>
      <c r="P206" s="43">
        <f t="shared" si="75"/>
        <v>0</v>
      </c>
      <c r="Q206" s="43">
        <f t="shared" si="75"/>
        <v>0</v>
      </c>
      <c r="R206" s="43">
        <f t="shared" si="75"/>
        <v>0</v>
      </c>
      <c r="S206" s="43">
        <f t="shared" si="75"/>
        <v>0</v>
      </c>
      <c r="T206" s="95">
        <f t="shared" si="75"/>
        <v>0</v>
      </c>
      <c r="V206" s="43">
        <f t="shared" si="55"/>
        <v>0</v>
      </c>
      <c r="W206" s="43">
        <f t="shared" si="56"/>
        <v>0</v>
      </c>
      <c r="X206" s="43">
        <f t="shared" si="57"/>
        <v>0</v>
      </c>
      <c r="Y206" s="43">
        <f t="shared" si="58"/>
        <v>0</v>
      </c>
      <c r="Z206" s="95">
        <f t="shared" si="59"/>
        <v>0</v>
      </c>
      <c r="AB206" s="43">
        <f t="shared" si="60"/>
        <v>0</v>
      </c>
      <c r="AC206" s="43">
        <f t="shared" si="61"/>
        <v>0</v>
      </c>
      <c r="AD206" s="43">
        <f t="shared" si="62"/>
        <v>0</v>
      </c>
      <c r="AE206" s="43">
        <f t="shared" si="63"/>
        <v>0</v>
      </c>
      <c r="AF206" s="95">
        <f t="shared" si="64"/>
        <v>0</v>
      </c>
      <c r="AH206" s="43">
        <f t="shared" si="65"/>
        <v>0</v>
      </c>
      <c r="AI206" s="43">
        <f t="shared" si="66"/>
        <v>0</v>
      </c>
      <c r="AJ206" s="43">
        <f t="shared" si="67"/>
        <v>0</v>
      </c>
      <c r="AK206" s="43">
        <f t="shared" si="68"/>
        <v>0</v>
      </c>
      <c r="AL206" s="95">
        <f t="shared" si="69"/>
        <v>0</v>
      </c>
      <c r="AN206" s="47">
        <f t="shared" si="70"/>
        <v>0</v>
      </c>
      <c r="AO206" s="47">
        <f t="shared" si="71"/>
        <v>0</v>
      </c>
      <c r="AP206" s="47">
        <f t="shared" si="72"/>
        <v>0</v>
      </c>
      <c r="AQ206" s="47">
        <f t="shared" si="73"/>
        <v>0</v>
      </c>
      <c r="AR206" s="193">
        <f t="shared" si="74"/>
        <v>0</v>
      </c>
      <c r="AY206" s="3"/>
    </row>
    <row r="207" spans="1:51">
      <c r="A207" s="229"/>
      <c r="B207" s="37">
        <f>'13. Desinvesteringen'!B491</f>
        <v>472</v>
      </c>
      <c r="C207" s="48"/>
      <c r="D207" s="48"/>
      <c r="E207" s="48"/>
      <c r="F207" s="42">
        <f>'5. Input GAW-waarde desinv.'!D167</f>
        <v>20595.049218865919</v>
      </c>
      <c r="G207" s="177">
        <f>'13. Desinvesteringen'!D491</f>
        <v>1992</v>
      </c>
      <c r="H207" s="177">
        <f>'13. Desinvesteringen'!G491</f>
        <v>2023</v>
      </c>
      <c r="I207" s="37" t="str">
        <f>'13. Desinvesteringen'!C491</f>
        <v>15 Compressorstations (TT-BT-AT)</v>
      </c>
      <c r="J207" s="166">
        <f>'13. Desinvesteringen'!F491</f>
        <v>0</v>
      </c>
      <c r="K207" s="38">
        <f>_xlfn.XLOOKUP(I207,'3. Input (des)investeringen '!$B$11:$B$81,'3. Input (des)investeringen '!$E$11:$E$81)</f>
        <v>1</v>
      </c>
      <c r="L207" s="48"/>
      <c r="M207" s="38">
        <f>_xlfn.XLOOKUP(I207,'3. Input (des)investeringen '!$B$11:$B$81,'3. Input (des)investeringen '!$D$11:$D$81,0)</f>
        <v>30</v>
      </c>
      <c r="N207" s="38">
        <f t="shared" ref="N207:N266" si="76">IF($M207&gt;0, MAX(0,IF(G207&lt;2022,M207-2021+G207-0.5,M207)), 0)</f>
        <v>0.5</v>
      </c>
      <c r="P207" s="43">
        <f t="shared" si="75"/>
        <v>18535.544296979329</v>
      </c>
      <c r="Q207" s="43">
        <f t="shared" si="75"/>
        <v>0</v>
      </c>
      <c r="R207" s="43">
        <f t="shared" si="75"/>
        <v>0</v>
      </c>
      <c r="S207" s="43">
        <f t="shared" si="75"/>
        <v>0</v>
      </c>
      <c r="T207" s="95">
        <f t="shared" si="75"/>
        <v>0</v>
      </c>
      <c r="V207" s="43">
        <f t="shared" ref="V207:V266" si="77">IF($M207&gt;0, IF(OR($G207&gt;V$49,$G207+$M207&lt;V$49),0,
VDB($F207,0,$N207,MAX(0,P$49-2022),MIN($N207,P$49-2021),1,FALSE))*$F$25, 0)</f>
        <v>2059.504921886592</v>
      </c>
      <c r="W207" s="43">
        <f t="shared" ref="W207:W266" si="78">IF($M207&gt;0, IF(OR($G207&gt;W$49,$G207+$M207&lt;W$49),0,
VDB($F207,0,$N207,MAX(0,Q$49-2022),MIN($N207,Q$49-2021),1,FALSE))*$F$25, 0)</f>
        <v>0</v>
      </c>
      <c r="X207" s="43">
        <f t="shared" ref="X207:X266" si="79">IF($M207&gt;0, IF(OR($G207&gt;X$49,$G207+$M207&lt;X$49),0,
VDB($F207,0,$N207,MAX(0,R$49-2022),MIN($N207,R$49-2021),1,FALSE))*$F$25, 0)</f>
        <v>0</v>
      </c>
      <c r="Y207" s="43">
        <f t="shared" ref="Y207:Y266" si="80">IF($M207&gt;0, IF(OR($G207&gt;Y$49,$G207+$M207&lt;Y$49),0,
VDB($F207,0,$N207,MAX(0,S$49-2022),MIN($N207,S$49-2021),1,FALSE))*$F$25, 0)</f>
        <v>0</v>
      </c>
      <c r="Z207" s="95">
        <f t="shared" ref="Z207:Z266" si="81">IF($M207&gt;0, IF(OR($G207&gt;Z$49,$G207+$M207&lt;Z$49),0,
VDB($F207,0,$N207,MAX(0,T$49-2022),MIN($N207,T$49-2021),1,FALSE))*$F$25, 0)</f>
        <v>0</v>
      </c>
      <c r="AB207" s="43">
        <f t="shared" ref="AB207:AB266" si="82">P207+V207</f>
        <v>20595.049218865923</v>
      </c>
      <c r="AC207" s="43">
        <f t="shared" ref="AC207:AC266" si="83">Q207+W207</f>
        <v>0</v>
      </c>
      <c r="AD207" s="43">
        <f t="shared" ref="AD207:AD266" si="84">R207+X207</f>
        <v>0</v>
      </c>
      <c r="AE207" s="43">
        <f t="shared" ref="AE207:AE266" si="85">S207+Y207</f>
        <v>0</v>
      </c>
      <c r="AF207" s="95">
        <f t="shared" ref="AF207:AF266" si="86">T207+Z207</f>
        <v>0</v>
      </c>
      <c r="AH207" s="43">
        <f t="shared" ref="AH207:AH266" si="87">IF($M207&gt;0, IF($M207&gt;0,IF(OR($G207&gt;AH$49,$G207+$M207&lt;=AH$49),0,IF(AH$49=2022,$F207-AB207,AG207-AB207))), $F207)</f>
        <v>0</v>
      </c>
      <c r="AI207" s="43">
        <f t="shared" ref="AI207:AI266" si="88">IF($M207&gt;0, IF(OR($G207&gt;AI$49,$G207+$M207&lt;=AI$49),0,IF(AI$49=2022,$F207-AC207,AH207-AC207)), AH207)</f>
        <v>0</v>
      </c>
      <c r="AJ207" s="43">
        <f t="shared" ref="AJ207:AJ266" si="89">IF($M207&gt;0, IF(OR($G207&gt;AJ$49,$G207+$M207&lt;=AJ$49),0,IF(AJ$49=2022,$F207-AD207,AI207-AD207)), AI207)</f>
        <v>0</v>
      </c>
      <c r="AK207" s="43">
        <f t="shared" ref="AK207:AK266" si="90">IF($M207&gt;0, IF(OR($G207&gt;AK$49,$G207+$M207&lt;=AK$49),0,IF(AK$49=2022,$F207-AE207,AJ207-AE207)), AJ207)</f>
        <v>0</v>
      </c>
      <c r="AL207" s="95">
        <f t="shared" ref="AL207:AL266" si="91">IF($M207&gt;0, IF(OR($G207&gt;AL$49,$G207+$M207&lt;=AL$49),0,IF(AL$49=2022,$F207-AF207,AK207-AF207)), AK207)</f>
        <v>0</v>
      </c>
      <c r="AN207" s="47">
        <f t="shared" ref="AN207:AN266" si="92">(AB207+AH207*H$16)*IF($K207=1,$F$31,1)</f>
        <v>20595.049218865923</v>
      </c>
      <c r="AO207" s="47">
        <f t="shared" ref="AO207:AO266" si="93">(AC207+AI207*I$16)*IF($K207=1,$F$31,1)</f>
        <v>0</v>
      </c>
      <c r="AP207" s="47">
        <f t="shared" ref="AP207:AP266" si="94">(AD207+AJ207*J$16)*IF($K207=1,$F$31,1)</f>
        <v>0</v>
      </c>
      <c r="AQ207" s="47">
        <f t="shared" ref="AQ207:AQ266" si="95">(AE207+AK207*K$16)*IF($K207=1,$F$31,1)</f>
        <v>0</v>
      </c>
      <c r="AR207" s="193">
        <f t="shared" ref="AR207:AR266" si="96">(AF207+AL207*L$16)*IF($K207=1,$F$31,1)</f>
        <v>0</v>
      </c>
      <c r="AY207" s="3"/>
    </row>
    <row r="208" spans="1:51">
      <c r="A208" s="229"/>
      <c r="B208" s="37">
        <f>'13. Desinvesteringen'!B492</f>
        <v>473</v>
      </c>
      <c r="C208" s="48"/>
      <c r="D208" s="48"/>
      <c r="E208" s="48"/>
      <c r="F208" s="42">
        <f>'5. Input GAW-waarde desinv.'!D168</f>
        <v>6033.3008476088025</v>
      </c>
      <c r="G208" s="177">
        <f>'13. Desinvesteringen'!D492</f>
        <v>1998</v>
      </c>
      <c r="H208" s="177">
        <f>'13. Desinvesteringen'!G492</f>
        <v>2023</v>
      </c>
      <c r="I208" s="37" t="str">
        <f>'13. Desinvesteringen'!C492</f>
        <v>15 Compressorstations (TT-BT-AT)</v>
      </c>
      <c r="J208" s="166">
        <f>'13. Desinvesteringen'!F492</f>
        <v>0</v>
      </c>
      <c r="K208" s="38">
        <f>_xlfn.XLOOKUP(I208,'3. Input (des)investeringen '!$B$11:$B$81,'3. Input (des)investeringen '!$E$11:$E$81)</f>
        <v>1</v>
      </c>
      <c r="L208" s="48"/>
      <c r="M208" s="38">
        <f>_xlfn.XLOOKUP(I208,'3. Input (des)investeringen '!$B$11:$B$81,'3. Input (des)investeringen '!$D$11:$D$81,0)</f>
        <v>30</v>
      </c>
      <c r="N208" s="38">
        <f t="shared" si="76"/>
        <v>6.5</v>
      </c>
      <c r="P208" s="43">
        <f t="shared" si="75"/>
        <v>1085.9941525695845</v>
      </c>
      <c r="Q208" s="43">
        <f t="shared" si="75"/>
        <v>868.79532205566761</v>
      </c>
      <c r="R208" s="43">
        <f t="shared" si="75"/>
        <v>772.2625084939267</v>
      </c>
      <c r="S208" s="43">
        <f t="shared" si="75"/>
        <v>772.2625084939267</v>
      </c>
      <c r="T208" s="95">
        <f t="shared" si="75"/>
        <v>772.2625084939267</v>
      </c>
      <c r="V208" s="43">
        <f t="shared" si="77"/>
        <v>92.820013040135436</v>
      </c>
      <c r="W208" s="43">
        <f t="shared" si="78"/>
        <v>92.820013040135422</v>
      </c>
      <c r="X208" s="43">
        <f t="shared" si="79"/>
        <v>92.820013040135422</v>
      </c>
      <c r="Y208" s="43">
        <f t="shared" si="80"/>
        <v>92.820013040135422</v>
      </c>
      <c r="Z208" s="95">
        <f t="shared" si="81"/>
        <v>92.820013040135422</v>
      </c>
      <c r="AB208" s="43">
        <f t="shared" si="82"/>
        <v>1178.8141656097198</v>
      </c>
      <c r="AC208" s="43">
        <f t="shared" si="83"/>
        <v>961.61533509580306</v>
      </c>
      <c r="AD208" s="43">
        <f t="shared" si="84"/>
        <v>865.08252153406215</v>
      </c>
      <c r="AE208" s="43">
        <f t="shared" si="85"/>
        <v>865.08252153406215</v>
      </c>
      <c r="AF208" s="95">
        <f t="shared" si="86"/>
        <v>865.08252153406215</v>
      </c>
      <c r="AH208" s="43">
        <f t="shared" si="87"/>
        <v>4854.486681999083</v>
      </c>
      <c r="AI208" s="43">
        <f t="shared" si="88"/>
        <v>3892.87134690328</v>
      </c>
      <c r="AJ208" s="43">
        <f t="shared" si="89"/>
        <v>3027.7888253692181</v>
      </c>
      <c r="AK208" s="43">
        <f t="shared" si="90"/>
        <v>2162.7063038351562</v>
      </c>
      <c r="AL208" s="95">
        <f t="shared" si="91"/>
        <v>1297.623782301094</v>
      </c>
      <c r="AN208" s="47">
        <f t="shared" si="92"/>
        <v>1377.8481195716822</v>
      </c>
      <c r="AO208" s="47">
        <f t="shared" si="93"/>
        <v>1160.1517737878703</v>
      </c>
      <c r="AP208" s="47">
        <f t="shared" si="94"/>
        <v>1019.4997516278922</v>
      </c>
      <c r="AQ208" s="47">
        <f t="shared" si="95"/>
        <v>947.26536107979814</v>
      </c>
      <c r="AR208" s="193">
        <f t="shared" si="96"/>
        <v>914.39222526150377</v>
      </c>
      <c r="AY208" s="3"/>
    </row>
    <row r="209" spans="1:51">
      <c r="A209" s="229"/>
      <c r="B209" s="37">
        <f>'13. Desinvesteringen'!B493</f>
        <v>474</v>
      </c>
      <c r="C209" s="48"/>
      <c r="D209" s="48"/>
      <c r="E209" s="48"/>
      <c r="F209" s="42">
        <f>'5. Input GAW-waarde desinv.'!D169</f>
        <v>114286.36357614314</v>
      </c>
      <c r="G209" s="177">
        <f>'13. Desinvesteringen'!D493</f>
        <v>2002</v>
      </c>
      <c r="H209" s="177">
        <f>'13. Desinvesteringen'!G493</f>
        <v>2023</v>
      </c>
      <c r="I209" s="37" t="str">
        <f>'13. Desinvesteringen'!C493</f>
        <v>15 Compressorstations (TT-BT-AT)</v>
      </c>
      <c r="J209" s="166">
        <f>'13. Desinvesteringen'!F493</f>
        <v>0</v>
      </c>
      <c r="K209" s="38">
        <f>_xlfn.XLOOKUP(I209,'3. Input (des)investeringen '!$B$11:$B$81,'3. Input (des)investeringen '!$E$11:$E$81)</f>
        <v>1</v>
      </c>
      <c r="L209" s="48"/>
      <c r="M209" s="38">
        <f>_xlfn.XLOOKUP(I209,'3. Input (des)investeringen '!$B$11:$B$81,'3. Input (des)investeringen '!$D$11:$D$81,0)</f>
        <v>30</v>
      </c>
      <c r="N209" s="38">
        <f t="shared" si="76"/>
        <v>10.5</v>
      </c>
      <c r="P209" s="43">
        <f t="shared" si="75"/>
        <v>12734.76622705595</v>
      </c>
      <c r="Q209" s="43">
        <f t="shared" si="75"/>
        <v>11158.080884658546</v>
      </c>
      <c r="R209" s="43">
        <f t="shared" si="75"/>
        <v>9776.6042037008228</v>
      </c>
      <c r="S209" s="43">
        <f t="shared" si="75"/>
        <v>9225.1034537484684</v>
      </c>
      <c r="T209" s="95">
        <f t="shared" si="75"/>
        <v>9225.1034537484684</v>
      </c>
      <c r="V209" s="43">
        <f t="shared" si="77"/>
        <v>1088.4415578680298</v>
      </c>
      <c r="W209" s="43">
        <f t="shared" si="78"/>
        <v>1088.4415578680298</v>
      </c>
      <c r="X209" s="43">
        <f t="shared" si="79"/>
        <v>1088.4415578680298</v>
      </c>
      <c r="Y209" s="43">
        <f t="shared" si="80"/>
        <v>1088.4415578680298</v>
      </c>
      <c r="Z209" s="95">
        <f t="shared" si="81"/>
        <v>1088.4415578680298</v>
      </c>
      <c r="AB209" s="43">
        <f t="shared" si="82"/>
        <v>13823.207784923979</v>
      </c>
      <c r="AC209" s="43">
        <f t="shared" si="83"/>
        <v>12246.522442526575</v>
      </c>
      <c r="AD209" s="43">
        <f t="shared" si="84"/>
        <v>10865.045761568852</v>
      </c>
      <c r="AE209" s="43">
        <f t="shared" si="85"/>
        <v>10313.545011616498</v>
      </c>
      <c r="AF209" s="95">
        <f t="shared" si="86"/>
        <v>10313.545011616498</v>
      </c>
      <c r="AH209" s="43">
        <f t="shared" si="87"/>
        <v>100463.15579121915</v>
      </c>
      <c r="AI209" s="43">
        <f t="shared" si="88"/>
        <v>88216.633348692572</v>
      </c>
      <c r="AJ209" s="43">
        <f t="shared" si="89"/>
        <v>77351.587587123722</v>
      </c>
      <c r="AK209" s="43">
        <f t="shared" si="90"/>
        <v>67038.042575507221</v>
      </c>
      <c r="AL209" s="95">
        <f t="shared" si="91"/>
        <v>56724.49756389072</v>
      </c>
      <c r="AN209" s="47">
        <f t="shared" si="92"/>
        <v>17942.197172363965</v>
      </c>
      <c r="AO209" s="47">
        <f t="shared" si="93"/>
        <v>16745.570743309894</v>
      </c>
      <c r="AP209" s="47">
        <f t="shared" si="94"/>
        <v>14809.976728512162</v>
      </c>
      <c r="AQ209" s="47">
        <f t="shared" si="95"/>
        <v>12860.990629485772</v>
      </c>
      <c r="AR209" s="193">
        <f t="shared" si="96"/>
        <v>12469.075919044346</v>
      </c>
      <c r="AY209" s="3"/>
    </row>
    <row r="210" spans="1:51">
      <c r="A210" s="229"/>
      <c r="B210" s="37">
        <f>'13. Desinvesteringen'!B494</f>
        <v>475</v>
      </c>
      <c r="C210" s="48"/>
      <c r="D210" s="48"/>
      <c r="E210" s="48"/>
      <c r="F210" s="42">
        <f>'5. Input GAW-waarde desinv.'!D170</f>
        <v>1010914.3326142207</v>
      </c>
      <c r="G210" s="177">
        <f>'13. Desinvesteringen'!D494</f>
        <v>2004</v>
      </c>
      <c r="H210" s="177">
        <f>'13. Desinvesteringen'!G494</f>
        <v>2023</v>
      </c>
      <c r="I210" s="37" t="str">
        <f>'13. Desinvesteringen'!C494</f>
        <v>15 Compressorstations (TT-BT-AT)</v>
      </c>
      <c r="J210" s="166">
        <f>'13. Desinvesteringen'!F494</f>
        <v>0</v>
      </c>
      <c r="K210" s="38">
        <f>_xlfn.XLOOKUP(I210,'3. Input (des)investeringen '!$B$11:$B$81,'3. Input (des)investeringen '!$E$11:$E$81)</f>
        <v>1</v>
      </c>
      <c r="L210" s="48"/>
      <c r="M210" s="38">
        <f>_xlfn.XLOOKUP(I210,'3. Input (des)investeringen '!$B$11:$B$81,'3. Input (des)investeringen '!$D$11:$D$81,0)</f>
        <v>30</v>
      </c>
      <c r="N210" s="38">
        <f t="shared" si="76"/>
        <v>12.5</v>
      </c>
      <c r="P210" s="43">
        <f t="shared" si="75"/>
        <v>94621.581532691067</v>
      </c>
      <c r="Q210" s="43">
        <f t="shared" si="75"/>
        <v>84780.937053291185</v>
      </c>
      <c r="R210" s="43">
        <f t="shared" si="75"/>
        <v>75963.719599748918</v>
      </c>
      <c r="S210" s="43">
        <f t="shared" si="75"/>
        <v>68890.174859691324</v>
      </c>
      <c r="T210" s="95">
        <f t="shared" si="75"/>
        <v>68890.174859691324</v>
      </c>
      <c r="V210" s="43">
        <f t="shared" si="77"/>
        <v>8087.3146609137657</v>
      </c>
      <c r="W210" s="43">
        <f t="shared" si="78"/>
        <v>8087.3146609137657</v>
      </c>
      <c r="X210" s="43">
        <f t="shared" si="79"/>
        <v>8087.3146609137657</v>
      </c>
      <c r="Y210" s="43">
        <f t="shared" si="80"/>
        <v>8087.3146609137657</v>
      </c>
      <c r="Z210" s="95">
        <f t="shared" si="81"/>
        <v>8087.3146609137657</v>
      </c>
      <c r="AB210" s="43">
        <f t="shared" si="82"/>
        <v>102708.89619360483</v>
      </c>
      <c r="AC210" s="43">
        <f t="shared" si="83"/>
        <v>92868.251714204947</v>
      </c>
      <c r="AD210" s="43">
        <f t="shared" si="84"/>
        <v>84051.03426066268</v>
      </c>
      <c r="AE210" s="43">
        <f t="shared" si="85"/>
        <v>76977.489520605086</v>
      </c>
      <c r="AF210" s="95">
        <f t="shared" si="86"/>
        <v>76977.489520605086</v>
      </c>
      <c r="AH210" s="43">
        <f t="shared" si="87"/>
        <v>908205.43642061588</v>
      </c>
      <c r="AI210" s="43">
        <f t="shared" si="88"/>
        <v>815337.18470641098</v>
      </c>
      <c r="AJ210" s="43">
        <f t="shared" si="89"/>
        <v>731286.15044574835</v>
      </c>
      <c r="AK210" s="43">
        <f t="shared" si="90"/>
        <v>654308.66092514328</v>
      </c>
      <c r="AL210" s="95">
        <f t="shared" si="91"/>
        <v>577331.17140453821</v>
      </c>
      <c r="AN210" s="47">
        <f t="shared" si="92"/>
        <v>139945.3190868501</v>
      </c>
      <c r="AO210" s="47">
        <f t="shared" si="93"/>
        <v>134450.4481342319</v>
      </c>
      <c r="AP210" s="47">
        <f t="shared" si="94"/>
        <v>121346.62793339585</v>
      </c>
      <c r="AQ210" s="47">
        <f t="shared" si="95"/>
        <v>101841.21863576054</v>
      </c>
      <c r="AR210" s="193">
        <f t="shared" si="96"/>
        <v>98916.074033977537</v>
      </c>
      <c r="AY210" s="3"/>
    </row>
    <row r="211" spans="1:51">
      <c r="A211" s="229"/>
      <c r="B211" s="37">
        <f>'13. Desinvesteringen'!B495</f>
        <v>476</v>
      </c>
      <c r="C211" s="48"/>
      <c r="D211" s="48"/>
      <c r="E211" s="48"/>
      <c r="F211" s="42">
        <f>'5. Input GAW-waarde desinv.'!D171</f>
        <v>110113.496706638</v>
      </c>
      <c r="G211" s="177">
        <f>'13. Desinvesteringen'!D495</f>
        <v>2005</v>
      </c>
      <c r="H211" s="177">
        <f>'13. Desinvesteringen'!G495</f>
        <v>2023</v>
      </c>
      <c r="I211" s="37" t="str">
        <f>'13. Desinvesteringen'!C495</f>
        <v>15 Compressorstations (TT-BT-AT)</v>
      </c>
      <c r="J211" s="166">
        <f>'13. Desinvesteringen'!F495</f>
        <v>0</v>
      </c>
      <c r="K211" s="38">
        <f>_xlfn.XLOOKUP(I211,'3. Input (des)investeringen '!$B$11:$B$81,'3. Input (des)investeringen '!$E$11:$E$81)</f>
        <v>1</v>
      </c>
      <c r="L211" s="48"/>
      <c r="M211" s="38">
        <f>_xlfn.XLOOKUP(I211,'3. Input (des)investeringen '!$B$11:$B$81,'3. Input (des)investeringen '!$D$11:$D$81,0)</f>
        <v>30</v>
      </c>
      <c r="N211" s="38">
        <f t="shared" si="76"/>
        <v>13.5</v>
      </c>
      <c r="P211" s="43">
        <f t="shared" ref="P211:T261" si="97">IF($M211&gt;0, IF(OR($G211&gt;P$49,$G211+$M211&lt;P$49),0,
VDB($F211,0,$N211,MAX(0,P$49-2022),MIN($N211,P$49-2021),$F$22,FALSE))*(1-$F$25), 0)</f>
        <v>9543.1697145752951</v>
      </c>
      <c r="Q211" s="43">
        <f t="shared" si="97"/>
        <v>8624.1978161347088</v>
      </c>
      <c r="R211" s="43">
        <f t="shared" si="97"/>
        <v>7793.7195079143312</v>
      </c>
      <c r="S211" s="43">
        <f t="shared" si="97"/>
        <v>7043.2131849299876</v>
      </c>
      <c r="T211" s="95">
        <f t="shared" si="97"/>
        <v>6957.668085517882</v>
      </c>
      <c r="V211" s="43">
        <f t="shared" si="77"/>
        <v>815.6555311602815</v>
      </c>
      <c r="W211" s="43">
        <f t="shared" si="78"/>
        <v>815.6555311602815</v>
      </c>
      <c r="X211" s="43">
        <f t="shared" si="79"/>
        <v>815.6555311602815</v>
      </c>
      <c r="Y211" s="43">
        <f t="shared" si="80"/>
        <v>815.6555311602815</v>
      </c>
      <c r="Z211" s="95">
        <f t="shared" si="81"/>
        <v>815.6555311602815</v>
      </c>
      <c r="AB211" s="43">
        <f t="shared" si="82"/>
        <v>10358.825245735577</v>
      </c>
      <c r="AC211" s="43">
        <f t="shared" si="83"/>
        <v>9439.8533472949894</v>
      </c>
      <c r="AD211" s="43">
        <f t="shared" si="84"/>
        <v>8609.3750390746136</v>
      </c>
      <c r="AE211" s="43">
        <f t="shared" si="85"/>
        <v>7858.8687160902691</v>
      </c>
      <c r="AF211" s="95">
        <f t="shared" si="86"/>
        <v>7773.3236166781635</v>
      </c>
      <c r="AH211" s="43">
        <f t="shared" si="87"/>
        <v>99754.671460902435</v>
      </c>
      <c r="AI211" s="43">
        <f t="shared" si="88"/>
        <v>90314.818113607442</v>
      </c>
      <c r="AJ211" s="43">
        <f t="shared" si="89"/>
        <v>81705.443074532828</v>
      </c>
      <c r="AK211" s="43">
        <f t="shared" si="90"/>
        <v>73846.574358442565</v>
      </c>
      <c r="AL211" s="95">
        <f t="shared" si="91"/>
        <v>66073.250741764408</v>
      </c>
      <c r="AN211" s="47">
        <f t="shared" si="92"/>
        <v>14448.766775632577</v>
      </c>
      <c r="AO211" s="47">
        <f t="shared" si="93"/>
        <v>14045.909071088969</v>
      </c>
      <c r="AP211" s="47">
        <f t="shared" si="94"/>
        <v>12776.352635875788</v>
      </c>
      <c r="AQ211" s="47">
        <f t="shared" si="95"/>
        <v>10665.038541711087</v>
      </c>
      <c r="AR211" s="193">
        <f t="shared" si="96"/>
        <v>10284.107144865211</v>
      </c>
      <c r="AY211" s="3"/>
    </row>
    <row r="212" spans="1:51">
      <c r="A212" s="229"/>
      <c r="B212" s="37">
        <f>'13. Desinvesteringen'!B496</f>
        <v>477</v>
      </c>
      <c r="C212" s="48"/>
      <c r="D212" s="48"/>
      <c r="E212" s="48"/>
      <c r="F212" s="42">
        <f>'5. Input GAW-waarde desinv.'!D172</f>
        <v>26631.619932073358</v>
      </c>
      <c r="G212" s="177">
        <f>'13. Desinvesteringen'!D496</f>
        <v>2006</v>
      </c>
      <c r="H212" s="177">
        <f>'13. Desinvesteringen'!G496</f>
        <v>2023</v>
      </c>
      <c r="I212" s="37" t="str">
        <f>'13. Desinvesteringen'!C496</f>
        <v>15 Compressorstations (TT-BT-AT)</v>
      </c>
      <c r="J212" s="166">
        <f>'13. Desinvesteringen'!F496</f>
        <v>0</v>
      </c>
      <c r="K212" s="38">
        <f>_xlfn.XLOOKUP(I212,'3. Input (des)investeringen '!$B$11:$B$81,'3. Input (des)investeringen '!$E$11:$E$81)</f>
        <v>1</v>
      </c>
      <c r="L212" s="48"/>
      <c r="M212" s="38">
        <f>_xlfn.XLOOKUP(I212,'3. Input (des)investeringen '!$B$11:$B$81,'3. Input (des)investeringen '!$D$11:$D$81,0)</f>
        <v>30</v>
      </c>
      <c r="N212" s="38">
        <f t="shared" si="76"/>
        <v>14.5</v>
      </c>
      <c r="P212" s="43">
        <f t="shared" si="97"/>
        <v>2148.8962290017812</v>
      </c>
      <c r="Q212" s="43">
        <f t="shared" si="97"/>
        <v>1956.2365670912766</v>
      </c>
      <c r="R212" s="43">
        <f t="shared" si="97"/>
        <v>1780.8498403865415</v>
      </c>
      <c r="S212" s="43">
        <f t="shared" si="97"/>
        <v>1621.1874409036102</v>
      </c>
      <c r="T212" s="95">
        <f t="shared" si="97"/>
        <v>1567.741701093601</v>
      </c>
      <c r="V212" s="43">
        <f t="shared" si="77"/>
        <v>183.66634435912661</v>
      </c>
      <c r="W212" s="43">
        <f t="shared" si="78"/>
        <v>183.66634435912658</v>
      </c>
      <c r="X212" s="43">
        <f t="shared" si="79"/>
        <v>183.66634435912658</v>
      </c>
      <c r="Y212" s="43">
        <f t="shared" si="80"/>
        <v>183.66634435912658</v>
      </c>
      <c r="Z212" s="95">
        <f t="shared" si="81"/>
        <v>183.66634435912658</v>
      </c>
      <c r="AB212" s="43">
        <f t="shared" si="82"/>
        <v>2332.5625733609077</v>
      </c>
      <c r="AC212" s="43">
        <f t="shared" si="83"/>
        <v>2139.9029114504033</v>
      </c>
      <c r="AD212" s="43">
        <f t="shared" si="84"/>
        <v>1964.5161847456679</v>
      </c>
      <c r="AE212" s="43">
        <f t="shared" si="85"/>
        <v>1804.8537852627369</v>
      </c>
      <c r="AF212" s="95">
        <f t="shared" si="86"/>
        <v>1751.4080454527275</v>
      </c>
      <c r="AH212" s="43">
        <f t="shared" si="87"/>
        <v>24299.057358712449</v>
      </c>
      <c r="AI212" s="43">
        <f t="shared" si="88"/>
        <v>22159.154447262044</v>
      </c>
      <c r="AJ212" s="43">
        <f t="shared" si="89"/>
        <v>20194.638262516375</v>
      </c>
      <c r="AK212" s="43">
        <f t="shared" si="90"/>
        <v>18389.784477253637</v>
      </c>
      <c r="AL212" s="95">
        <f t="shared" si="91"/>
        <v>16638.376431800909</v>
      </c>
      <c r="AN212" s="47">
        <f t="shared" si="92"/>
        <v>3328.8239250681181</v>
      </c>
      <c r="AO212" s="47">
        <f t="shared" si="93"/>
        <v>3270.0197882607672</v>
      </c>
      <c r="AP212" s="47">
        <f t="shared" si="94"/>
        <v>2994.4427361340031</v>
      </c>
      <c r="AQ212" s="47">
        <f t="shared" si="95"/>
        <v>2503.665595398375</v>
      </c>
      <c r="AR212" s="193">
        <f t="shared" si="96"/>
        <v>2383.666349861162</v>
      </c>
      <c r="AY212" s="3"/>
    </row>
    <row r="213" spans="1:51">
      <c r="A213" s="229"/>
      <c r="B213" s="37">
        <f>'13. Desinvesteringen'!B497</f>
        <v>478</v>
      </c>
      <c r="C213" s="48"/>
      <c r="D213" s="48"/>
      <c r="E213" s="48"/>
      <c r="F213" s="42">
        <f>'5. Input GAW-waarde desinv.'!D173</f>
        <v>1462385.1890917395</v>
      </c>
      <c r="G213" s="177">
        <f>'13. Desinvesteringen'!D497</f>
        <v>2008</v>
      </c>
      <c r="H213" s="177">
        <f>'13. Desinvesteringen'!G497</f>
        <v>2023</v>
      </c>
      <c r="I213" s="37" t="str">
        <f>'13. Desinvesteringen'!C497</f>
        <v>15 Compressorstations (TT-BT-AT)</v>
      </c>
      <c r="J213" s="166">
        <f>'13. Desinvesteringen'!F497</f>
        <v>0</v>
      </c>
      <c r="K213" s="38">
        <f>_xlfn.XLOOKUP(I213,'3. Input (des)investeringen '!$B$11:$B$81,'3. Input (des)investeringen '!$E$11:$E$81)</f>
        <v>1</v>
      </c>
      <c r="L213" s="48"/>
      <c r="M213" s="38">
        <f>_xlfn.XLOOKUP(I213,'3. Input (des)investeringen '!$B$11:$B$81,'3. Input (des)investeringen '!$D$11:$D$81,0)</f>
        <v>30</v>
      </c>
      <c r="N213" s="38">
        <f t="shared" si="76"/>
        <v>16.5</v>
      </c>
      <c r="P213" s="43">
        <f t="shared" si="97"/>
        <v>103696.40431741427</v>
      </c>
      <c r="Q213" s="43">
        <f t="shared" si="97"/>
        <v>95526.384583314968</v>
      </c>
      <c r="R213" s="43">
        <f t="shared" si="97"/>
        <v>88000.063373720463</v>
      </c>
      <c r="S213" s="43">
        <f t="shared" si="97"/>
        <v>81066.725047306114</v>
      </c>
      <c r="T213" s="95">
        <f t="shared" si="97"/>
        <v>75828.567428864786</v>
      </c>
      <c r="V213" s="43">
        <f t="shared" si="77"/>
        <v>8862.9405399499356</v>
      </c>
      <c r="W213" s="43">
        <f t="shared" si="78"/>
        <v>8862.9405399499356</v>
      </c>
      <c r="X213" s="43">
        <f t="shared" si="79"/>
        <v>8862.9405399499356</v>
      </c>
      <c r="Y213" s="43">
        <f t="shared" si="80"/>
        <v>8862.9405399499356</v>
      </c>
      <c r="Z213" s="95">
        <f t="shared" si="81"/>
        <v>8862.9405399499356</v>
      </c>
      <c r="AB213" s="43">
        <f t="shared" si="82"/>
        <v>112559.34485736421</v>
      </c>
      <c r="AC213" s="43">
        <f t="shared" si="83"/>
        <v>104389.32512326491</v>
      </c>
      <c r="AD213" s="43">
        <f t="shared" si="84"/>
        <v>96863.0039136704</v>
      </c>
      <c r="AE213" s="43">
        <f t="shared" si="85"/>
        <v>89929.665587256051</v>
      </c>
      <c r="AF213" s="95">
        <f t="shared" si="86"/>
        <v>84691.507968814723</v>
      </c>
      <c r="AH213" s="43">
        <f t="shared" si="87"/>
        <v>1349825.8442343753</v>
      </c>
      <c r="AI213" s="43">
        <f t="shared" si="88"/>
        <v>1245436.5191111104</v>
      </c>
      <c r="AJ213" s="43">
        <f t="shared" si="89"/>
        <v>1148573.5151974401</v>
      </c>
      <c r="AK213" s="43">
        <f t="shared" si="90"/>
        <v>1058643.8496101841</v>
      </c>
      <c r="AL213" s="95">
        <f t="shared" si="91"/>
        <v>973952.34164136939</v>
      </c>
      <c r="AN213" s="47">
        <f t="shared" si="92"/>
        <v>167902.20447097361</v>
      </c>
      <c r="AO213" s="47">
        <f t="shared" si="93"/>
        <v>167906.58759793153</v>
      </c>
      <c r="AP213" s="47">
        <f t="shared" si="94"/>
        <v>155440.25318873982</v>
      </c>
      <c r="AQ213" s="47">
        <f t="shared" si="95"/>
        <v>130158.13187244305</v>
      </c>
      <c r="AR213" s="193">
        <f t="shared" si="96"/>
        <v>121701.69695118675</v>
      </c>
      <c r="AY213" s="3"/>
    </row>
    <row r="214" spans="1:51">
      <c r="A214" s="229"/>
      <c r="B214" s="37">
        <f>'13. Desinvesteringen'!B498</f>
        <v>479</v>
      </c>
      <c r="C214" s="48"/>
      <c r="D214" s="48"/>
      <c r="E214" s="48"/>
      <c r="F214" s="42">
        <f>'5. Input GAW-waarde desinv.'!D174</f>
        <v>26797.310321813446</v>
      </c>
      <c r="G214" s="177">
        <f>'13. Desinvesteringen'!D498</f>
        <v>2009</v>
      </c>
      <c r="H214" s="177">
        <f>'13. Desinvesteringen'!G498</f>
        <v>2023</v>
      </c>
      <c r="I214" s="37" t="str">
        <f>'13. Desinvesteringen'!C498</f>
        <v>15 Compressorstations (TT-BT-AT)</v>
      </c>
      <c r="J214" s="166">
        <f>'13. Desinvesteringen'!F498</f>
        <v>0</v>
      </c>
      <c r="K214" s="38">
        <f>_xlfn.XLOOKUP(I214,'3. Input (des)investeringen '!$B$11:$B$81,'3. Input (des)investeringen '!$E$11:$E$81)</f>
        <v>1</v>
      </c>
      <c r="L214" s="48"/>
      <c r="M214" s="38">
        <f>_xlfn.XLOOKUP(I214,'3. Input (des)investeringen '!$B$11:$B$81,'3. Input (des)investeringen '!$D$11:$D$81,0)</f>
        <v>30</v>
      </c>
      <c r="N214" s="38">
        <f t="shared" si="76"/>
        <v>17.5</v>
      </c>
      <c r="P214" s="43">
        <f t="shared" si="97"/>
        <v>1791.5916043726704</v>
      </c>
      <c r="Q214" s="43">
        <f t="shared" si="97"/>
        <v>1658.5019423335577</v>
      </c>
      <c r="R214" s="43">
        <f t="shared" si="97"/>
        <v>1535.2989409030652</v>
      </c>
      <c r="S214" s="43">
        <f t="shared" si="97"/>
        <v>1421.2481624359802</v>
      </c>
      <c r="T214" s="95">
        <f t="shared" si="97"/>
        <v>1315.6697275121646</v>
      </c>
      <c r="V214" s="43">
        <f t="shared" si="77"/>
        <v>153.12748755321968</v>
      </c>
      <c r="W214" s="43">
        <f t="shared" si="78"/>
        <v>153.12748755321971</v>
      </c>
      <c r="X214" s="43">
        <f t="shared" si="79"/>
        <v>153.12748755321971</v>
      </c>
      <c r="Y214" s="43">
        <f t="shared" si="80"/>
        <v>153.12748755321971</v>
      </c>
      <c r="Z214" s="95">
        <f t="shared" si="81"/>
        <v>153.12748755321971</v>
      </c>
      <c r="AB214" s="43">
        <f t="shared" si="82"/>
        <v>1944.7190919258901</v>
      </c>
      <c r="AC214" s="43">
        <f t="shared" si="83"/>
        <v>1811.6294298867774</v>
      </c>
      <c r="AD214" s="43">
        <f t="shared" si="84"/>
        <v>1688.4264284562848</v>
      </c>
      <c r="AE214" s="43">
        <f t="shared" si="85"/>
        <v>1574.3756499891999</v>
      </c>
      <c r="AF214" s="95">
        <f t="shared" si="86"/>
        <v>1468.7972150653843</v>
      </c>
      <c r="AH214" s="43">
        <f t="shared" si="87"/>
        <v>24852.591229887556</v>
      </c>
      <c r="AI214" s="43">
        <f t="shared" si="88"/>
        <v>23040.961800000779</v>
      </c>
      <c r="AJ214" s="43">
        <f t="shared" si="89"/>
        <v>21352.535371544494</v>
      </c>
      <c r="AK214" s="43">
        <f t="shared" si="90"/>
        <v>19778.159721555294</v>
      </c>
      <c r="AL214" s="95">
        <f t="shared" si="91"/>
        <v>18309.36250648991</v>
      </c>
      <c r="AN214" s="47">
        <f t="shared" si="92"/>
        <v>2963.6753323512798</v>
      </c>
      <c r="AO214" s="47">
        <f t="shared" si="93"/>
        <v>2986.7184816868171</v>
      </c>
      <c r="AP214" s="47">
        <f t="shared" si="94"/>
        <v>2777.4057324050541</v>
      </c>
      <c r="AQ214" s="47">
        <f t="shared" si="95"/>
        <v>2325.9457194083011</v>
      </c>
      <c r="AR214" s="193">
        <f t="shared" si="96"/>
        <v>2164.5529903120009</v>
      </c>
      <c r="AY214" s="3"/>
    </row>
    <row r="215" spans="1:51">
      <c r="A215" s="229"/>
      <c r="B215" s="37">
        <f>'13. Desinvesteringen'!B499</f>
        <v>480</v>
      </c>
      <c r="C215" s="48"/>
      <c r="D215" s="48"/>
      <c r="E215" s="48"/>
      <c r="F215" s="42">
        <f>'5. Input GAW-waarde desinv.'!D175</f>
        <v>143440.45474083052</v>
      </c>
      <c r="G215" s="177">
        <f>'13. Desinvesteringen'!D499</f>
        <v>2010</v>
      </c>
      <c r="H215" s="177">
        <f>'13. Desinvesteringen'!G499</f>
        <v>2023</v>
      </c>
      <c r="I215" s="37" t="str">
        <f>'13. Desinvesteringen'!C499</f>
        <v>15 Compressorstations (TT-BT-AT)</v>
      </c>
      <c r="J215" s="166">
        <f>'13. Desinvesteringen'!F499</f>
        <v>0</v>
      </c>
      <c r="K215" s="38">
        <f>_xlfn.XLOOKUP(I215,'3. Input (des)investeringen '!$B$11:$B$81,'3. Input (des)investeringen '!$E$11:$E$81)</f>
        <v>1</v>
      </c>
      <c r="L215" s="48"/>
      <c r="M215" s="38">
        <f>_xlfn.XLOOKUP(I215,'3. Input (des)investeringen '!$B$11:$B$81,'3. Input (des)investeringen '!$D$11:$D$81,0)</f>
        <v>30</v>
      </c>
      <c r="N215" s="38">
        <f t="shared" si="76"/>
        <v>18.5</v>
      </c>
      <c r="P215" s="43">
        <f t="shared" si="97"/>
        <v>9071.6395700957692</v>
      </c>
      <c r="Q215" s="43">
        <f t="shared" si="97"/>
        <v>8434.1730057106597</v>
      </c>
      <c r="R215" s="43">
        <f t="shared" si="97"/>
        <v>7841.5013890931541</v>
      </c>
      <c r="S215" s="43">
        <f t="shared" si="97"/>
        <v>7290.4769671568783</v>
      </c>
      <c r="T215" s="95">
        <f t="shared" si="97"/>
        <v>6778.1731802755849</v>
      </c>
      <c r="V215" s="43">
        <f t="shared" si="77"/>
        <v>775.35380940989489</v>
      </c>
      <c r="W215" s="43">
        <f t="shared" si="78"/>
        <v>775.35380940989478</v>
      </c>
      <c r="X215" s="43">
        <f t="shared" si="79"/>
        <v>775.35380940989478</v>
      </c>
      <c r="Y215" s="43">
        <f t="shared" si="80"/>
        <v>775.35380940989478</v>
      </c>
      <c r="Z215" s="95">
        <f t="shared" si="81"/>
        <v>775.35380940989478</v>
      </c>
      <c r="AB215" s="43">
        <f t="shared" si="82"/>
        <v>9846.9933795056641</v>
      </c>
      <c r="AC215" s="43">
        <f t="shared" si="83"/>
        <v>9209.5268151205546</v>
      </c>
      <c r="AD215" s="43">
        <f t="shared" si="84"/>
        <v>8616.8551985030481</v>
      </c>
      <c r="AE215" s="43">
        <f t="shared" si="85"/>
        <v>8065.8307765667732</v>
      </c>
      <c r="AF215" s="95">
        <f t="shared" si="86"/>
        <v>7553.5269896854797</v>
      </c>
      <c r="AH215" s="43">
        <f t="shared" si="87"/>
        <v>133593.46136132485</v>
      </c>
      <c r="AI215" s="43">
        <f t="shared" si="88"/>
        <v>124383.9345462043</v>
      </c>
      <c r="AJ215" s="43">
        <f t="shared" si="89"/>
        <v>115767.07934770125</v>
      </c>
      <c r="AK215" s="43">
        <f t="shared" si="90"/>
        <v>107701.24857113448</v>
      </c>
      <c r="AL215" s="95">
        <f t="shared" si="91"/>
        <v>100147.721581449</v>
      </c>
      <c r="AN215" s="47">
        <f t="shared" si="92"/>
        <v>15324.325295319984</v>
      </c>
      <c r="AO215" s="47">
        <f t="shared" si="93"/>
        <v>15553.107476976973</v>
      </c>
      <c r="AP215" s="47">
        <f t="shared" si="94"/>
        <v>14520.976245235812</v>
      </c>
      <c r="AQ215" s="47">
        <f t="shared" si="95"/>
        <v>12158.478222269883</v>
      </c>
      <c r="AR215" s="193">
        <f t="shared" si="96"/>
        <v>11359.140409780543</v>
      </c>
      <c r="AY215" s="3"/>
    </row>
    <row r="216" spans="1:51">
      <c r="A216" s="229"/>
      <c r="B216" s="37">
        <f>'13. Desinvesteringen'!B500</f>
        <v>481</v>
      </c>
      <c r="C216" s="48"/>
      <c r="D216" s="48"/>
      <c r="E216" s="48"/>
      <c r="F216" s="42">
        <f>'5. Input GAW-waarde desinv.'!D176</f>
        <v>37686.268046364217</v>
      </c>
      <c r="G216" s="177">
        <f>'13. Desinvesteringen'!D500</f>
        <v>2011</v>
      </c>
      <c r="H216" s="177">
        <f>'13. Desinvesteringen'!G500</f>
        <v>2023</v>
      </c>
      <c r="I216" s="37" t="str">
        <f>'13. Desinvesteringen'!C500</f>
        <v>15 Compressorstations (TT-BT-AT)</v>
      </c>
      <c r="J216" s="166">
        <f>'13. Desinvesteringen'!F500</f>
        <v>0</v>
      </c>
      <c r="K216" s="38">
        <f>_xlfn.XLOOKUP(I216,'3. Input (des)investeringen '!$B$11:$B$81,'3. Input (des)investeringen '!$E$11:$E$81)</f>
        <v>1</v>
      </c>
      <c r="L216" s="48"/>
      <c r="M216" s="38">
        <f>_xlfn.XLOOKUP(I216,'3. Input (des)investeringen '!$B$11:$B$81,'3. Input (des)investeringen '!$D$11:$D$81,0)</f>
        <v>30</v>
      </c>
      <c r="N216" s="38">
        <f t="shared" si="76"/>
        <v>19.5</v>
      </c>
      <c r="P216" s="43">
        <f t="shared" si="97"/>
        <v>2261.176082781853</v>
      </c>
      <c r="Q216" s="43">
        <f t="shared" si="97"/>
        <v>2110.4310105963964</v>
      </c>
      <c r="R216" s="43">
        <f t="shared" si="97"/>
        <v>1969.7356098899697</v>
      </c>
      <c r="S216" s="43">
        <f t="shared" si="97"/>
        <v>1838.4199025639718</v>
      </c>
      <c r="T216" s="95">
        <f t="shared" si="97"/>
        <v>1715.8585757263738</v>
      </c>
      <c r="V216" s="43">
        <f t="shared" si="77"/>
        <v>193.26291305827806</v>
      </c>
      <c r="W216" s="43">
        <f t="shared" si="78"/>
        <v>193.26291305827803</v>
      </c>
      <c r="X216" s="43">
        <f t="shared" si="79"/>
        <v>193.26291305827803</v>
      </c>
      <c r="Y216" s="43">
        <f t="shared" si="80"/>
        <v>193.26291305827803</v>
      </c>
      <c r="Z216" s="95">
        <f t="shared" si="81"/>
        <v>193.26291305827803</v>
      </c>
      <c r="AB216" s="43">
        <f t="shared" si="82"/>
        <v>2454.4389958401312</v>
      </c>
      <c r="AC216" s="43">
        <f t="shared" si="83"/>
        <v>2303.6939236546746</v>
      </c>
      <c r="AD216" s="43">
        <f t="shared" si="84"/>
        <v>2162.9985229482477</v>
      </c>
      <c r="AE216" s="43">
        <f t="shared" si="85"/>
        <v>2031.6828156222498</v>
      </c>
      <c r="AF216" s="95">
        <f t="shared" si="86"/>
        <v>1909.1214887846518</v>
      </c>
      <c r="AH216" s="43">
        <f t="shared" si="87"/>
        <v>35231.829050524088</v>
      </c>
      <c r="AI216" s="43">
        <f t="shared" si="88"/>
        <v>32928.135126869412</v>
      </c>
      <c r="AJ216" s="43">
        <f t="shared" si="89"/>
        <v>30765.136603921164</v>
      </c>
      <c r="AK216" s="43">
        <f t="shared" si="90"/>
        <v>28733.453788298913</v>
      </c>
      <c r="AL216" s="95">
        <f t="shared" si="91"/>
        <v>26824.332299514263</v>
      </c>
      <c r="AN216" s="47">
        <f t="shared" si="92"/>
        <v>3898.9439869116186</v>
      </c>
      <c r="AO216" s="47">
        <f t="shared" si="93"/>
        <v>3983.0288151250143</v>
      </c>
      <c r="AP216" s="47">
        <f t="shared" si="94"/>
        <v>3732.0204897482272</v>
      </c>
      <c r="AQ216" s="47">
        <f t="shared" si="95"/>
        <v>3123.5540595776083</v>
      </c>
      <c r="AR216" s="193">
        <f t="shared" si="96"/>
        <v>2928.4461161661939</v>
      </c>
      <c r="AY216" s="3"/>
    </row>
    <row r="217" spans="1:51">
      <c r="A217" s="229"/>
      <c r="B217" s="37">
        <f>'13. Desinvesteringen'!B501</f>
        <v>482</v>
      </c>
      <c r="C217" s="48"/>
      <c r="D217" s="48"/>
      <c r="E217" s="48"/>
      <c r="F217" s="42">
        <f>'5. Input GAW-waarde desinv.'!D177</f>
        <v>5687877.4465793725</v>
      </c>
      <c r="G217" s="177">
        <f>'13. Desinvesteringen'!D501</f>
        <v>2012</v>
      </c>
      <c r="H217" s="177">
        <f>'13. Desinvesteringen'!G501</f>
        <v>2023</v>
      </c>
      <c r="I217" s="37" t="str">
        <f>'13. Desinvesteringen'!C501</f>
        <v>15 Compressorstations (TT-BT-AT)</v>
      </c>
      <c r="J217" s="166">
        <f>'13. Desinvesteringen'!F501</f>
        <v>0</v>
      </c>
      <c r="K217" s="38">
        <f>_xlfn.XLOOKUP(I217,'3. Input (des)investeringen '!$B$11:$B$81,'3. Input (des)investeringen '!$E$11:$E$81)</f>
        <v>1</v>
      </c>
      <c r="L217" s="48"/>
      <c r="M217" s="38">
        <f>_xlfn.XLOOKUP(I217,'3. Input (des)investeringen '!$B$11:$B$81,'3. Input (des)investeringen '!$D$11:$D$81,0)</f>
        <v>30</v>
      </c>
      <c r="N217" s="38">
        <f t="shared" si="76"/>
        <v>20.5</v>
      </c>
      <c r="P217" s="43">
        <f t="shared" si="97"/>
        <v>324625.20060965198</v>
      </c>
      <c r="Q217" s="43">
        <f t="shared" si="97"/>
        <v>304039.21227830823</v>
      </c>
      <c r="R217" s="43">
        <f t="shared" si="97"/>
        <v>284758.67686553742</v>
      </c>
      <c r="S217" s="43">
        <f t="shared" si="97"/>
        <v>266700.80955211306</v>
      </c>
      <c r="T217" s="95">
        <f t="shared" si="97"/>
        <v>249788.07528783273</v>
      </c>
      <c r="V217" s="43">
        <f t="shared" si="77"/>
        <v>27745.743641850597</v>
      </c>
      <c r="W217" s="43">
        <f t="shared" si="78"/>
        <v>27745.743641850597</v>
      </c>
      <c r="X217" s="43">
        <f t="shared" si="79"/>
        <v>27745.743641850597</v>
      </c>
      <c r="Y217" s="43">
        <f t="shared" si="80"/>
        <v>27745.743641850597</v>
      </c>
      <c r="Z217" s="95">
        <f t="shared" si="81"/>
        <v>27745.743641850597</v>
      </c>
      <c r="AB217" s="43">
        <f t="shared" si="82"/>
        <v>352370.94425150257</v>
      </c>
      <c r="AC217" s="43">
        <f t="shared" si="83"/>
        <v>331784.95592015883</v>
      </c>
      <c r="AD217" s="43">
        <f t="shared" si="84"/>
        <v>312504.42050738801</v>
      </c>
      <c r="AE217" s="43">
        <f t="shared" si="85"/>
        <v>294446.55319396366</v>
      </c>
      <c r="AF217" s="95">
        <f t="shared" si="86"/>
        <v>277533.8189296833</v>
      </c>
      <c r="AH217" s="43">
        <f t="shared" si="87"/>
        <v>5335506.5023278696</v>
      </c>
      <c r="AI217" s="43">
        <f t="shared" si="88"/>
        <v>5003721.5464077108</v>
      </c>
      <c r="AJ217" s="43">
        <f t="shared" si="89"/>
        <v>4691217.1259003226</v>
      </c>
      <c r="AK217" s="43">
        <f t="shared" si="90"/>
        <v>4396770.5727063585</v>
      </c>
      <c r="AL217" s="95">
        <f t="shared" si="91"/>
        <v>4119236.7537766751</v>
      </c>
      <c r="AN217" s="47">
        <f t="shared" si="92"/>
        <v>571126.71084694518</v>
      </c>
      <c r="AO217" s="47">
        <f t="shared" si="93"/>
        <v>586974.75478695205</v>
      </c>
      <c r="AP217" s="47">
        <f t="shared" si="94"/>
        <v>551756.49392830441</v>
      </c>
      <c r="AQ217" s="47">
        <f t="shared" si="95"/>
        <v>461523.83495680528</v>
      </c>
      <c r="AR217" s="193">
        <f t="shared" si="96"/>
        <v>434064.81557319697</v>
      </c>
      <c r="AY217" s="3"/>
    </row>
    <row r="218" spans="1:51">
      <c r="A218" s="229"/>
      <c r="B218" s="37">
        <f>'13. Desinvesteringen'!B502</f>
        <v>483</v>
      </c>
      <c r="C218" s="48"/>
      <c r="D218" s="48"/>
      <c r="E218" s="48"/>
      <c r="F218" s="42">
        <f>'5. Input GAW-waarde desinv.'!D178</f>
        <v>611283.63783680694</v>
      </c>
      <c r="G218" s="177">
        <f>'13. Desinvesteringen'!D502</f>
        <v>2014</v>
      </c>
      <c r="H218" s="177">
        <f>'13. Desinvesteringen'!G502</f>
        <v>2023</v>
      </c>
      <c r="I218" s="37" t="str">
        <f>'13. Desinvesteringen'!C502</f>
        <v>15 Compressorstations (TT-BT-AT)</v>
      </c>
      <c r="J218" s="166">
        <f>'13. Desinvesteringen'!F502</f>
        <v>0</v>
      </c>
      <c r="K218" s="38">
        <f>_xlfn.XLOOKUP(I218,'3. Input (des)investeringen '!$B$11:$B$81,'3. Input (des)investeringen '!$E$11:$E$81)</f>
        <v>1</v>
      </c>
      <c r="L218" s="48"/>
      <c r="M218" s="38">
        <f>_xlfn.XLOOKUP(I218,'3. Input (des)investeringen '!$B$11:$B$81,'3. Input (des)investeringen '!$D$11:$D$81,0)</f>
        <v>30</v>
      </c>
      <c r="N218" s="38">
        <f t="shared" si="76"/>
        <v>22.5</v>
      </c>
      <c r="P218" s="43">
        <f t="shared" si="97"/>
        <v>31786.749167513968</v>
      </c>
      <c r="Q218" s="43">
        <f t="shared" si="97"/>
        <v>29950.181437835377</v>
      </c>
      <c r="R218" s="43">
        <f t="shared" si="97"/>
        <v>28219.726510315999</v>
      </c>
      <c r="S218" s="43">
        <f t="shared" si="97"/>
        <v>26589.253423053295</v>
      </c>
      <c r="T218" s="95">
        <f t="shared" si="97"/>
        <v>25052.985447499104</v>
      </c>
      <c r="V218" s="43">
        <f t="shared" si="77"/>
        <v>2716.8161681635866</v>
      </c>
      <c r="W218" s="43">
        <f t="shared" si="78"/>
        <v>2716.8161681635866</v>
      </c>
      <c r="X218" s="43">
        <f t="shared" si="79"/>
        <v>2716.8161681635866</v>
      </c>
      <c r="Y218" s="43">
        <f t="shared" si="80"/>
        <v>2716.8161681635866</v>
      </c>
      <c r="Z218" s="95">
        <f t="shared" si="81"/>
        <v>2716.8161681635866</v>
      </c>
      <c r="AB218" s="43">
        <f t="shared" si="82"/>
        <v>34503.565335677558</v>
      </c>
      <c r="AC218" s="43">
        <f t="shared" si="83"/>
        <v>32666.997605998964</v>
      </c>
      <c r="AD218" s="43">
        <f t="shared" si="84"/>
        <v>30936.542678479585</v>
      </c>
      <c r="AE218" s="43">
        <f t="shared" si="85"/>
        <v>29306.069591216881</v>
      </c>
      <c r="AF218" s="95">
        <f t="shared" si="86"/>
        <v>27769.801615662691</v>
      </c>
      <c r="AH218" s="43">
        <f t="shared" si="87"/>
        <v>576780.07250112935</v>
      </c>
      <c r="AI218" s="43">
        <f t="shared" si="88"/>
        <v>544113.07489513035</v>
      </c>
      <c r="AJ218" s="43">
        <f t="shared" si="89"/>
        <v>513176.53221665078</v>
      </c>
      <c r="AK218" s="43">
        <f t="shared" si="90"/>
        <v>483870.46262543392</v>
      </c>
      <c r="AL218" s="95">
        <f t="shared" si="91"/>
        <v>456100.66100977123</v>
      </c>
      <c r="AN218" s="47">
        <f t="shared" si="92"/>
        <v>58151.548308223864</v>
      </c>
      <c r="AO218" s="47">
        <f t="shared" si="93"/>
        <v>60416.76442565061</v>
      </c>
      <c r="AP218" s="47">
        <f t="shared" si="94"/>
        <v>57108.545821528773</v>
      </c>
      <c r="AQ218" s="47">
        <f t="shared" si="95"/>
        <v>47693.147170983371</v>
      </c>
      <c r="AR218" s="193">
        <f t="shared" si="96"/>
        <v>45101.626734033998</v>
      </c>
      <c r="AY218" s="3"/>
    </row>
    <row r="219" spans="1:51">
      <c r="A219" s="229"/>
      <c r="B219" s="37">
        <f>'13. Desinvesteringen'!B503</f>
        <v>484</v>
      </c>
      <c r="C219" s="48"/>
      <c r="D219" s="48"/>
      <c r="E219" s="48"/>
      <c r="F219" s="42">
        <f>'5. Input GAW-waarde desinv.'!D179</f>
        <v>348308.75445981714</v>
      </c>
      <c r="G219" s="177">
        <f>'13. Desinvesteringen'!D503</f>
        <v>2015</v>
      </c>
      <c r="H219" s="177">
        <f>'13. Desinvesteringen'!G503</f>
        <v>2023</v>
      </c>
      <c r="I219" s="37" t="str">
        <f>'13. Desinvesteringen'!C503</f>
        <v>15 Compressorstations (TT-BT-AT)</v>
      </c>
      <c r="J219" s="166">
        <f>'13. Desinvesteringen'!F503</f>
        <v>0</v>
      </c>
      <c r="K219" s="38">
        <f>_xlfn.XLOOKUP(I219,'3. Input (des)investeringen '!$B$11:$B$81,'3. Input (des)investeringen '!$E$11:$E$81)</f>
        <v>1</v>
      </c>
      <c r="L219" s="48"/>
      <c r="M219" s="38">
        <f>_xlfn.XLOOKUP(I219,'3. Input (des)investeringen '!$B$11:$B$81,'3. Input (des)investeringen '!$D$11:$D$81,0)</f>
        <v>30</v>
      </c>
      <c r="N219" s="38">
        <f t="shared" si="76"/>
        <v>23.5</v>
      </c>
      <c r="P219" s="43">
        <f t="shared" si="97"/>
        <v>17341.329477361112</v>
      </c>
      <c r="Q219" s="43">
        <f t="shared" si="97"/>
        <v>16382.021889251773</v>
      </c>
      <c r="R219" s="43">
        <f t="shared" si="97"/>
        <v>15475.782380484654</v>
      </c>
      <c r="S219" s="43">
        <f t="shared" si="97"/>
        <v>14619.675270074862</v>
      </c>
      <c r="T219" s="95">
        <f t="shared" si="97"/>
        <v>13810.927276411147</v>
      </c>
      <c r="V219" s="43">
        <f t="shared" si="77"/>
        <v>1482.1649125949666</v>
      </c>
      <c r="W219" s="43">
        <f t="shared" si="78"/>
        <v>1482.1649125949666</v>
      </c>
      <c r="X219" s="43">
        <f t="shared" si="79"/>
        <v>1482.1649125949666</v>
      </c>
      <c r="Y219" s="43">
        <f t="shared" si="80"/>
        <v>1482.1649125949666</v>
      </c>
      <c r="Z219" s="95">
        <f t="shared" si="81"/>
        <v>1482.1649125949666</v>
      </c>
      <c r="AB219" s="43">
        <f t="shared" si="82"/>
        <v>18823.494389956079</v>
      </c>
      <c r="AC219" s="43">
        <f t="shared" si="83"/>
        <v>17864.186801846739</v>
      </c>
      <c r="AD219" s="43">
        <f t="shared" si="84"/>
        <v>16957.947293079622</v>
      </c>
      <c r="AE219" s="43">
        <f t="shared" si="85"/>
        <v>16101.840182669828</v>
      </c>
      <c r="AF219" s="95">
        <f t="shared" si="86"/>
        <v>15293.092189006113</v>
      </c>
      <c r="AH219" s="43">
        <f t="shared" si="87"/>
        <v>329485.26006986108</v>
      </c>
      <c r="AI219" s="43">
        <f t="shared" si="88"/>
        <v>311621.07326801436</v>
      </c>
      <c r="AJ219" s="43">
        <f t="shared" si="89"/>
        <v>294663.12597493472</v>
      </c>
      <c r="AK219" s="43">
        <f t="shared" si="90"/>
        <v>278561.28579226491</v>
      </c>
      <c r="AL219" s="95">
        <f t="shared" si="91"/>
        <v>263268.19360325881</v>
      </c>
      <c r="AN219" s="47">
        <f t="shared" si="92"/>
        <v>32332.390052820381</v>
      </c>
      <c r="AO219" s="47">
        <f t="shared" si="93"/>
        <v>33756.86153851547</v>
      </c>
      <c r="AP219" s="47">
        <f t="shared" si="94"/>
        <v>31985.766717801293</v>
      </c>
      <c r="AQ219" s="47">
        <f t="shared" si="95"/>
        <v>26687.169042775895</v>
      </c>
      <c r="AR219" s="193">
        <f t="shared" si="96"/>
        <v>25297.283545929946</v>
      </c>
      <c r="AY219" s="3"/>
    </row>
    <row r="220" spans="1:51">
      <c r="A220" s="229"/>
      <c r="B220" s="37">
        <f>'13. Desinvesteringen'!B504</f>
        <v>485</v>
      </c>
      <c r="C220" s="48"/>
      <c r="D220" s="48"/>
      <c r="E220" s="48"/>
      <c r="F220" s="42">
        <f>'5. Input GAW-waarde desinv.'!D180</f>
        <v>119705.82972723366</v>
      </c>
      <c r="G220" s="177">
        <f>'13. Desinvesteringen'!D504</f>
        <v>2016</v>
      </c>
      <c r="H220" s="177">
        <f>'13. Desinvesteringen'!G504</f>
        <v>2023</v>
      </c>
      <c r="I220" s="37" t="str">
        <f>'13. Desinvesteringen'!C504</f>
        <v>15 Compressorstations (TT-BT-AT)</v>
      </c>
      <c r="J220" s="166">
        <f>'13. Desinvesteringen'!F504</f>
        <v>0</v>
      </c>
      <c r="K220" s="38">
        <f>_xlfn.XLOOKUP(I220,'3. Input (des)investeringen '!$B$11:$B$81,'3. Input (des)investeringen '!$E$11:$E$81)</f>
        <v>1</v>
      </c>
      <c r="L220" s="48"/>
      <c r="M220" s="38">
        <f>_xlfn.XLOOKUP(I220,'3. Input (des)investeringen '!$B$11:$B$81,'3. Input (des)investeringen '!$D$11:$D$81,0)</f>
        <v>30</v>
      </c>
      <c r="N220" s="38">
        <f t="shared" si="76"/>
        <v>24.5</v>
      </c>
      <c r="P220" s="43">
        <f t="shared" si="97"/>
        <v>5716.5641135046289</v>
      </c>
      <c r="Q220" s="43">
        <f t="shared" si="97"/>
        <v>5413.2362217676491</v>
      </c>
      <c r="R220" s="43">
        <f t="shared" si="97"/>
        <v>5126.003279388141</v>
      </c>
      <c r="S220" s="43">
        <f t="shared" si="97"/>
        <v>4854.0112686450966</v>
      </c>
      <c r="T220" s="95">
        <f t="shared" si="97"/>
        <v>4596.4514870435205</v>
      </c>
      <c r="V220" s="43">
        <f t="shared" si="77"/>
        <v>488.59522337646399</v>
      </c>
      <c r="W220" s="43">
        <f t="shared" si="78"/>
        <v>488.59522337646399</v>
      </c>
      <c r="X220" s="43">
        <f t="shared" si="79"/>
        <v>488.59522337646399</v>
      </c>
      <c r="Y220" s="43">
        <f t="shared" si="80"/>
        <v>488.59522337646399</v>
      </c>
      <c r="Z220" s="95">
        <f t="shared" si="81"/>
        <v>488.59522337646399</v>
      </c>
      <c r="AB220" s="43">
        <f t="shared" si="82"/>
        <v>6205.1593368810927</v>
      </c>
      <c r="AC220" s="43">
        <f t="shared" si="83"/>
        <v>5901.8314451441129</v>
      </c>
      <c r="AD220" s="43">
        <f t="shared" si="84"/>
        <v>5614.5985027646047</v>
      </c>
      <c r="AE220" s="43">
        <f t="shared" si="85"/>
        <v>5342.6064920215604</v>
      </c>
      <c r="AF220" s="95">
        <f t="shared" si="86"/>
        <v>5085.0467104199843</v>
      </c>
      <c r="AH220" s="43">
        <f t="shared" si="87"/>
        <v>113500.67039035258</v>
      </c>
      <c r="AI220" s="43">
        <f t="shared" si="88"/>
        <v>107598.83894520847</v>
      </c>
      <c r="AJ220" s="43">
        <f t="shared" si="89"/>
        <v>101984.24044244386</v>
      </c>
      <c r="AK220" s="43">
        <f t="shared" si="90"/>
        <v>96641.6339504223</v>
      </c>
      <c r="AL220" s="95">
        <f t="shared" si="91"/>
        <v>91556.587240002322</v>
      </c>
      <c r="AN220" s="47">
        <f t="shared" si="92"/>
        <v>10858.686822885549</v>
      </c>
      <c r="AO220" s="47">
        <f t="shared" si="93"/>
        <v>11389.372231349746</v>
      </c>
      <c r="AP220" s="47">
        <f t="shared" si="94"/>
        <v>10815.794765329241</v>
      </c>
      <c r="AQ220" s="47">
        <f t="shared" si="95"/>
        <v>9014.9885821376083</v>
      </c>
      <c r="AR220" s="193">
        <f t="shared" si="96"/>
        <v>8564.197025540072</v>
      </c>
      <c r="AY220" s="3"/>
    </row>
    <row r="221" spans="1:51">
      <c r="A221" s="229"/>
      <c r="B221" s="37">
        <f>'13. Desinvesteringen'!B505</f>
        <v>486</v>
      </c>
      <c r="C221" s="48"/>
      <c r="D221" s="48"/>
      <c r="E221" s="48"/>
      <c r="F221" s="42">
        <f>'5. Input GAW-waarde desinv.'!D181</f>
        <v>0</v>
      </c>
      <c r="G221" s="177">
        <f>'13. Desinvesteringen'!D505</f>
        <v>1977</v>
      </c>
      <c r="H221" s="177">
        <f>'13. Desinvesteringen'!G505</f>
        <v>2023</v>
      </c>
      <c r="I221" s="37" t="str">
        <f>'13. Desinvesteringen'!C505</f>
        <v>16 LNG installaties</v>
      </c>
      <c r="J221" s="166">
        <f>'13. Desinvesteringen'!F505</f>
        <v>0</v>
      </c>
      <c r="K221" s="38">
        <f>_xlfn.XLOOKUP(I221,'3. Input (des)investeringen '!$B$11:$B$81,'3. Input (des)investeringen '!$E$11:$E$81)</f>
        <v>0</v>
      </c>
      <c r="L221" s="48"/>
      <c r="M221" s="38">
        <f>_xlfn.XLOOKUP(I221,'3. Input (des)investeringen '!$B$11:$B$81,'3. Input (des)investeringen '!$D$11:$D$81,0)</f>
        <v>30</v>
      </c>
      <c r="N221" s="38">
        <f t="shared" si="76"/>
        <v>0</v>
      </c>
      <c r="P221" s="43">
        <f t="shared" si="97"/>
        <v>0</v>
      </c>
      <c r="Q221" s="43">
        <f t="shared" si="97"/>
        <v>0</v>
      </c>
      <c r="R221" s="43">
        <f t="shared" si="97"/>
        <v>0</v>
      </c>
      <c r="S221" s="43">
        <f t="shared" si="97"/>
        <v>0</v>
      </c>
      <c r="T221" s="95">
        <f t="shared" si="97"/>
        <v>0</v>
      </c>
      <c r="V221" s="43">
        <f t="shared" si="77"/>
        <v>0</v>
      </c>
      <c r="W221" s="43">
        <f t="shared" si="78"/>
        <v>0</v>
      </c>
      <c r="X221" s="43">
        <f t="shared" si="79"/>
        <v>0</v>
      </c>
      <c r="Y221" s="43">
        <f t="shared" si="80"/>
        <v>0</v>
      </c>
      <c r="Z221" s="95">
        <f t="shared" si="81"/>
        <v>0</v>
      </c>
      <c r="AB221" s="43">
        <f t="shared" si="82"/>
        <v>0</v>
      </c>
      <c r="AC221" s="43">
        <f t="shared" si="83"/>
        <v>0</v>
      </c>
      <c r="AD221" s="43">
        <f t="shared" si="84"/>
        <v>0</v>
      </c>
      <c r="AE221" s="43">
        <f t="shared" si="85"/>
        <v>0</v>
      </c>
      <c r="AF221" s="95">
        <f t="shared" si="86"/>
        <v>0</v>
      </c>
      <c r="AH221" s="43">
        <f t="shared" si="87"/>
        <v>0</v>
      </c>
      <c r="AI221" s="43">
        <f t="shared" si="88"/>
        <v>0</v>
      </c>
      <c r="AJ221" s="43">
        <f t="shared" si="89"/>
        <v>0</v>
      </c>
      <c r="AK221" s="43">
        <f t="shared" si="90"/>
        <v>0</v>
      </c>
      <c r="AL221" s="95">
        <f t="shared" si="91"/>
        <v>0</v>
      </c>
      <c r="AN221" s="47">
        <f t="shared" si="92"/>
        <v>0</v>
      </c>
      <c r="AO221" s="47">
        <f t="shared" si="93"/>
        <v>0</v>
      </c>
      <c r="AP221" s="47">
        <f t="shared" si="94"/>
        <v>0</v>
      </c>
      <c r="AQ221" s="47">
        <f t="shared" si="95"/>
        <v>0</v>
      </c>
      <c r="AR221" s="193">
        <f t="shared" si="96"/>
        <v>0</v>
      </c>
      <c r="AY221" s="3"/>
    </row>
    <row r="222" spans="1:51">
      <c r="A222" s="229"/>
      <c r="B222" s="37">
        <f>'13. Desinvesteringen'!B506</f>
        <v>487</v>
      </c>
      <c r="C222" s="48"/>
      <c r="D222" s="48"/>
      <c r="E222" s="48"/>
      <c r="F222" s="42">
        <f>'5. Input GAW-waarde desinv.'!D182</f>
        <v>0</v>
      </c>
      <c r="G222" s="177">
        <f>'13. Desinvesteringen'!D506</f>
        <v>1985</v>
      </c>
      <c r="H222" s="177">
        <f>'13. Desinvesteringen'!G506</f>
        <v>2023</v>
      </c>
      <c r="I222" s="37" t="str">
        <f>'13. Desinvesteringen'!C506</f>
        <v>17 Mengstations</v>
      </c>
      <c r="J222" s="166">
        <f>'13. Desinvesteringen'!F506</f>
        <v>0</v>
      </c>
      <c r="K222" s="38">
        <f>_xlfn.XLOOKUP(I222,'3. Input (des)investeringen '!$B$11:$B$81,'3. Input (des)investeringen '!$E$11:$E$81)</f>
        <v>0</v>
      </c>
      <c r="L222" s="48"/>
      <c r="M222" s="38">
        <f>_xlfn.XLOOKUP(I222,'3. Input (des)investeringen '!$B$11:$B$81,'3. Input (des)investeringen '!$D$11:$D$81,0)</f>
        <v>30</v>
      </c>
      <c r="N222" s="38">
        <f t="shared" si="76"/>
        <v>0</v>
      </c>
      <c r="P222" s="43">
        <f t="shared" si="97"/>
        <v>0</v>
      </c>
      <c r="Q222" s="43">
        <f t="shared" si="97"/>
        <v>0</v>
      </c>
      <c r="R222" s="43">
        <f t="shared" si="97"/>
        <v>0</v>
      </c>
      <c r="S222" s="43">
        <f t="shared" si="97"/>
        <v>0</v>
      </c>
      <c r="T222" s="95">
        <f t="shared" si="97"/>
        <v>0</v>
      </c>
      <c r="V222" s="43">
        <f t="shared" si="77"/>
        <v>0</v>
      </c>
      <c r="W222" s="43">
        <f t="shared" si="78"/>
        <v>0</v>
      </c>
      <c r="X222" s="43">
        <f t="shared" si="79"/>
        <v>0</v>
      </c>
      <c r="Y222" s="43">
        <f t="shared" si="80"/>
        <v>0</v>
      </c>
      <c r="Z222" s="95">
        <f t="shared" si="81"/>
        <v>0</v>
      </c>
      <c r="AB222" s="43">
        <f t="shared" si="82"/>
        <v>0</v>
      </c>
      <c r="AC222" s="43">
        <f t="shared" si="83"/>
        <v>0</v>
      </c>
      <c r="AD222" s="43">
        <f t="shared" si="84"/>
        <v>0</v>
      </c>
      <c r="AE222" s="43">
        <f t="shared" si="85"/>
        <v>0</v>
      </c>
      <c r="AF222" s="95">
        <f t="shared" si="86"/>
        <v>0</v>
      </c>
      <c r="AH222" s="43">
        <f t="shared" si="87"/>
        <v>0</v>
      </c>
      <c r="AI222" s="43">
        <f t="shared" si="88"/>
        <v>0</v>
      </c>
      <c r="AJ222" s="43">
        <f t="shared" si="89"/>
        <v>0</v>
      </c>
      <c r="AK222" s="43">
        <f t="shared" si="90"/>
        <v>0</v>
      </c>
      <c r="AL222" s="95">
        <f t="shared" si="91"/>
        <v>0</v>
      </c>
      <c r="AN222" s="47">
        <f t="shared" si="92"/>
        <v>0</v>
      </c>
      <c r="AO222" s="47">
        <f t="shared" si="93"/>
        <v>0</v>
      </c>
      <c r="AP222" s="47">
        <f t="shared" si="94"/>
        <v>0</v>
      </c>
      <c r="AQ222" s="47">
        <f t="shared" si="95"/>
        <v>0</v>
      </c>
      <c r="AR222" s="193">
        <f t="shared" si="96"/>
        <v>0</v>
      </c>
      <c r="AY222" s="3"/>
    </row>
    <row r="223" spans="1:51">
      <c r="A223" s="229"/>
      <c r="B223" s="37">
        <f>'13. Desinvesteringen'!B507</f>
        <v>488</v>
      </c>
      <c r="C223" s="48"/>
      <c r="D223" s="48"/>
      <c r="E223" s="48"/>
      <c r="F223" s="42">
        <f>'5. Input GAW-waarde desinv.'!D183</f>
        <v>0</v>
      </c>
      <c r="G223" s="177">
        <f>'13. Desinvesteringen'!D507</f>
        <v>1988</v>
      </c>
      <c r="H223" s="177">
        <f>'13. Desinvesteringen'!G507</f>
        <v>2023</v>
      </c>
      <c r="I223" s="37" t="str">
        <f>'13. Desinvesteringen'!C507</f>
        <v>17 Mengstations</v>
      </c>
      <c r="J223" s="166">
        <f>'13. Desinvesteringen'!F507</f>
        <v>0</v>
      </c>
      <c r="K223" s="38">
        <f>_xlfn.XLOOKUP(I223,'3. Input (des)investeringen '!$B$11:$B$81,'3. Input (des)investeringen '!$E$11:$E$81)</f>
        <v>0</v>
      </c>
      <c r="L223" s="48"/>
      <c r="M223" s="38">
        <f>_xlfn.XLOOKUP(I223,'3. Input (des)investeringen '!$B$11:$B$81,'3. Input (des)investeringen '!$D$11:$D$81,0)</f>
        <v>30</v>
      </c>
      <c r="N223" s="38">
        <f t="shared" si="76"/>
        <v>0</v>
      </c>
      <c r="P223" s="43">
        <f t="shared" si="97"/>
        <v>0</v>
      </c>
      <c r="Q223" s="43">
        <f t="shared" si="97"/>
        <v>0</v>
      </c>
      <c r="R223" s="43">
        <f t="shared" si="97"/>
        <v>0</v>
      </c>
      <c r="S223" s="43">
        <f t="shared" si="97"/>
        <v>0</v>
      </c>
      <c r="T223" s="95">
        <f t="shared" si="97"/>
        <v>0</v>
      </c>
      <c r="V223" s="43">
        <f t="shared" si="77"/>
        <v>0</v>
      </c>
      <c r="W223" s="43">
        <f t="shared" si="78"/>
        <v>0</v>
      </c>
      <c r="X223" s="43">
        <f t="shared" si="79"/>
        <v>0</v>
      </c>
      <c r="Y223" s="43">
        <f t="shared" si="80"/>
        <v>0</v>
      </c>
      <c r="Z223" s="95">
        <f t="shared" si="81"/>
        <v>0</v>
      </c>
      <c r="AB223" s="43">
        <f t="shared" si="82"/>
        <v>0</v>
      </c>
      <c r="AC223" s="43">
        <f t="shared" si="83"/>
        <v>0</v>
      </c>
      <c r="AD223" s="43">
        <f t="shared" si="84"/>
        <v>0</v>
      </c>
      <c r="AE223" s="43">
        <f t="shared" si="85"/>
        <v>0</v>
      </c>
      <c r="AF223" s="95">
        <f t="shared" si="86"/>
        <v>0</v>
      </c>
      <c r="AH223" s="43">
        <f t="shared" si="87"/>
        <v>0</v>
      </c>
      <c r="AI223" s="43">
        <f t="shared" si="88"/>
        <v>0</v>
      </c>
      <c r="AJ223" s="43">
        <f t="shared" si="89"/>
        <v>0</v>
      </c>
      <c r="AK223" s="43">
        <f t="shared" si="90"/>
        <v>0</v>
      </c>
      <c r="AL223" s="95">
        <f t="shared" si="91"/>
        <v>0</v>
      </c>
      <c r="AN223" s="47">
        <f t="shared" si="92"/>
        <v>0</v>
      </c>
      <c r="AO223" s="47">
        <f t="shared" si="93"/>
        <v>0</v>
      </c>
      <c r="AP223" s="47">
        <f t="shared" si="94"/>
        <v>0</v>
      </c>
      <c r="AQ223" s="47">
        <f t="shared" si="95"/>
        <v>0</v>
      </c>
      <c r="AR223" s="193">
        <f t="shared" si="96"/>
        <v>0</v>
      </c>
      <c r="AY223" s="3"/>
    </row>
    <row r="224" spans="1:51">
      <c r="A224" s="229"/>
      <c r="B224" s="37">
        <f>'13. Desinvesteringen'!B508</f>
        <v>489</v>
      </c>
      <c r="C224" s="48"/>
      <c r="D224" s="48"/>
      <c r="E224" s="48"/>
      <c r="F224" s="42">
        <f>'5. Input GAW-waarde desinv.'!D184</f>
        <v>0</v>
      </c>
      <c r="G224" s="177">
        <f>'13. Desinvesteringen'!D508</f>
        <v>1990</v>
      </c>
      <c r="H224" s="177">
        <f>'13. Desinvesteringen'!G508</f>
        <v>2023</v>
      </c>
      <c r="I224" s="37" t="str">
        <f>'13. Desinvesteringen'!C508</f>
        <v>17 Mengstations</v>
      </c>
      <c r="J224" s="166">
        <f>'13. Desinvesteringen'!F508</f>
        <v>0</v>
      </c>
      <c r="K224" s="38">
        <f>_xlfn.XLOOKUP(I224,'3. Input (des)investeringen '!$B$11:$B$81,'3. Input (des)investeringen '!$E$11:$E$81)</f>
        <v>0</v>
      </c>
      <c r="L224" s="48"/>
      <c r="M224" s="38">
        <f>_xlfn.XLOOKUP(I224,'3. Input (des)investeringen '!$B$11:$B$81,'3. Input (des)investeringen '!$D$11:$D$81,0)</f>
        <v>30</v>
      </c>
      <c r="N224" s="38">
        <f t="shared" si="76"/>
        <v>0</v>
      </c>
      <c r="P224" s="43">
        <f t="shared" si="97"/>
        <v>0</v>
      </c>
      <c r="Q224" s="43">
        <f t="shared" si="97"/>
        <v>0</v>
      </c>
      <c r="R224" s="43">
        <f t="shared" si="97"/>
        <v>0</v>
      </c>
      <c r="S224" s="43">
        <f t="shared" si="97"/>
        <v>0</v>
      </c>
      <c r="T224" s="95">
        <f t="shared" si="97"/>
        <v>0</v>
      </c>
      <c r="V224" s="43">
        <f t="shared" si="77"/>
        <v>0</v>
      </c>
      <c r="W224" s="43">
        <f t="shared" si="78"/>
        <v>0</v>
      </c>
      <c r="X224" s="43">
        <f t="shared" si="79"/>
        <v>0</v>
      </c>
      <c r="Y224" s="43">
        <f t="shared" si="80"/>
        <v>0</v>
      </c>
      <c r="Z224" s="95">
        <f t="shared" si="81"/>
        <v>0</v>
      </c>
      <c r="AB224" s="43">
        <f t="shared" si="82"/>
        <v>0</v>
      </c>
      <c r="AC224" s="43">
        <f t="shared" si="83"/>
        <v>0</v>
      </c>
      <c r="AD224" s="43">
        <f t="shared" si="84"/>
        <v>0</v>
      </c>
      <c r="AE224" s="43">
        <f t="shared" si="85"/>
        <v>0</v>
      </c>
      <c r="AF224" s="95">
        <f t="shared" si="86"/>
        <v>0</v>
      </c>
      <c r="AH224" s="43">
        <f t="shared" si="87"/>
        <v>0</v>
      </c>
      <c r="AI224" s="43">
        <f t="shared" si="88"/>
        <v>0</v>
      </c>
      <c r="AJ224" s="43">
        <f t="shared" si="89"/>
        <v>0</v>
      </c>
      <c r="AK224" s="43">
        <f t="shared" si="90"/>
        <v>0</v>
      </c>
      <c r="AL224" s="95">
        <f t="shared" si="91"/>
        <v>0</v>
      </c>
      <c r="AN224" s="47">
        <f t="shared" si="92"/>
        <v>0</v>
      </c>
      <c r="AO224" s="47">
        <f t="shared" si="93"/>
        <v>0</v>
      </c>
      <c r="AP224" s="47">
        <f t="shared" si="94"/>
        <v>0</v>
      </c>
      <c r="AQ224" s="47">
        <f t="shared" si="95"/>
        <v>0</v>
      </c>
      <c r="AR224" s="193">
        <f t="shared" si="96"/>
        <v>0</v>
      </c>
      <c r="AY224" s="3"/>
    </row>
    <row r="225" spans="1:51">
      <c r="A225" s="229"/>
      <c r="B225" s="37">
        <f>'13. Desinvesteringen'!B509</f>
        <v>490</v>
      </c>
      <c r="C225" s="48"/>
      <c r="D225" s="48"/>
      <c r="E225" s="48"/>
      <c r="F225" s="42">
        <f>'5. Input GAW-waarde desinv.'!D185</f>
        <v>165539.3694759488</v>
      </c>
      <c r="G225" s="177">
        <f>'13. Desinvesteringen'!D509</f>
        <v>1992</v>
      </c>
      <c r="H225" s="177">
        <f>'13. Desinvesteringen'!G509</f>
        <v>2023</v>
      </c>
      <c r="I225" s="37" t="str">
        <f>'13. Desinvesteringen'!C509</f>
        <v>17 Mengstations</v>
      </c>
      <c r="J225" s="166">
        <f>'13. Desinvesteringen'!F509</f>
        <v>0</v>
      </c>
      <c r="K225" s="38">
        <f>_xlfn.XLOOKUP(I225,'3. Input (des)investeringen '!$B$11:$B$81,'3. Input (des)investeringen '!$E$11:$E$81)</f>
        <v>0</v>
      </c>
      <c r="L225" s="48"/>
      <c r="M225" s="38">
        <f>_xlfn.XLOOKUP(I225,'3. Input (des)investeringen '!$B$11:$B$81,'3. Input (des)investeringen '!$D$11:$D$81,0)</f>
        <v>30</v>
      </c>
      <c r="N225" s="38">
        <f t="shared" si="76"/>
        <v>0.5</v>
      </c>
      <c r="P225" s="43">
        <f t="shared" si="97"/>
        <v>148985.43252835394</v>
      </c>
      <c r="Q225" s="43">
        <f t="shared" si="97"/>
        <v>0</v>
      </c>
      <c r="R225" s="43">
        <f t="shared" si="97"/>
        <v>0</v>
      </c>
      <c r="S225" s="43">
        <f t="shared" si="97"/>
        <v>0</v>
      </c>
      <c r="T225" s="95">
        <f t="shared" si="97"/>
        <v>0</v>
      </c>
      <c r="V225" s="43">
        <f t="shared" si="77"/>
        <v>16553.936947594881</v>
      </c>
      <c r="W225" s="43">
        <f t="shared" si="78"/>
        <v>0</v>
      </c>
      <c r="X225" s="43">
        <f t="shared" si="79"/>
        <v>0</v>
      </c>
      <c r="Y225" s="43">
        <f t="shared" si="80"/>
        <v>0</v>
      </c>
      <c r="Z225" s="95">
        <f t="shared" si="81"/>
        <v>0</v>
      </c>
      <c r="AB225" s="43">
        <f t="shared" si="82"/>
        <v>165539.36947594883</v>
      </c>
      <c r="AC225" s="43">
        <f t="shared" si="83"/>
        <v>0</v>
      </c>
      <c r="AD225" s="43">
        <f t="shared" si="84"/>
        <v>0</v>
      </c>
      <c r="AE225" s="43">
        <f t="shared" si="85"/>
        <v>0</v>
      </c>
      <c r="AF225" s="95">
        <f t="shared" si="86"/>
        <v>0</v>
      </c>
      <c r="AH225" s="43">
        <f t="shared" si="87"/>
        <v>0</v>
      </c>
      <c r="AI225" s="43">
        <f t="shared" si="88"/>
        <v>0</v>
      </c>
      <c r="AJ225" s="43">
        <f t="shared" si="89"/>
        <v>0</v>
      </c>
      <c r="AK225" s="43">
        <f t="shared" si="90"/>
        <v>0</v>
      </c>
      <c r="AL225" s="95">
        <f t="shared" si="91"/>
        <v>0</v>
      </c>
      <c r="AN225" s="47">
        <f t="shared" si="92"/>
        <v>165539.36947594883</v>
      </c>
      <c r="AO225" s="47">
        <f t="shared" si="93"/>
        <v>0</v>
      </c>
      <c r="AP225" s="47">
        <f t="shared" si="94"/>
        <v>0</v>
      </c>
      <c r="AQ225" s="47">
        <f t="shared" si="95"/>
        <v>0</v>
      </c>
      <c r="AR225" s="193">
        <f t="shared" si="96"/>
        <v>0</v>
      </c>
      <c r="AY225" s="3"/>
    </row>
    <row r="226" spans="1:51">
      <c r="A226" s="229"/>
      <c r="B226" s="37">
        <f>'13. Desinvesteringen'!B510</f>
        <v>491</v>
      </c>
      <c r="C226" s="48"/>
      <c r="D226" s="48"/>
      <c r="E226" s="48"/>
      <c r="F226" s="42">
        <f>'5. Input GAW-waarde desinv.'!D186</f>
        <v>487022.63956122473</v>
      </c>
      <c r="G226" s="177">
        <f>'13. Desinvesteringen'!D510</f>
        <v>1995</v>
      </c>
      <c r="H226" s="177">
        <f>'13. Desinvesteringen'!G510</f>
        <v>2023</v>
      </c>
      <c r="I226" s="37" t="str">
        <f>'13. Desinvesteringen'!C510</f>
        <v>17 Mengstations</v>
      </c>
      <c r="J226" s="166">
        <f>'13. Desinvesteringen'!F510</f>
        <v>0</v>
      </c>
      <c r="K226" s="38">
        <f>_xlfn.XLOOKUP(I226,'3. Input (des)investeringen '!$B$11:$B$81,'3. Input (des)investeringen '!$E$11:$E$81)</f>
        <v>0</v>
      </c>
      <c r="L226" s="48"/>
      <c r="M226" s="38">
        <f>_xlfn.XLOOKUP(I226,'3. Input (des)investeringen '!$B$11:$B$81,'3. Input (des)investeringen '!$D$11:$D$81,0)</f>
        <v>30</v>
      </c>
      <c r="N226" s="38">
        <f t="shared" si="76"/>
        <v>3.5</v>
      </c>
      <c r="P226" s="43">
        <f t="shared" si="97"/>
        <v>162804.71093903799</v>
      </c>
      <c r="Q226" s="43">
        <f t="shared" si="97"/>
        <v>110206.26586642572</v>
      </c>
      <c r="R226" s="43">
        <f t="shared" si="97"/>
        <v>110206.26586642572</v>
      </c>
      <c r="S226" s="43">
        <f t="shared" si="97"/>
        <v>55103.132933212859</v>
      </c>
      <c r="T226" s="95">
        <f t="shared" si="97"/>
        <v>0</v>
      </c>
      <c r="V226" s="43">
        <f t="shared" si="77"/>
        <v>13914.932558892135</v>
      </c>
      <c r="W226" s="43">
        <f t="shared" si="78"/>
        <v>13914.932558892138</v>
      </c>
      <c r="X226" s="43">
        <f t="shared" si="79"/>
        <v>13914.932558892138</v>
      </c>
      <c r="Y226" s="43">
        <f t="shared" si="80"/>
        <v>6957.4662794460692</v>
      </c>
      <c r="Z226" s="95">
        <f t="shared" si="81"/>
        <v>0</v>
      </c>
      <c r="AB226" s="43">
        <f t="shared" si="82"/>
        <v>176719.64349793014</v>
      </c>
      <c r="AC226" s="43">
        <f t="shared" si="83"/>
        <v>124121.19842531785</v>
      </c>
      <c r="AD226" s="43">
        <f t="shared" si="84"/>
        <v>124121.19842531785</v>
      </c>
      <c r="AE226" s="43">
        <f t="shared" si="85"/>
        <v>62060.599212658926</v>
      </c>
      <c r="AF226" s="95">
        <f t="shared" si="86"/>
        <v>0</v>
      </c>
      <c r="AH226" s="43">
        <f t="shared" si="87"/>
        <v>310302.99606329459</v>
      </c>
      <c r="AI226" s="43">
        <f t="shared" si="88"/>
        <v>186181.79763797674</v>
      </c>
      <c r="AJ226" s="43">
        <f t="shared" si="89"/>
        <v>62060.599212658883</v>
      </c>
      <c r="AK226" s="43">
        <f t="shared" si="90"/>
        <v>0</v>
      </c>
      <c r="AL226" s="95">
        <f t="shared" si="91"/>
        <v>0</v>
      </c>
      <c r="AN226" s="47">
        <f t="shared" si="92"/>
        <v>189442.06633652523</v>
      </c>
      <c r="AO226" s="47">
        <f t="shared" si="93"/>
        <v>133616.47010485467</v>
      </c>
      <c r="AP226" s="47">
        <f t="shared" si="94"/>
        <v>127286.28898516345</v>
      </c>
      <c r="AQ226" s="47">
        <f t="shared" si="95"/>
        <v>62060.599212658926</v>
      </c>
      <c r="AR226" s="193">
        <f t="shared" si="96"/>
        <v>0</v>
      </c>
      <c r="AY226" s="3"/>
    </row>
    <row r="227" spans="1:51">
      <c r="A227" s="229"/>
      <c r="B227" s="37">
        <f>'13. Desinvesteringen'!B511</f>
        <v>492</v>
      </c>
      <c r="C227" s="48"/>
      <c r="D227" s="48"/>
      <c r="E227" s="48"/>
      <c r="F227" s="42">
        <f>'5. Input GAW-waarde desinv.'!D187</f>
        <v>2791.7858330904492</v>
      </c>
      <c r="G227" s="177">
        <f>'13. Desinvesteringen'!D511</f>
        <v>1996</v>
      </c>
      <c r="H227" s="177">
        <f>'13. Desinvesteringen'!G511</f>
        <v>2023</v>
      </c>
      <c r="I227" s="37" t="str">
        <f>'13. Desinvesteringen'!C511</f>
        <v>17 Mengstations</v>
      </c>
      <c r="J227" s="166">
        <f>'13. Desinvesteringen'!F511</f>
        <v>0</v>
      </c>
      <c r="K227" s="38">
        <f>_xlfn.XLOOKUP(I227,'3. Input (des)investeringen '!$B$11:$B$81,'3. Input (des)investeringen '!$E$11:$E$81)</f>
        <v>0</v>
      </c>
      <c r="L227" s="48"/>
      <c r="M227" s="38">
        <f>_xlfn.XLOOKUP(I227,'3. Input (des)investeringen '!$B$11:$B$81,'3. Input (des)investeringen '!$D$11:$D$81,0)</f>
        <v>30</v>
      </c>
      <c r="N227" s="38">
        <f t="shared" si="76"/>
        <v>4.5</v>
      </c>
      <c r="P227" s="43">
        <f t="shared" si="97"/>
        <v>725.86431660351684</v>
      </c>
      <c r="Q227" s="43">
        <f t="shared" si="97"/>
        <v>516.17018069583412</v>
      </c>
      <c r="R227" s="43">
        <f t="shared" si="97"/>
        <v>508.22910099282126</v>
      </c>
      <c r="S227" s="43">
        <f t="shared" si="97"/>
        <v>508.22910099282126</v>
      </c>
      <c r="T227" s="95">
        <f t="shared" si="97"/>
        <v>254.11455049641063</v>
      </c>
      <c r="V227" s="43">
        <f t="shared" si="77"/>
        <v>62.039685179787767</v>
      </c>
      <c r="W227" s="43">
        <f t="shared" si="78"/>
        <v>62.039685179787767</v>
      </c>
      <c r="X227" s="43">
        <f t="shared" si="79"/>
        <v>62.039685179787767</v>
      </c>
      <c r="Y227" s="43">
        <f t="shared" si="80"/>
        <v>62.039685179787767</v>
      </c>
      <c r="Z227" s="95">
        <f t="shared" si="81"/>
        <v>31.019842589893884</v>
      </c>
      <c r="AB227" s="43">
        <f t="shared" si="82"/>
        <v>787.90400178330458</v>
      </c>
      <c r="AC227" s="43">
        <f t="shared" si="83"/>
        <v>578.20986587562186</v>
      </c>
      <c r="AD227" s="43">
        <f t="shared" si="84"/>
        <v>570.268786172609</v>
      </c>
      <c r="AE227" s="43">
        <f t="shared" si="85"/>
        <v>570.268786172609</v>
      </c>
      <c r="AF227" s="95">
        <f t="shared" si="86"/>
        <v>285.1343930863045</v>
      </c>
      <c r="AH227" s="43">
        <f t="shared" si="87"/>
        <v>2003.8818313071447</v>
      </c>
      <c r="AI227" s="43">
        <f t="shared" si="88"/>
        <v>1425.6719654315229</v>
      </c>
      <c r="AJ227" s="43">
        <f t="shared" si="89"/>
        <v>855.40317925891395</v>
      </c>
      <c r="AK227" s="43">
        <f t="shared" si="90"/>
        <v>285.13439308630495</v>
      </c>
      <c r="AL227" s="95">
        <f t="shared" si="91"/>
        <v>0</v>
      </c>
      <c r="AN227" s="47">
        <f t="shared" si="92"/>
        <v>870.06315686689754</v>
      </c>
      <c r="AO227" s="47">
        <f t="shared" si="93"/>
        <v>650.91913611262953</v>
      </c>
      <c r="AP227" s="47">
        <f t="shared" si="94"/>
        <v>613.89434831481356</v>
      </c>
      <c r="AQ227" s="47">
        <f t="shared" si="95"/>
        <v>581.10389310988853</v>
      </c>
      <c r="AR227" s="193">
        <f t="shared" si="96"/>
        <v>285.1343930863045</v>
      </c>
      <c r="AY227" s="3"/>
    </row>
    <row r="228" spans="1:51">
      <c r="A228" s="229"/>
      <c r="B228" s="37">
        <f>'13. Desinvesteringen'!B512</f>
        <v>493</v>
      </c>
      <c r="C228" s="48"/>
      <c r="D228" s="48"/>
      <c r="E228" s="48"/>
      <c r="F228" s="42">
        <f>'5. Input GAW-waarde desinv.'!D188</f>
        <v>9448.553239950219</v>
      </c>
      <c r="G228" s="177">
        <f>'13. Desinvesteringen'!D512</f>
        <v>1998</v>
      </c>
      <c r="H228" s="177">
        <f>'13. Desinvesteringen'!G512</f>
        <v>2023</v>
      </c>
      <c r="I228" s="37" t="str">
        <f>'13. Desinvesteringen'!C512</f>
        <v>17 Mengstations</v>
      </c>
      <c r="J228" s="166">
        <f>'13. Desinvesteringen'!F512</f>
        <v>0</v>
      </c>
      <c r="K228" s="38">
        <f>_xlfn.XLOOKUP(I228,'3. Input (des)investeringen '!$B$11:$B$81,'3. Input (des)investeringen '!$E$11:$E$81)</f>
        <v>0</v>
      </c>
      <c r="L228" s="48"/>
      <c r="M228" s="38">
        <f>_xlfn.XLOOKUP(I228,'3. Input (des)investeringen '!$B$11:$B$81,'3. Input (des)investeringen '!$D$11:$D$81,0)</f>
        <v>30</v>
      </c>
      <c r="N228" s="38">
        <f t="shared" si="76"/>
        <v>6.5</v>
      </c>
      <c r="P228" s="43">
        <f t="shared" si="97"/>
        <v>1700.7395831910396</v>
      </c>
      <c r="Q228" s="43">
        <f t="shared" si="97"/>
        <v>1360.5916665528316</v>
      </c>
      <c r="R228" s="43">
        <f t="shared" si="97"/>
        <v>1209.4148147136282</v>
      </c>
      <c r="S228" s="43">
        <f t="shared" si="97"/>
        <v>1209.4148147136282</v>
      </c>
      <c r="T228" s="95">
        <f t="shared" si="97"/>
        <v>1209.4148147136282</v>
      </c>
      <c r="V228" s="43">
        <f t="shared" si="77"/>
        <v>145.36235753769569</v>
      </c>
      <c r="W228" s="43">
        <f t="shared" si="78"/>
        <v>145.36235753769569</v>
      </c>
      <c r="X228" s="43">
        <f t="shared" si="79"/>
        <v>145.36235753769569</v>
      </c>
      <c r="Y228" s="43">
        <f t="shared" si="80"/>
        <v>145.36235753769569</v>
      </c>
      <c r="Z228" s="95">
        <f t="shared" si="81"/>
        <v>145.36235753769569</v>
      </c>
      <c r="AB228" s="43">
        <f t="shared" si="82"/>
        <v>1846.1019407287354</v>
      </c>
      <c r="AC228" s="43">
        <f t="shared" si="83"/>
        <v>1505.9540240905274</v>
      </c>
      <c r="AD228" s="43">
        <f t="shared" si="84"/>
        <v>1354.7771722513239</v>
      </c>
      <c r="AE228" s="43">
        <f t="shared" si="85"/>
        <v>1354.7771722513239</v>
      </c>
      <c r="AF228" s="95">
        <f t="shared" si="86"/>
        <v>1354.7771722513239</v>
      </c>
      <c r="AH228" s="43">
        <f t="shared" si="87"/>
        <v>7602.4512992214841</v>
      </c>
      <c r="AI228" s="43">
        <f t="shared" si="88"/>
        <v>6096.497275130957</v>
      </c>
      <c r="AJ228" s="43">
        <f t="shared" si="89"/>
        <v>4741.7201028796335</v>
      </c>
      <c r="AK228" s="43">
        <f t="shared" si="90"/>
        <v>3386.9429306283096</v>
      </c>
      <c r="AL228" s="95">
        <f t="shared" si="91"/>
        <v>2032.1657583769857</v>
      </c>
      <c r="AN228" s="47">
        <f t="shared" si="92"/>
        <v>2157.8024439968162</v>
      </c>
      <c r="AO228" s="47">
        <f t="shared" si="93"/>
        <v>1816.8753851222061</v>
      </c>
      <c r="AP228" s="47">
        <f t="shared" si="94"/>
        <v>1596.6048974981852</v>
      </c>
      <c r="AQ228" s="47">
        <f t="shared" si="95"/>
        <v>1483.4810036151996</v>
      </c>
      <c r="AR228" s="193">
        <f t="shared" si="96"/>
        <v>1431.9994710696494</v>
      </c>
      <c r="AY228" s="3"/>
    </row>
    <row r="229" spans="1:51">
      <c r="A229" s="229"/>
      <c r="B229" s="37">
        <f>'13. Desinvesteringen'!B513</f>
        <v>494</v>
      </c>
      <c r="C229" s="48"/>
      <c r="D229" s="48"/>
      <c r="E229" s="48"/>
      <c r="F229" s="42">
        <f>'5. Input GAW-waarde desinv.'!D189</f>
        <v>124976.62709455805</v>
      </c>
      <c r="G229" s="177">
        <f>'13. Desinvesteringen'!D513</f>
        <v>2001</v>
      </c>
      <c r="H229" s="177">
        <f>'13. Desinvesteringen'!G513</f>
        <v>2023</v>
      </c>
      <c r="I229" s="37" t="str">
        <f>'13. Desinvesteringen'!C513</f>
        <v>17 Mengstations</v>
      </c>
      <c r="J229" s="166">
        <f>'13. Desinvesteringen'!F513</f>
        <v>0</v>
      </c>
      <c r="K229" s="38">
        <f>_xlfn.XLOOKUP(I229,'3. Input (des)investeringen '!$B$11:$B$81,'3. Input (des)investeringen '!$E$11:$E$81)</f>
        <v>0</v>
      </c>
      <c r="L229" s="48"/>
      <c r="M229" s="38">
        <f>_xlfn.XLOOKUP(I229,'3. Input (des)investeringen '!$B$11:$B$81,'3. Input (des)investeringen '!$D$11:$D$81,0)</f>
        <v>30</v>
      </c>
      <c r="N229" s="38">
        <f t="shared" si="76"/>
        <v>9.5</v>
      </c>
      <c r="P229" s="43">
        <f t="shared" si="97"/>
        <v>15391.85828427715</v>
      </c>
      <c r="Q229" s="43">
        <f t="shared" si="97"/>
        <v>13285.603992744487</v>
      </c>
      <c r="R229" s="43">
        <f t="shared" si="97"/>
        <v>11467.573972684715</v>
      </c>
      <c r="S229" s="43">
        <f t="shared" si="97"/>
        <v>11128.296636214753</v>
      </c>
      <c r="T229" s="95">
        <f t="shared" si="97"/>
        <v>11128.296636214753</v>
      </c>
      <c r="V229" s="43">
        <f t="shared" si="77"/>
        <v>1315.5434431006111</v>
      </c>
      <c r="W229" s="43">
        <f t="shared" si="78"/>
        <v>1315.5434431006111</v>
      </c>
      <c r="X229" s="43">
        <f t="shared" si="79"/>
        <v>1315.5434431006111</v>
      </c>
      <c r="Y229" s="43">
        <f t="shared" si="80"/>
        <v>1315.5434431006111</v>
      </c>
      <c r="Z229" s="95">
        <f t="shared" si="81"/>
        <v>1315.5434431006111</v>
      </c>
      <c r="AB229" s="43">
        <f t="shared" si="82"/>
        <v>16707.401727377761</v>
      </c>
      <c r="AC229" s="43">
        <f t="shared" si="83"/>
        <v>14601.147435845098</v>
      </c>
      <c r="AD229" s="43">
        <f t="shared" si="84"/>
        <v>12783.117415785326</v>
      </c>
      <c r="AE229" s="43">
        <f t="shared" si="85"/>
        <v>12443.840079315363</v>
      </c>
      <c r="AF229" s="95">
        <f t="shared" si="86"/>
        <v>12443.840079315363</v>
      </c>
      <c r="AH229" s="43">
        <f t="shared" si="87"/>
        <v>108269.22536718029</v>
      </c>
      <c r="AI229" s="43">
        <f t="shared" si="88"/>
        <v>93668.077931335196</v>
      </c>
      <c r="AJ229" s="43">
        <f t="shared" si="89"/>
        <v>80884.960515549872</v>
      </c>
      <c r="AK229" s="43">
        <f t="shared" si="90"/>
        <v>68441.120436234516</v>
      </c>
      <c r="AL229" s="95">
        <f t="shared" si="91"/>
        <v>55997.280356919153</v>
      </c>
      <c r="AN229" s="47">
        <f t="shared" si="92"/>
        <v>21146.439967432154</v>
      </c>
      <c r="AO229" s="47">
        <f t="shared" si="93"/>
        <v>19378.21941034319</v>
      </c>
      <c r="AP229" s="47">
        <f t="shared" si="94"/>
        <v>16908.250402078367</v>
      </c>
      <c r="AQ229" s="47">
        <f t="shared" si="95"/>
        <v>15044.602655892275</v>
      </c>
      <c r="AR229" s="193">
        <f t="shared" si="96"/>
        <v>14571.736732878291</v>
      </c>
      <c r="AY229" s="3"/>
    </row>
    <row r="230" spans="1:51">
      <c r="A230" s="229"/>
      <c r="B230" s="37">
        <f>'13. Desinvesteringen'!B514</f>
        <v>495</v>
      </c>
      <c r="C230" s="48"/>
      <c r="D230" s="48"/>
      <c r="E230" s="48"/>
      <c r="F230" s="42">
        <f>'5. Input GAW-waarde desinv.'!D190</f>
        <v>18067.471447845164</v>
      </c>
      <c r="G230" s="177">
        <f>'13. Desinvesteringen'!D514</f>
        <v>2003</v>
      </c>
      <c r="H230" s="177">
        <f>'13. Desinvesteringen'!G514</f>
        <v>2023</v>
      </c>
      <c r="I230" s="37" t="str">
        <f>'13. Desinvesteringen'!C514</f>
        <v>17 Mengstations</v>
      </c>
      <c r="J230" s="166">
        <f>'13. Desinvesteringen'!F514</f>
        <v>0</v>
      </c>
      <c r="K230" s="38">
        <f>_xlfn.XLOOKUP(I230,'3. Input (des)investeringen '!$B$11:$B$81,'3. Input (des)investeringen '!$E$11:$E$81)</f>
        <v>0</v>
      </c>
      <c r="L230" s="48"/>
      <c r="M230" s="38">
        <f>_xlfn.XLOOKUP(I230,'3. Input (des)investeringen '!$B$11:$B$81,'3. Input (des)investeringen '!$D$11:$D$81,0)</f>
        <v>30</v>
      </c>
      <c r="N230" s="38">
        <f t="shared" si="76"/>
        <v>11.5</v>
      </c>
      <c r="P230" s="43">
        <f t="shared" si="97"/>
        <v>1838.1688342590298</v>
      </c>
      <c r="Q230" s="43">
        <f t="shared" si="97"/>
        <v>1630.3758356036612</v>
      </c>
      <c r="R230" s="43">
        <f t="shared" si="97"/>
        <v>1446.0724802745515</v>
      </c>
      <c r="S230" s="43">
        <f t="shared" si="97"/>
        <v>1334.8361356380476</v>
      </c>
      <c r="T230" s="95">
        <f t="shared" si="97"/>
        <v>1334.8361356380476</v>
      </c>
      <c r="V230" s="43">
        <f t="shared" si="77"/>
        <v>157.10844737256664</v>
      </c>
      <c r="W230" s="43">
        <f t="shared" si="78"/>
        <v>157.10844737256664</v>
      </c>
      <c r="X230" s="43">
        <f t="shared" si="79"/>
        <v>157.10844737256664</v>
      </c>
      <c r="Y230" s="43">
        <f t="shared" si="80"/>
        <v>157.10844737256664</v>
      </c>
      <c r="Z230" s="95">
        <f t="shared" si="81"/>
        <v>157.10844737256664</v>
      </c>
      <c r="AB230" s="43">
        <f t="shared" si="82"/>
        <v>1995.2772816315965</v>
      </c>
      <c r="AC230" s="43">
        <f t="shared" si="83"/>
        <v>1787.4842829762279</v>
      </c>
      <c r="AD230" s="43">
        <f t="shared" si="84"/>
        <v>1603.1809276471181</v>
      </c>
      <c r="AE230" s="43">
        <f t="shared" si="85"/>
        <v>1491.9445830106142</v>
      </c>
      <c r="AF230" s="95">
        <f t="shared" si="86"/>
        <v>1491.9445830106142</v>
      </c>
      <c r="AH230" s="43">
        <f t="shared" si="87"/>
        <v>16072.194166213569</v>
      </c>
      <c r="AI230" s="43">
        <f t="shared" si="88"/>
        <v>14284.709883237341</v>
      </c>
      <c r="AJ230" s="43">
        <f t="shared" si="89"/>
        <v>12681.528955590224</v>
      </c>
      <c r="AK230" s="43">
        <f t="shared" si="90"/>
        <v>11189.584372579609</v>
      </c>
      <c r="AL230" s="95">
        <f t="shared" si="91"/>
        <v>9697.6397895689952</v>
      </c>
      <c r="AN230" s="47">
        <f t="shared" si="92"/>
        <v>2654.2372424463529</v>
      </c>
      <c r="AO230" s="47">
        <f t="shared" si="93"/>
        <v>2516.0044870213324</v>
      </c>
      <c r="AP230" s="47">
        <f t="shared" si="94"/>
        <v>2249.9389043822193</v>
      </c>
      <c r="AQ230" s="47">
        <f t="shared" si="95"/>
        <v>1917.1487891686393</v>
      </c>
      <c r="AR230" s="193">
        <f t="shared" si="96"/>
        <v>1860.4548950142362</v>
      </c>
      <c r="AY230" s="3"/>
    </row>
    <row r="231" spans="1:51">
      <c r="A231" s="229"/>
      <c r="B231" s="37">
        <f>'13. Desinvesteringen'!B515</f>
        <v>496</v>
      </c>
      <c r="C231" s="48"/>
      <c r="D231" s="48"/>
      <c r="E231" s="48"/>
      <c r="F231" s="42">
        <f>'5. Input GAW-waarde desinv.'!D191</f>
        <v>24745.075221292602</v>
      </c>
      <c r="G231" s="177">
        <f>'13. Desinvesteringen'!D515</f>
        <v>2004</v>
      </c>
      <c r="H231" s="177">
        <f>'13. Desinvesteringen'!G515</f>
        <v>2023</v>
      </c>
      <c r="I231" s="37" t="str">
        <f>'13. Desinvesteringen'!C515</f>
        <v>17 Mengstations</v>
      </c>
      <c r="J231" s="166">
        <f>'13. Desinvesteringen'!F515</f>
        <v>0</v>
      </c>
      <c r="K231" s="38">
        <f>_xlfn.XLOOKUP(I231,'3. Input (des)investeringen '!$B$11:$B$81,'3. Input (des)investeringen '!$E$11:$E$81)</f>
        <v>0</v>
      </c>
      <c r="L231" s="48"/>
      <c r="M231" s="38">
        <f>_xlfn.XLOOKUP(I231,'3. Input (des)investeringen '!$B$11:$B$81,'3. Input (des)investeringen '!$D$11:$D$81,0)</f>
        <v>30</v>
      </c>
      <c r="N231" s="38">
        <f t="shared" si="76"/>
        <v>12.5</v>
      </c>
      <c r="P231" s="43">
        <f t="shared" si="97"/>
        <v>2316.1390407129879</v>
      </c>
      <c r="Q231" s="43">
        <f t="shared" si="97"/>
        <v>2075.2605804788373</v>
      </c>
      <c r="R231" s="43">
        <f t="shared" si="97"/>
        <v>1859.4334801090379</v>
      </c>
      <c r="S231" s="43">
        <f t="shared" si="97"/>
        <v>1686.2878524065766</v>
      </c>
      <c r="T231" s="95">
        <f t="shared" si="97"/>
        <v>1686.2878524065766</v>
      </c>
      <c r="V231" s="43">
        <f t="shared" si="77"/>
        <v>197.96060177034084</v>
      </c>
      <c r="W231" s="43">
        <f t="shared" si="78"/>
        <v>197.96060177034082</v>
      </c>
      <c r="X231" s="43">
        <f t="shared" si="79"/>
        <v>197.96060177034082</v>
      </c>
      <c r="Y231" s="43">
        <f t="shared" si="80"/>
        <v>197.96060177034082</v>
      </c>
      <c r="Z231" s="95">
        <f t="shared" si="81"/>
        <v>197.96060177034082</v>
      </c>
      <c r="AB231" s="43">
        <f t="shared" si="82"/>
        <v>2514.0996424833288</v>
      </c>
      <c r="AC231" s="43">
        <f t="shared" si="83"/>
        <v>2273.2211822491781</v>
      </c>
      <c r="AD231" s="43">
        <f t="shared" si="84"/>
        <v>2057.3940818793785</v>
      </c>
      <c r="AE231" s="43">
        <f t="shared" si="85"/>
        <v>1884.2484541769174</v>
      </c>
      <c r="AF231" s="95">
        <f t="shared" si="86"/>
        <v>1884.2484541769174</v>
      </c>
      <c r="AH231" s="43">
        <f t="shared" si="87"/>
        <v>22230.975578809273</v>
      </c>
      <c r="AI231" s="43">
        <f t="shared" si="88"/>
        <v>19957.754396560096</v>
      </c>
      <c r="AJ231" s="43">
        <f t="shared" si="89"/>
        <v>17900.360314680718</v>
      </c>
      <c r="AK231" s="43">
        <f t="shared" si="90"/>
        <v>16016.111860503801</v>
      </c>
      <c r="AL231" s="95">
        <f t="shared" si="91"/>
        <v>14131.863406326884</v>
      </c>
      <c r="AN231" s="47">
        <f t="shared" si="92"/>
        <v>3425.5696412145089</v>
      </c>
      <c r="AO231" s="47">
        <f t="shared" si="93"/>
        <v>3291.066656473743</v>
      </c>
      <c r="AP231" s="47">
        <f t="shared" si="94"/>
        <v>2970.3124579280952</v>
      </c>
      <c r="AQ231" s="47">
        <f t="shared" si="95"/>
        <v>2492.8607048760618</v>
      </c>
      <c r="AR231" s="193">
        <f t="shared" si="96"/>
        <v>2421.259263617339</v>
      </c>
      <c r="AY231" s="3"/>
    </row>
    <row r="232" spans="1:51">
      <c r="A232" s="229"/>
      <c r="B232" s="37">
        <f>'13. Desinvesteringen'!B516</f>
        <v>497</v>
      </c>
      <c r="C232" s="48"/>
      <c r="D232" s="48"/>
      <c r="E232" s="48"/>
      <c r="F232" s="42">
        <f>'5. Input GAW-waarde desinv.'!D192</f>
        <v>96007.434247363446</v>
      </c>
      <c r="G232" s="177">
        <f>'13. Desinvesteringen'!D516</f>
        <v>2005</v>
      </c>
      <c r="H232" s="177">
        <f>'13. Desinvesteringen'!G516</f>
        <v>2023</v>
      </c>
      <c r="I232" s="37" t="str">
        <f>'13. Desinvesteringen'!C516</f>
        <v>17 Mengstations</v>
      </c>
      <c r="J232" s="166">
        <f>'13. Desinvesteringen'!F516</f>
        <v>0</v>
      </c>
      <c r="K232" s="38">
        <f>_xlfn.XLOOKUP(I232,'3. Input (des)investeringen '!$B$11:$B$81,'3. Input (des)investeringen '!$E$11:$E$81)</f>
        <v>0</v>
      </c>
      <c r="L232" s="48"/>
      <c r="M232" s="38">
        <f>_xlfn.XLOOKUP(I232,'3. Input (des)investeringen '!$B$11:$B$81,'3. Input (des)investeringen '!$D$11:$D$81,0)</f>
        <v>30</v>
      </c>
      <c r="N232" s="38">
        <f t="shared" si="76"/>
        <v>13.5</v>
      </c>
      <c r="P232" s="43">
        <f t="shared" si="97"/>
        <v>8320.6443014381657</v>
      </c>
      <c r="Q232" s="43">
        <f t="shared" si="97"/>
        <v>7519.3970724107858</v>
      </c>
      <c r="R232" s="43">
        <f t="shared" si="97"/>
        <v>6795.306983956415</v>
      </c>
      <c r="S232" s="43">
        <f t="shared" si="97"/>
        <v>6140.9440892050561</v>
      </c>
      <c r="T232" s="95">
        <f t="shared" si="97"/>
        <v>6066.3577237491245</v>
      </c>
      <c r="V232" s="43">
        <f t="shared" si="77"/>
        <v>711.16617961009968</v>
      </c>
      <c r="W232" s="43">
        <f t="shared" si="78"/>
        <v>711.16617961009968</v>
      </c>
      <c r="X232" s="43">
        <f t="shared" si="79"/>
        <v>711.16617961009968</v>
      </c>
      <c r="Y232" s="43">
        <f t="shared" si="80"/>
        <v>711.16617961009968</v>
      </c>
      <c r="Z232" s="95">
        <f t="shared" si="81"/>
        <v>711.16617961009968</v>
      </c>
      <c r="AB232" s="43">
        <f t="shared" si="82"/>
        <v>9031.8104810482655</v>
      </c>
      <c r="AC232" s="43">
        <f t="shared" si="83"/>
        <v>8230.5632520208856</v>
      </c>
      <c r="AD232" s="43">
        <f t="shared" si="84"/>
        <v>7506.4731635665148</v>
      </c>
      <c r="AE232" s="43">
        <f t="shared" si="85"/>
        <v>6852.1102688151559</v>
      </c>
      <c r="AF232" s="95">
        <f t="shared" si="86"/>
        <v>6777.5239033592243</v>
      </c>
      <c r="AH232" s="43">
        <f t="shared" si="87"/>
        <v>86975.623766315184</v>
      </c>
      <c r="AI232" s="43">
        <f t="shared" si="88"/>
        <v>78745.060514294295</v>
      </c>
      <c r="AJ232" s="43">
        <f t="shared" si="89"/>
        <v>71238.587350727787</v>
      </c>
      <c r="AK232" s="43">
        <f t="shared" si="90"/>
        <v>64386.477081912628</v>
      </c>
      <c r="AL232" s="95">
        <f t="shared" si="91"/>
        <v>57608.953178553405</v>
      </c>
      <c r="AN232" s="47">
        <f t="shared" si="92"/>
        <v>12597.811055467188</v>
      </c>
      <c r="AO232" s="47">
        <f t="shared" si="93"/>
        <v>12246.561338249894</v>
      </c>
      <c r="AP232" s="47">
        <f t="shared" si="94"/>
        <v>11139.641118453632</v>
      </c>
      <c r="AQ232" s="47">
        <f t="shared" si="95"/>
        <v>9298.7963979278356</v>
      </c>
      <c r="AR232" s="193">
        <f t="shared" si="96"/>
        <v>8966.6641241442539</v>
      </c>
      <c r="AY232" s="3"/>
    </row>
    <row r="233" spans="1:51">
      <c r="A233" s="229"/>
      <c r="B233" s="37">
        <f>'13. Desinvesteringen'!B517</f>
        <v>498</v>
      </c>
      <c r="C233" s="48"/>
      <c r="D233" s="48"/>
      <c r="E233" s="48"/>
      <c r="F233" s="42">
        <f>'5. Input GAW-waarde desinv.'!D193</f>
        <v>256937.21086962681</v>
      </c>
      <c r="G233" s="177">
        <f>'13. Desinvesteringen'!D517</f>
        <v>2006</v>
      </c>
      <c r="H233" s="177">
        <f>'13. Desinvesteringen'!G517</f>
        <v>2023</v>
      </c>
      <c r="I233" s="37" t="str">
        <f>'13. Desinvesteringen'!C517</f>
        <v>17 Mengstations</v>
      </c>
      <c r="J233" s="166">
        <f>'13. Desinvesteringen'!F517</f>
        <v>0</v>
      </c>
      <c r="K233" s="38">
        <f>_xlfn.XLOOKUP(I233,'3. Input (des)investeringen '!$B$11:$B$81,'3. Input (des)investeringen '!$E$11:$E$81)</f>
        <v>0</v>
      </c>
      <c r="L233" s="48"/>
      <c r="M233" s="38">
        <f>_xlfn.XLOOKUP(I233,'3. Input (des)investeringen '!$B$11:$B$81,'3. Input (des)investeringen '!$D$11:$D$81,0)</f>
        <v>30</v>
      </c>
      <c r="N233" s="38">
        <f t="shared" si="76"/>
        <v>14.5</v>
      </c>
      <c r="P233" s="43">
        <f t="shared" si="97"/>
        <v>20732.174946031959</v>
      </c>
      <c r="Q233" s="43">
        <f t="shared" si="97"/>
        <v>18873.42822673254</v>
      </c>
      <c r="R233" s="43">
        <f t="shared" si="97"/>
        <v>17181.327765025486</v>
      </c>
      <c r="S233" s="43">
        <f t="shared" si="97"/>
        <v>15640.932861954232</v>
      </c>
      <c r="T233" s="95">
        <f t="shared" si="97"/>
        <v>15125.297712659039</v>
      </c>
      <c r="V233" s="43">
        <f t="shared" si="77"/>
        <v>1771.9807646181159</v>
      </c>
      <c r="W233" s="43">
        <f t="shared" si="78"/>
        <v>1771.9807646181159</v>
      </c>
      <c r="X233" s="43">
        <f t="shared" si="79"/>
        <v>1771.9807646181159</v>
      </c>
      <c r="Y233" s="43">
        <f t="shared" si="80"/>
        <v>1771.9807646181159</v>
      </c>
      <c r="Z233" s="95">
        <f t="shared" si="81"/>
        <v>1771.9807646181159</v>
      </c>
      <c r="AB233" s="43">
        <f t="shared" si="82"/>
        <v>22504.155710650073</v>
      </c>
      <c r="AC233" s="43">
        <f t="shared" si="83"/>
        <v>20645.408991350654</v>
      </c>
      <c r="AD233" s="43">
        <f t="shared" si="84"/>
        <v>18953.3085296436</v>
      </c>
      <c r="AE233" s="43">
        <f t="shared" si="85"/>
        <v>17412.913626572346</v>
      </c>
      <c r="AF233" s="95">
        <f t="shared" si="86"/>
        <v>16897.278477277156</v>
      </c>
      <c r="AH233" s="43">
        <f t="shared" si="87"/>
        <v>234433.05515897673</v>
      </c>
      <c r="AI233" s="43">
        <f t="shared" si="88"/>
        <v>213787.64616762608</v>
      </c>
      <c r="AJ233" s="43">
        <f t="shared" si="89"/>
        <v>194834.33763798248</v>
      </c>
      <c r="AK233" s="43">
        <f t="shared" si="90"/>
        <v>177421.42401141013</v>
      </c>
      <c r="AL233" s="95">
        <f t="shared" si="91"/>
        <v>160524.14553413296</v>
      </c>
      <c r="AN233" s="47">
        <f t="shared" si="92"/>
        <v>32115.91097216812</v>
      </c>
      <c r="AO233" s="47">
        <f t="shared" si="93"/>
        <v>31548.578945899586</v>
      </c>
      <c r="AP233" s="47">
        <f t="shared" si="94"/>
        <v>28889.859749180705</v>
      </c>
      <c r="AQ233" s="47">
        <f t="shared" si="95"/>
        <v>24154.927739005932</v>
      </c>
      <c r="AR233" s="193">
        <f t="shared" si="96"/>
        <v>22997.19600757421</v>
      </c>
      <c r="AY233" s="3"/>
    </row>
    <row r="234" spans="1:51">
      <c r="A234" s="229"/>
      <c r="B234" s="37">
        <f>'13. Desinvesteringen'!B518</f>
        <v>499</v>
      </c>
      <c r="C234" s="48"/>
      <c r="D234" s="48"/>
      <c r="E234" s="48"/>
      <c r="F234" s="42">
        <f>'5. Input GAW-waarde desinv.'!D194</f>
        <v>702049.39906389359</v>
      </c>
      <c r="G234" s="177">
        <f>'13. Desinvesteringen'!D518</f>
        <v>2007</v>
      </c>
      <c r="H234" s="177">
        <f>'13. Desinvesteringen'!G518</f>
        <v>2023</v>
      </c>
      <c r="I234" s="37" t="str">
        <f>'13. Desinvesteringen'!C518</f>
        <v>17 Mengstations</v>
      </c>
      <c r="J234" s="166">
        <f>'13. Desinvesteringen'!F518</f>
        <v>0</v>
      </c>
      <c r="K234" s="38">
        <f>_xlfn.XLOOKUP(I234,'3. Input (des)investeringen '!$B$11:$B$81,'3. Input (des)investeringen '!$E$11:$E$81)</f>
        <v>0</v>
      </c>
      <c r="L234" s="48"/>
      <c r="M234" s="38">
        <f>_xlfn.XLOOKUP(I234,'3. Input (des)investeringen '!$B$11:$B$81,'3. Input (des)investeringen '!$D$11:$D$81,0)</f>
        <v>30</v>
      </c>
      <c r="N234" s="38">
        <f t="shared" si="76"/>
        <v>15.5</v>
      </c>
      <c r="P234" s="43">
        <f t="shared" si="97"/>
        <v>52993.40625191971</v>
      </c>
      <c r="Q234" s="43">
        <f t="shared" si="97"/>
        <v>48548.797985629673</v>
      </c>
      <c r="R234" s="43">
        <f t="shared" si="97"/>
        <v>44476.963315867186</v>
      </c>
      <c r="S234" s="43">
        <f t="shared" si="97"/>
        <v>40746.637360342836</v>
      </c>
      <c r="T234" s="95">
        <f t="shared" si="97"/>
        <v>38702.491673369113</v>
      </c>
      <c r="V234" s="43">
        <f t="shared" si="77"/>
        <v>4529.3509617025402</v>
      </c>
      <c r="W234" s="43">
        <f t="shared" si="78"/>
        <v>4529.3509617025402</v>
      </c>
      <c r="X234" s="43">
        <f t="shared" si="79"/>
        <v>4529.3509617025402</v>
      </c>
      <c r="Y234" s="43">
        <f t="shared" si="80"/>
        <v>4529.3509617025402</v>
      </c>
      <c r="Z234" s="95">
        <f t="shared" si="81"/>
        <v>4529.3509617025402</v>
      </c>
      <c r="AB234" s="43">
        <f t="shared" si="82"/>
        <v>57522.757213622252</v>
      </c>
      <c r="AC234" s="43">
        <f t="shared" si="83"/>
        <v>53078.148947332214</v>
      </c>
      <c r="AD234" s="43">
        <f t="shared" si="84"/>
        <v>49006.314277569727</v>
      </c>
      <c r="AE234" s="43">
        <f t="shared" si="85"/>
        <v>45275.988322045378</v>
      </c>
      <c r="AF234" s="95">
        <f t="shared" si="86"/>
        <v>43231.842635071655</v>
      </c>
      <c r="AH234" s="43">
        <f t="shared" si="87"/>
        <v>644526.64185027138</v>
      </c>
      <c r="AI234" s="43">
        <f t="shared" si="88"/>
        <v>591448.49290293921</v>
      </c>
      <c r="AJ234" s="43">
        <f t="shared" si="89"/>
        <v>542442.17862536944</v>
      </c>
      <c r="AK234" s="43">
        <f t="shared" si="90"/>
        <v>497166.19030332408</v>
      </c>
      <c r="AL234" s="95">
        <f t="shared" si="91"/>
        <v>453934.34766825242</v>
      </c>
      <c r="AN234" s="47">
        <f t="shared" si="92"/>
        <v>83948.349529483385</v>
      </c>
      <c r="AO234" s="47">
        <f t="shared" si="93"/>
        <v>83242.022085382108</v>
      </c>
      <c r="AP234" s="47">
        <f t="shared" si="94"/>
        <v>76670.865387463564</v>
      </c>
      <c r="AQ234" s="47">
        <f t="shared" si="95"/>
        <v>64168.303553571692</v>
      </c>
      <c r="AR234" s="193">
        <f t="shared" si="96"/>
        <v>60481.347846465243</v>
      </c>
      <c r="AY234" s="3"/>
    </row>
    <row r="235" spans="1:51">
      <c r="A235" s="229"/>
      <c r="B235" s="37">
        <f>'13. Desinvesteringen'!B519</f>
        <v>500</v>
      </c>
      <c r="C235" s="48"/>
      <c r="D235" s="48"/>
      <c r="E235" s="48"/>
      <c r="F235" s="42">
        <f>'5. Input GAW-waarde desinv.'!D195</f>
        <v>1042957.4504958389</v>
      </c>
      <c r="G235" s="177">
        <f>'13. Desinvesteringen'!D519</f>
        <v>2008</v>
      </c>
      <c r="H235" s="177">
        <f>'13. Desinvesteringen'!G519</f>
        <v>2023</v>
      </c>
      <c r="I235" s="37" t="str">
        <f>'13. Desinvesteringen'!C519</f>
        <v>17 Mengstations</v>
      </c>
      <c r="J235" s="166">
        <f>'13. Desinvesteringen'!F519</f>
        <v>0</v>
      </c>
      <c r="K235" s="38">
        <f>_xlfn.XLOOKUP(I235,'3. Input (des)investeringen '!$B$11:$B$81,'3. Input (des)investeringen '!$E$11:$E$81)</f>
        <v>0</v>
      </c>
      <c r="L235" s="48"/>
      <c r="M235" s="38">
        <f>_xlfn.XLOOKUP(I235,'3. Input (des)investeringen '!$B$11:$B$81,'3. Input (des)investeringen '!$D$11:$D$81,0)</f>
        <v>30</v>
      </c>
      <c r="N235" s="38">
        <f t="shared" si="76"/>
        <v>16.5</v>
      </c>
      <c r="P235" s="43">
        <f t="shared" si="97"/>
        <v>73955.164671523133</v>
      </c>
      <c r="Q235" s="43">
        <f t="shared" si="97"/>
        <v>68128.394121645557</v>
      </c>
      <c r="R235" s="43">
        <f t="shared" si="97"/>
        <v>62760.702463576497</v>
      </c>
      <c r="S235" s="43">
        <f t="shared" si="97"/>
        <v>57815.919845234115</v>
      </c>
      <c r="T235" s="95">
        <f t="shared" si="97"/>
        <v>54080.121947542058</v>
      </c>
      <c r="V235" s="43">
        <f t="shared" si="77"/>
        <v>6320.9542454293269</v>
      </c>
      <c r="W235" s="43">
        <f t="shared" si="78"/>
        <v>6320.9542454293269</v>
      </c>
      <c r="X235" s="43">
        <f t="shared" si="79"/>
        <v>6320.9542454293269</v>
      </c>
      <c r="Y235" s="43">
        <f t="shared" si="80"/>
        <v>6320.9542454293269</v>
      </c>
      <c r="Z235" s="95">
        <f t="shared" si="81"/>
        <v>6320.9542454293269</v>
      </c>
      <c r="AB235" s="43">
        <f t="shared" si="82"/>
        <v>80276.118916952459</v>
      </c>
      <c r="AC235" s="43">
        <f t="shared" si="83"/>
        <v>74449.348367074883</v>
      </c>
      <c r="AD235" s="43">
        <f t="shared" si="84"/>
        <v>69081.656709005823</v>
      </c>
      <c r="AE235" s="43">
        <f t="shared" si="85"/>
        <v>64136.874090663441</v>
      </c>
      <c r="AF235" s="95">
        <f t="shared" si="86"/>
        <v>60401.076192971384</v>
      </c>
      <c r="AH235" s="43">
        <f t="shared" si="87"/>
        <v>962681.33157888637</v>
      </c>
      <c r="AI235" s="43">
        <f t="shared" si="88"/>
        <v>888231.98321181152</v>
      </c>
      <c r="AJ235" s="43">
        <f t="shared" si="89"/>
        <v>819150.32650280569</v>
      </c>
      <c r="AK235" s="43">
        <f t="shared" si="90"/>
        <v>755013.4524121423</v>
      </c>
      <c r="AL235" s="95">
        <f t="shared" si="91"/>
        <v>694612.37621917087</v>
      </c>
      <c r="AN235" s="47">
        <f t="shared" si="92"/>
        <v>119746.0535116868</v>
      </c>
      <c r="AO235" s="47">
        <f t="shared" si="93"/>
        <v>119749.17951087726</v>
      </c>
      <c r="AP235" s="47">
        <f t="shared" si="94"/>
        <v>110858.32336064891</v>
      </c>
      <c r="AQ235" s="47">
        <f t="shared" si="95"/>
        <v>92827.385282324845</v>
      </c>
      <c r="AR235" s="193">
        <f t="shared" si="96"/>
        <v>86796.346489299875</v>
      </c>
      <c r="AY235" s="3"/>
    </row>
    <row r="236" spans="1:51">
      <c r="A236" s="229"/>
      <c r="B236" s="37">
        <f>'13. Desinvesteringen'!B520</f>
        <v>501</v>
      </c>
      <c r="C236" s="48"/>
      <c r="D236" s="48"/>
      <c r="E236" s="48"/>
      <c r="F236" s="42">
        <f>'5. Input GAW-waarde desinv.'!D196</f>
        <v>70079.94837897965</v>
      </c>
      <c r="G236" s="177">
        <f>'13. Desinvesteringen'!D520</f>
        <v>2009</v>
      </c>
      <c r="H236" s="177">
        <f>'13. Desinvesteringen'!G520</f>
        <v>2023</v>
      </c>
      <c r="I236" s="37" t="str">
        <f>'13. Desinvesteringen'!C520</f>
        <v>17 Mengstations</v>
      </c>
      <c r="J236" s="166">
        <f>'13. Desinvesteringen'!F520</f>
        <v>0</v>
      </c>
      <c r="K236" s="38">
        <f>_xlfn.XLOOKUP(I236,'3. Input (des)investeringen '!$B$11:$B$81,'3. Input (des)investeringen '!$E$11:$E$81)</f>
        <v>0</v>
      </c>
      <c r="L236" s="48"/>
      <c r="M236" s="38">
        <f>_xlfn.XLOOKUP(I236,'3. Input (des)investeringen '!$B$11:$B$81,'3. Input (des)investeringen '!$D$11:$D$81,0)</f>
        <v>30</v>
      </c>
      <c r="N236" s="38">
        <f t="shared" si="76"/>
        <v>17.5</v>
      </c>
      <c r="P236" s="43">
        <f t="shared" si="97"/>
        <v>4685.34512019464</v>
      </c>
      <c r="Q236" s="43">
        <f t="shared" si="97"/>
        <v>4337.2909112658954</v>
      </c>
      <c r="R236" s="43">
        <f t="shared" si="97"/>
        <v>4015.0921578575717</v>
      </c>
      <c r="S236" s="43">
        <f t="shared" si="97"/>
        <v>3716.8281689881514</v>
      </c>
      <c r="T236" s="95">
        <f t="shared" si="97"/>
        <v>3440.7209335776029</v>
      </c>
      <c r="V236" s="43">
        <f t="shared" si="77"/>
        <v>400.45684787988375</v>
      </c>
      <c r="W236" s="43">
        <f t="shared" si="78"/>
        <v>400.4568478798837</v>
      </c>
      <c r="X236" s="43">
        <f t="shared" si="79"/>
        <v>400.4568478798837</v>
      </c>
      <c r="Y236" s="43">
        <f t="shared" si="80"/>
        <v>400.4568478798837</v>
      </c>
      <c r="Z236" s="95">
        <f t="shared" si="81"/>
        <v>400.4568478798837</v>
      </c>
      <c r="AB236" s="43">
        <f t="shared" si="82"/>
        <v>5085.8019680745238</v>
      </c>
      <c r="AC236" s="43">
        <f t="shared" si="83"/>
        <v>4737.7477591457791</v>
      </c>
      <c r="AD236" s="43">
        <f t="shared" si="84"/>
        <v>4415.5490057374554</v>
      </c>
      <c r="AE236" s="43">
        <f t="shared" si="85"/>
        <v>4117.2850168680352</v>
      </c>
      <c r="AF236" s="95">
        <f t="shared" si="86"/>
        <v>3841.1777814574866</v>
      </c>
      <c r="AH236" s="43">
        <f t="shared" si="87"/>
        <v>64994.14641090513</v>
      </c>
      <c r="AI236" s="43">
        <f t="shared" si="88"/>
        <v>60256.398651759351</v>
      </c>
      <c r="AJ236" s="43">
        <f t="shared" si="89"/>
        <v>55840.849646021896</v>
      </c>
      <c r="AK236" s="43">
        <f t="shared" si="90"/>
        <v>51723.564629153858</v>
      </c>
      <c r="AL236" s="95">
        <f t="shared" si="91"/>
        <v>47882.386847696369</v>
      </c>
      <c r="AN236" s="47">
        <f t="shared" si="92"/>
        <v>7750.5619709216344</v>
      </c>
      <c r="AO236" s="47">
        <f t="shared" si="93"/>
        <v>7810.8240903855058</v>
      </c>
      <c r="AP236" s="47">
        <f t="shared" si="94"/>
        <v>7263.4323376845714</v>
      </c>
      <c r="AQ236" s="47">
        <f t="shared" si="95"/>
        <v>6082.7804727758812</v>
      </c>
      <c r="AR236" s="193">
        <f t="shared" si="96"/>
        <v>5660.7084816699489</v>
      </c>
      <c r="AY236" s="3"/>
    </row>
    <row r="237" spans="1:51">
      <c r="A237" s="229"/>
      <c r="B237" s="37">
        <f>'13. Desinvesteringen'!B521</f>
        <v>502</v>
      </c>
      <c r="C237" s="48"/>
      <c r="D237" s="48"/>
      <c r="E237" s="48"/>
      <c r="F237" s="42">
        <f>'5. Input GAW-waarde desinv.'!D197</f>
        <v>704771.29332217178</v>
      </c>
      <c r="G237" s="177">
        <f>'13. Desinvesteringen'!D521</f>
        <v>2010</v>
      </c>
      <c r="H237" s="177">
        <f>'13. Desinvesteringen'!G521</f>
        <v>2023</v>
      </c>
      <c r="I237" s="37" t="str">
        <f>'13. Desinvesteringen'!C521</f>
        <v>17 Mengstations</v>
      </c>
      <c r="J237" s="166">
        <f>'13. Desinvesteringen'!F521</f>
        <v>0</v>
      </c>
      <c r="K237" s="38">
        <f>_xlfn.XLOOKUP(I237,'3. Input (des)investeringen '!$B$11:$B$81,'3. Input (des)investeringen '!$E$11:$E$81)</f>
        <v>0</v>
      </c>
      <c r="L237" s="48"/>
      <c r="M237" s="38">
        <f>_xlfn.XLOOKUP(I237,'3. Input (des)investeringen '!$B$11:$B$81,'3. Input (des)investeringen '!$D$11:$D$81,0)</f>
        <v>30</v>
      </c>
      <c r="N237" s="38">
        <f t="shared" si="76"/>
        <v>18.5</v>
      </c>
      <c r="P237" s="43">
        <f t="shared" si="97"/>
        <v>44572.022334429246</v>
      </c>
      <c r="Q237" s="43">
        <f t="shared" si="97"/>
        <v>41439.934278496374</v>
      </c>
      <c r="R237" s="43">
        <f t="shared" si="97"/>
        <v>38527.938896764193</v>
      </c>
      <c r="S237" s="43">
        <f t="shared" si="97"/>
        <v>35820.57021753212</v>
      </c>
      <c r="T237" s="95">
        <f t="shared" si="97"/>
        <v>33303.449067110945</v>
      </c>
      <c r="V237" s="43">
        <f t="shared" si="77"/>
        <v>3809.574558498226</v>
      </c>
      <c r="W237" s="43">
        <f t="shared" si="78"/>
        <v>3809.574558498226</v>
      </c>
      <c r="X237" s="43">
        <f t="shared" si="79"/>
        <v>3809.574558498226</v>
      </c>
      <c r="Y237" s="43">
        <f t="shared" si="80"/>
        <v>3809.574558498226</v>
      </c>
      <c r="Z237" s="95">
        <f t="shared" si="81"/>
        <v>3809.574558498226</v>
      </c>
      <c r="AB237" s="43">
        <f t="shared" si="82"/>
        <v>48381.596892927475</v>
      </c>
      <c r="AC237" s="43">
        <f t="shared" si="83"/>
        <v>45249.508836994602</v>
      </c>
      <c r="AD237" s="43">
        <f t="shared" si="84"/>
        <v>42337.513455262422</v>
      </c>
      <c r="AE237" s="43">
        <f t="shared" si="85"/>
        <v>39630.144776030349</v>
      </c>
      <c r="AF237" s="95">
        <f t="shared" si="86"/>
        <v>37113.023625609174</v>
      </c>
      <c r="AH237" s="43">
        <f t="shared" si="87"/>
        <v>656389.69642924436</v>
      </c>
      <c r="AI237" s="43">
        <f t="shared" si="88"/>
        <v>611140.18759224971</v>
      </c>
      <c r="AJ237" s="43">
        <f t="shared" si="89"/>
        <v>568802.67413698731</v>
      </c>
      <c r="AK237" s="43">
        <f t="shared" si="90"/>
        <v>529172.52936095698</v>
      </c>
      <c r="AL237" s="95">
        <f t="shared" si="91"/>
        <v>492059.5057353478</v>
      </c>
      <c r="AN237" s="47">
        <f t="shared" si="92"/>
        <v>75293.574446526502</v>
      </c>
      <c r="AO237" s="47">
        <f t="shared" si="93"/>
        <v>76417.658404199334</v>
      </c>
      <c r="AP237" s="47">
        <f t="shared" si="94"/>
        <v>71346.449836248765</v>
      </c>
      <c r="AQ237" s="47">
        <f t="shared" si="95"/>
        <v>59738.700891746717</v>
      </c>
      <c r="AR237" s="193">
        <f t="shared" si="96"/>
        <v>55811.284843552392</v>
      </c>
      <c r="AY237" s="3"/>
    </row>
    <row r="238" spans="1:51">
      <c r="A238" s="229"/>
      <c r="B238" s="37">
        <f>'13. Desinvesteringen'!B522</f>
        <v>503</v>
      </c>
      <c r="C238" s="48"/>
      <c r="D238" s="48"/>
      <c r="E238" s="48"/>
      <c r="F238" s="42">
        <f>'5. Input GAW-waarde desinv.'!D198</f>
        <v>1024239.4945113533</v>
      </c>
      <c r="G238" s="177">
        <f>'13. Desinvesteringen'!D522</f>
        <v>2011</v>
      </c>
      <c r="H238" s="177">
        <f>'13. Desinvesteringen'!G522</f>
        <v>2023</v>
      </c>
      <c r="I238" s="37" t="str">
        <f>'13. Desinvesteringen'!C522</f>
        <v>17 Mengstations</v>
      </c>
      <c r="J238" s="166">
        <f>'13. Desinvesteringen'!F522</f>
        <v>0</v>
      </c>
      <c r="K238" s="38">
        <f>_xlfn.XLOOKUP(I238,'3. Input (des)investeringen '!$B$11:$B$81,'3. Input (des)investeringen '!$E$11:$E$81)</f>
        <v>0</v>
      </c>
      <c r="L238" s="48"/>
      <c r="M238" s="38">
        <f>_xlfn.XLOOKUP(I238,'3. Input (des)investeringen '!$B$11:$B$81,'3. Input (des)investeringen '!$D$11:$D$81,0)</f>
        <v>30</v>
      </c>
      <c r="N238" s="38">
        <f t="shared" si="76"/>
        <v>19.5</v>
      </c>
      <c r="P238" s="43">
        <f t="shared" si="97"/>
        <v>61454.369670681204</v>
      </c>
      <c r="Q238" s="43">
        <f t="shared" si="97"/>
        <v>57357.411692635782</v>
      </c>
      <c r="R238" s="43">
        <f t="shared" si="97"/>
        <v>53533.584246460072</v>
      </c>
      <c r="S238" s="43">
        <f t="shared" si="97"/>
        <v>49964.678630029397</v>
      </c>
      <c r="T238" s="95">
        <f t="shared" si="97"/>
        <v>46633.700054694113</v>
      </c>
      <c r="V238" s="43">
        <f t="shared" si="77"/>
        <v>5252.5102282633507</v>
      </c>
      <c r="W238" s="43">
        <f t="shared" si="78"/>
        <v>5252.5102282633507</v>
      </c>
      <c r="X238" s="43">
        <f t="shared" si="79"/>
        <v>5252.5102282633507</v>
      </c>
      <c r="Y238" s="43">
        <f t="shared" si="80"/>
        <v>5252.5102282633507</v>
      </c>
      <c r="Z238" s="95">
        <f t="shared" si="81"/>
        <v>5252.5102282633507</v>
      </c>
      <c r="AB238" s="43">
        <f t="shared" si="82"/>
        <v>66706.879898944549</v>
      </c>
      <c r="AC238" s="43">
        <f t="shared" si="83"/>
        <v>62609.921920899134</v>
      </c>
      <c r="AD238" s="43">
        <f t="shared" si="84"/>
        <v>58786.094474723424</v>
      </c>
      <c r="AE238" s="43">
        <f t="shared" si="85"/>
        <v>55217.18885829275</v>
      </c>
      <c r="AF238" s="95">
        <f t="shared" si="86"/>
        <v>51886.210282957465</v>
      </c>
      <c r="AH238" s="43">
        <f t="shared" si="87"/>
        <v>957532.6146124088</v>
      </c>
      <c r="AI238" s="43">
        <f t="shared" si="88"/>
        <v>894922.69269150961</v>
      </c>
      <c r="AJ238" s="43">
        <f t="shared" si="89"/>
        <v>836136.59821678617</v>
      </c>
      <c r="AK238" s="43">
        <f t="shared" si="90"/>
        <v>780919.4093584934</v>
      </c>
      <c r="AL238" s="95">
        <f t="shared" si="91"/>
        <v>729033.19907553599</v>
      </c>
      <c r="AN238" s="47">
        <f t="shared" si="92"/>
        <v>105965.71709805331</v>
      </c>
      <c r="AO238" s="47">
        <f t="shared" si="93"/>
        <v>108250.97924816611</v>
      </c>
      <c r="AP238" s="47">
        <f t="shared" si="94"/>
        <v>101429.06098377952</v>
      </c>
      <c r="AQ238" s="47">
        <f t="shared" si="95"/>
        <v>84892.126413915496</v>
      </c>
      <c r="AR238" s="193">
        <f t="shared" si="96"/>
        <v>79589.471847827837</v>
      </c>
      <c r="AY238" s="3"/>
    </row>
    <row r="239" spans="1:51">
      <c r="A239" s="229"/>
      <c r="B239" s="37">
        <f>'13. Desinvesteringen'!B523</f>
        <v>504</v>
      </c>
      <c r="C239" s="48"/>
      <c r="D239" s="48"/>
      <c r="E239" s="48"/>
      <c r="F239" s="42">
        <f>'5. Input GAW-waarde desinv.'!D199</f>
        <v>376397.15055039537</v>
      </c>
      <c r="G239" s="177">
        <f>'13. Desinvesteringen'!D523</f>
        <v>2012</v>
      </c>
      <c r="H239" s="177">
        <f>'13. Desinvesteringen'!G523</f>
        <v>2023</v>
      </c>
      <c r="I239" s="37" t="str">
        <f>'13. Desinvesteringen'!C523</f>
        <v>17 Mengstations</v>
      </c>
      <c r="J239" s="166">
        <f>'13. Desinvesteringen'!F523</f>
        <v>0</v>
      </c>
      <c r="K239" s="38">
        <f>_xlfn.XLOOKUP(I239,'3. Input (des)investeringen '!$B$11:$B$81,'3. Input (des)investeringen '!$E$11:$E$81)</f>
        <v>0</v>
      </c>
      <c r="L239" s="48"/>
      <c r="M239" s="38">
        <f>_xlfn.XLOOKUP(I239,'3. Input (des)investeringen '!$B$11:$B$81,'3. Input (des)investeringen '!$D$11:$D$81,0)</f>
        <v>30</v>
      </c>
      <c r="N239" s="38">
        <f t="shared" si="76"/>
        <v>20.5</v>
      </c>
      <c r="P239" s="43">
        <f t="shared" si="97"/>
        <v>21482.178836290856</v>
      </c>
      <c r="Q239" s="43">
        <f t="shared" si="97"/>
        <v>20119.894324721194</v>
      </c>
      <c r="R239" s="43">
        <f t="shared" si="97"/>
        <v>18843.99858705595</v>
      </c>
      <c r="S239" s="43">
        <f t="shared" si="97"/>
        <v>17649.013310803621</v>
      </c>
      <c r="T239" s="95">
        <f t="shared" si="97"/>
        <v>16529.807588655094</v>
      </c>
      <c r="V239" s="43">
        <f t="shared" si="77"/>
        <v>1836.0836612214407</v>
      </c>
      <c r="W239" s="43">
        <f t="shared" si="78"/>
        <v>1836.0836612214412</v>
      </c>
      <c r="X239" s="43">
        <f t="shared" si="79"/>
        <v>1836.0836612214412</v>
      </c>
      <c r="Y239" s="43">
        <f t="shared" si="80"/>
        <v>1836.0836612214412</v>
      </c>
      <c r="Z239" s="95">
        <f t="shared" si="81"/>
        <v>1836.0836612214412</v>
      </c>
      <c r="AB239" s="43">
        <f t="shared" si="82"/>
        <v>23318.262497512296</v>
      </c>
      <c r="AC239" s="43">
        <f t="shared" si="83"/>
        <v>21955.977985942634</v>
      </c>
      <c r="AD239" s="43">
        <f t="shared" si="84"/>
        <v>20680.082248277391</v>
      </c>
      <c r="AE239" s="43">
        <f t="shared" si="85"/>
        <v>19485.096972025061</v>
      </c>
      <c r="AF239" s="95">
        <f t="shared" si="86"/>
        <v>18365.891249876535</v>
      </c>
      <c r="AH239" s="43">
        <f t="shared" si="87"/>
        <v>353078.88805288309</v>
      </c>
      <c r="AI239" s="43">
        <f t="shared" si="88"/>
        <v>331122.91006694047</v>
      </c>
      <c r="AJ239" s="43">
        <f t="shared" si="89"/>
        <v>310442.82781866309</v>
      </c>
      <c r="AK239" s="43">
        <f t="shared" si="90"/>
        <v>290957.73084663803</v>
      </c>
      <c r="AL239" s="95">
        <f t="shared" si="91"/>
        <v>272591.83959676151</v>
      </c>
      <c r="AN239" s="47">
        <f t="shared" si="92"/>
        <v>37794.496907680499</v>
      </c>
      <c r="AO239" s="47">
        <f t="shared" si="93"/>
        <v>38843.246399356598</v>
      </c>
      <c r="AP239" s="47">
        <f t="shared" si="94"/>
        <v>36512.666467029208</v>
      </c>
      <c r="AQ239" s="47">
        <f t="shared" si="95"/>
        <v>30541.490744197305</v>
      </c>
      <c r="AR239" s="193">
        <f t="shared" si="96"/>
        <v>28724.38115455347</v>
      </c>
      <c r="AY239" s="3"/>
    </row>
    <row r="240" spans="1:51">
      <c r="A240" s="229"/>
      <c r="B240" s="37">
        <f>'13. Desinvesteringen'!B524</f>
        <v>505</v>
      </c>
      <c r="C240" s="48"/>
      <c r="D240" s="48"/>
      <c r="E240" s="48"/>
      <c r="F240" s="42">
        <f>'5. Input GAW-waarde desinv.'!D200</f>
        <v>514916.23301467963</v>
      </c>
      <c r="G240" s="177">
        <f>'13. Desinvesteringen'!D524</f>
        <v>2013</v>
      </c>
      <c r="H240" s="177">
        <f>'13. Desinvesteringen'!G524</f>
        <v>2023</v>
      </c>
      <c r="I240" s="37" t="str">
        <f>'13. Desinvesteringen'!C524</f>
        <v>17 Mengstations</v>
      </c>
      <c r="J240" s="166">
        <f>'13. Desinvesteringen'!F524</f>
        <v>0</v>
      </c>
      <c r="K240" s="38">
        <f>_xlfn.XLOOKUP(I240,'3. Input (des)investeringen '!$B$11:$B$81,'3. Input (des)investeringen '!$E$11:$E$81)</f>
        <v>0</v>
      </c>
      <c r="L240" s="48"/>
      <c r="M240" s="38">
        <f>_xlfn.XLOOKUP(I240,'3. Input (des)investeringen '!$B$11:$B$81,'3. Input (des)investeringen '!$D$11:$D$81,0)</f>
        <v>30</v>
      </c>
      <c r="N240" s="38">
        <f t="shared" si="76"/>
        <v>21.5</v>
      </c>
      <c r="P240" s="43">
        <f t="shared" si="97"/>
        <v>28021.022912891869</v>
      </c>
      <c r="Q240" s="43">
        <f t="shared" si="97"/>
        <v>26326.728504205381</v>
      </c>
      <c r="R240" s="43">
        <f t="shared" si="97"/>
        <v>24734.879803951102</v>
      </c>
      <c r="S240" s="43">
        <f t="shared" si="97"/>
        <v>23239.282420456388</v>
      </c>
      <c r="T240" s="95">
        <f t="shared" si="97"/>
        <v>21834.116506661347</v>
      </c>
      <c r="V240" s="43">
        <f t="shared" si="77"/>
        <v>2394.9592233240915</v>
      </c>
      <c r="W240" s="43">
        <f t="shared" si="78"/>
        <v>2394.9592233240915</v>
      </c>
      <c r="X240" s="43">
        <f t="shared" si="79"/>
        <v>2394.9592233240915</v>
      </c>
      <c r="Y240" s="43">
        <f t="shared" si="80"/>
        <v>2394.9592233240915</v>
      </c>
      <c r="Z240" s="95">
        <f t="shared" si="81"/>
        <v>2394.9592233240915</v>
      </c>
      <c r="AB240" s="43">
        <f t="shared" si="82"/>
        <v>30415.98213621596</v>
      </c>
      <c r="AC240" s="43">
        <f t="shared" si="83"/>
        <v>28721.687727529472</v>
      </c>
      <c r="AD240" s="43">
        <f t="shared" si="84"/>
        <v>27129.839027275193</v>
      </c>
      <c r="AE240" s="43">
        <f t="shared" si="85"/>
        <v>25634.241643780479</v>
      </c>
      <c r="AF240" s="95">
        <f t="shared" si="86"/>
        <v>24229.075729985438</v>
      </c>
      <c r="AH240" s="43">
        <f t="shared" si="87"/>
        <v>484500.25087846367</v>
      </c>
      <c r="AI240" s="43">
        <f t="shared" si="88"/>
        <v>455778.56315093418</v>
      </c>
      <c r="AJ240" s="43">
        <f t="shared" si="89"/>
        <v>428648.72412365896</v>
      </c>
      <c r="AK240" s="43">
        <f t="shared" si="90"/>
        <v>403014.48247987847</v>
      </c>
      <c r="AL240" s="95">
        <f t="shared" si="91"/>
        <v>378785.40674989304</v>
      </c>
      <c r="AN240" s="47">
        <f t="shared" si="92"/>
        <v>50280.492422232972</v>
      </c>
      <c r="AO240" s="47">
        <f t="shared" si="93"/>
        <v>51966.394448227118</v>
      </c>
      <c r="AP240" s="47">
        <f t="shared" si="94"/>
        <v>48990.923957581799</v>
      </c>
      <c r="AQ240" s="47">
        <f t="shared" si="95"/>
        <v>40948.791978015863</v>
      </c>
      <c r="AR240" s="193">
        <f t="shared" si="96"/>
        <v>38622.92118648137</v>
      </c>
      <c r="AY240" s="3"/>
    </row>
    <row r="241" spans="1:51">
      <c r="A241" s="229"/>
      <c r="B241" s="37">
        <f>'13. Desinvesteringen'!B525</f>
        <v>506</v>
      </c>
      <c r="C241" s="48"/>
      <c r="D241" s="48"/>
      <c r="E241" s="48"/>
      <c r="F241" s="42">
        <f>'5. Input GAW-waarde desinv.'!D201</f>
        <v>1302.0888101333342</v>
      </c>
      <c r="G241" s="177">
        <f>'13. Desinvesteringen'!D525</f>
        <v>2014</v>
      </c>
      <c r="H241" s="177">
        <f>'13. Desinvesteringen'!G525</f>
        <v>2023</v>
      </c>
      <c r="I241" s="37" t="str">
        <f>'13. Desinvesteringen'!C525</f>
        <v>17 Mengstations</v>
      </c>
      <c r="J241" s="166">
        <f>'13. Desinvesteringen'!F525</f>
        <v>0</v>
      </c>
      <c r="K241" s="38">
        <f>_xlfn.XLOOKUP(I241,'3. Input (des)investeringen '!$B$11:$B$81,'3. Input (des)investeringen '!$E$11:$E$81)</f>
        <v>0</v>
      </c>
      <c r="L241" s="48"/>
      <c r="M241" s="38">
        <f>_xlfn.XLOOKUP(I241,'3. Input (des)investeringen '!$B$11:$B$81,'3. Input (des)investeringen '!$D$11:$D$81,0)</f>
        <v>30</v>
      </c>
      <c r="N241" s="38">
        <f t="shared" si="76"/>
        <v>22.5</v>
      </c>
      <c r="P241" s="43">
        <f t="shared" si="97"/>
        <v>67.708618126933374</v>
      </c>
      <c r="Q241" s="43">
        <f t="shared" si="97"/>
        <v>63.796564635155015</v>
      </c>
      <c r="R241" s="43">
        <f t="shared" si="97"/>
        <v>60.110540900679389</v>
      </c>
      <c r="S241" s="43">
        <f t="shared" si="97"/>
        <v>56.637487426417906</v>
      </c>
      <c r="T241" s="95">
        <f t="shared" si="97"/>
        <v>53.365099264002652</v>
      </c>
      <c r="V241" s="43">
        <f t="shared" si="77"/>
        <v>5.7870613783703746</v>
      </c>
      <c r="W241" s="43">
        <f t="shared" si="78"/>
        <v>5.7870613783703746</v>
      </c>
      <c r="X241" s="43">
        <f t="shared" si="79"/>
        <v>5.7870613783703746</v>
      </c>
      <c r="Y241" s="43">
        <f t="shared" si="80"/>
        <v>5.7870613783703746</v>
      </c>
      <c r="Z241" s="95">
        <f t="shared" si="81"/>
        <v>5.7870613783703746</v>
      </c>
      <c r="AB241" s="43">
        <f t="shared" si="82"/>
        <v>73.495679505303741</v>
      </c>
      <c r="AC241" s="43">
        <f t="shared" si="83"/>
        <v>69.583626013525389</v>
      </c>
      <c r="AD241" s="43">
        <f t="shared" si="84"/>
        <v>65.897602279049764</v>
      </c>
      <c r="AE241" s="43">
        <f t="shared" si="85"/>
        <v>62.42454880478828</v>
      </c>
      <c r="AF241" s="95">
        <f t="shared" si="86"/>
        <v>59.152160642373026</v>
      </c>
      <c r="AH241" s="43">
        <f t="shared" si="87"/>
        <v>1228.5931306280304</v>
      </c>
      <c r="AI241" s="43">
        <f t="shared" si="88"/>
        <v>1159.009504614505</v>
      </c>
      <c r="AJ241" s="43">
        <f t="shared" si="89"/>
        <v>1093.1119023354552</v>
      </c>
      <c r="AK241" s="43">
        <f t="shared" si="90"/>
        <v>1030.687353530667</v>
      </c>
      <c r="AL241" s="95">
        <f t="shared" si="91"/>
        <v>971.53519288829398</v>
      </c>
      <c r="AN241" s="47">
        <f t="shared" si="92"/>
        <v>123.867997861053</v>
      </c>
      <c r="AO241" s="47">
        <f t="shared" si="93"/>
        <v>128.69311074886514</v>
      </c>
      <c r="AP241" s="47">
        <f t="shared" si="94"/>
        <v>121.64630929815797</v>
      </c>
      <c r="AQ241" s="47">
        <f t="shared" si="95"/>
        <v>101.59066823895363</v>
      </c>
      <c r="AR241" s="193">
        <f t="shared" si="96"/>
        <v>96.070497972128194</v>
      </c>
      <c r="AY241" s="3"/>
    </row>
    <row r="242" spans="1:51">
      <c r="A242" s="229"/>
      <c r="B242" s="37">
        <f>'13. Desinvesteringen'!B526</f>
        <v>507</v>
      </c>
      <c r="C242" s="48"/>
      <c r="D242" s="48"/>
      <c r="E242" s="48"/>
      <c r="F242" s="42">
        <f>'5. Input GAW-waarde desinv.'!D202</f>
        <v>32369.723836884237</v>
      </c>
      <c r="G242" s="177">
        <f>'13. Desinvesteringen'!D526</f>
        <v>2016</v>
      </c>
      <c r="H242" s="177">
        <f>'13. Desinvesteringen'!G526</f>
        <v>2023</v>
      </c>
      <c r="I242" s="37" t="str">
        <f>'13. Desinvesteringen'!C526</f>
        <v>17 Mengstations</v>
      </c>
      <c r="J242" s="166">
        <f>'13. Desinvesteringen'!F526</f>
        <v>0</v>
      </c>
      <c r="K242" s="38">
        <f>_xlfn.XLOOKUP(I242,'3. Input (des)investeringen '!$B$11:$B$81,'3. Input (des)investeringen '!$E$11:$E$81)</f>
        <v>0</v>
      </c>
      <c r="L242" s="48"/>
      <c r="M242" s="38">
        <f>_xlfn.XLOOKUP(I242,'3. Input (des)investeringen '!$B$11:$B$81,'3. Input (des)investeringen '!$D$11:$D$81,0)</f>
        <v>30</v>
      </c>
      <c r="N242" s="38">
        <f t="shared" si="76"/>
        <v>24.5</v>
      </c>
      <c r="P242" s="43">
        <f t="shared" si="97"/>
        <v>1545.8194648634515</v>
      </c>
      <c r="Q242" s="43">
        <f t="shared" si="97"/>
        <v>1463.7963912176356</v>
      </c>
      <c r="R242" s="43">
        <f t="shared" si="97"/>
        <v>1386.1255622958836</v>
      </c>
      <c r="S242" s="43">
        <f t="shared" si="97"/>
        <v>1312.5760426638572</v>
      </c>
      <c r="T242" s="95">
        <f t="shared" si="97"/>
        <v>1242.9291506041425</v>
      </c>
      <c r="V242" s="43">
        <f t="shared" si="77"/>
        <v>132.12132178320095</v>
      </c>
      <c r="W242" s="43">
        <f t="shared" si="78"/>
        <v>132.12132178320095</v>
      </c>
      <c r="X242" s="43">
        <f t="shared" si="79"/>
        <v>132.12132178320095</v>
      </c>
      <c r="Y242" s="43">
        <f t="shared" si="80"/>
        <v>132.12132178320095</v>
      </c>
      <c r="Z242" s="95">
        <f t="shared" si="81"/>
        <v>132.12132178320095</v>
      </c>
      <c r="AB242" s="43">
        <f t="shared" si="82"/>
        <v>1677.9407866466524</v>
      </c>
      <c r="AC242" s="43">
        <f t="shared" si="83"/>
        <v>1595.9177130008366</v>
      </c>
      <c r="AD242" s="43">
        <f t="shared" si="84"/>
        <v>1518.2468840790846</v>
      </c>
      <c r="AE242" s="43">
        <f t="shared" si="85"/>
        <v>1444.6973644470581</v>
      </c>
      <c r="AF242" s="95">
        <f t="shared" si="86"/>
        <v>1375.0504723873435</v>
      </c>
      <c r="AH242" s="43">
        <f t="shared" si="87"/>
        <v>30691.783050237584</v>
      </c>
      <c r="AI242" s="43">
        <f t="shared" si="88"/>
        <v>29095.865337236748</v>
      </c>
      <c r="AJ242" s="43">
        <f t="shared" si="89"/>
        <v>27577.618453157662</v>
      </c>
      <c r="AK242" s="43">
        <f t="shared" si="90"/>
        <v>26132.921088710602</v>
      </c>
      <c r="AL242" s="95">
        <f t="shared" si="91"/>
        <v>24757.87061632326</v>
      </c>
      <c r="AN242" s="47">
        <f t="shared" si="92"/>
        <v>2936.3038917063932</v>
      </c>
      <c r="AO242" s="47">
        <f t="shared" si="93"/>
        <v>3079.8068451999106</v>
      </c>
      <c r="AP242" s="47">
        <f t="shared" si="94"/>
        <v>2924.7054251901254</v>
      </c>
      <c r="AQ242" s="47">
        <f t="shared" si="95"/>
        <v>2437.7483658180608</v>
      </c>
      <c r="AR242" s="193">
        <f t="shared" si="96"/>
        <v>2315.8495558076274</v>
      </c>
      <c r="AY242" s="3"/>
    </row>
    <row r="243" spans="1:51">
      <c r="A243" s="229"/>
      <c r="B243" s="37">
        <f>'13. Desinvesteringen'!B527</f>
        <v>508</v>
      </c>
      <c r="C243" s="48"/>
      <c r="D243" s="48"/>
      <c r="E243" s="48"/>
      <c r="F243" s="42">
        <f>'5. Input GAW-waarde desinv.'!D203</f>
        <v>0</v>
      </c>
      <c r="G243" s="177">
        <f>'13. Desinvesteringen'!D527</f>
        <v>1964</v>
      </c>
      <c r="H243" s="177">
        <f>'13. Desinvesteringen'!G527</f>
        <v>2023</v>
      </c>
      <c r="I243" s="37" t="str">
        <f>'13. Desinvesteringen'!C527</f>
        <v>21 Hoofdtransportleiding</v>
      </c>
      <c r="J243" s="166">
        <f>'13. Desinvesteringen'!F527</f>
        <v>0</v>
      </c>
      <c r="K243" s="38">
        <f>_xlfn.XLOOKUP(I243,'3. Input (des)investeringen '!$B$11:$B$81,'3. Input (des)investeringen '!$E$11:$E$81)</f>
        <v>1</v>
      </c>
      <c r="L243" s="48"/>
      <c r="M243" s="38">
        <f>_xlfn.XLOOKUP(I243,'3. Input (des)investeringen '!$B$11:$B$81,'3. Input (des)investeringen '!$D$11:$D$81,0)</f>
        <v>55</v>
      </c>
      <c r="N243" s="38">
        <f t="shared" si="76"/>
        <v>0</v>
      </c>
      <c r="P243" s="43">
        <f t="shared" si="97"/>
        <v>0</v>
      </c>
      <c r="Q243" s="43">
        <f t="shared" si="97"/>
        <v>0</v>
      </c>
      <c r="R243" s="43">
        <f t="shared" si="97"/>
        <v>0</v>
      </c>
      <c r="S243" s="43">
        <f t="shared" si="97"/>
        <v>0</v>
      </c>
      <c r="T243" s="95">
        <f t="shared" si="97"/>
        <v>0</v>
      </c>
      <c r="V243" s="43">
        <f t="shared" si="77"/>
        <v>0</v>
      </c>
      <c r="W243" s="43">
        <f t="shared" si="78"/>
        <v>0</v>
      </c>
      <c r="X243" s="43">
        <f t="shared" si="79"/>
        <v>0</v>
      </c>
      <c r="Y243" s="43">
        <f t="shared" si="80"/>
        <v>0</v>
      </c>
      <c r="Z243" s="95">
        <f t="shared" si="81"/>
        <v>0</v>
      </c>
      <c r="AB243" s="43">
        <f t="shared" si="82"/>
        <v>0</v>
      </c>
      <c r="AC243" s="43">
        <f t="shared" si="83"/>
        <v>0</v>
      </c>
      <c r="AD243" s="43">
        <f t="shared" si="84"/>
        <v>0</v>
      </c>
      <c r="AE243" s="43">
        <f t="shared" si="85"/>
        <v>0</v>
      </c>
      <c r="AF243" s="95">
        <f t="shared" si="86"/>
        <v>0</v>
      </c>
      <c r="AH243" s="43">
        <f t="shared" si="87"/>
        <v>0</v>
      </c>
      <c r="AI243" s="43">
        <f t="shared" si="88"/>
        <v>0</v>
      </c>
      <c r="AJ243" s="43">
        <f t="shared" si="89"/>
        <v>0</v>
      </c>
      <c r="AK243" s="43">
        <f t="shared" si="90"/>
        <v>0</v>
      </c>
      <c r="AL243" s="95">
        <f t="shared" si="91"/>
        <v>0</v>
      </c>
      <c r="AN243" s="47">
        <f t="shared" si="92"/>
        <v>0</v>
      </c>
      <c r="AO243" s="47">
        <f t="shared" si="93"/>
        <v>0</v>
      </c>
      <c r="AP243" s="47">
        <f t="shared" si="94"/>
        <v>0</v>
      </c>
      <c r="AQ243" s="47">
        <f t="shared" si="95"/>
        <v>0</v>
      </c>
      <c r="AR243" s="193">
        <f t="shared" si="96"/>
        <v>0</v>
      </c>
      <c r="AY243" s="3"/>
    </row>
    <row r="244" spans="1:51">
      <c r="A244" s="229"/>
      <c r="B244" s="37">
        <f>'13. Desinvesteringen'!B528</f>
        <v>509</v>
      </c>
      <c r="C244" s="48"/>
      <c r="D244" s="48"/>
      <c r="E244" s="48"/>
      <c r="F244" s="42">
        <f>'5. Input GAW-waarde desinv.'!D204</f>
        <v>0</v>
      </c>
      <c r="G244" s="177">
        <f>'13. Desinvesteringen'!D528</f>
        <v>1966</v>
      </c>
      <c r="H244" s="177">
        <f>'13. Desinvesteringen'!G528</f>
        <v>2023</v>
      </c>
      <c r="I244" s="37" t="str">
        <f>'13. Desinvesteringen'!C528</f>
        <v>21 Hoofdtransportleiding</v>
      </c>
      <c r="J244" s="166">
        <f>'13. Desinvesteringen'!F528</f>
        <v>0</v>
      </c>
      <c r="K244" s="38">
        <f>_xlfn.XLOOKUP(I244,'3. Input (des)investeringen '!$B$11:$B$81,'3. Input (des)investeringen '!$E$11:$E$81)</f>
        <v>1</v>
      </c>
      <c r="L244" s="48"/>
      <c r="M244" s="38">
        <f>_xlfn.XLOOKUP(I244,'3. Input (des)investeringen '!$B$11:$B$81,'3. Input (des)investeringen '!$D$11:$D$81,0)</f>
        <v>55</v>
      </c>
      <c r="N244" s="38">
        <f t="shared" si="76"/>
        <v>0</v>
      </c>
      <c r="P244" s="43">
        <f t="shared" si="97"/>
        <v>0</v>
      </c>
      <c r="Q244" s="43">
        <f t="shared" si="97"/>
        <v>0</v>
      </c>
      <c r="R244" s="43">
        <f t="shared" si="97"/>
        <v>0</v>
      </c>
      <c r="S244" s="43">
        <f t="shared" si="97"/>
        <v>0</v>
      </c>
      <c r="T244" s="95">
        <f t="shared" si="97"/>
        <v>0</v>
      </c>
      <c r="V244" s="43">
        <f t="shared" si="77"/>
        <v>0</v>
      </c>
      <c r="W244" s="43">
        <f t="shared" si="78"/>
        <v>0</v>
      </c>
      <c r="X244" s="43">
        <f t="shared" si="79"/>
        <v>0</v>
      </c>
      <c r="Y244" s="43">
        <f t="shared" si="80"/>
        <v>0</v>
      </c>
      <c r="Z244" s="95">
        <f t="shared" si="81"/>
        <v>0</v>
      </c>
      <c r="AB244" s="43">
        <f t="shared" si="82"/>
        <v>0</v>
      </c>
      <c r="AC244" s="43">
        <f t="shared" si="83"/>
        <v>0</v>
      </c>
      <c r="AD244" s="43">
        <f t="shared" si="84"/>
        <v>0</v>
      </c>
      <c r="AE244" s="43">
        <f t="shared" si="85"/>
        <v>0</v>
      </c>
      <c r="AF244" s="95">
        <f t="shared" si="86"/>
        <v>0</v>
      </c>
      <c r="AH244" s="43">
        <f t="shared" si="87"/>
        <v>0</v>
      </c>
      <c r="AI244" s="43">
        <f t="shared" si="88"/>
        <v>0</v>
      </c>
      <c r="AJ244" s="43">
        <f t="shared" si="89"/>
        <v>0</v>
      </c>
      <c r="AK244" s="43">
        <f t="shared" si="90"/>
        <v>0</v>
      </c>
      <c r="AL244" s="95">
        <f t="shared" si="91"/>
        <v>0</v>
      </c>
      <c r="AN244" s="47">
        <f t="shared" si="92"/>
        <v>0</v>
      </c>
      <c r="AO244" s="47">
        <f t="shared" si="93"/>
        <v>0</v>
      </c>
      <c r="AP244" s="47">
        <f t="shared" si="94"/>
        <v>0</v>
      </c>
      <c r="AQ244" s="47">
        <f t="shared" si="95"/>
        <v>0</v>
      </c>
      <c r="AR244" s="193">
        <f t="shared" si="96"/>
        <v>0</v>
      </c>
      <c r="AY244" s="3"/>
    </row>
    <row r="245" spans="1:51">
      <c r="A245" s="229"/>
      <c r="B245" s="37">
        <f>'13. Desinvesteringen'!B529</f>
        <v>510</v>
      </c>
      <c r="C245" s="48"/>
      <c r="D245" s="48"/>
      <c r="E245" s="48"/>
      <c r="F245" s="42">
        <f>'5. Input GAW-waarde desinv.'!D205</f>
        <v>391.2500930325707</v>
      </c>
      <c r="G245" s="177">
        <f>'13. Desinvesteringen'!D529</f>
        <v>1967</v>
      </c>
      <c r="H245" s="177">
        <f>'13. Desinvesteringen'!G529</f>
        <v>2023</v>
      </c>
      <c r="I245" s="37" t="str">
        <f>'13. Desinvesteringen'!C529</f>
        <v>21 Hoofdtransportleiding</v>
      </c>
      <c r="J245" s="166">
        <f>'13. Desinvesteringen'!F529</f>
        <v>0</v>
      </c>
      <c r="K245" s="38">
        <f>_xlfn.XLOOKUP(I245,'3. Input (des)investeringen '!$B$11:$B$81,'3. Input (des)investeringen '!$E$11:$E$81)</f>
        <v>1</v>
      </c>
      <c r="L245" s="48"/>
      <c r="M245" s="38">
        <f>_xlfn.XLOOKUP(I245,'3. Input (des)investeringen '!$B$11:$B$81,'3. Input (des)investeringen '!$D$11:$D$81,0)</f>
        <v>55</v>
      </c>
      <c r="N245" s="38">
        <f t="shared" si="76"/>
        <v>0.5</v>
      </c>
      <c r="P245" s="43">
        <f t="shared" si="97"/>
        <v>352.12508372931364</v>
      </c>
      <c r="Q245" s="43">
        <f t="shared" si="97"/>
        <v>0</v>
      </c>
      <c r="R245" s="43">
        <f t="shared" si="97"/>
        <v>0</v>
      </c>
      <c r="S245" s="43">
        <f t="shared" si="97"/>
        <v>0</v>
      </c>
      <c r="T245" s="95">
        <f t="shared" si="97"/>
        <v>0</v>
      </c>
      <c r="V245" s="43">
        <f t="shared" si="77"/>
        <v>39.125009303257073</v>
      </c>
      <c r="W245" s="43">
        <f t="shared" si="78"/>
        <v>0</v>
      </c>
      <c r="X245" s="43">
        <f t="shared" si="79"/>
        <v>0</v>
      </c>
      <c r="Y245" s="43">
        <f t="shared" si="80"/>
        <v>0</v>
      </c>
      <c r="Z245" s="95">
        <f t="shared" si="81"/>
        <v>0</v>
      </c>
      <c r="AB245" s="43">
        <f t="shared" si="82"/>
        <v>391.2500930325707</v>
      </c>
      <c r="AC245" s="43">
        <f t="shared" si="83"/>
        <v>0</v>
      </c>
      <c r="AD245" s="43">
        <f t="shared" si="84"/>
        <v>0</v>
      </c>
      <c r="AE245" s="43">
        <f t="shared" si="85"/>
        <v>0</v>
      </c>
      <c r="AF245" s="95">
        <f t="shared" si="86"/>
        <v>0</v>
      </c>
      <c r="AH245" s="43">
        <f t="shared" si="87"/>
        <v>0</v>
      </c>
      <c r="AI245" s="43">
        <f t="shared" si="88"/>
        <v>0</v>
      </c>
      <c r="AJ245" s="43">
        <f t="shared" si="89"/>
        <v>0</v>
      </c>
      <c r="AK245" s="43">
        <f t="shared" si="90"/>
        <v>0</v>
      </c>
      <c r="AL245" s="95">
        <f t="shared" si="91"/>
        <v>0</v>
      </c>
      <c r="AN245" s="47">
        <f t="shared" si="92"/>
        <v>391.2500930325707</v>
      </c>
      <c r="AO245" s="47">
        <f t="shared" si="93"/>
        <v>0</v>
      </c>
      <c r="AP245" s="47">
        <f t="shared" si="94"/>
        <v>0</v>
      </c>
      <c r="AQ245" s="47">
        <f t="shared" si="95"/>
        <v>0</v>
      </c>
      <c r="AR245" s="193">
        <f t="shared" si="96"/>
        <v>0</v>
      </c>
      <c r="AY245" s="3"/>
    </row>
    <row r="246" spans="1:51">
      <c r="A246" s="229"/>
      <c r="B246" s="37">
        <f>'13. Desinvesteringen'!B530</f>
        <v>511</v>
      </c>
      <c r="C246" s="48"/>
      <c r="D246" s="48"/>
      <c r="E246" s="48"/>
      <c r="F246" s="42">
        <f>'5. Input GAW-waarde desinv.'!D206</f>
        <v>5807.0127406390793</v>
      </c>
      <c r="G246" s="177">
        <f>'13. Desinvesteringen'!D530</f>
        <v>1970</v>
      </c>
      <c r="H246" s="177">
        <f>'13. Desinvesteringen'!G530</f>
        <v>2023</v>
      </c>
      <c r="I246" s="37" t="str">
        <f>'13. Desinvesteringen'!C530</f>
        <v>21 Hoofdtransportleiding</v>
      </c>
      <c r="J246" s="166">
        <f>'13. Desinvesteringen'!F530</f>
        <v>0</v>
      </c>
      <c r="K246" s="38">
        <f>_xlfn.XLOOKUP(I246,'3. Input (des)investeringen '!$B$11:$B$81,'3. Input (des)investeringen '!$E$11:$E$81)</f>
        <v>1</v>
      </c>
      <c r="L246" s="48"/>
      <c r="M246" s="38">
        <f>_xlfn.XLOOKUP(I246,'3. Input (des)investeringen '!$B$11:$B$81,'3. Input (des)investeringen '!$D$11:$D$81,0)</f>
        <v>55</v>
      </c>
      <c r="N246" s="38">
        <f t="shared" si="76"/>
        <v>3.5</v>
      </c>
      <c r="P246" s="43">
        <f t="shared" si="97"/>
        <v>1941.201401870778</v>
      </c>
      <c r="Q246" s="43">
        <f t="shared" si="97"/>
        <v>1314.0440258817573</v>
      </c>
      <c r="R246" s="43">
        <f t="shared" si="97"/>
        <v>1314.0440258817573</v>
      </c>
      <c r="S246" s="43">
        <f t="shared" si="97"/>
        <v>657.02201294087865</v>
      </c>
      <c r="T246" s="95">
        <f t="shared" si="97"/>
        <v>0</v>
      </c>
      <c r="V246" s="43">
        <f t="shared" si="77"/>
        <v>165.91464973254514</v>
      </c>
      <c r="W246" s="43">
        <f t="shared" si="78"/>
        <v>165.91464973254514</v>
      </c>
      <c r="X246" s="43">
        <f t="shared" si="79"/>
        <v>165.91464973254514</v>
      </c>
      <c r="Y246" s="43">
        <f t="shared" si="80"/>
        <v>82.957324866272572</v>
      </c>
      <c r="Z246" s="95">
        <f t="shared" si="81"/>
        <v>0</v>
      </c>
      <c r="AB246" s="43">
        <f t="shared" si="82"/>
        <v>2107.1160516033233</v>
      </c>
      <c r="AC246" s="43">
        <f t="shared" si="83"/>
        <v>1479.9586756143024</v>
      </c>
      <c r="AD246" s="43">
        <f t="shared" si="84"/>
        <v>1479.9586756143024</v>
      </c>
      <c r="AE246" s="43">
        <f t="shared" si="85"/>
        <v>739.97933780715118</v>
      </c>
      <c r="AF246" s="95">
        <f t="shared" si="86"/>
        <v>0</v>
      </c>
      <c r="AH246" s="43">
        <f t="shared" si="87"/>
        <v>3699.896689035756</v>
      </c>
      <c r="AI246" s="43">
        <f t="shared" si="88"/>
        <v>2219.9380134214534</v>
      </c>
      <c r="AJ246" s="43">
        <f t="shared" si="89"/>
        <v>739.97933780715107</v>
      </c>
      <c r="AK246" s="43">
        <f t="shared" si="90"/>
        <v>0</v>
      </c>
      <c r="AL246" s="95">
        <f t="shared" si="91"/>
        <v>0</v>
      </c>
      <c r="AN246" s="47">
        <f t="shared" si="92"/>
        <v>2258.8118158537891</v>
      </c>
      <c r="AO246" s="47">
        <f t="shared" si="93"/>
        <v>1593.1755142987965</v>
      </c>
      <c r="AP246" s="47">
        <f t="shared" si="94"/>
        <v>1517.697621842467</v>
      </c>
      <c r="AQ246" s="47">
        <f t="shared" si="95"/>
        <v>739.97933780715118</v>
      </c>
      <c r="AR246" s="193">
        <f t="shared" si="96"/>
        <v>0</v>
      </c>
      <c r="AY246" s="3"/>
    </row>
    <row r="247" spans="1:51">
      <c r="A247" s="229"/>
      <c r="B247" s="37">
        <f>'13. Desinvesteringen'!B531</f>
        <v>512</v>
      </c>
      <c r="C247" s="48"/>
      <c r="D247" s="48"/>
      <c r="E247" s="48"/>
      <c r="F247" s="42">
        <f>'5. Input GAW-waarde desinv.'!D207</f>
        <v>3846.4772684956265</v>
      </c>
      <c r="G247" s="177">
        <f>'13. Desinvesteringen'!D531</f>
        <v>1971</v>
      </c>
      <c r="H247" s="177">
        <f>'13. Desinvesteringen'!G531</f>
        <v>2023</v>
      </c>
      <c r="I247" s="37" t="str">
        <f>'13. Desinvesteringen'!C531</f>
        <v>21 Hoofdtransportleiding</v>
      </c>
      <c r="J247" s="166">
        <f>'13. Desinvesteringen'!F531</f>
        <v>0</v>
      </c>
      <c r="K247" s="38">
        <f>_xlfn.XLOOKUP(I247,'3. Input (des)investeringen '!$B$11:$B$81,'3. Input (des)investeringen '!$E$11:$E$81)</f>
        <v>1</v>
      </c>
      <c r="L247" s="48"/>
      <c r="M247" s="38">
        <f>_xlfn.XLOOKUP(I247,'3. Input (des)investeringen '!$B$11:$B$81,'3. Input (des)investeringen '!$D$11:$D$81,0)</f>
        <v>55</v>
      </c>
      <c r="N247" s="38">
        <f t="shared" si="76"/>
        <v>4.5</v>
      </c>
      <c r="P247" s="43">
        <f t="shared" si="97"/>
        <v>1000.084089808863</v>
      </c>
      <c r="Q247" s="43">
        <f t="shared" si="97"/>
        <v>711.17090830852476</v>
      </c>
      <c r="R247" s="43">
        <f t="shared" si="97"/>
        <v>700.22981741147044</v>
      </c>
      <c r="S247" s="43">
        <f t="shared" si="97"/>
        <v>700.22981741147044</v>
      </c>
      <c r="T247" s="95">
        <f t="shared" si="97"/>
        <v>350.11490870573522</v>
      </c>
      <c r="V247" s="43">
        <f t="shared" si="77"/>
        <v>85.477272633236154</v>
      </c>
      <c r="W247" s="43">
        <f t="shared" si="78"/>
        <v>85.477272633236154</v>
      </c>
      <c r="X247" s="43">
        <f t="shared" si="79"/>
        <v>85.477272633236154</v>
      </c>
      <c r="Y247" s="43">
        <f t="shared" si="80"/>
        <v>85.477272633236154</v>
      </c>
      <c r="Z247" s="95">
        <f t="shared" si="81"/>
        <v>42.738636316618077</v>
      </c>
      <c r="AB247" s="43">
        <f t="shared" si="82"/>
        <v>1085.5613624420992</v>
      </c>
      <c r="AC247" s="43">
        <f t="shared" si="83"/>
        <v>796.64818094176087</v>
      </c>
      <c r="AD247" s="43">
        <f t="shared" si="84"/>
        <v>785.70709004470655</v>
      </c>
      <c r="AE247" s="43">
        <f t="shared" si="85"/>
        <v>785.70709004470655</v>
      </c>
      <c r="AF247" s="95">
        <f t="shared" si="86"/>
        <v>392.85354502235327</v>
      </c>
      <c r="AH247" s="43">
        <f t="shared" si="87"/>
        <v>2760.9159060535276</v>
      </c>
      <c r="AI247" s="43">
        <f t="shared" si="88"/>
        <v>1964.2677251117666</v>
      </c>
      <c r="AJ247" s="43">
        <f t="shared" si="89"/>
        <v>1178.56063506706</v>
      </c>
      <c r="AK247" s="43">
        <f t="shared" si="90"/>
        <v>392.8535450223535</v>
      </c>
      <c r="AL247" s="95">
        <f t="shared" si="91"/>
        <v>0</v>
      </c>
      <c r="AN247" s="47">
        <f t="shared" si="92"/>
        <v>1198.7589145902939</v>
      </c>
      <c r="AO247" s="47">
        <f t="shared" si="93"/>
        <v>896.8258349224609</v>
      </c>
      <c r="AP247" s="47">
        <f t="shared" si="94"/>
        <v>845.81368243312659</v>
      </c>
      <c r="AQ247" s="47">
        <f t="shared" si="95"/>
        <v>800.63552475555593</v>
      </c>
      <c r="AR247" s="193">
        <f t="shared" si="96"/>
        <v>392.85354502235327</v>
      </c>
      <c r="AY247" s="3"/>
    </row>
    <row r="248" spans="1:51">
      <c r="A248" s="229"/>
      <c r="B248" s="37">
        <f>'13. Desinvesteringen'!B532</f>
        <v>513</v>
      </c>
      <c r="C248" s="48"/>
      <c r="D248" s="48"/>
      <c r="E248" s="48"/>
      <c r="F248" s="42">
        <f>'5. Input GAW-waarde desinv.'!D208</f>
        <v>68227.138320870654</v>
      </c>
      <c r="G248" s="177">
        <f>'13. Desinvesteringen'!D532</f>
        <v>1975</v>
      </c>
      <c r="H248" s="177">
        <f>'13. Desinvesteringen'!G532</f>
        <v>2023</v>
      </c>
      <c r="I248" s="37" t="str">
        <f>'13. Desinvesteringen'!C532</f>
        <v>21 Hoofdtransportleiding</v>
      </c>
      <c r="J248" s="166">
        <f>'13. Desinvesteringen'!F532</f>
        <v>0</v>
      </c>
      <c r="K248" s="38">
        <f>_xlfn.XLOOKUP(I248,'3. Input (des)investeringen '!$B$11:$B$81,'3. Input (des)investeringen '!$E$11:$E$81)</f>
        <v>1</v>
      </c>
      <c r="L248" s="48"/>
      <c r="M248" s="38">
        <f>_xlfn.XLOOKUP(I248,'3. Input (des)investeringen '!$B$11:$B$81,'3. Input (des)investeringen '!$D$11:$D$81,0)</f>
        <v>55</v>
      </c>
      <c r="N248" s="38">
        <f t="shared" si="76"/>
        <v>8.5</v>
      </c>
      <c r="P248" s="43">
        <f t="shared" si="97"/>
        <v>9391.2649218139613</v>
      </c>
      <c r="Q248" s="43">
        <f t="shared" si="97"/>
        <v>7954.9538161247665</v>
      </c>
      <c r="R248" s="43">
        <f t="shared" si="97"/>
        <v>6778.1855001299782</v>
      </c>
      <c r="S248" s="43">
        <f t="shared" si="97"/>
        <v>6778.1855001299782</v>
      </c>
      <c r="T248" s="95">
        <f t="shared" si="97"/>
        <v>6778.1855001299782</v>
      </c>
      <c r="V248" s="43">
        <f t="shared" si="77"/>
        <v>802.67221553965476</v>
      </c>
      <c r="W248" s="43">
        <f t="shared" si="78"/>
        <v>802.67221553965476</v>
      </c>
      <c r="X248" s="43">
        <f t="shared" si="79"/>
        <v>802.67221553965476</v>
      </c>
      <c r="Y248" s="43">
        <f t="shared" si="80"/>
        <v>802.67221553965476</v>
      </c>
      <c r="Z248" s="95">
        <f t="shared" si="81"/>
        <v>802.67221553965476</v>
      </c>
      <c r="AB248" s="43">
        <f t="shared" si="82"/>
        <v>10193.937137353616</v>
      </c>
      <c r="AC248" s="43">
        <f t="shared" si="83"/>
        <v>8757.626031664422</v>
      </c>
      <c r="AD248" s="43">
        <f t="shared" si="84"/>
        <v>7580.8577156696329</v>
      </c>
      <c r="AE248" s="43">
        <f t="shared" si="85"/>
        <v>7580.8577156696329</v>
      </c>
      <c r="AF248" s="95">
        <f t="shared" si="86"/>
        <v>7580.8577156696329</v>
      </c>
      <c r="AH248" s="43">
        <f t="shared" si="87"/>
        <v>58033.201183517041</v>
      </c>
      <c r="AI248" s="43">
        <f t="shared" si="88"/>
        <v>49275.575151852623</v>
      </c>
      <c r="AJ248" s="43">
        <f t="shared" si="89"/>
        <v>41694.717436182989</v>
      </c>
      <c r="AK248" s="43">
        <f t="shared" si="90"/>
        <v>34113.859720513356</v>
      </c>
      <c r="AL248" s="95">
        <f t="shared" si="91"/>
        <v>26533.002004843722</v>
      </c>
      <c r="AN248" s="47">
        <f t="shared" si="92"/>
        <v>12573.298385877815</v>
      </c>
      <c r="AO248" s="47">
        <f t="shared" si="93"/>
        <v>11270.680364408905</v>
      </c>
      <c r="AP248" s="47">
        <f t="shared" si="94"/>
        <v>9707.2883049149641</v>
      </c>
      <c r="AQ248" s="47">
        <f t="shared" si="95"/>
        <v>8877.1843850491405</v>
      </c>
      <c r="AR248" s="193">
        <f t="shared" si="96"/>
        <v>8589.1117918536947</v>
      </c>
      <c r="AY248" s="3"/>
    </row>
    <row r="249" spans="1:51">
      <c r="A249" s="229"/>
      <c r="B249" s="37">
        <f>'13. Desinvesteringen'!B533</f>
        <v>514</v>
      </c>
      <c r="C249" s="48"/>
      <c r="D249" s="48"/>
      <c r="E249" s="48"/>
      <c r="F249" s="42">
        <f>'5. Input GAW-waarde desinv.'!D209</f>
        <v>18541.10836769961</v>
      </c>
      <c r="G249" s="177">
        <f>'13. Desinvesteringen'!D533</f>
        <v>1976</v>
      </c>
      <c r="H249" s="177">
        <f>'13. Desinvesteringen'!G533</f>
        <v>2023</v>
      </c>
      <c r="I249" s="37" t="str">
        <f>'13. Desinvesteringen'!C533</f>
        <v>21 Hoofdtransportleiding</v>
      </c>
      <c r="J249" s="166">
        <f>'13. Desinvesteringen'!F533</f>
        <v>0</v>
      </c>
      <c r="K249" s="38">
        <f>_xlfn.XLOOKUP(I249,'3. Input (des)investeringen '!$B$11:$B$81,'3. Input (des)investeringen '!$E$11:$E$81)</f>
        <v>1</v>
      </c>
      <c r="L249" s="48"/>
      <c r="M249" s="38">
        <f>_xlfn.XLOOKUP(I249,'3. Input (des)investeringen '!$B$11:$B$81,'3. Input (des)investeringen '!$D$11:$D$81,0)</f>
        <v>55</v>
      </c>
      <c r="N249" s="38">
        <f t="shared" si="76"/>
        <v>9.5</v>
      </c>
      <c r="P249" s="43">
        <f t="shared" si="97"/>
        <v>2283.4838726535313</v>
      </c>
      <c r="Q249" s="43">
        <f t="shared" si="97"/>
        <v>1971.0071321851531</v>
      </c>
      <c r="R249" s="43">
        <f t="shared" si="97"/>
        <v>1701.2903667282374</v>
      </c>
      <c r="S249" s="43">
        <f t="shared" si="97"/>
        <v>1650.9563322096503</v>
      </c>
      <c r="T249" s="95">
        <f t="shared" si="97"/>
        <v>1650.9563322096503</v>
      </c>
      <c r="V249" s="43">
        <f t="shared" si="77"/>
        <v>195.16956176525906</v>
      </c>
      <c r="W249" s="43">
        <f t="shared" si="78"/>
        <v>195.16956176525906</v>
      </c>
      <c r="X249" s="43">
        <f t="shared" si="79"/>
        <v>195.16956176525906</v>
      </c>
      <c r="Y249" s="43">
        <f t="shared" si="80"/>
        <v>195.16956176525906</v>
      </c>
      <c r="Z249" s="95">
        <f t="shared" si="81"/>
        <v>195.16956176525906</v>
      </c>
      <c r="AB249" s="43">
        <f t="shared" si="82"/>
        <v>2478.6534344187903</v>
      </c>
      <c r="AC249" s="43">
        <f t="shared" si="83"/>
        <v>2166.1766939504123</v>
      </c>
      <c r="AD249" s="43">
        <f t="shared" si="84"/>
        <v>1896.4599284934964</v>
      </c>
      <c r="AE249" s="43">
        <f t="shared" si="85"/>
        <v>1846.1258939749093</v>
      </c>
      <c r="AF249" s="95">
        <f t="shared" si="86"/>
        <v>1846.1258939749093</v>
      </c>
      <c r="AH249" s="43">
        <f t="shared" si="87"/>
        <v>16062.45493328082</v>
      </c>
      <c r="AI249" s="43">
        <f t="shared" si="88"/>
        <v>13896.278239330408</v>
      </c>
      <c r="AJ249" s="43">
        <f t="shared" si="89"/>
        <v>11999.818310836912</v>
      </c>
      <c r="AK249" s="43">
        <f t="shared" si="90"/>
        <v>10153.692416862003</v>
      </c>
      <c r="AL249" s="95">
        <f t="shared" si="91"/>
        <v>8307.566522887093</v>
      </c>
      <c r="AN249" s="47">
        <f t="shared" si="92"/>
        <v>3137.2140866833042</v>
      </c>
      <c r="AO249" s="47">
        <f t="shared" si="93"/>
        <v>2874.886884156263</v>
      </c>
      <c r="AP249" s="47">
        <f t="shared" si="94"/>
        <v>2508.4506623461789</v>
      </c>
      <c r="AQ249" s="47">
        <f t="shared" si="95"/>
        <v>2231.9662058156655</v>
      </c>
      <c r="AR249" s="193">
        <f t="shared" si="96"/>
        <v>2161.8134218446189</v>
      </c>
      <c r="AY249" s="3"/>
    </row>
    <row r="250" spans="1:51">
      <c r="A250" s="229"/>
      <c r="B250" s="37">
        <f>'13. Desinvesteringen'!B534</f>
        <v>515</v>
      </c>
      <c r="C250" s="48"/>
      <c r="D250" s="48"/>
      <c r="E250" s="48"/>
      <c r="F250" s="42">
        <f>'5. Input GAW-waarde desinv.'!D210</f>
        <v>9654.3986266756274</v>
      </c>
      <c r="G250" s="177">
        <f>'13. Desinvesteringen'!D534</f>
        <v>1978</v>
      </c>
      <c r="H250" s="177">
        <f>'13. Desinvesteringen'!G534</f>
        <v>2023</v>
      </c>
      <c r="I250" s="37" t="str">
        <f>'13. Desinvesteringen'!C534</f>
        <v>21 Hoofdtransportleiding</v>
      </c>
      <c r="J250" s="166">
        <f>'13. Desinvesteringen'!F534</f>
        <v>0</v>
      </c>
      <c r="K250" s="38">
        <f>_xlfn.XLOOKUP(I250,'3. Input (des)investeringen '!$B$11:$B$81,'3. Input (des)investeringen '!$E$11:$E$81)</f>
        <v>1</v>
      </c>
      <c r="L250" s="48"/>
      <c r="M250" s="38">
        <f>_xlfn.XLOOKUP(I250,'3. Input (des)investeringen '!$B$11:$B$81,'3. Input (des)investeringen '!$D$11:$D$81,0)</f>
        <v>55</v>
      </c>
      <c r="N250" s="38">
        <f t="shared" si="76"/>
        <v>11.5</v>
      </c>
      <c r="P250" s="43">
        <f t="shared" si="97"/>
        <v>982.23012114873779</v>
      </c>
      <c r="Q250" s="43">
        <f t="shared" si="97"/>
        <v>871.19541180148906</v>
      </c>
      <c r="R250" s="43">
        <f t="shared" si="97"/>
        <v>772.71245220653816</v>
      </c>
      <c r="S250" s="43">
        <f t="shared" si="97"/>
        <v>713.27303280603519</v>
      </c>
      <c r="T250" s="95">
        <f t="shared" si="97"/>
        <v>713.27303280603519</v>
      </c>
      <c r="V250" s="43">
        <f t="shared" si="77"/>
        <v>83.951292405875023</v>
      </c>
      <c r="W250" s="43">
        <f t="shared" si="78"/>
        <v>83.951292405875023</v>
      </c>
      <c r="X250" s="43">
        <f t="shared" si="79"/>
        <v>83.951292405875023</v>
      </c>
      <c r="Y250" s="43">
        <f t="shared" si="80"/>
        <v>83.951292405875023</v>
      </c>
      <c r="Z250" s="95">
        <f t="shared" si="81"/>
        <v>83.951292405875023</v>
      </c>
      <c r="AB250" s="43">
        <f t="shared" si="82"/>
        <v>1066.1814135546128</v>
      </c>
      <c r="AC250" s="43">
        <f t="shared" si="83"/>
        <v>955.14670420736411</v>
      </c>
      <c r="AD250" s="43">
        <f t="shared" si="84"/>
        <v>856.66374461241321</v>
      </c>
      <c r="AE250" s="43">
        <f t="shared" si="85"/>
        <v>797.22432521191024</v>
      </c>
      <c r="AF250" s="95">
        <f t="shared" si="86"/>
        <v>797.22432521191024</v>
      </c>
      <c r="AH250" s="43">
        <f t="shared" si="87"/>
        <v>8588.2172131210136</v>
      </c>
      <c r="AI250" s="43">
        <f t="shared" si="88"/>
        <v>7633.07050891365</v>
      </c>
      <c r="AJ250" s="43">
        <f t="shared" si="89"/>
        <v>6776.4067643012368</v>
      </c>
      <c r="AK250" s="43">
        <f t="shared" si="90"/>
        <v>5979.1824390893262</v>
      </c>
      <c r="AL250" s="95">
        <f t="shared" si="91"/>
        <v>5181.9581138774156</v>
      </c>
      <c r="AN250" s="47">
        <f t="shared" si="92"/>
        <v>1418.2983192925744</v>
      </c>
      <c r="AO250" s="47">
        <f t="shared" si="93"/>
        <v>1344.4333001619602</v>
      </c>
      <c r="AP250" s="47">
        <f t="shared" si="94"/>
        <v>1202.2604895917761</v>
      </c>
      <c r="AQ250" s="47">
        <f t="shared" si="95"/>
        <v>1024.4332578973047</v>
      </c>
      <c r="AR250" s="193">
        <f t="shared" si="96"/>
        <v>994.13873353925203</v>
      </c>
      <c r="AY250" s="3"/>
    </row>
    <row r="251" spans="1:51">
      <c r="A251" s="229"/>
      <c r="B251" s="37">
        <f>'13. Desinvesteringen'!B535</f>
        <v>516</v>
      </c>
      <c r="C251" s="48"/>
      <c r="D251" s="48"/>
      <c r="E251" s="48"/>
      <c r="F251" s="42">
        <f>'5. Input GAW-waarde desinv.'!D211</f>
        <v>11416.655239751346</v>
      </c>
      <c r="G251" s="177">
        <f>'13. Desinvesteringen'!D535</f>
        <v>1980</v>
      </c>
      <c r="H251" s="177">
        <f>'13. Desinvesteringen'!G535</f>
        <v>2023</v>
      </c>
      <c r="I251" s="37" t="str">
        <f>'13. Desinvesteringen'!C535</f>
        <v>21 Hoofdtransportleiding</v>
      </c>
      <c r="J251" s="166">
        <f>'13. Desinvesteringen'!F535</f>
        <v>0</v>
      </c>
      <c r="K251" s="38">
        <f>_xlfn.XLOOKUP(I251,'3. Input (des)investeringen '!$B$11:$B$81,'3. Input (des)investeringen '!$E$11:$E$81)</f>
        <v>1</v>
      </c>
      <c r="L251" s="48"/>
      <c r="M251" s="38">
        <f>_xlfn.XLOOKUP(I251,'3. Input (des)investeringen '!$B$11:$B$81,'3. Input (des)investeringen '!$D$11:$D$81,0)</f>
        <v>55</v>
      </c>
      <c r="N251" s="38">
        <f t="shared" si="76"/>
        <v>13.5</v>
      </c>
      <c r="P251" s="43">
        <f t="shared" si="97"/>
        <v>989.44345411178335</v>
      </c>
      <c r="Q251" s="43">
        <f t="shared" si="97"/>
        <v>894.1637140862041</v>
      </c>
      <c r="R251" s="43">
        <f t="shared" si="97"/>
        <v>808.05906013716231</v>
      </c>
      <c r="S251" s="43">
        <f t="shared" si="97"/>
        <v>730.24596545728741</v>
      </c>
      <c r="T251" s="95">
        <f t="shared" si="97"/>
        <v>721.37658126144981</v>
      </c>
      <c r="V251" s="43">
        <f t="shared" si="77"/>
        <v>84.567816590750724</v>
      </c>
      <c r="W251" s="43">
        <f t="shared" si="78"/>
        <v>84.567816590750724</v>
      </c>
      <c r="X251" s="43">
        <f t="shared" si="79"/>
        <v>84.567816590750724</v>
      </c>
      <c r="Y251" s="43">
        <f t="shared" si="80"/>
        <v>84.567816590750724</v>
      </c>
      <c r="Z251" s="95">
        <f t="shared" si="81"/>
        <v>84.567816590750724</v>
      </c>
      <c r="AB251" s="43">
        <f t="shared" si="82"/>
        <v>1074.0112707025341</v>
      </c>
      <c r="AC251" s="43">
        <f t="shared" si="83"/>
        <v>978.73153067695478</v>
      </c>
      <c r="AD251" s="43">
        <f t="shared" si="84"/>
        <v>892.62687672791299</v>
      </c>
      <c r="AE251" s="43">
        <f t="shared" si="85"/>
        <v>814.81378204803809</v>
      </c>
      <c r="AF251" s="95">
        <f t="shared" si="86"/>
        <v>805.9443978522005</v>
      </c>
      <c r="AH251" s="43">
        <f t="shared" si="87"/>
        <v>10342.643969048811</v>
      </c>
      <c r="AI251" s="43">
        <f t="shared" si="88"/>
        <v>9363.9124383718572</v>
      </c>
      <c r="AJ251" s="43">
        <f t="shared" si="89"/>
        <v>8471.2855616439447</v>
      </c>
      <c r="AK251" s="43">
        <f t="shared" si="90"/>
        <v>7656.4717795959068</v>
      </c>
      <c r="AL251" s="95">
        <f t="shared" si="91"/>
        <v>6850.5273817437064</v>
      </c>
      <c r="AN251" s="47">
        <f t="shared" si="92"/>
        <v>1498.0596734335354</v>
      </c>
      <c r="AO251" s="47">
        <f t="shared" si="93"/>
        <v>1456.2910650339195</v>
      </c>
      <c r="AP251" s="47">
        <f t="shared" si="94"/>
        <v>1324.6624403717542</v>
      </c>
      <c r="AQ251" s="47">
        <f t="shared" si="95"/>
        <v>1105.7597096726827</v>
      </c>
      <c r="AR251" s="193">
        <f t="shared" si="96"/>
        <v>1066.2644383584613</v>
      </c>
      <c r="AY251" s="3"/>
    </row>
    <row r="252" spans="1:51">
      <c r="A252" s="229"/>
      <c r="B252" s="37">
        <f>'13. Desinvesteringen'!B536</f>
        <v>517</v>
      </c>
      <c r="C252" s="48"/>
      <c r="D252" s="48"/>
      <c r="E252" s="48"/>
      <c r="F252" s="42">
        <f>'5. Input GAW-waarde desinv.'!D212</f>
        <v>17633.404807314058</v>
      </c>
      <c r="G252" s="177">
        <f>'13. Desinvesteringen'!D536</f>
        <v>1982</v>
      </c>
      <c r="H252" s="177">
        <f>'13. Desinvesteringen'!G536</f>
        <v>2023</v>
      </c>
      <c r="I252" s="37" t="str">
        <f>'13. Desinvesteringen'!C536</f>
        <v>21 Hoofdtransportleiding</v>
      </c>
      <c r="J252" s="166">
        <f>'13. Desinvesteringen'!F536</f>
        <v>0</v>
      </c>
      <c r="K252" s="38">
        <f>_xlfn.XLOOKUP(I252,'3. Input (des)investeringen '!$B$11:$B$81,'3. Input (des)investeringen '!$E$11:$E$81)</f>
        <v>1</v>
      </c>
      <c r="L252" s="48"/>
      <c r="M252" s="38">
        <f>_xlfn.XLOOKUP(I252,'3. Input (des)investeringen '!$B$11:$B$81,'3. Input (des)investeringen '!$D$11:$D$81,0)</f>
        <v>55</v>
      </c>
      <c r="N252" s="38">
        <f t="shared" si="76"/>
        <v>15.5</v>
      </c>
      <c r="P252" s="43">
        <f t="shared" si="97"/>
        <v>1331.0376531972547</v>
      </c>
      <c r="Q252" s="43">
        <f t="shared" si="97"/>
        <v>1219.4022371226463</v>
      </c>
      <c r="R252" s="43">
        <f t="shared" si="97"/>
        <v>1117.1297914284889</v>
      </c>
      <c r="S252" s="43">
        <f t="shared" si="97"/>
        <v>1023.4350347280349</v>
      </c>
      <c r="T252" s="95">
        <f t="shared" si="97"/>
        <v>972.09214000923726</v>
      </c>
      <c r="V252" s="43">
        <f t="shared" si="77"/>
        <v>113.76390198267134</v>
      </c>
      <c r="W252" s="43">
        <f t="shared" si="78"/>
        <v>113.76390198267134</v>
      </c>
      <c r="X252" s="43">
        <f t="shared" si="79"/>
        <v>113.76390198267134</v>
      </c>
      <c r="Y252" s="43">
        <f t="shared" si="80"/>
        <v>113.76390198267134</v>
      </c>
      <c r="Z252" s="95">
        <f t="shared" si="81"/>
        <v>113.76390198267134</v>
      </c>
      <c r="AB252" s="43">
        <f t="shared" si="82"/>
        <v>1444.801555179926</v>
      </c>
      <c r="AC252" s="43">
        <f t="shared" si="83"/>
        <v>1333.1661391053176</v>
      </c>
      <c r="AD252" s="43">
        <f t="shared" si="84"/>
        <v>1230.8936934111603</v>
      </c>
      <c r="AE252" s="43">
        <f t="shared" si="85"/>
        <v>1137.1989367107062</v>
      </c>
      <c r="AF252" s="95">
        <f t="shared" si="86"/>
        <v>1085.8560419919086</v>
      </c>
      <c r="AH252" s="43">
        <f t="shared" si="87"/>
        <v>16188.603252134133</v>
      </c>
      <c r="AI252" s="43">
        <f t="shared" si="88"/>
        <v>14855.437113028816</v>
      </c>
      <c r="AJ252" s="43">
        <f t="shared" si="89"/>
        <v>13624.543419617656</v>
      </c>
      <c r="AK252" s="43">
        <f t="shared" si="90"/>
        <v>12487.344482906949</v>
      </c>
      <c r="AL252" s="95">
        <f t="shared" si="91"/>
        <v>11401.48844091504</v>
      </c>
      <c r="AN252" s="47">
        <f t="shared" si="92"/>
        <v>2108.5342885174255</v>
      </c>
      <c r="AO252" s="47">
        <f t="shared" si="93"/>
        <v>2090.7934318697871</v>
      </c>
      <c r="AP252" s="47">
        <f t="shared" si="94"/>
        <v>1925.7454078116607</v>
      </c>
      <c r="AQ252" s="47">
        <f t="shared" si="95"/>
        <v>1611.7180270611702</v>
      </c>
      <c r="AR252" s="193">
        <f t="shared" si="96"/>
        <v>1519.1126027466801</v>
      </c>
      <c r="AY252" s="3"/>
    </row>
    <row r="253" spans="1:51">
      <c r="A253" s="229"/>
      <c r="B253" s="37">
        <f>'13. Desinvesteringen'!B537</f>
        <v>518</v>
      </c>
      <c r="C253" s="48"/>
      <c r="D253" s="48"/>
      <c r="E253" s="48"/>
      <c r="F253" s="42">
        <f>'5. Input GAW-waarde desinv.'!D213</f>
        <v>15300.61437397597</v>
      </c>
      <c r="G253" s="177">
        <f>'13. Desinvesteringen'!D537</f>
        <v>1986</v>
      </c>
      <c r="H253" s="177">
        <f>'13. Desinvesteringen'!G537</f>
        <v>2023</v>
      </c>
      <c r="I253" s="37" t="str">
        <f>'13. Desinvesteringen'!C537</f>
        <v>21 Hoofdtransportleiding</v>
      </c>
      <c r="J253" s="166">
        <f>'13. Desinvesteringen'!F537</f>
        <v>0</v>
      </c>
      <c r="K253" s="38">
        <f>_xlfn.XLOOKUP(I253,'3. Input (des)investeringen '!$B$11:$B$81,'3. Input (des)investeringen '!$E$11:$E$81)</f>
        <v>1</v>
      </c>
      <c r="L253" s="48"/>
      <c r="M253" s="38">
        <f>_xlfn.XLOOKUP(I253,'3. Input (des)investeringen '!$B$11:$B$81,'3. Input (des)investeringen '!$D$11:$D$81,0)</f>
        <v>55</v>
      </c>
      <c r="N253" s="38">
        <f t="shared" si="76"/>
        <v>19.5</v>
      </c>
      <c r="P253" s="43">
        <f t="shared" si="97"/>
        <v>918.03686243855816</v>
      </c>
      <c r="Q253" s="43">
        <f t="shared" si="97"/>
        <v>856.83440494265426</v>
      </c>
      <c r="R253" s="43">
        <f t="shared" si="97"/>
        <v>799.71211127981076</v>
      </c>
      <c r="S253" s="43">
        <f t="shared" si="97"/>
        <v>746.39797052782342</v>
      </c>
      <c r="T253" s="95">
        <f t="shared" si="97"/>
        <v>696.63810582596852</v>
      </c>
      <c r="V253" s="43">
        <f t="shared" si="77"/>
        <v>78.464689097312672</v>
      </c>
      <c r="W253" s="43">
        <f t="shared" si="78"/>
        <v>78.464689097312672</v>
      </c>
      <c r="X253" s="43">
        <f t="shared" si="79"/>
        <v>78.464689097312672</v>
      </c>
      <c r="Y253" s="43">
        <f t="shared" si="80"/>
        <v>78.464689097312672</v>
      </c>
      <c r="Z253" s="95">
        <f t="shared" si="81"/>
        <v>78.464689097312672</v>
      </c>
      <c r="AB253" s="43">
        <f t="shared" si="82"/>
        <v>996.50155153587082</v>
      </c>
      <c r="AC253" s="43">
        <f t="shared" si="83"/>
        <v>935.29909403996692</v>
      </c>
      <c r="AD253" s="43">
        <f t="shared" si="84"/>
        <v>878.17680037712341</v>
      </c>
      <c r="AE253" s="43">
        <f t="shared" si="85"/>
        <v>824.86265962513608</v>
      </c>
      <c r="AF253" s="95">
        <f t="shared" si="86"/>
        <v>775.10279492328118</v>
      </c>
      <c r="AH253" s="43">
        <f t="shared" si="87"/>
        <v>14304.1128224401</v>
      </c>
      <c r="AI253" s="43">
        <f t="shared" si="88"/>
        <v>13368.813728400133</v>
      </c>
      <c r="AJ253" s="43">
        <f t="shared" si="89"/>
        <v>12490.63692802301</v>
      </c>
      <c r="AK253" s="43">
        <f t="shared" si="90"/>
        <v>11665.774268397874</v>
      </c>
      <c r="AL253" s="95">
        <f t="shared" si="91"/>
        <v>10890.671473474593</v>
      </c>
      <c r="AN253" s="47">
        <f t="shared" si="92"/>
        <v>1582.9701772559149</v>
      </c>
      <c r="AO253" s="47">
        <f t="shared" si="93"/>
        <v>1617.1085941883737</v>
      </c>
      <c r="AP253" s="47">
        <f t="shared" si="94"/>
        <v>1515.1992837062969</v>
      </c>
      <c r="AQ253" s="47">
        <f t="shared" si="95"/>
        <v>1268.1620818242552</v>
      </c>
      <c r="AR253" s="193">
        <f t="shared" si="96"/>
        <v>1188.9483109153157</v>
      </c>
      <c r="AY253" s="3"/>
    </row>
    <row r="254" spans="1:51">
      <c r="A254" s="229"/>
      <c r="B254" s="37">
        <f>'13. Desinvesteringen'!B538</f>
        <v>519</v>
      </c>
      <c r="C254" s="48"/>
      <c r="D254" s="48"/>
      <c r="E254" s="48"/>
      <c r="F254" s="42">
        <f>'5. Input GAW-waarde desinv.'!D214</f>
        <v>16001.249643380297</v>
      </c>
      <c r="G254" s="177">
        <f>'13. Desinvesteringen'!D538</f>
        <v>1987</v>
      </c>
      <c r="H254" s="177">
        <f>'13. Desinvesteringen'!G538</f>
        <v>2023</v>
      </c>
      <c r="I254" s="37" t="str">
        <f>'13. Desinvesteringen'!C538</f>
        <v>21 Hoofdtransportleiding</v>
      </c>
      <c r="J254" s="166">
        <f>'13. Desinvesteringen'!F538</f>
        <v>0</v>
      </c>
      <c r="K254" s="38">
        <f>_xlfn.XLOOKUP(I254,'3. Input (des)investeringen '!$B$11:$B$81,'3. Input (des)investeringen '!$E$11:$E$81)</f>
        <v>1</v>
      </c>
      <c r="L254" s="48"/>
      <c r="M254" s="38">
        <f>_xlfn.XLOOKUP(I254,'3. Input (des)investeringen '!$B$11:$B$81,'3. Input (des)investeringen '!$D$11:$D$81,0)</f>
        <v>55</v>
      </c>
      <c r="N254" s="38">
        <f t="shared" si="76"/>
        <v>20.5</v>
      </c>
      <c r="P254" s="43">
        <f t="shared" si="97"/>
        <v>913.24205281731452</v>
      </c>
      <c r="Q254" s="43">
        <f t="shared" si="97"/>
        <v>855.32914215085066</v>
      </c>
      <c r="R254" s="43">
        <f t="shared" si="97"/>
        <v>801.08875752665028</v>
      </c>
      <c r="S254" s="43">
        <f t="shared" si="97"/>
        <v>750.28800704935065</v>
      </c>
      <c r="T254" s="95">
        <f t="shared" si="97"/>
        <v>702.70876757792826</v>
      </c>
      <c r="V254" s="43">
        <f t="shared" si="77"/>
        <v>78.054876309172187</v>
      </c>
      <c r="W254" s="43">
        <f t="shared" si="78"/>
        <v>78.054876309172187</v>
      </c>
      <c r="X254" s="43">
        <f t="shared" si="79"/>
        <v>78.054876309172187</v>
      </c>
      <c r="Y254" s="43">
        <f t="shared" si="80"/>
        <v>78.054876309172187</v>
      </c>
      <c r="Z254" s="95">
        <f t="shared" si="81"/>
        <v>78.054876309172187</v>
      </c>
      <c r="AB254" s="43">
        <f t="shared" si="82"/>
        <v>991.2969291264867</v>
      </c>
      <c r="AC254" s="43">
        <f t="shared" si="83"/>
        <v>933.38401846002284</v>
      </c>
      <c r="AD254" s="43">
        <f t="shared" si="84"/>
        <v>879.14363383582247</v>
      </c>
      <c r="AE254" s="43">
        <f t="shared" si="85"/>
        <v>828.34288335852284</v>
      </c>
      <c r="AF254" s="95">
        <f t="shared" si="86"/>
        <v>780.76364388710044</v>
      </c>
      <c r="AH254" s="43">
        <f t="shared" si="87"/>
        <v>15009.95271425381</v>
      </c>
      <c r="AI254" s="43">
        <f t="shared" si="88"/>
        <v>14076.568695793787</v>
      </c>
      <c r="AJ254" s="43">
        <f t="shared" si="89"/>
        <v>13197.425061957965</v>
      </c>
      <c r="AK254" s="43">
        <f t="shared" si="90"/>
        <v>12369.082178599443</v>
      </c>
      <c r="AL254" s="95">
        <f t="shared" si="91"/>
        <v>11588.318534712344</v>
      </c>
      <c r="AN254" s="47">
        <f t="shared" si="92"/>
        <v>1606.7049904108931</v>
      </c>
      <c r="AO254" s="47">
        <f t="shared" si="93"/>
        <v>1651.289021945506</v>
      </c>
      <c r="AP254" s="47">
        <f t="shared" si="94"/>
        <v>1552.2123119956786</v>
      </c>
      <c r="AQ254" s="47">
        <f t="shared" si="95"/>
        <v>1298.3680061453017</v>
      </c>
      <c r="AR254" s="193">
        <f t="shared" si="96"/>
        <v>1221.1197482061696</v>
      </c>
      <c r="AY254" s="3"/>
    </row>
    <row r="255" spans="1:51">
      <c r="A255" s="229"/>
      <c r="B255" s="37">
        <f>'13. Desinvesteringen'!B539</f>
        <v>520</v>
      </c>
      <c r="C255" s="48"/>
      <c r="D255" s="48"/>
      <c r="E255" s="48"/>
      <c r="F255" s="42">
        <f>'5. Input GAW-waarde desinv.'!D215</f>
        <v>20208.996722083291</v>
      </c>
      <c r="G255" s="177">
        <f>'13. Desinvesteringen'!D539</f>
        <v>1993</v>
      </c>
      <c r="H255" s="177">
        <f>'13. Desinvesteringen'!G539</f>
        <v>2023</v>
      </c>
      <c r="I255" s="37" t="str">
        <f>'13. Desinvesteringen'!C539</f>
        <v>21 Hoofdtransportleiding</v>
      </c>
      <c r="J255" s="166">
        <f>'13. Desinvesteringen'!F539</f>
        <v>0</v>
      </c>
      <c r="K255" s="38">
        <f>_xlfn.XLOOKUP(I255,'3. Input (des)investeringen '!$B$11:$B$81,'3. Input (des)investeringen '!$E$11:$E$81)</f>
        <v>1</v>
      </c>
      <c r="L255" s="48"/>
      <c r="M255" s="38">
        <f>_xlfn.XLOOKUP(I255,'3. Input (des)investeringen '!$B$11:$B$81,'3. Input (des)investeringen '!$D$11:$D$81,0)</f>
        <v>55</v>
      </c>
      <c r="N255" s="38">
        <f t="shared" si="76"/>
        <v>26.5</v>
      </c>
      <c r="P255" s="43">
        <f t="shared" si="97"/>
        <v>892.24627037122457</v>
      </c>
      <c r="Q255" s="43">
        <f t="shared" si="97"/>
        <v>848.47569861716443</v>
      </c>
      <c r="R255" s="43">
        <f t="shared" si="97"/>
        <v>806.85236245858664</v>
      </c>
      <c r="S255" s="43">
        <f t="shared" si="97"/>
        <v>767.27092580967485</v>
      </c>
      <c r="T255" s="95">
        <f t="shared" si="97"/>
        <v>729.631220015238</v>
      </c>
      <c r="V255" s="43">
        <f t="shared" si="77"/>
        <v>76.260364988993544</v>
      </c>
      <c r="W255" s="43">
        <f t="shared" si="78"/>
        <v>76.260364988993558</v>
      </c>
      <c r="X255" s="43">
        <f t="shared" si="79"/>
        <v>76.260364988993558</v>
      </c>
      <c r="Y255" s="43">
        <f t="shared" si="80"/>
        <v>76.260364988993558</v>
      </c>
      <c r="Z255" s="95">
        <f t="shared" si="81"/>
        <v>76.260364988993558</v>
      </c>
      <c r="AB255" s="43">
        <f t="shared" si="82"/>
        <v>968.50663536021807</v>
      </c>
      <c r="AC255" s="43">
        <f t="shared" si="83"/>
        <v>924.73606360615804</v>
      </c>
      <c r="AD255" s="43">
        <f t="shared" si="84"/>
        <v>883.11272744758026</v>
      </c>
      <c r="AE255" s="43">
        <f t="shared" si="85"/>
        <v>843.53129079866835</v>
      </c>
      <c r="AF255" s="95">
        <f t="shared" si="86"/>
        <v>805.8915850042315</v>
      </c>
      <c r="AH255" s="43">
        <f t="shared" si="87"/>
        <v>19240.490086723072</v>
      </c>
      <c r="AI255" s="43">
        <f t="shared" si="88"/>
        <v>18315.754023116915</v>
      </c>
      <c r="AJ255" s="43">
        <f t="shared" si="89"/>
        <v>17432.641295669335</v>
      </c>
      <c r="AK255" s="43">
        <f t="shared" si="90"/>
        <v>16589.110004870665</v>
      </c>
      <c r="AL255" s="95">
        <f t="shared" si="91"/>
        <v>15783.218419866433</v>
      </c>
      <c r="AN255" s="47">
        <f t="shared" si="92"/>
        <v>1757.3667289158641</v>
      </c>
      <c r="AO255" s="47">
        <f t="shared" si="93"/>
        <v>1858.8395187851206</v>
      </c>
      <c r="AP255" s="47">
        <f t="shared" si="94"/>
        <v>1772.1774335267164</v>
      </c>
      <c r="AQ255" s="47">
        <f t="shared" si="95"/>
        <v>1473.9174709837534</v>
      </c>
      <c r="AR255" s="193">
        <f t="shared" si="96"/>
        <v>1405.6538849591559</v>
      </c>
      <c r="AY255" s="3"/>
    </row>
    <row r="256" spans="1:51">
      <c r="A256" s="229"/>
      <c r="B256" s="37">
        <f>'13. Desinvesteringen'!B540</f>
        <v>521</v>
      </c>
      <c r="C256" s="48"/>
      <c r="D256" s="48"/>
      <c r="E256" s="48"/>
      <c r="F256" s="42">
        <f>'5. Input GAW-waarde desinv.'!D216</f>
        <v>58527.314744578129</v>
      </c>
      <c r="G256" s="177">
        <f>'13. Desinvesteringen'!D540</f>
        <v>1996</v>
      </c>
      <c r="H256" s="177">
        <f>'13. Desinvesteringen'!G540</f>
        <v>2023</v>
      </c>
      <c r="I256" s="37" t="str">
        <f>'13. Desinvesteringen'!C540</f>
        <v>21 Hoofdtransportleiding</v>
      </c>
      <c r="J256" s="166">
        <f>'13. Desinvesteringen'!F540</f>
        <v>0</v>
      </c>
      <c r="K256" s="38">
        <f>_xlfn.XLOOKUP(I256,'3. Input (des)investeringen '!$B$11:$B$81,'3. Input (des)investeringen '!$E$11:$E$81)</f>
        <v>1</v>
      </c>
      <c r="L256" s="48"/>
      <c r="M256" s="38">
        <f>_xlfn.XLOOKUP(I256,'3. Input (des)investeringen '!$B$11:$B$81,'3. Input (des)investeringen '!$D$11:$D$81,0)</f>
        <v>55</v>
      </c>
      <c r="N256" s="38">
        <f t="shared" si="76"/>
        <v>29.5</v>
      </c>
      <c r="P256" s="43">
        <f t="shared" si="97"/>
        <v>2321.2528220730987</v>
      </c>
      <c r="Q256" s="43">
        <f t="shared" si="97"/>
        <v>2218.9603248291992</v>
      </c>
      <c r="R256" s="43">
        <f t="shared" si="97"/>
        <v>2121.1756325485908</v>
      </c>
      <c r="S256" s="43">
        <f t="shared" si="97"/>
        <v>2027.7000961989918</v>
      </c>
      <c r="T256" s="95">
        <f t="shared" si="97"/>
        <v>1938.3438207732736</v>
      </c>
      <c r="V256" s="43">
        <f t="shared" si="77"/>
        <v>198.39767710026484</v>
      </c>
      <c r="W256" s="43">
        <f t="shared" si="78"/>
        <v>198.39767710026484</v>
      </c>
      <c r="X256" s="43">
        <f t="shared" si="79"/>
        <v>198.39767710026484</v>
      </c>
      <c r="Y256" s="43">
        <f t="shared" si="80"/>
        <v>198.39767710026484</v>
      </c>
      <c r="Z256" s="95">
        <f t="shared" si="81"/>
        <v>198.39767710026484</v>
      </c>
      <c r="AB256" s="43">
        <f t="shared" si="82"/>
        <v>2519.6504991733636</v>
      </c>
      <c r="AC256" s="43">
        <f t="shared" si="83"/>
        <v>2417.3580019294641</v>
      </c>
      <c r="AD256" s="43">
        <f t="shared" si="84"/>
        <v>2319.5733096488557</v>
      </c>
      <c r="AE256" s="43">
        <f t="shared" si="85"/>
        <v>2226.0977732992565</v>
      </c>
      <c r="AF256" s="95">
        <f t="shared" si="86"/>
        <v>2136.7414978735383</v>
      </c>
      <c r="AH256" s="43">
        <f t="shared" si="87"/>
        <v>56007.664245404769</v>
      </c>
      <c r="AI256" s="43">
        <f t="shared" si="88"/>
        <v>53590.306243475308</v>
      </c>
      <c r="AJ256" s="43">
        <f t="shared" si="89"/>
        <v>51270.732933826454</v>
      </c>
      <c r="AK256" s="43">
        <f t="shared" si="90"/>
        <v>49044.635160527199</v>
      </c>
      <c r="AL256" s="95">
        <f t="shared" si="91"/>
        <v>46907.89366265366</v>
      </c>
      <c r="AN256" s="47">
        <f t="shared" si="92"/>
        <v>4815.9647332349596</v>
      </c>
      <c r="AO256" s="47">
        <f t="shared" si="93"/>
        <v>5150.4636203467053</v>
      </c>
      <c r="AP256" s="47">
        <f t="shared" si="94"/>
        <v>4934.3806892740049</v>
      </c>
      <c r="AQ256" s="47">
        <f t="shared" si="95"/>
        <v>4089.79390939929</v>
      </c>
      <c r="AR256" s="193">
        <f t="shared" si="96"/>
        <v>3919.241457054377</v>
      </c>
      <c r="AY256" s="3"/>
    </row>
    <row r="257" spans="1:51">
      <c r="A257" s="229"/>
      <c r="B257" s="37">
        <f>'13. Desinvesteringen'!B541</f>
        <v>522</v>
      </c>
      <c r="C257" s="48"/>
      <c r="D257" s="48"/>
      <c r="E257" s="48"/>
      <c r="F257" s="42">
        <f>'5. Input GAW-waarde desinv.'!D217</f>
        <v>247531.06540005477</v>
      </c>
      <c r="G257" s="177">
        <f>'13. Desinvesteringen'!D541</f>
        <v>2002</v>
      </c>
      <c r="H257" s="177">
        <f>'13. Desinvesteringen'!G541</f>
        <v>2023</v>
      </c>
      <c r="I257" s="37" t="str">
        <f>'13. Desinvesteringen'!C541</f>
        <v>21 Hoofdtransportleiding</v>
      </c>
      <c r="J257" s="166">
        <f>'13. Desinvesteringen'!F541</f>
        <v>0</v>
      </c>
      <c r="K257" s="38">
        <f>_xlfn.XLOOKUP(I257,'3. Input (des)investeringen '!$B$11:$B$81,'3. Input (des)investeringen '!$E$11:$E$81)</f>
        <v>1</v>
      </c>
      <c r="L257" s="48"/>
      <c r="M257" s="38">
        <f>_xlfn.XLOOKUP(I257,'3. Input (des)investeringen '!$B$11:$B$81,'3. Input (des)investeringen '!$D$11:$D$81,0)</f>
        <v>55</v>
      </c>
      <c r="N257" s="38">
        <f t="shared" si="76"/>
        <v>35.5</v>
      </c>
      <c r="P257" s="43">
        <f t="shared" si="97"/>
        <v>8158.066099100397</v>
      </c>
      <c r="Q257" s="43">
        <f t="shared" si="97"/>
        <v>7859.3200165981289</v>
      </c>
      <c r="R257" s="43">
        <f t="shared" si="97"/>
        <v>7571.5139314832686</v>
      </c>
      <c r="S257" s="43">
        <f t="shared" si="97"/>
        <v>7294.247224133177</v>
      </c>
      <c r="T257" s="95">
        <f t="shared" si="97"/>
        <v>7027.1339455029474</v>
      </c>
      <c r="V257" s="43">
        <f t="shared" si="77"/>
        <v>697.27060676071778</v>
      </c>
      <c r="W257" s="43">
        <f t="shared" si="78"/>
        <v>697.27060676071767</v>
      </c>
      <c r="X257" s="43">
        <f t="shared" si="79"/>
        <v>697.27060676071767</v>
      </c>
      <c r="Y257" s="43">
        <f t="shared" si="80"/>
        <v>697.27060676071767</v>
      </c>
      <c r="Z257" s="95">
        <f t="shared" si="81"/>
        <v>697.27060676071767</v>
      </c>
      <c r="AB257" s="43">
        <f t="shared" si="82"/>
        <v>8855.3367058611148</v>
      </c>
      <c r="AC257" s="43">
        <f t="shared" si="83"/>
        <v>8556.5906233588466</v>
      </c>
      <c r="AD257" s="43">
        <f t="shared" si="84"/>
        <v>8268.7845382439864</v>
      </c>
      <c r="AE257" s="43">
        <f t="shared" si="85"/>
        <v>7991.5178308938948</v>
      </c>
      <c r="AF257" s="95">
        <f t="shared" si="86"/>
        <v>7724.4045522636652</v>
      </c>
      <c r="AH257" s="43">
        <f t="shared" si="87"/>
        <v>238675.72869419365</v>
      </c>
      <c r="AI257" s="43">
        <f t="shared" si="88"/>
        <v>230119.1380708348</v>
      </c>
      <c r="AJ257" s="43">
        <f t="shared" si="89"/>
        <v>221850.35353259082</v>
      </c>
      <c r="AK257" s="43">
        <f t="shared" si="90"/>
        <v>213858.83570169692</v>
      </c>
      <c r="AL257" s="95">
        <f t="shared" si="91"/>
        <v>206134.43114943325</v>
      </c>
      <c r="AN257" s="47">
        <f t="shared" si="92"/>
        <v>18641.041582323054</v>
      </c>
      <c r="AO257" s="47">
        <f t="shared" si="93"/>
        <v>20292.666664971421</v>
      </c>
      <c r="AP257" s="47">
        <f t="shared" si="94"/>
        <v>19583.15256840612</v>
      </c>
      <c r="AQ257" s="47">
        <f t="shared" si="95"/>
        <v>16118.153587558378</v>
      </c>
      <c r="AR257" s="193">
        <f t="shared" si="96"/>
        <v>15557.51293594213</v>
      </c>
      <c r="AY257" s="3"/>
    </row>
    <row r="258" spans="1:51">
      <c r="A258" s="229"/>
      <c r="B258" s="37">
        <f>'13. Desinvesteringen'!B542</f>
        <v>523</v>
      </c>
      <c r="C258" s="48"/>
      <c r="D258" s="48"/>
      <c r="E258" s="48"/>
      <c r="F258" s="42">
        <f>'5. Input GAW-waarde desinv.'!D218</f>
        <v>31800.173255745365</v>
      </c>
      <c r="G258" s="177">
        <f>'13. Desinvesteringen'!D542</f>
        <v>2008</v>
      </c>
      <c r="H258" s="177">
        <f>'13. Desinvesteringen'!G542</f>
        <v>2023</v>
      </c>
      <c r="I258" s="37" t="str">
        <f>'13. Desinvesteringen'!C542</f>
        <v>21 Hoofdtransportleiding</v>
      </c>
      <c r="J258" s="166">
        <f>'13. Desinvesteringen'!F542</f>
        <v>0</v>
      </c>
      <c r="K258" s="38">
        <f>_xlfn.XLOOKUP(I258,'3. Input (des)investeringen '!$B$11:$B$81,'3. Input (des)investeringen '!$E$11:$E$81)</f>
        <v>1</v>
      </c>
      <c r="L258" s="48"/>
      <c r="M258" s="38">
        <f>_xlfn.XLOOKUP(I258,'3. Input (des)investeringen '!$B$11:$B$81,'3. Input (des)investeringen '!$D$11:$D$81,0)</f>
        <v>55</v>
      </c>
      <c r="N258" s="38">
        <f t="shared" si="76"/>
        <v>41.5</v>
      </c>
      <c r="P258" s="43">
        <f t="shared" si="97"/>
        <v>896.53500504149588</v>
      </c>
      <c r="Q258" s="43">
        <f t="shared" si="97"/>
        <v>868.45077596790691</v>
      </c>
      <c r="R258" s="43">
        <f t="shared" si="97"/>
        <v>841.24629382915316</v>
      </c>
      <c r="S258" s="43">
        <f t="shared" si="97"/>
        <v>814.89400028751697</v>
      </c>
      <c r="T258" s="95">
        <f t="shared" si="97"/>
        <v>789.36720027851038</v>
      </c>
      <c r="V258" s="43">
        <f t="shared" si="77"/>
        <v>76.626923507820166</v>
      </c>
      <c r="W258" s="43">
        <f t="shared" si="78"/>
        <v>76.626923507820152</v>
      </c>
      <c r="X258" s="43">
        <f t="shared" si="79"/>
        <v>76.626923507820152</v>
      </c>
      <c r="Y258" s="43">
        <f t="shared" si="80"/>
        <v>76.626923507820152</v>
      </c>
      <c r="Z258" s="95">
        <f t="shared" si="81"/>
        <v>76.626923507820152</v>
      </c>
      <c r="AB258" s="43">
        <f t="shared" si="82"/>
        <v>973.16192854931603</v>
      </c>
      <c r="AC258" s="43">
        <f t="shared" si="83"/>
        <v>945.07769947572706</v>
      </c>
      <c r="AD258" s="43">
        <f t="shared" si="84"/>
        <v>917.87321733697331</v>
      </c>
      <c r="AE258" s="43">
        <f t="shared" si="85"/>
        <v>891.52092379533713</v>
      </c>
      <c r="AF258" s="95">
        <f t="shared" si="86"/>
        <v>865.99412378633053</v>
      </c>
      <c r="AH258" s="43">
        <f t="shared" si="87"/>
        <v>30827.011327196051</v>
      </c>
      <c r="AI258" s="43">
        <f t="shared" si="88"/>
        <v>29881.933627720326</v>
      </c>
      <c r="AJ258" s="43">
        <f t="shared" si="89"/>
        <v>28964.060410383354</v>
      </c>
      <c r="AK258" s="43">
        <f t="shared" si="90"/>
        <v>28072.539486588015</v>
      </c>
      <c r="AL258" s="95">
        <f t="shared" si="91"/>
        <v>27206.545362801684</v>
      </c>
      <c r="AN258" s="47">
        <f t="shared" si="92"/>
        <v>2237.0693929643544</v>
      </c>
      <c r="AO258" s="47">
        <f t="shared" si="93"/>
        <v>2469.0563144894636</v>
      </c>
      <c r="AP258" s="47">
        <f t="shared" si="94"/>
        <v>2395.0402982665246</v>
      </c>
      <c r="AQ258" s="47">
        <f t="shared" si="95"/>
        <v>1958.2774242856817</v>
      </c>
      <c r="AR258" s="193">
        <f t="shared" si="96"/>
        <v>1899.8428475727947</v>
      </c>
      <c r="AY258" s="3"/>
    </row>
    <row r="259" spans="1:51">
      <c r="A259" s="229"/>
      <c r="B259" s="37">
        <f>'13. Desinvesteringen'!B543</f>
        <v>524</v>
      </c>
      <c r="C259" s="48"/>
      <c r="D259" s="48"/>
      <c r="E259" s="48"/>
      <c r="F259" s="42">
        <f>'5. Input GAW-waarde desinv.'!D219</f>
        <v>0</v>
      </c>
      <c r="G259" s="177">
        <f>'13. Desinvesteringen'!D543</f>
        <v>1974</v>
      </c>
      <c r="H259" s="177">
        <f>'13. Desinvesteringen'!G543</f>
        <v>2023</v>
      </c>
      <c r="I259" s="37" t="str">
        <f>'13. Desinvesteringen'!C543</f>
        <v>32 M&amp;R stations</v>
      </c>
      <c r="J259" s="166">
        <f>'13. Desinvesteringen'!F543</f>
        <v>0</v>
      </c>
      <c r="K259" s="38">
        <f>_xlfn.XLOOKUP(I259,'3. Input (des)investeringen '!$B$11:$B$81,'3. Input (des)investeringen '!$E$11:$E$81)</f>
        <v>1</v>
      </c>
      <c r="L259" s="48"/>
      <c r="M259" s="38">
        <f>_xlfn.XLOOKUP(I259,'3. Input (des)investeringen '!$B$11:$B$81,'3. Input (des)investeringen '!$D$11:$D$81,0)</f>
        <v>30</v>
      </c>
      <c r="N259" s="38">
        <f t="shared" si="76"/>
        <v>0</v>
      </c>
      <c r="P259" s="43">
        <f t="shared" si="97"/>
        <v>0</v>
      </c>
      <c r="Q259" s="43">
        <f t="shared" si="97"/>
        <v>0</v>
      </c>
      <c r="R259" s="43">
        <f t="shared" si="97"/>
        <v>0</v>
      </c>
      <c r="S259" s="43">
        <f t="shared" si="97"/>
        <v>0</v>
      </c>
      <c r="T259" s="95">
        <f t="shared" si="97"/>
        <v>0</v>
      </c>
      <c r="V259" s="43">
        <f t="shared" si="77"/>
        <v>0</v>
      </c>
      <c r="W259" s="43">
        <f t="shared" si="78"/>
        <v>0</v>
      </c>
      <c r="X259" s="43">
        <f t="shared" si="79"/>
        <v>0</v>
      </c>
      <c r="Y259" s="43">
        <f t="shared" si="80"/>
        <v>0</v>
      </c>
      <c r="Z259" s="95">
        <f t="shared" si="81"/>
        <v>0</v>
      </c>
      <c r="AB259" s="43">
        <f t="shared" si="82"/>
        <v>0</v>
      </c>
      <c r="AC259" s="43">
        <f t="shared" si="83"/>
        <v>0</v>
      </c>
      <c r="AD259" s="43">
        <f t="shared" si="84"/>
        <v>0</v>
      </c>
      <c r="AE259" s="43">
        <f t="shared" si="85"/>
        <v>0</v>
      </c>
      <c r="AF259" s="95">
        <f t="shared" si="86"/>
        <v>0</v>
      </c>
      <c r="AH259" s="43">
        <f t="shared" si="87"/>
        <v>0</v>
      </c>
      <c r="AI259" s="43">
        <f t="shared" si="88"/>
        <v>0</v>
      </c>
      <c r="AJ259" s="43">
        <f t="shared" si="89"/>
        <v>0</v>
      </c>
      <c r="AK259" s="43">
        <f t="shared" si="90"/>
        <v>0</v>
      </c>
      <c r="AL259" s="95">
        <f t="shared" si="91"/>
        <v>0</v>
      </c>
      <c r="AN259" s="47">
        <f t="shared" si="92"/>
        <v>0</v>
      </c>
      <c r="AO259" s="47">
        <f t="shared" si="93"/>
        <v>0</v>
      </c>
      <c r="AP259" s="47">
        <f t="shared" si="94"/>
        <v>0</v>
      </c>
      <c r="AQ259" s="47">
        <f t="shared" si="95"/>
        <v>0</v>
      </c>
      <c r="AR259" s="193">
        <f t="shared" si="96"/>
        <v>0</v>
      </c>
      <c r="AY259" s="3"/>
    </row>
    <row r="260" spans="1:51">
      <c r="A260" s="229"/>
      <c r="B260" s="37">
        <f>'13. Desinvesteringen'!B544</f>
        <v>525</v>
      </c>
      <c r="C260" s="48"/>
      <c r="D260" s="48"/>
      <c r="E260" s="48"/>
      <c r="F260" s="42">
        <f>'5. Input GAW-waarde desinv.'!D220</f>
        <v>0</v>
      </c>
      <c r="G260" s="177">
        <f>'13. Desinvesteringen'!D544</f>
        <v>1966</v>
      </c>
      <c r="H260" s="177">
        <f>'13. Desinvesteringen'!G544</f>
        <v>2023</v>
      </c>
      <c r="I260" s="37" t="str">
        <f>'13. Desinvesteringen'!C544</f>
        <v>33 Exportstations</v>
      </c>
      <c r="J260" s="166">
        <f>'13. Desinvesteringen'!F544</f>
        <v>0</v>
      </c>
      <c r="K260" s="38">
        <f>_xlfn.XLOOKUP(I260,'3. Input (des)investeringen '!$B$11:$B$81,'3. Input (des)investeringen '!$E$11:$E$81)</f>
        <v>1</v>
      </c>
      <c r="L260" s="48"/>
      <c r="M260" s="38">
        <f>_xlfn.XLOOKUP(I260,'3. Input (des)investeringen '!$B$11:$B$81,'3. Input (des)investeringen '!$D$11:$D$81,0)</f>
        <v>30</v>
      </c>
      <c r="N260" s="38">
        <f t="shared" si="76"/>
        <v>0</v>
      </c>
      <c r="P260" s="43">
        <f t="shared" si="97"/>
        <v>0</v>
      </c>
      <c r="Q260" s="43">
        <f t="shared" si="97"/>
        <v>0</v>
      </c>
      <c r="R260" s="43">
        <f t="shared" si="97"/>
        <v>0</v>
      </c>
      <c r="S260" s="43">
        <f t="shared" si="97"/>
        <v>0</v>
      </c>
      <c r="T260" s="95">
        <f t="shared" si="97"/>
        <v>0</v>
      </c>
      <c r="V260" s="43">
        <f t="shared" si="77"/>
        <v>0</v>
      </c>
      <c r="W260" s="43">
        <f t="shared" si="78"/>
        <v>0</v>
      </c>
      <c r="X260" s="43">
        <f t="shared" si="79"/>
        <v>0</v>
      </c>
      <c r="Y260" s="43">
        <f t="shared" si="80"/>
        <v>0</v>
      </c>
      <c r="Z260" s="95">
        <f t="shared" si="81"/>
        <v>0</v>
      </c>
      <c r="AB260" s="43">
        <f t="shared" si="82"/>
        <v>0</v>
      </c>
      <c r="AC260" s="43">
        <f t="shared" si="83"/>
        <v>0</v>
      </c>
      <c r="AD260" s="43">
        <f t="shared" si="84"/>
        <v>0</v>
      </c>
      <c r="AE260" s="43">
        <f t="shared" si="85"/>
        <v>0</v>
      </c>
      <c r="AF260" s="95">
        <f t="shared" si="86"/>
        <v>0</v>
      </c>
      <c r="AH260" s="43">
        <f t="shared" si="87"/>
        <v>0</v>
      </c>
      <c r="AI260" s="43">
        <f t="shared" si="88"/>
        <v>0</v>
      </c>
      <c r="AJ260" s="43">
        <f t="shared" si="89"/>
        <v>0</v>
      </c>
      <c r="AK260" s="43">
        <f t="shared" si="90"/>
        <v>0</v>
      </c>
      <c r="AL260" s="95">
        <f t="shared" si="91"/>
        <v>0</v>
      </c>
      <c r="AN260" s="47">
        <f t="shared" si="92"/>
        <v>0</v>
      </c>
      <c r="AO260" s="47">
        <f t="shared" si="93"/>
        <v>0</v>
      </c>
      <c r="AP260" s="47">
        <f t="shared" si="94"/>
        <v>0</v>
      </c>
      <c r="AQ260" s="47">
        <f t="shared" si="95"/>
        <v>0</v>
      </c>
      <c r="AR260" s="193">
        <f t="shared" si="96"/>
        <v>0</v>
      </c>
      <c r="AY260" s="3"/>
    </row>
    <row r="261" spans="1:51">
      <c r="A261" s="229"/>
      <c r="B261" s="37">
        <f>'13. Desinvesteringen'!B545</f>
        <v>526</v>
      </c>
      <c r="C261" s="48"/>
      <c r="D261" s="48"/>
      <c r="E261" s="48"/>
      <c r="F261" s="42">
        <f>'5. Input GAW-waarde desinv.'!D221</f>
        <v>0</v>
      </c>
      <c r="G261" s="177">
        <f>'13. Desinvesteringen'!D545</f>
        <v>1967</v>
      </c>
      <c r="H261" s="177">
        <f>'13. Desinvesteringen'!G545</f>
        <v>2023</v>
      </c>
      <c r="I261" s="37" t="str">
        <f>'13. Desinvesteringen'!C545</f>
        <v>33 Exportstations</v>
      </c>
      <c r="J261" s="166">
        <f>'13. Desinvesteringen'!F545</f>
        <v>0</v>
      </c>
      <c r="K261" s="38">
        <f>_xlfn.XLOOKUP(I261,'3. Input (des)investeringen '!$B$11:$B$81,'3. Input (des)investeringen '!$E$11:$E$81)</f>
        <v>1</v>
      </c>
      <c r="L261" s="48"/>
      <c r="M261" s="38">
        <f>_xlfn.XLOOKUP(I261,'3. Input (des)investeringen '!$B$11:$B$81,'3. Input (des)investeringen '!$D$11:$D$81,0)</f>
        <v>30</v>
      </c>
      <c r="N261" s="38">
        <f t="shared" si="76"/>
        <v>0</v>
      </c>
      <c r="P261" s="43">
        <f t="shared" si="97"/>
        <v>0</v>
      </c>
      <c r="Q261" s="43">
        <f t="shared" si="97"/>
        <v>0</v>
      </c>
      <c r="R261" s="43">
        <f t="shared" si="97"/>
        <v>0</v>
      </c>
      <c r="S261" s="43">
        <f t="shared" si="97"/>
        <v>0</v>
      </c>
      <c r="T261" s="95">
        <f t="shared" si="97"/>
        <v>0</v>
      </c>
      <c r="V261" s="43">
        <f t="shared" si="77"/>
        <v>0</v>
      </c>
      <c r="W261" s="43">
        <f t="shared" si="78"/>
        <v>0</v>
      </c>
      <c r="X261" s="43">
        <f t="shared" si="79"/>
        <v>0</v>
      </c>
      <c r="Y261" s="43">
        <f t="shared" si="80"/>
        <v>0</v>
      </c>
      <c r="Z261" s="95">
        <f t="shared" si="81"/>
        <v>0</v>
      </c>
      <c r="AB261" s="43">
        <f t="shared" si="82"/>
        <v>0</v>
      </c>
      <c r="AC261" s="43">
        <f t="shared" si="83"/>
        <v>0</v>
      </c>
      <c r="AD261" s="43">
        <f t="shared" si="84"/>
        <v>0</v>
      </c>
      <c r="AE261" s="43">
        <f t="shared" si="85"/>
        <v>0</v>
      </c>
      <c r="AF261" s="95">
        <f t="shared" si="86"/>
        <v>0</v>
      </c>
      <c r="AH261" s="43">
        <f t="shared" si="87"/>
        <v>0</v>
      </c>
      <c r="AI261" s="43">
        <f t="shared" si="88"/>
        <v>0</v>
      </c>
      <c r="AJ261" s="43">
        <f t="shared" si="89"/>
        <v>0</v>
      </c>
      <c r="AK261" s="43">
        <f t="shared" si="90"/>
        <v>0</v>
      </c>
      <c r="AL261" s="95">
        <f t="shared" si="91"/>
        <v>0</v>
      </c>
      <c r="AN261" s="47">
        <f t="shared" si="92"/>
        <v>0</v>
      </c>
      <c r="AO261" s="47">
        <f t="shared" si="93"/>
        <v>0</v>
      </c>
      <c r="AP261" s="47">
        <f t="shared" si="94"/>
        <v>0</v>
      </c>
      <c r="AQ261" s="47">
        <f t="shared" si="95"/>
        <v>0</v>
      </c>
      <c r="AR261" s="193">
        <f t="shared" si="96"/>
        <v>0</v>
      </c>
      <c r="AY261" s="3"/>
    </row>
    <row r="262" spans="1:51">
      <c r="A262" s="229"/>
      <c r="B262" s="37">
        <f>'13. Desinvesteringen'!B546</f>
        <v>527</v>
      </c>
      <c r="C262" s="48"/>
      <c r="D262" s="48"/>
      <c r="E262" s="48"/>
      <c r="F262" s="42">
        <f>'5. Input GAW-waarde desinv.'!D222</f>
        <v>0</v>
      </c>
      <c r="G262" s="177">
        <f>'13. Desinvesteringen'!D546</f>
        <v>1972</v>
      </c>
      <c r="H262" s="177">
        <f>'13. Desinvesteringen'!G546</f>
        <v>2023</v>
      </c>
      <c r="I262" s="37" t="str">
        <f>'13. Desinvesteringen'!C546</f>
        <v>33 Exportstations</v>
      </c>
      <c r="J262" s="166">
        <f>'13. Desinvesteringen'!F546</f>
        <v>0</v>
      </c>
      <c r="K262" s="38">
        <f>_xlfn.XLOOKUP(I262,'3. Input (des)investeringen '!$B$11:$B$81,'3. Input (des)investeringen '!$E$11:$E$81)</f>
        <v>1</v>
      </c>
      <c r="L262" s="48"/>
      <c r="M262" s="38">
        <f>_xlfn.XLOOKUP(I262,'3. Input (des)investeringen '!$B$11:$B$81,'3. Input (des)investeringen '!$D$11:$D$81,0)</f>
        <v>30</v>
      </c>
      <c r="N262" s="38">
        <f t="shared" si="76"/>
        <v>0</v>
      </c>
      <c r="P262" s="43">
        <f t="shared" ref="P262:T277" si="98">IF($M262&gt;0, IF(OR($G262&gt;P$49,$G262+$M262&lt;P$49),0,
VDB($F262,0,$N262,MAX(0,P$49-2022),MIN($N262,P$49-2021),$F$22,FALSE))*(1-$F$25), 0)</f>
        <v>0</v>
      </c>
      <c r="Q262" s="43">
        <f t="shared" si="98"/>
        <v>0</v>
      </c>
      <c r="R262" s="43">
        <f t="shared" si="98"/>
        <v>0</v>
      </c>
      <c r="S262" s="43">
        <f t="shared" si="98"/>
        <v>0</v>
      </c>
      <c r="T262" s="95">
        <f t="shared" si="98"/>
        <v>0</v>
      </c>
      <c r="V262" s="43">
        <f t="shared" si="77"/>
        <v>0</v>
      </c>
      <c r="W262" s="43">
        <f t="shared" si="78"/>
        <v>0</v>
      </c>
      <c r="X262" s="43">
        <f t="shared" si="79"/>
        <v>0</v>
      </c>
      <c r="Y262" s="43">
        <f t="shared" si="80"/>
        <v>0</v>
      </c>
      <c r="Z262" s="95">
        <f t="shared" si="81"/>
        <v>0</v>
      </c>
      <c r="AB262" s="43">
        <f t="shared" si="82"/>
        <v>0</v>
      </c>
      <c r="AC262" s="43">
        <f t="shared" si="83"/>
        <v>0</v>
      </c>
      <c r="AD262" s="43">
        <f t="shared" si="84"/>
        <v>0</v>
      </c>
      <c r="AE262" s="43">
        <f t="shared" si="85"/>
        <v>0</v>
      </c>
      <c r="AF262" s="95">
        <f t="shared" si="86"/>
        <v>0</v>
      </c>
      <c r="AH262" s="43">
        <f t="shared" si="87"/>
        <v>0</v>
      </c>
      <c r="AI262" s="43">
        <f t="shared" si="88"/>
        <v>0</v>
      </c>
      <c r="AJ262" s="43">
        <f t="shared" si="89"/>
        <v>0</v>
      </c>
      <c r="AK262" s="43">
        <f t="shared" si="90"/>
        <v>0</v>
      </c>
      <c r="AL262" s="95">
        <f t="shared" si="91"/>
        <v>0</v>
      </c>
      <c r="AN262" s="47">
        <f t="shared" si="92"/>
        <v>0</v>
      </c>
      <c r="AO262" s="47">
        <f t="shared" si="93"/>
        <v>0</v>
      </c>
      <c r="AP262" s="47">
        <f t="shared" si="94"/>
        <v>0</v>
      </c>
      <c r="AQ262" s="47">
        <f t="shared" si="95"/>
        <v>0</v>
      </c>
      <c r="AR262" s="193">
        <f t="shared" si="96"/>
        <v>0</v>
      </c>
      <c r="AY262" s="3"/>
    </row>
    <row r="263" spans="1:51">
      <c r="A263" s="229"/>
      <c r="B263" s="37">
        <f>'13. Desinvesteringen'!B547</f>
        <v>528</v>
      </c>
      <c r="C263" s="48"/>
      <c r="D263" s="48"/>
      <c r="E263" s="48"/>
      <c r="F263" s="42">
        <f>'5. Input GAW-waarde desinv.'!D223</f>
        <v>0</v>
      </c>
      <c r="G263" s="177">
        <f>'13. Desinvesteringen'!D547</f>
        <v>1974</v>
      </c>
      <c r="H263" s="177">
        <f>'13. Desinvesteringen'!G547</f>
        <v>2023</v>
      </c>
      <c r="I263" s="37" t="str">
        <f>'13. Desinvesteringen'!C547</f>
        <v>33 Exportstations</v>
      </c>
      <c r="J263" s="166">
        <f>'13. Desinvesteringen'!F547</f>
        <v>0</v>
      </c>
      <c r="K263" s="38">
        <f>_xlfn.XLOOKUP(I263,'3. Input (des)investeringen '!$B$11:$B$81,'3. Input (des)investeringen '!$E$11:$E$81)</f>
        <v>1</v>
      </c>
      <c r="L263" s="48"/>
      <c r="M263" s="38">
        <f>_xlfn.XLOOKUP(I263,'3. Input (des)investeringen '!$B$11:$B$81,'3. Input (des)investeringen '!$D$11:$D$81,0)</f>
        <v>30</v>
      </c>
      <c r="N263" s="38">
        <f t="shared" si="76"/>
        <v>0</v>
      </c>
      <c r="P263" s="43">
        <f t="shared" si="98"/>
        <v>0</v>
      </c>
      <c r="Q263" s="43">
        <f t="shared" si="98"/>
        <v>0</v>
      </c>
      <c r="R263" s="43">
        <f t="shared" si="98"/>
        <v>0</v>
      </c>
      <c r="S263" s="43">
        <f t="shared" si="98"/>
        <v>0</v>
      </c>
      <c r="T263" s="95">
        <f t="shared" si="98"/>
        <v>0</v>
      </c>
      <c r="V263" s="43">
        <f t="shared" si="77"/>
        <v>0</v>
      </c>
      <c r="W263" s="43">
        <f t="shared" si="78"/>
        <v>0</v>
      </c>
      <c r="X263" s="43">
        <f t="shared" si="79"/>
        <v>0</v>
      </c>
      <c r="Y263" s="43">
        <f t="shared" si="80"/>
        <v>0</v>
      </c>
      <c r="Z263" s="95">
        <f t="shared" si="81"/>
        <v>0</v>
      </c>
      <c r="AB263" s="43">
        <f t="shared" si="82"/>
        <v>0</v>
      </c>
      <c r="AC263" s="43">
        <f t="shared" si="83"/>
        <v>0</v>
      </c>
      <c r="AD263" s="43">
        <f t="shared" si="84"/>
        <v>0</v>
      </c>
      <c r="AE263" s="43">
        <f t="shared" si="85"/>
        <v>0</v>
      </c>
      <c r="AF263" s="95">
        <f t="shared" si="86"/>
        <v>0</v>
      </c>
      <c r="AH263" s="43">
        <f t="shared" si="87"/>
        <v>0</v>
      </c>
      <c r="AI263" s="43">
        <f t="shared" si="88"/>
        <v>0</v>
      </c>
      <c r="AJ263" s="43">
        <f t="shared" si="89"/>
        <v>0</v>
      </c>
      <c r="AK263" s="43">
        <f t="shared" si="90"/>
        <v>0</v>
      </c>
      <c r="AL263" s="95">
        <f t="shared" si="91"/>
        <v>0</v>
      </c>
      <c r="AN263" s="47">
        <f t="shared" si="92"/>
        <v>0</v>
      </c>
      <c r="AO263" s="47">
        <f t="shared" si="93"/>
        <v>0</v>
      </c>
      <c r="AP263" s="47">
        <f t="shared" si="94"/>
        <v>0</v>
      </c>
      <c r="AQ263" s="47">
        <f t="shared" si="95"/>
        <v>0</v>
      </c>
      <c r="AR263" s="193">
        <f t="shared" si="96"/>
        <v>0</v>
      </c>
      <c r="AY263" s="3"/>
    </row>
    <row r="264" spans="1:51">
      <c r="A264" s="229"/>
      <c r="B264" s="37">
        <f>'13. Desinvesteringen'!B548</f>
        <v>529</v>
      </c>
      <c r="C264" s="48"/>
      <c r="D264" s="48"/>
      <c r="E264" s="48"/>
      <c r="F264" s="42">
        <f>'5. Input GAW-waarde desinv.'!D224</f>
        <v>0</v>
      </c>
      <c r="G264" s="177">
        <f>'13. Desinvesteringen'!D548</f>
        <v>1975</v>
      </c>
      <c r="H264" s="177">
        <f>'13. Desinvesteringen'!G548</f>
        <v>2023</v>
      </c>
      <c r="I264" s="37" t="str">
        <f>'13. Desinvesteringen'!C548</f>
        <v>33 Exportstations</v>
      </c>
      <c r="J264" s="166">
        <f>'13. Desinvesteringen'!F548</f>
        <v>0</v>
      </c>
      <c r="K264" s="38">
        <f>_xlfn.XLOOKUP(I264,'3. Input (des)investeringen '!$B$11:$B$81,'3. Input (des)investeringen '!$E$11:$E$81)</f>
        <v>1</v>
      </c>
      <c r="L264" s="48"/>
      <c r="M264" s="38">
        <f>_xlfn.XLOOKUP(I264,'3. Input (des)investeringen '!$B$11:$B$81,'3. Input (des)investeringen '!$D$11:$D$81,0)</f>
        <v>30</v>
      </c>
      <c r="N264" s="38">
        <f t="shared" si="76"/>
        <v>0</v>
      </c>
      <c r="P264" s="43">
        <f t="shared" si="98"/>
        <v>0</v>
      </c>
      <c r="Q264" s="43">
        <f t="shared" si="98"/>
        <v>0</v>
      </c>
      <c r="R264" s="43">
        <f t="shared" si="98"/>
        <v>0</v>
      </c>
      <c r="S264" s="43">
        <f t="shared" si="98"/>
        <v>0</v>
      </c>
      <c r="T264" s="95">
        <f t="shared" si="98"/>
        <v>0</v>
      </c>
      <c r="V264" s="43">
        <f t="shared" si="77"/>
        <v>0</v>
      </c>
      <c r="W264" s="43">
        <f t="shared" si="78"/>
        <v>0</v>
      </c>
      <c r="X264" s="43">
        <f t="shared" si="79"/>
        <v>0</v>
      </c>
      <c r="Y264" s="43">
        <f t="shared" si="80"/>
        <v>0</v>
      </c>
      <c r="Z264" s="95">
        <f t="shared" si="81"/>
        <v>0</v>
      </c>
      <c r="AB264" s="43">
        <f t="shared" si="82"/>
        <v>0</v>
      </c>
      <c r="AC264" s="43">
        <f t="shared" si="83"/>
        <v>0</v>
      </c>
      <c r="AD264" s="43">
        <f t="shared" si="84"/>
        <v>0</v>
      </c>
      <c r="AE264" s="43">
        <f t="shared" si="85"/>
        <v>0</v>
      </c>
      <c r="AF264" s="95">
        <f t="shared" si="86"/>
        <v>0</v>
      </c>
      <c r="AH264" s="43">
        <f t="shared" si="87"/>
        <v>0</v>
      </c>
      <c r="AI264" s="43">
        <f t="shared" si="88"/>
        <v>0</v>
      </c>
      <c r="AJ264" s="43">
        <f t="shared" si="89"/>
        <v>0</v>
      </c>
      <c r="AK264" s="43">
        <f t="shared" si="90"/>
        <v>0</v>
      </c>
      <c r="AL264" s="95">
        <f t="shared" si="91"/>
        <v>0</v>
      </c>
      <c r="AN264" s="47">
        <f t="shared" si="92"/>
        <v>0</v>
      </c>
      <c r="AO264" s="47">
        <f t="shared" si="93"/>
        <v>0</v>
      </c>
      <c r="AP264" s="47">
        <f t="shared" si="94"/>
        <v>0</v>
      </c>
      <c r="AQ264" s="47">
        <f t="shared" si="95"/>
        <v>0</v>
      </c>
      <c r="AR264" s="193">
        <f t="shared" si="96"/>
        <v>0</v>
      </c>
      <c r="AY264" s="3"/>
    </row>
    <row r="265" spans="1:51">
      <c r="A265" s="229"/>
      <c r="B265" s="37">
        <f>'13. Desinvesteringen'!B549</f>
        <v>530</v>
      </c>
      <c r="C265" s="48"/>
      <c r="D265" s="48"/>
      <c r="E265" s="48"/>
      <c r="F265" s="42">
        <f>'5. Input GAW-waarde desinv.'!D225</f>
        <v>0</v>
      </c>
      <c r="G265" s="177">
        <f>'13. Desinvesteringen'!D549</f>
        <v>1979</v>
      </c>
      <c r="H265" s="177">
        <f>'13. Desinvesteringen'!G549</f>
        <v>2023</v>
      </c>
      <c r="I265" s="37" t="str">
        <f>'13. Desinvesteringen'!C549</f>
        <v>34 Reduceerstations</v>
      </c>
      <c r="J265" s="166">
        <f>'13. Desinvesteringen'!F549</f>
        <v>0</v>
      </c>
      <c r="K265" s="38">
        <f>_xlfn.XLOOKUP(I265,'3. Input (des)investeringen '!$B$11:$B$81,'3. Input (des)investeringen '!$E$11:$E$81)</f>
        <v>1</v>
      </c>
      <c r="L265" s="48"/>
      <c r="M265" s="38">
        <f>_xlfn.XLOOKUP(I265,'3. Input (des)investeringen '!$B$11:$B$81,'3. Input (des)investeringen '!$D$11:$D$81,0)</f>
        <v>30</v>
      </c>
      <c r="N265" s="38">
        <f t="shared" si="76"/>
        <v>0</v>
      </c>
      <c r="P265" s="43">
        <f t="shared" si="98"/>
        <v>0</v>
      </c>
      <c r="Q265" s="43">
        <f t="shared" si="98"/>
        <v>0</v>
      </c>
      <c r="R265" s="43">
        <f t="shared" si="98"/>
        <v>0</v>
      </c>
      <c r="S265" s="43">
        <f t="shared" si="98"/>
        <v>0</v>
      </c>
      <c r="T265" s="95">
        <f t="shared" si="98"/>
        <v>0</v>
      </c>
      <c r="V265" s="43">
        <f t="shared" si="77"/>
        <v>0</v>
      </c>
      <c r="W265" s="43">
        <f t="shared" si="78"/>
        <v>0</v>
      </c>
      <c r="X265" s="43">
        <f t="shared" si="79"/>
        <v>0</v>
      </c>
      <c r="Y265" s="43">
        <f t="shared" si="80"/>
        <v>0</v>
      </c>
      <c r="Z265" s="95">
        <f t="shared" si="81"/>
        <v>0</v>
      </c>
      <c r="AB265" s="43">
        <f t="shared" si="82"/>
        <v>0</v>
      </c>
      <c r="AC265" s="43">
        <f t="shared" si="83"/>
        <v>0</v>
      </c>
      <c r="AD265" s="43">
        <f t="shared" si="84"/>
        <v>0</v>
      </c>
      <c r="AE265" s="43">
        <f t="shared" si="85"/>
        <v>0</v>
      </c>
      <c r="AF265" s="95">
        <f t="shared" si="86"/>
        <v>0</v>
      </c>
      <c r="AH265" s="43">
        <f t="shared" si="87"/>
        <v>0</v>
      </c>
      <c r="AI265" s="43">
        <f t="shared" si="88"/>
        <v>0</v>
      </c>
      <c r="AJ265" s="43">
        <f t="shared" si="89"/>
        <v>0</v>
      </c>
      <c r="AK265" s="43">
        <f t="shared" si="90"/>
        <v>0</v>
      </c>
      <c r="AL265" s="95">
        <f t="shared" si="91"/>
        <v>0</v>
      </c>
      <c r="AN265" s="47">
        <f t="shared" si="92"/>
        <v>0</v>
      </c>
      <c r="AO265" s="47">
        <f t="shared" si="93"/>
        <v>0</v>
      </c>
      <c r="AP265" s="47">
        <f t="shared" si="94"/>
        <v>0</v>
      </c>
      <c r="AQ265" s="47">
        <f t="shared" si="95"/>
        <v>0</v>
      </c>
      <c r="AR265" s="193">
        <f t="shared" si="96"/>
        <v>0</v>
      </c>
      <c r="AY265" s="3"/>
    </row>
    <row r="266" spans="1:51">
      <c r="A266" s="229"/>
      <c r="B266" s="37">
        <f>'13. Desinvesteringen'!B550</f>
        <v>531</v>
      </c>
      <c r="C266" s="48"/>
      <c r="D266" s="48"/>
      <c r="E266" s="48"/>
      <c r="F266" s="42">
        <f>'5. Input GAW-waarde desinv.'!D226</f>
        <v>2913299.7564751511</v>
      </c>
      <c r="G266" s="177">
        <f>'13. Desinvesteringen'!D550</f>
        <v>2007</v>
      </c>
      <c r="H266" s="177">
        <f>'13. Desinvesteringen'!G550</f>
        <v>2023</v>
      </c>
      <c r="I266" s="37" t="str">
        <f>'13. Desinvesteringen'!C550</f>
        <v>36 Luchtscheidingsunit</v>
      </c>
      <c r="J266" s="166">
        <f>'13. Desinvesteringen'!F550</f>
        <v>0</v>
      </c>
      <c r="K266" s="38">
        <f>_xlfn.XLOOKUP(I266,'3. Input (des)investeringen '!$B$11:$B$81,'3. Input (des)investeringen '!$E$11:$E$81)</f>
        <v>0</v>
      </c>
      <c r="L266" s="48"/>
      <c r="M266" s="38">
        <f>_xlfn.XLOOKUP(I266,'3. Input (des)investeringen '!$B$11:$B$81,'3. Input (des)investeringen '!$D$11:$D$81,0)</f>
        <v>30</v>
      </c>
      <c r="N266" s="38">
        <f t="shared" si="76"/>
        <v>15.5</v>
      </c>
      <c r="P266" s="43">
        <f t="shared" si="98"/>
        <v>219907.14290812434</v>
      </c>
      <c r="Q266" s="43">
        <f t="shared" si="98"/>
        <v>201463.31801905585</v>
      </c>
      <c r="R266" s="43">
        <f t="shared" si="98"/>
        <v>184566.39457229633</v>
      </c>
      <c r="S266" s="43">
        <f t="shared" si="98"/>
        <v>169086.63244687792</v>
      </c>
      <c r="T266" s="95">
        <f t="shared" si="98"/>
        <v>160604.02546793755</v>
      </c>
      <c r="V266" s="43">
        <f t="shared" si="77"/>
        <v>18795.482299839685</v>
      </c>
      <c r="W266" s="43">
        <f t="shared" si="78"/>
        <v>18795.482299839681</v>
      </c>
      <c r="X266" s="43">
        <f t="shared" si="79"/>
        <v>18795.482299839681</v>
      </c>
      <c r="Y266" s="43">
        <f t="shared" si="80"/>
        <v>18795.482299839681</v>
      </c>
      <c r="Z266" s="95">
        <f t="shared" si="81"/>
        <v>18795.482299839681</v>
      </c>
      <c r="AB266" s="43">
        <f t="shared" si="82"/>
        <v>238702.62520796404</v>
      </c>
      <c r="AC266" s="43">
        <f t="shared" si="83"/>
        <v>220258.80031889552</v>
      </c>
      <c r="AD266" s="43">
        <f t="shared" si="84"/>
        <v>203361.876872136</v>
      </c>
      <c r="AE266" s="43">
        <f t="shared" si="85"/>
        <v>187882.11474671759</v>
      </c>
      <c r="AF266" s="95">
        <f t="shared" si="86"/>
        <v>179399.50776777722</v>
      </c>
      <c r="AH266" s="43">
        <f t="shared" si="87"/>
        <v>2674597.1312671872</v>
      </c>
      <c r="AI266" s="43">
        <f t="shared" si="88"/>
        <v>2454338.3309482918</v>
      </c>
      <c r="AJ266" s="43">
        <f t="shared" si="89"/>
        <v>2250976.454076156</v>
      </c>
      <c r="AK266" s="43">
        <f t="shared" si="90"/>
        <v>2063094.3393294385</v>
      </c>
      <c r="AL266" s="95">
        <f t="shared" si="91"/>
        <v>1883694.8315616613</v>
      </c>
      <c r="AN266" s="47">
        <f t="shared" si="92"/>
        <v>348361.10758991871</v>
      </c>
      <c r="AO266" s="47">
        <f t="shared" si="93"/>
        <v>345430.05519725836</v>
      </c>
      <c r="AP266" s="47">
        <f t="shared" si="94"/>
        <v>318161.67603001994</v>
      </c>
      <c r="AQ266" s="47">
        <f t="shared" si="95"/>
        <v>266279.69964123622</v>
      </c>
      <c r="AR266" s="193">
        <f t="shared" si="96"/>
        <v>250979.91136712034</v>
      </c>
      <c r="AY266" s="3"/>
    </row>
    <row r="267" spans="1:51" s="90" customFormat="1">
      <c r="A267" s="229"/>
      <c r="B267" s="37">
        <f>'13. Desinvesteringen'!B551</f>
        <v>532</v>
      </c>
      <c r="C267" s="339"/>
      <c r="D267" s="339"/>
      <c r="E267" s="339"/>
      <c r="F267" s="42">
        <f>'5. Input GAW-waarde desinv.'!D227</f>
        <v>0</v>
      </c>
      <c r="G267" s="177">
        <f>'13. Desinvesteringen'!D551</f>
        <v>1946</v>
      </c>
      <c r="H267" s="177">
        <f>'13. Desinvesteringen'!G551</f>
        <v>2024</v>
      </c>
      <c r="I267" s="37" t="str">
        <f>'13. Desinvesteringen'!C551</f>
        <v>01 Regionale leidingen</v>
      </c>
      <c r="J267" s="166">
        <f>'13. Desinvesteringen'!F551</f>
        <v>0</v>
      </c>
      <c r="K267" s="38">
        <f>_xlfn.XLOOKUP(I267,'3. Input (des)investeringen '!$B$11:$B$81,'3. Input (des)investeringen '!$E$11:$E$81)</f>
        <v>1</v>
      </c>
      <c r="L267" s="339"/>
      <c r="M267" s="38">
        <f>_xlfn.XLOOKUP(I267,'3. Input (des)investeringen '!$B$11:$B$81,'3. Input (des)investeringen '!$D$11:$D$81,0)</f>
        <v>55</v>
      </c>
      <c r="N267" s="38">
        <f t="shared" ref="N267:N330" si="99">IF($M267&gt;0, MAX(0,IF(G267&lt;2022,M267-2021+G267-0.5,M267)), 0)</f>
        <v>0</v>
      </c>
      <c r="P267" s="43">
        <f t="shared" si="98"/>
        <v>0</v>
      </c>
      <c r="Q267" s="43">
        <f t="shared" si="98"/>
        <v>0</v>
      </c>
      <c r="R267" s="43">
        <f t="shared" si="98"/>
        <v>0</v>
      </c>
      <c r="S267" s="43">
        <f t="shared" si="98"/>
        <v>0</v>
      </c>
      <c r="T267" s="95">
        <f t="shared" si="98"/>
        <v>0</v>
      </c>
      <c r="V267" s="43">
        <f t="shared" ref="V267:V330" si="100">IF($M267&gt;0, IF(OR($G267&gt;V$49,$G267+$M267&lt;V$49),0,
VDB($F267,0,$N267,MAX(0,P$49-2022),MIN($N267,P$49-2021),1,FALSE))*$F$25, 0)</f>
        <v>0</v>
      </c>
      <c r="W267" s="43">
        <f t="shared" ref="W267:W330" si="101">IF($M267&gt;0, IF(OR($G267&gt;W$49,$G267+$M267&lt;W$49),0,
VDB($F267,0,$N267,MAX(0,Q$49-2022),MIN($N267,Q$49-2021),1,FALSE))*$F$25, 0)</f>
        <v>0</v>
      </c>
      <c r="X267" s="43">
        <f t="shared" ref="X267:X330" si="102">IF($M267&gt;0, IF(OR($G267&gt;X$49,$G267+$M267&lt;X$49),0,
VDB($F267,0,$N267,MAX(0,R$49-2022),MIN($N267,R$49-2021),1,FALSE))*$F$25, 0)</f>
        <v>0</v>
      </c>
      <c r="Y267" s="43">
        <f t="shared" ref="Y267:Y330" si="103">IF($M267&gt;0, IF(OR($G267&gt;Y$49,$G267+$M267&lt;Y$49),0,
VDB($F267,0,$N267,MAX(0,S$49-2022),MIN($N267,S$49-2021),1,FALSE))*$F$25, 0)</f>
        <v>0</v>
      </c>
      <c r="Z267" s="95">
        <f t="shared" ref="Z267:Z330" si="104">IF($M267&gt;0, IF(OR($G267&gt;Z$49,$G267+$M267&lt;Z$49),0,
VDB($F267,0,$N267,MAX(0,T$49-2022),MIN($N267,T$49-2021),1,FALSE))*$F$25, 0)</f>
        <v>0</v>
      </c>
      <c r="AB267" s="43">
        <f t="shared" ref="AB267:AB330" si="105">P267+V267</f>
        <v>0</v>
      </c>
      <c r="AC267" s="43">
        <f t="shared" ref="AC267:AC330" si="106">Q267+W267</f>
        <v>0</v>
      </c>
      <c r="AD267" s="43">
        <f t="shared" ref="AD267:AD330" si="107">R267+X267</f>
        <v>0</v>
      </c>
      <c r="AE267" s="43">
        <f t="shared" ref="AE267:AE330" si="108">S267+Y267</f>
        <v>0</v>
      </c>
      <c r="AF267" s="95">
        <f t="shared" ref="AF267:AF330" si="109">T267+Z267</f>
        <v>0</v>
      </c>
      <c r="AH267" s="43">
        <f t="shared" ref="AH267:AH330" si="110">IF($M267&gt;0, IF($M267&gt;0,IF(OR($G267&gt;AH$49,$G267+$M267&lt;=AH$49),0,IF(AH$49=2022,$F267-AB267,AG267-AB267))), $F267)</f>
        <v>0</v>
      </c>
      <c r="AI267" s="43">
        <f t="shared" ref="AI267:AI330" si="111">IF($M267&gt;0, IF(OR($G267&gt;AI$49,$G267+$M267&lt;=AI$49),0,IF(AI$49=2022,$F267-AC267,AH267-AC267)), AH267)</f>
        <v>0</v>
      </c>
      <c r="AJ267" s="43">
        <f t="shared" ref="AJ267:AJ330" si="112">IF($M267&gt;0, IF(OR($G267&gt;AJ$49,$G267+$M267&lt;=AJ$49),0,IF(AJ$49=2022,$F267-AD267,AI267-AD267)), AI267)</f>
        <v>0</v>
      </c>
      <c r="AK267" s="43">
        <f t="shared" ref="AK267:AK330" si="113">IF($M267&gt;0, IF(OR($G267&gt;AK$49,$G267+$M267&lt;=AK$49),0,IF(AK$49=2022,$F267-AE267,AJ267-AE267)), AJ267)</f>
        <v>0</v>
      </c>
      <c r="AL267" s="95">
        <f t="shared" ref="AL267:AL330" si="114">IF($M267&gt;0, IF(OR($G267&gt;AL$49,$G267+$M267&lt;=AL$49),0,IF(AL$49=2022,$F267-AF267,AK267-AF267)), AK267)</f>
        <v>0</v>
      </c>
      <c r="AN267" s="47">
        <f t="shared" ref="AN267:AN330" si="115">(AB267+AH267*H$16)*IF($K267=1,$F$31,1)</f>
        <v>0</v>
      </c>
      <c r="AO267" s="47">
        <f t="shared" ref="AO267:AO330" si="116">(AC267+AI267*I$16)*IF($K267=1,$F$31,1)</f>
        <v>0</v>
      </c>
      <c r="AP267" s="47">
        <f t="shared" ref="AP267:AP330" si="117">(AD267+AJ267*J$16)*IF($K267=1,$F$31,1)</f>
        <v>0</v>
      </c>
      <c r="AQ267" s="47">
        <f t="shared" ref="AQ267:AQ330" si="118">(AE267+AK267*K$16)*IF($K267=1,$F$31,1)</f>
        <v>0</v>
      </c>
      <c r="AR267" s="193">
        <f t="shared" ref="AR267:AR330" si="119">(AF267+AL267*L$16)*IF($K267=1,$F$31,1)</f>
        <v>0</v>
      </c>
      <c r="AS267" s="122"/>
      <c r="AT267" s="122"/>
      <c r="AU267" s="122"/>
      <c r="AV267" s="122"/>
      <c r="AW267" s="122"/>
      <c r="AX267" s="122"/>
    </row>
    <row r="268" spans="1:51" s="90" customFormat="1">
      <c r="A268" s="229"/>
      <c r="B268" s="37">
        <f>'13. Desinvesteringen'!B552</f>
        <v>533</v>
      </c>
      <c r="C268" s="339"/>
      <c r="D268" s="339"/>
      <c r="E268" s="339"/>
      <c r="F268" s="42">
        <f>'5. Input GAW-waarde desinv.'!D228</f>
        <v>0</v>
      </c>
      <c r="G268" s="177">
        <f>'13. Desinvesteringen'!D552</f>
        <v>1949</v>
      </c>
      <c r="H268" s="177">
        <f>'13. Desinvesteringen'!G552</f>
        <v>2024</v>
      </c>
      <c r="I268" s="37" t="str">
        <f>'13. Desinvesteringen'!C552</f>
        <v>01 Regionale leidingen</v>
      </c>
      <c r="J268" s="166">
        <f>'13. Desinvesteringen'!F552</f>
        <v>0</v>
      </c>
      <c r="K268" s="38">
        <f>_xlfn.XLOOKUP(I268,'3. Input (des)investeringen '!$B$11:$B$81,'3. Input (des)investeringen '!$E$11:$E$81)</f>
        <v>1</v>
      </c>
      <c r="L268" s="339"/>
      <c r="M268" s="38">
        <f>_xlfn.XLOOKUP(I268,'3. Input (des)investeringen '!$B$11:$B$81,'3. Input (des)investeringen '!$D$11:$D$81,0)</f>
        <v>55</v>
      </c>
      <c r="N268" s="38">
        <f t="shared" si="99"/>
        <v>0</v>
      </c>
      <c r="P268" s="43">
        <f t="shared" si="98"/>
        <v>0</v>
      </c>
      <c r="Q268" s="43">
        <f t="shared" si="98"/>
        <v>0</v>
      </c>
      <c r="R268" s="43">
        <f t="shared" si="98"/>
        <v>0</v>
      </c>
      <c r="S268" s="43">
        <f t="shared" si="98"/>
        <v>0</v>
      </c>
      <c r="T268" s="95">
        <f t="shared" si="98"/>
        <v>0</v>
      </c>
      <c r="V268" s="43">
        <f t="shared" si="100"/>
        <v>0</v>
      </c>
      <c r="W268" s="43">
        <f t="shared" si="101"/>
        <v>0</v>
      </c>
      <c r="X268" s="43">
        <f t="shared" si="102"/>
        <v>0</v>
      </c>
      <c r="Y268" s="43">
        <f t="shared" si="103"/>
        <v>0</v>
      </c>
      <c r="Z268" s="95">
        <f t="shared" si="104"/>
        <v>0</v>
      </c>
      <c r="AB268" s="43">
        <f t="shared" si="105"/>
        <v>0</v>
      </c>
      <c r="AC268" s="43">
        <f t="shared" si="106"/>
        <v>0</v>
      </c>
      <c r="AD268" s="43">
        <f t="shared" si="107"/>
        <v>0</v>
      </c>
      <c r="AE268" s="43">
        <f t="shared" si="108"/>
        <v>0</v>
      </c>
      <c r="AF268" s="95">
        <f t="shared" si="109"/>
        <v>0</v>
      </c>
      <c r="AH268" s="43">
        <f t="shared" si="110"/>
        <v>0</v>
      </c>
      <c r="AI268" s="43">
        <f t="shared" si="111"/>
        <v>0</v>
      </c>
      <c r="AJ268" s="43">
        <f t="shared" si="112"/>
        <v>0</v>
      </c>
      <c r="AK268" s="43">
        <f t="shared" si="113"/>
        <v>0</v>
      </c>
      <c r="AL268" s="95">
        <f t="shared" si="114"/>
        <v>0</v>
      </c>
      <c r="AN268" s="47">
        <f t="shared" si="115"/>
        <v>0</v>
      </c>
      <c r="AO268" s="47">
        <f t="shared" si="116"/>
        <v>0</v>
      </c>
      <c r="AP268" s="47">
        <f t="shared" si="117"/>
        <v>0</v>
      </c>
      <c r="AQ268" s="47">
        <f t="shared" si="118"/>
        <v>0</v>
      </c>
      <c r="AR268" s="193">
        <f t="shared" si="119"/>
        <v>0</v>
      </c>
      <c r="AS268" s="122"/>
      <c r="AT268" s="122"/>
      <c r="AU268" s="122"/>
      <c r="AV268" s="122"/>
      <c r="AW268" s="122"/>
      <c r="AX268" s="122"/>
    </row>
    <row r="269" spans="1:51" s="90" customFormat="1">
      <c r="A269" s="229"/>
      <c r="B269" s="37">
        <f>'13. Desinvesteringen'!B553</f>
        <v>534</v>
      </c>
      <c r="C269" s="339"/>
      <c r="D269" s="339"/>
      <c r="E269" s="339"/>
      <c r="F269" s="42">
        <f>'5. Input GAW-waarde desinv.'!D229</f>
        <v>0</v>
      </c>
      <c r="G269" s="177">
        <f>'13. Desinvesteringen'!D553</f>
        <v>1958</v>
      </c>
      <c r="H269" s="177">
        <f>'13. Desinvesteringen'!G553</f>
        <v>2024</v>
      </c>
      <c r="I269" s="37" t="str">
        <f>'13. Desinvesteringen'!C553</f>
        <v>01 Regionale leidingen</v>
      </c>
      <c r="J269" s="166">
        <f>'13. Desinvesteringen'!F553</f>
        <v>0</v>
      </c>
      <c r="K269" s="38">
        <f>_xlfn.XLOOKUP(I269,'3. Input (des)investeringen '!$B$11:$B$81,'3. Input (des)investeringen '!$E$11:$E$81)</f>
        <v>1</v>
      </c>
      <c r="L269" s="339"/>
      <c r="M269" s="38">
        <f>_xlfn.XLOOKUP(I269,'3. Input (des)investeringen '!$B$11:$B$81,'3. Input (des)investeringen '!$D$11:$D$81,0)</f>
        <v>55</v>
      </c>
      <c r="N269" s="38">
        <f t="shared" si="99"/>
        <v>0</v>
      </c>
      <c r="P269" s="43">
        <f t="shared" si="98"/>
        <v>0</v>
      </c>
      <c r="Q269" s="43">
        <f t="shared" si="98"/>
        <v>0</v>
      </c>
      <c r="R269" s="43">
        <f t="shared" si="98"/>
        <v>0</v>
      </c>
      <c r="S269" s="43">
        <f t="shared" si="98"/>
        <v>0</v>
      </c>
      <c r="T269" s="95">
        <f t="shared" si="98"/>
        <v>0</v>
      </c>
      <c r="V269" s="43">
        <f t="shared" si="100"/>
        <v>0</v>
      </c>
      <c r="W269" s="43">
        <f t="shared" si="101"/>
        <v>0</v>
      </c>
      <c r="X269" s="43">
        <f t="shared" si="102"/>
        <v>0</v>
      </c>
      <c r="Y269" s="43">
        <f t="shared" si="103"/>
        <v>0</v>
      </c>
      <c r="Z269" s="95">
        <f t="shared" si="104"/>
        <v>0</v>
      </c>
      <c r="AB269" s="43">
        <f t="shared" si="105"/>
        <v>0</v>
      </c>
      <c r="AC269" s="43">
        <f t="shared" si="106"/>
        <v>0</v>
      </c>
      <c r="AD269" s="43">
        <f t="shared" si="107"/>
        <v>0</v>
      </c>
      <c r="AE269" s="43">
        <f t="shared" si="108"/>
        <v>0</v>
      </c>
      <c r="AF269" s="95">
        <f t="shared" si="109"/>
        <v>0</v>
      </c>
      <c r="AH269" s="43">
        <f t="shared" si="110"/>
        <v>0</v>
      </c>
      <c r="AI269" s="43">
        <f t="shared" si="111"/>
        <v>0</v>
      </c>
      <c r="AJ269" s="43">
        <f t="shared" si="112"/>
        <v>0</v>
      </c>
      <c r="AK269" s="43">
        <f t="shared" si="113"/>
        <v>0</v>
      </c>
      <c r="AL269" s="95">
        <f t="shared" si="114"/>
        <v>0</v>
      </c>
      <c r="AN269" s="47">
        <f t="shared" si="115"/>
        <v>0</v>
      </c>
      <c r="AO269" s="47">
        <f t="shared" si="116"/>
        <v>0</v>
      </c>
      <c r="AP269" s="47">
        <f t="shared" si="117"/>
        <v>0</v>
      </c>
      <c r="AQ269" s="47">
        <f t="shared" si="118"/>
        <v>0</v>
      </c>
      <c r="AR269" s="193">
        <f t="shared" si="119"/>
        <v>0</v>
      </c>
      <c r="AS269" s="122"/>
      <c r="AT269" s="122"/>
      <c r="AU269" s="122"/>
      <c r="AV269" s="122"/>
      <c r="AW269" s="122"/>
      <c r="AX269" s="122"/>
    </row>
    <row r="270" spans="1:51" s="90" customFormat="1">
      <c r="A270" s="229"/>
      <c r="B270" s="37">
        <f>'13. Desinvesteringen'!B554</f>
        <v>535</v>
      </c>
      <c r="C270" s="339"/>
      <c r="D270" s="339"/>
      <c r="E270" s="339"/>
      <c r="F270" s="42">
        <f>'5. Input GAW-waarde desinv.'!D230</f>
        <v>0</v>
      </c>
      <c r="G270" s="177">
        <f>'13. Desinvesteringen'!D554</f>
        <v>1961</v>
      </c>
      <c r="H270" s="177">
        <f>'13. Desinvesteringen'!G554</f>
        <v>2024</v>
      </c>
      <c r="I270" s="37" t="str">
        <f>'13. Desinvesteringen'!C554</f>
        <v>01 Regionale leidingen</v>
      </c>
      <c r="J270" s="166">
        <f>'13. Desinvesteringen'!F554</f>
        <v>0</v>
      </c>
      <c r="K270" s="38">
        <f>_xlfn.XLOOKUP(I270,'3. Input (des)investeringen '!$B$11:$B$81,'3. Input (des)investeringen '!$E$11:$E$81)</f>
        <v>1</v>
      </c>
      <c r="L270" s="339"/>
      <c r="M270" s="38">
        <f>_xlfn.XLOOKUP(I270,'3. Input (des)investeringen '!$B$11:$B$81,'3. Input (des)investeringen '!$D$11:$D$81,0)</f>
        <v>55</v>
      </c>
      <c r="N270" s="38">
        <f t="shared" si="99"/>
        <v>0</v>
      </c>
      <c r="P270" s="43">
        <f t="shared" si="98"/>
        <v>0</v>
      </c>
      <c r="Q270" s="43">
        <f t="shared" si="98"/>
        <v>0</v>
      </c>
      <c r="R270" s="43">
        <f t="shared" si="98"/>
        <v>0</v>
      </c>
      <c r="S270" s="43">
        <f t="shared" si="98"/>
        <v>0</v>
      </c>
      <c r="T270" s="95">
        <f t="shared" si="98"/>
        <v>0</v>
      </c>
      <c r="V270" s="43">
        <f t="shared" si="100"/>
        <v>0</v>
      </c>
      <c r="W270" s="43">
        <f t="shared" si="101"/>
        <v>0</v>
      </c>
      <c r="X270" s="43">
        <f t="shared" si="102"/>
        <v>0</v>
      </c>
      <c r="Y270" s="43">
        <f t="shared" si="103"/>
        <v>0</v>
      </c>
      <c r="Z270" s="95">
        <f t="shared" si="104"/>
        <v>0</v>
      </c>
      <c r="AB270" s="43">
        <f t="shared" si="105"/>
        <v>0</v>
      </c>
      <c r="AC270" s="43">
        <f t="shared" si="106"/>
        <v>0</v>
      </c>
      <c r="AD270" s="43">
        <f t="shared" si="107"/>
        <v>0</v>
      </c>
      <c r="AE270" s="43">
        <f t="shared" si="108"/>
        <v>0</v>
      </c>
      <c r="AF270" s="95">
        <f t="shared" si="109"/>
        <v>0</v>
      </c>
      <c r="AH270" s="43">
        <f t="shared" si="110"/>
        <v>0</v>
      </c>
      <c r="AI270" s="43">
        <f t="shared" si="111"/>
        <v>0</v>
      </c>
      <c r="AJ270" s="43">
        <f t="shared" si="112"/>
        <v>0</v>
      </c>
      <c r="AK270" s="43">
        <f t="shared" si="113"/>
        <v>0</v>
      </c>
      <c r="AL270" s="95">
        <f t="shared" si="114"/>
        <v>0</v>
      </c>
      <c r="AN270" s="47">
        <f t="shared" si="115"/>
        <v>0</v>
      </c>
      <c r="AO270" s="47">
        <f t="shared" si="116"/>
        <v>0</v>
      </c>
      <c r="AP270" s="47">
        <f t="shared" si="117"/>
        <v>0</v>
      </c>
      <c r="AQ270" s="47">
        <f t="shared" si="118"/>
        <v>0</v>
      </c>
      <c r="AR270" s="193">
        <f t="shared" si="119"/>
        <v>0</v>
      </c>
      <c r="AS270" s="122"/>
      <c r="AT270" s="122"/>
      <c r="AU270" s="122"/>
      <c r="AV270" s="122"/>
      <c r="AW270" s="122"/>
      <c r="AX270" s="122"/>
    </row>
    <row r="271" spans="1:51" s="90" customFormat="1">
      <c r="A271" s="229"/>
      <c r="B271" s="37">
        <f>'13. Desinvesteringen'!B555</f>
        <v>536</v>
      </c>
      <c r="C271" s="339"/>
      <c r="D271" s="339"/>
      <c r="E271" s="339"/>
      <c r="F271" s="42">
        <f>'5. Input GAW-waarde desinv.'!D231</f>
        <v>0</v>
      </c>
      <c r="G271" s="177">
        <f>'13. Desinvesteringen'!D555</f>
        <v>1965</v>
      </c>
      <c r="H271" s="177">
        <f>'13. Desinvesteringen'!G555</f>
        <v>2024</v>
      </c>
      <c r="I271" s="37" t="str">
        <f>'13. Desinvesteringen'!C555</f>
        <v>01 Regionale leidingen</v>
      </c>
      <c r="J271" s="166">
        <f>'13. Desinvesteringen'!F555</f>
        <v>0</v>
      </c>
      <c r="K271" s="38">
        <f>_xlfn.XLOOKUP(I271,'3. Input (des)investeringen '!$B$11:$B$81,'3. Input (des)investeringen '!$E$11:$E$81)</f>
        <v>1</v>
      </c>
      <c r="L271" s="339"/>
      <c r="M271" s="38">
        <f>_xlfn.XLOOKUP(I271,'3. Input (des)investeringen '!$B$11:$B$81,'3. Input (des)investeringen '!$D$11:$D$81,0)</f>
        <v>55</v>
      </c>
      <c r="N271" s="38">
        <f t="shared" si="99"/>
        <v>0</v>
      </c>
      <c r="P271" s="43">
        <f t="shared" si="98"/>
        <v>0</v>
      </c>
      <c r="Q271" s="43">
        <f t="shared" si="98"/>
        <v>0</v>
      </c>
      <c r="R271" s="43">
        <f t="shared" si="98"/>
        <v>0</v>
      </c>
      <c r="S271" s="43">
        <f t="shared" si="98"/>
        <v>0</v>
      </c>
      <c r="T271" s="95">
        <f t="shared" si="98"/>
        <v>0</v>
      </c>
      <c r="V271" s="43">
        <f t="shared" si="100"/>
        <v>0</v>
      </c>
      <c r="W271" s="43">
        <f t="shared" si="101"/>
        <v>0</v>
      </c>
      <c r="X271" s="43">
        <f t="shared" si="102"/>
        <v>0</v>
      </c>
      <c r="Y271" s="43">
        <f t="shared" si="103"/>
        <v>0</v>
      </c>
      <c r="Z271" s="95">
        <f t="shared" si="104"/>
        <v>0</v>
      </c>
      <c r="AB271" s="43">
        <f t="shared" si="105"/>
        <v>0</v>
      </c>
      <c r="AC271" s="43">
        <f t="shared" si="106"/>
        <v>0</v>
      </c>
      <c r="AD271" s="43">
        <f t="shared" si="107"/>
        <v>0</v>
      </c>
      <c r="AE271" s="43">
        <f t="shared" si="108"/>
        <v>0</v>
      </c>
      <c r="AF271" s="95">
        <f t="shared" si="109"/>
        <v>0</v>
      </c>
      <c r="AH271" s="43">
        <f t="shared" si="110"/>
        <v>0</v>
      </c>
      <c r="AI271" s="43">
        <f t="shared" si="111"/>
        <v>0</v>
      </c>
      <c r="AJ271" s="43">
        <f t="shared" si="112"/>
        <v>0</v>
      </c>
      <c r="AK271" s="43">
        <f t="shared" si="113"/>
        <v>0</v>
      </c>
      <c r="AL271" s="95">
        <f t="shared" si="114"/>
        <v>0</v>
      </c>
      <c r="AN271" s="47">
        <f t="shared" si="115"/>
        <v>0</v>
      </c>
      <c r="AO271" s="47">
        <f t="shared" si="116"/>
        <v>0</v>
      </c>
      <c r="AP271" s="47">
        <f t="shared" si="117"/>
        <v>0</v>
      </c>
      <c r="AQ271" s="47">
        <f t="shared" si="118"/>
        <v>0</v>
      </c>
      <c r="AR271" s="193">
        <f t="shared" si="119"/>
        <v>0</v>
      </c>
      <c r="AS271" s="122"/>
      <c r="AT271" s="122"/>
      <c r="AU271" s="122"/>
      <c r="AV271" s="122"/>
      <c r="AW271" s="122"/>
      <c r="AX271" s="122"/>
    </row>
    <row r="272" spans="1:51" s="90" customFormat="1">
      <c r="A272" s="229"/>
      <c r="B272" s="37">
        <f>'13. Desinvesteringen'!B556</f>
        <v>537</v>
      </c>
      <c r="C272" s="339"/>
      <c r="D272" s="339"/>
      <c r="E272" s="339"/>
      <c r="F272" s="42">
        <f>'5. Input GAW-waarde desinv.'!D232</f>
        <v>0</v>
      </c>
      <c r="G272" s="177">
        <f>'13. Desinvesteringen'!D556</f>
        <v>1966</v>
      </c>
      <c r="H272" s="177">
        <f>'13. Desinvesteringen'!G556</f>
        <v>2024</v>
      </c>
      <c r="I272" s="37" t="str">
        <f>'13. Desinvesteringen'!C556</f>
        <v>01 Regionale leidingen</v>
      </c>
      <c r="J272" s="166">
        <f>'13. Desinvesteringen'!F556</f>
        <v>0</v>
      </c>
      <c r="K272" s="38">
        <f>_xlfn.XLOOKUP(I272,'3. Input (des)investeringen '!$B$11:$B$81,'3. Input (des)investeringen '!$E$11:$E$81)</f>
        <v>1</v>
      </c>
      <c r="L272" s="339"/>
      <c r="M272" s="38">
        <f>_xlfn.XLOOKUP(I272,'3. Input (des)investeringen '!$B$11:$B$81,'3. Input (des)investeringen '!$D$11:$D$81,0)</f>
        <v>55</v>
      </c>
      <c r="N272" s="38">
        <f t="shared" si="99"/>
        <v>0</v>
      </c>
      <c r="P272" s="43">
        <f t="shared" si="98"/>
        <v>0</v>
      </c>
      <c r="Q272" s="43">
        <f t="shared" si="98"/>
        <v>0</v>
      </c>
      <c r="R272" s="43">
        <f t="shared" si="98"/>
        <v>0</v>
      </c>
      <c r="S272" s="43">
        <f t="shared" si="98"/>
        <v>0</v>
      </c>
      <c r="T272" s="95">
        <f t="shared" si="98"/>
        <v>0</v>
      </c>
      <c r="V272" s="43">
        <f t="shared" si="100"/>
        <v>0</v>
      </c>
      <c r="W272" s="43">
        <f t="shared" si="101"/>
        <v>0</v>
      </c>
      <c r="X272" s="43">
        <f t="shared" si="102"/>
        <v>0</v>
      </c>
      <c r="Y272" s="43">
        <f t="shared" si="103"/>
        <v>0</v>
      </c>
      <c r="Z272" s="95">
        <f t="shared" si="104"/>
        <v>0</v>
      </c>
      <c r="AB272" s="43">
        <f t="shared" si="105"/>
        <v>0</v>
      </c>
      <c r="AC272" s="43">
        <f t="shared" si="106"/>
        <v>0</v>
      </c>
      <c r="AD272" s="43">
        <f t="shared" si="107"/>
        <v>0</v>
      </c>
      <c r="AE272" s="43">
        <f t="shared" si="108"/>
        <v>0</v>
      </c>
      <c r="AF272" s="95">
        <f t="shared" si="109"/>
        <v>0</v>
      </c>
      <c r="AH272" s="43">
        <f t="shared" si="110"/>
        <v>0</v>
      </c>
      <c r="AI272" s="43">
        <f t="shared" si="111"/>
        <v>0</v>
      </c>
      <c r="AJ272" s="43">
        <f t="shared" si="112"/>
        <v>0</v>
      </c>
      <c r="AK272" s="43">
        <f t="shared" si="113"/>
        <v>0</v>
      </c>
      <c r="AL272" s="95">
        <f t="shared" si="114"/>
        <v>0</v>
      </c>
      <c r="AN272" s="47">
        <f t="shared" si="115"/>
        <v>0</v>
      </c>
      <c r="AO272" s="47">
        <f t="shared" si="116"/>
        <v>0</v>
      </c>
      <c r="AP272" s="47">
        <f t="shared" si="117"/>
        <v>0</v>
      </c>
      <c r="AQ272" s="47">
        <f t="shared" si="118"/>
        <v>0</v>
      </c>
      <c r="AR272" s="193">
        <f t="shared" si="119"/>
        <v>0</v>
      </c>
      <c r="AS272" s="122"/>
      <c r="AT272" s="122"/>
      <c r="AU272" s="122"/>
      <c r="AV272" s="122"/>
      <c r="AW272" s="122"/>
      <c r="AX272" s="122"/>
    </row>
    <row r="273" spans="1:50" s="90" customFormat="1">
      <c r="A273" s="229"/>
      <c r="B273" s="37">
        <f>'13. Desinvesteringen'!B557</f>
        <v>538</v>
      </c>
      <c r="C273" s="339"/>
      <c r="D273" s="339"/>
      <c r="E273" s="339"/>
      <c r="F273" s="42">
        <f>'5. Input GAW-waarde desinv.'!D233</f>
        <v>1574.447054456984</v>
      </c>
      <c r="G273" s="177">
        <f>'13. Desinvesteringen'!D557</f>
        <v>1967</v>
      </c>
      <c r="H273" s="177">
        <f>'13. Desinvesteringen'!G557</f>
        <v>2024</v>
      </c>
      <c r="I273" s="37" t="str">
        <f>'13. Desinvesteringen'!C557</f>
        <v>01 Regionale leidingen</v>
      </c>
      <c r="J273" s="166">
        <f>'13. Desinvesteringen'!F557</f>
        <v>0</v>
      </c>
      <c r="K273" s="38">
        <f>_xlfn.XLOOKUP(I273,'3. Input (des)investeringen '!$B$11:$B$81,'3. Input (des)investeringen '!$E$11:$E$81)</f>
        <v>1</v>
      </c>
      <c r="L273" s="339"/>
      <c r="M273" s="38">
        <f>_xlfn.XLOOKUP(I273,'3. Input (des)investeringen '!$B$11:$B$81,'3. Input (des)investeringen '!$D$11:$D$81,0)</f>
        <v>55</v>
      </c>
      <c r="N273" s="38">
        <f t="shared" si="99"/>
        <v>0.5</v>
      </c>
      <c r="P273" s="43">
        <f t="shared" si="98"/>
        <v>1417.0023490112856</v>
      </c>
      <c r="Q273" s="43">
        <f t="shared" si="98"/>
        <v>0</v>
      </c>
      <c r="R273" s="43">
        <f t="shared" si="98"/>
        <v>0</v>
      </c>
      <c r="S273" s="43">
        <f t="shared" si="98"/>
        <v>0</v>
      </c>
      <c r="T273" s="95">
        <f t="shared" si="98"/>
        <v>0</v>
      </c>
      <c r="V273" s="43">
        <f t="shared" si="100"/>
        <v>157.44470544569842</v>
      </c>
      <c r="W273" s="43">
        <f t="shared" si="101"/>
        <v>0</v>
      </c>
      <c r="X273" s="43">
        <f t="shared" si="102"/>
        <v>0</v>
      </c>
      <c r="Y273" s="43">
        <f t="shared" si="103"/>
        <v>0</v>
      </c>
      <c r="Z273" s="95">
        <f t="shared" si="104"/>
        <v>0</v>
      </c>
      <c r="AB273" s="43">
        <f t="shared" si="105"/>
        <v>1574.447054456984</v>
      </c>
      <c r="AC273" s="43">
        <f t="shared" si="106"/>
        <v>0</v>
      </c>
      <c r="AD273" s="43">
        <f t="shared" si="107"/>
        <v>0</v>
      </c>
      <c r="AE273" s="43">
        <f t="shared" si="108"/>
        <v>0</v>
      </c>
      <c r="AF273" s="95">
        <f t="shared" si="109"/>
        <v>0</v>
      </c>
      <c r="AH273" s="43">
        <f t="shared" si="110"/>
        <v>0</v>
      </c>
      <c r="AI273" s="43">
        <f t="shared" si="111"/>
        <v>0</v>
      </c>
      <c r="AJ273" s="43">
        <f t="shared" si="112"/>
        <v>0</v>
      </c>
      <c r="AK273" s="43">
        <f t="shared" si="113"/>
        <v>0</v>
      </c>
      <c r="AL273" s="95">
        <f t="shared" si="114"/>
        <v>0</v>
      </c>
      <c r="AN273" s="47">
        <f t="shared" si="115"/>
        <v>1574.447054456984</v>
      </c>
      <c r="AO273" s="47">
        <f t="shared" si="116"/>
        <v>0</v>
      </c>
      <c r="AP273" s="47">
        <f t="shared" si="117"/>
        <v>0</v>
      </c>
      <c r="AQ273" s="47">
        <f t="shared" si="118"/>
        <v>0</v>
      </c>
      <c r="AR273" s="193">
        <f t="shared" si="119"/>
        <v>0</v>
      </c>
      <c r="AS273" s="122"/>
      <c r="AT273" s="122"/>
      <c r="AU273" s="122"/>
      <c r="AV273" s="122"/>
      <c r="AW273" s="122"/>
      <c r="AX273" s="122"/>
    </row>
    <row r="274" spans="1:50" s="90" customFormat="1">
      <c r="A274" s="229"/>
      <c r="B274" s="37">
        <f>'13. Desinvesteringen'!B558</f>
        <v>539</v>
      </c>
      <c r="C274" s="339"/>
      <c r="D274" s="339"/>
      <c r="E274" s="339"/>
      <c r="F274" s="42">
        <f>'5. Input GAW-waarde desinv.'!D234</f>
        <v>20479.328356270184</v>
      </c>
      <c r="G274" s="177">
        <f>'13. Desinvesteringen'!D558</f>
        <v>1968</v>
      </c>
      <c r="H274" s="177">
        <f>'13. Desinvesteringen'!G558</f>
        <v>2024</v>
      </c>
      <c r="I274" s="37" t="str">
        <f>'13. Desinvesteringen'!C558</f>
        <v>01 Regionale leidingen</v>
      </c>
      <c r="J274" s="166">
        <f>'13. Desinvesteringen'!F558</f>
        <v>0</v>
      </c>
      <c r="K274" s="38">
        <f>_xlfn.XLOOKUP(I274,'3. Input (des)investeringen '!$B$11:$B$81,'3. Input (des)investeringen '!$E$11:$E$81)</f>
        <v>1</v>
      </c>
      <c r="L274" s="339"/>
      <c r="M274" s="38">
        <f>_xlfn.XLOOKUP(I274,'3. Input (des)investeringen '!$B$11:$B$81,'3. Input (des)investeringen '!$D$11:$D$81,0)</f>
        <v>55</v>
      </c>
      <c r="N274" s="38">
        <f t="shared" si="99"/>
        <v>1.5</v>
      </c>
      <c r="P274" s="43">
        <f t="shared" si="98"/>
        <v>15973.876117890743</v>
      </c>
      <c r="Q274" s="43">
        <f t="shared" si="98"/>
        <v>2457.5194027524226</v>
      </c>
      <c r="R274" s="43">
        <f t="shared" si="98"/>
        <v>0</v>
      </c>
      <c r="S274" s="43">
        <f t="shared" si="98"/>
        <v>0</v>
      </c>
      <c r="T274" s="95">
        <f t="shared" si="98"/>
        <v>0</v>
      </c>
      <c r="V274" s="43">
        <f t="shared" si="100"/>
        <v>1365.288557084679</v>
      </c>
      <c r="W274" s="43">
        <f t="shared" si="101"/>
        <v>682.64427854233952</v>
      </c>
      <c r="X274" s="43">
        <f t="shared" si="102"/>
        <v>0</v>
      </c>
      <c r="Y274" s="43">
        <f t="shared" si="103"/>
        <v>0</v>
      </c>
      <c r="Z274" s="95">
        <f t="shared" si="104"/>
        <v>0</v>
      </c>
      <c r="AB274" s="43">
        <f t="shared" si="105"/>
        <v>17339.164674975422</v>
      </c>
      <c r="AC274" s="43">
        <f t="shared" si="106"/>
        <v>3140.1636812947622</v>
      </c>
      <c r="AD274" s="43">
        <f t="shared" si="107"/>
        <v>0</v>
      </c>
      <c r="AE274" s="43">
        <f t="shared" si="108"/>
        <v>0</v>
      </c>
      <c r="AF274" s="95">
        <f t="shared" si="109"/>
        <v>0</v>
      </c>
      <c r="AH274" s="43">
        <f t="shared" si="110"/>
        <v>3140.1636812947618</v>
      </c>
      <c r="AI274" s="43">
        <f t="shared" si="111"/>
        <v>0</v>
      </c>
      <c r="AJ274" s="43">
        <f t="shared" si="112"/>
        <v>0</v>
      </c>
      <c r="AK274" s="43">
        <f t="shared" si="113"/>
        <v>0</v>
      </c>
      <c r="AL274" s="95">
        <f t="shared" si="114"/>
        <v>0</v>
      </c>
      <c r="AN274" s="47">
        <f t="shared" si="115"/>
        <v>17467.911385908508</v>
      </c>
      <c r="AO274" s="47">
        <f t="shared" si="116"/>
        <v>3140.1636812947622</v>
      </c>
      <c r="AP274" s="47">
        <f t="shared" si="117"/>
        <v>0</v>
      </c>
      <c r="AQ274" s="47">
        <f t="shared" si="118"/>
        <v>0</v>
      </c>
      <c r="AR274" s="193">
        <f t="shared" si="119"/>
        <v>0</v>
      </c>
      <c r="AS274" s="122"/>
      <c r="AT274" s="122"/>
      <c r="AU274" s="122"/>
      <c r="AV274" s="122"/>
      <c r="AW274" s="122"/>
      <c r="AX274" s="122"/>
    </row>
    <row r="275" spans="1:50" s="90" customFormat="1">
      <c r="A275" s="229"/>
      <c r="B275" s="37">
        <f>'13. Desinvesteringen'!B559</f>
        <v>540</v>
      </c>
      <c r="C275" s="339"/>
      <c r="D275" s="339"/>
      <c r="E275" s="339"/>
      <c r="F275" s="42">
        <f>'5. Input GAW-waarde desinv.'!D235</f>
        <v>25374.385345644296</v>
      </c>
      <c r="G275" s="177">
        <f>'13. Desinvesteringen'!D559</f>
        <v>1969</v>
      </c>
      <c r="H275" s="177">
        <f>'13. Desinvesteringen'!G559</f>
        <v>2024</v>
      </c>
      <c r="I275" s="37" t="str">
        <f>'13. Desinvesteringen'!C559</f>
        <v>01 Regionale leidingen</v>
      </c>
      <c r="J275" s="166">
        <f>'13. Desinvesteringen'!F559</f>
        <v>0</v>
      </c>
      <c r="K275" s="38">
        <f>_xlfn.XLOOKUP(I275,'3. Input (des)investeringen '!$B$11:$B$81,'3. Input (des)investeringen '!$E$11:$E$81)</f>
        <v>1</v>
      </c>
      <c r="L275" s="339"/>
      <c r="M275" s="38">
        <f>_xlfn.XLOOKUP(I275,'3. Input (des)investeringen '!$B$11:$B$81,'3. Input (des)investeringen '!$D$11:$D$81,0)</f>
        <v>55</v>
      </c>
      <c r="N275" s="38">
        <f t="shared" si="99"/>
        <v>2.5</v>
      </c>
      <c r="P275" s="43">
        <f t="shared" si="98"/>
        <v>11875.212341761531</v>
      </c>
      <c r="Q275" s="43">
        <f t="shared" si="98"/>
        <v>7307.8229795455563</v>
      </c>
      <c r="R275" s="43">
        <f t="shared" si="98"/>
        <v>3653.9114897727782</v>
      </c>
      <c r="S275" s="43">
        <f t="shared" si="98"/>
        <v>0</v>
      </c>
      <c r="T275" s="95">
        <f t="shared" si="98"/>
        <v>0</v>
      </c>
      <c r="V275" s="43">
        <f t="shared" si="100"/>
        <v>1014.9754138257719</v>
      </c>
      <c r="W275" s="43">
        <f t="shared" si="101"/>
        <v>1014.9754138257719</v>
      </c>
      <c r="X275" s="43">
        <f t="shared" si="102"/>
        <v>507.48770691288593</v>
      </c>
      <c r="Y275" s="43">
        <f t="shared" si="103"/>
        <v>0</v>
      </c>
      <c r="Z275" s="95">
        <f t="shared" si="104"/>
        <v>0</v>
      </c>
      <c r="AB275" s="43">
        <f t="shared" si="105"/>
        <v>12890.187755587303</v>
      </c>
      <c r="AC275" s="43">
        <f t="shared" si="106"/>
        <v>8322.7983933713276</v>
      </c>
      <c r="AD275" s="43">
        <f t="shared" si="107"/>
        <v>4161.3991966856638</v>
      </c>
      <c r="AE275" s="43">
        <f t="shared" si="108"/>
        <v>0</v>
      </c>
      <c r="AF275" s="95">
        <f t="shared" si="109"/>
        <v>0</v>
      </c>
      <c r="AH275" s="43">
        <f t="shared" si="110"/>
        <v>12484.197590056992</v>
      </c>
      <c r="AI275" s="43">
        <f t="shared" si="111"/>
        <v>4161.3991966856647</v>
      </c>
      <c r="AJ275" s="43">
        <f t="shared" si="112"/>
        <v>0</v>
      </c>
      <c r="AK275" s="43">
        <f t="shared" si="113"/>
        <v>0</v>
      </c>
      <c r="AL275" s="95">
        <f t="shared" si="114"/>
        <v>0</v>
      </c>
      <c r="AN275" s="47">
        <f t="shared" si="115"/>
        <v>13402.03985677964</v>
      </c>
      <c r="AO275" s="47">
        <f t="shared" si="116"/>
        <v>8535.0297524022972</v>
      </c>
      <c r="AP275" s="47">
        <f t="shared" si="117"/>
        <v>4161.3991966856638</v>
      </c>
      <c r="AQ275" s="47">
        <f t="shared" si="118"/>
        <v>0</v>
      </c>
      <c r="AR275" s="193">
        <f t="shared" si="119"/>
        <v>0</v>
      </c>
      <c r="AS275" s="122"/>
      <c r="AT275" s="122"/>
      <c r="AU275" s="122"/>
      <c r="AV275" s="122"/>
      <c r="AW275" s="122"/>
      <c r="AX275" s="122"/>
    </row>
    <row r="276" spans="1:50" s="90" customFormat="1">
      <c r="A276" s="229"/>
      <c r="B276" s="37">
        <f>'13. Desinvesteringen'!B560</f>
        <v>541</v>
      </c>
      <c r="C276" s="339"/>
      <c r="D276" s="339"/>
      <c r="E276" s="339"/>
      <c r="F276" s="42">
        <f>'5. Input GAW-waarde desinv.'!D236</f>
        <v>19518.619853143853</v>
      </c>
      <c r="G276" s="177">
        <f>'13. Desinvesteringen'!D560</f>
        <v>1970</v>
      </c>
      <c r="H276" s="177">
        <f>'13. Desinvesteringen'!G560</f>
        <v>2024</v>
      </c>
      <c r="I276" s="37" t="str">
        <f>'13. Desinvesteringen'!C560</f>
        <v>01 Regionale leidingen</v>
      </c>
      <c r="J276" s="166">
        <f>'13. Desinvesteringen'!F560</f>
        <v>0</v>
      </c>
      <c r="K276" s="38">
        <f>_xlfn.XLOOKUP(I276,'3. Input (des)investeringen '!$B$11:$B$81,'3. Input (des)investeringen '!$E$11:$E$81)</f>
        <v>1</v>
      </c>
      <c r="L276" s="339"/>
      <c r="M276" s="38">
        <f>_xlfn.XLOOKUP(I276,'3. Input (des)investeringen '!$B$11:$B$81,'3. Input (des)investeringen '!$D$11:$D$81,0)</f>
        <v>55</v>
      </c>
      <c r="N276" s="38">
        <f t="shared" si="99"/>
        <v>3.5</v>
      </c>
      <c r="P276" s="43">
        <f t="shared" si="98"/>
        <v>6524.7957794795166</v>
      </c>
      <c r="Q276" s="43">
        <f t="shared" si="98"/>
        <v>4416.7848353399804</v>
      </c>
      <c r="R276" s="43">
        <f t="shared" si="98"/>
        <v>4416.7848353399804</v>
      </c>
      <c r="S276" s="43">
        <f t="shared" si="98"/>
        <v>2208.3924176699902</v>
      </c>
      <c r="T276" s="95">
        <f t="shared" si="98"/>
        <v>0</v>
      </c>
      <c r="V276" s="43">
        <f t="shared" si="100"/>
        <v>557.67485294696723</v>
      </c>
      <c r="W276" s="43">
        <f t="shared" si="101"/>
        <v>557.67485294696723</v>
      </c>
      <c r="X276" s="43">
        <f t="shared" si="102"/>
        <v>557.67485294696723</v>
      </c>
      <c r="Y276" s="43">
        <f t="shared" si="103"/>
        <v>278.83742647348362</v>
      </c>
      <c r="Z276" s="95">
        <f t="shared" si="104"/>
        <v>0</v>
      </c>
      <c r="AB276" s="43">
        <f t="shared" si="105"/>
        <v>7082.4706324264835</v>
      </c>
      <c r="AC276" s="43">
        <f t="shared" si="106"/>
        <v>4974.4596882869473</v>
      </c>
      <c r="AD276" s="43">
        <f t="shared" si="107"/>
        <v>4974.4596882869473</v>
      </c>
      <c r="AE276" s="43">
        <f t="shared" si="108"/>
        <v>2487.2298441434737</v>
      </c>
      <c r="AF276" s="95">
        <f t="shared" si="109"/>
        <v>0</v>
      </c>
      <c r="AH276" s="43">
        <f t="shared" si="110"/>
        <v>12436.149220717369</v>
      </c>
      <c r="AI276" s="43">
        <f t="shared" si="111"/>
        <v>7461.6895324304214</v>
      </c>
      <c r="AJ276" s="43">
        <f t="shared" si="112"/>
        <v>2487.2298441434741</v>
      </c>
      <c r="AK276" s="43">
        <f t="shared" si="113"/>
        <v>0</v>
      </c>
      <c r="AL276" s="95">
        <f t="shared" si="114"/>
        <v>0</v>
      </c>
      <c r="AN276" s="47">
        <f t="shared" si="115"/>
        <v>7592.3527504758958</v>
      </c>
      <c r="AO276" s="47">
        <f t="shared" si="116"/>
        <v>5355.0058544408985</v>
      </c>
      <c r="AP276" s="47">
        <f t="shared" si="117"/>
        <v>5101.3084103382644</v>
      </c>
      <c r="AQ276" s="47">
        <f t="shared" si="118"/>
        <v>2487.2298441434737</v>
      </c>
      <c r="AR276" s="193">
        <f t="shared" si="119"/>
        <v>0</v>
      </c>
      <c r="AS276" s="122"/>
      <c r="AT276" s="122"/>
      <c r="AU276" s="122"/>
      <c r="AV276" s="122"/>
      <c r="AW276" s="122"/>
      <c r="AX276" s="122"/>
    </row>
    <row r="277" spans="1:50" s="90" customFormat="1">
      <c r="A277" s="229"/>
      <c r="B277" s="37">
        <f>'13. Desinvesteringen'!B561</f>
        <v>542</v>
      </c>
      <c r="C277" s="339"/>
      <c r="D277" s="339"/>
      <c r="E277" s="339"/>
      <c r="F277" s="42">
        <f>'5. Input GAW-waarde desinv.'!D237</f>
        <v>111800.93961557576</v>
      </c>
      <c r="G277" s="177">
        <f>'13. Desinvesteringen'!D561</f>
        <v>1971</v>
      </c>
      <c r="H277" s="177">
        <f>'13. Desinvesteringen'!G561</f>
        <v>2024</v>
      </c>
      <c r="I277" s="37" t="str">
        <f>'13. Desinvesteringen'!C561</f>
        <v>01 Regionale leidingen</v>
      </c>
      <c r="J277" s="166">
        <f>'13. Desinvesteringen'!F561</f>
        <v>0</v>
      </c>
      <c r="K277" s="38">
        <f>_xlfn.XLOOKUP(I277,'3. Input (des)investeringen '!$B$11:$B$81,'3. Input (des)investeringen '!$E$11:$E$81)</f>
        <v>1</v>
      </c>
      <c r="L277" s="339"/>
      <c r="M277" s="38">
        <f>_xlfn.XLOOKUP(I277,'3. Input (des)investeringen '!$B$11:$B$81,'3. Input (des)investeringen '!$D$11:$D$81,0)</f>
        <v>55</v>
      </c>
      <c r="N277" s="38">
        <f t="shared" si="99"/>
        <v>4.5</v>
      </c>
      <c r="P277" s="43">
        <f t="shared" si="98"/>
        <v>29068.244300049701</v>
      </c>
      <c r="Q277" s="43">
        <f t="shared" si="98"/>
        <v>20670.751502257561</v>
      </c>
      <c r="R277" s="43">
        <f t="shared" si="98"/>
        <v>20352.739940684369</v>
      </c>
      <c r="S277" s="43">
        <f t="shared" si="98"/>
        <v>20352.739940684369</v>
      </c>
      <c r="T277" s="95">
        <f t="shared" si="98"/>
        <v>10176.369970342184</v>
      </c>
      <c r="V277" s="43">
        <f t="shared" si="100"/>
        <v>2484.4653247905726</v>
      </c>
      <c r="W277" s="43">
        <f t="shared" si="101"/>
        <v>2484.4653247905726</v>
      </c>
      <c r="X277" s="43">
        <f t="shared" si="102"/>
        <v>2484.4653247905726</v>
      </c>
      <c r="Y277" s="43">
        <f t="shared" si="103"/>
        <v>2484.4653247905726</v>
      </c>
      <c r="Z277" s="95">
        <f t="shared" si="104"/>
        <v>1242.2326623952863</v>
      </c>
      <c r="AB277" s="43">
        <f t="shared" si="105"/>
        <v>31552.709624840274</v>
      </c>
      <c r="AC277" s="43">
        <f t="shared" si="106"/>
        <v>23155.216827048134</v>
      </c>
      <c r="AD277" s="43">
        <f t="shared" si="107"/>
        <v>22837.205265474942</v>
      </c>
      <c r="AE277" s="43">
        <f t="shared" si="108"/>
        <v>22837.205265474942</v>
      </c>
      <c r="AF277" s="95">
        <f t="shared" si="109"/>
        <v>11418.602632737471</v>
      </c>
      <c r="AH277" s="43">
        <f t="shared" si="110"/>
        <v>80248.229990735475</v>
      </c>
      <c r="AI277" s="43">
        <f t="shared" si="111"/>
        <v>57093.013163687341</v>
      </c>
      <c r="AJ277" s="43">
        <f t="shared" si="112"/>
        <v>34255.807898212399</v>
      </c>
      <c r="AK277" s="43">
        <f t="shared" si="113"/>
        <v>11418.602632737457</v>
      </c>
      <c r="AL277" s="95">
        <f t="shared" si="114"/>
        <v>0</v>
      </c>
      <c r="AN277" s="47">
        <f t="shared" si="115"/>
        <v>34842.887054460429</v>
      </c>
      <c r="AO277" s="47">
        <f t="shared" si="116"/>
        <v>26066.960498396187</v>
      </c>
      <c r="AP277" s="47">
        <f t="shared" si="117"/>
        <v>24584.251468283775</v>
      </c>
      <c r="AQ277" s="47">
        <f t="shared" si="118"/>
        <v>23271.112165518967</v>
      </c>
      <c r="AR277" s="193">
        <f t="shared" si="119"/>
        <v>11418.602632737471</v>
      </c>
      <c r="AS277" s="122"/>
      <c r="AT277" s="122"/>
      <c r="AU277" s="122"/>
      <c r="AV277" s="122"/>
      <c r="AW277" s="122"/>
      <c r="AX277" s="122"/>
    </row>
    <row r="278" spans="1:50" s="90" customFormat="1">
      <c r="A278" s="229"/>
      <c r="B278" s="37">
        <f>'13. Desinvesteringen'!B562</f>
        <v>543</v>
      </c>
      <c r="C278" s="339"/>
      <c r="D278" s="339"/>
      <c r="E278" s="339"/>
      <c r="F278" s="42">
        <f>'5. Input GAW-waarde desinv.'!D238</f>
        <v>31700.152105729732</v>
      </c>
      <c r="G278" s="177">
        <f>'13. Desinvesteringen'!D562</f>
        <v>1972</v>
      </c>
      <c r="H278" s="177">
        <f>'13. Desinvesteringen'!G562</f>
        <v>2024</v>
      </c>
      <c r="I278" s="37" t="str">
        <f>'13. Desinvesteringen'!C562</f>
        <v>01 Regionale leidingen</v>
      </c>
      <c r="J278" s="166">
        <f>'13. Desinvesteringen'!F562</f>
        <v>0</v>
      </c>
      <c r="K278" s="38">
        <f>_xlfn.XLOOKUP(I278,'3. Input (des)investeringen '!$B$11:$B$81,'3. Input (des)investeringen '!$E$11:$E$81)</f>
        <v>1</v>
      </c>
      <c r="L278" s="339"/>
      <c r="M278" s="38">
        <f>_xlfn.XLOOKUP(I278,'3. Input (des)investeringen '!$B$11:$B$81,'3. Input (des)investeringen '!$D$11:$D$81,0)</f>
        <v>55</v>
      </c>
      <c r="N278" s="38">
        <f t="shared" si="99"/>
        <v>5.5</v>
      </c>
      <c r="P278" s="43">
        <f t="shared" ref="P278:T328" si="120">IF($M278&gt;0, IF(OR($G278&gt;P$49,$G278+$M278&lt;P$49),0,
VDB($F278,0,$N278,MAX(0,P$49-2022),MIN($N278,P$49-2021),$F$22,FALSE))*(1-$F$25), 0)</f>
        <v>6743.4869024915979</v>
      </c>
      <c r="Q278" s="43">
        <f t="shared" si="120"/>
        <v>5149.5718164481295</v>
      </c>
      <c r="R278" s="43">
        <f t="shared" si="120"/>
        <v>4753.4509074905809</v>
      </c>
      <c r="S278" s="43">
        <f t="shared" si="120"/>
        <v>4753.4509074905809</v>
      </c>
      <c r="T278" s="95">
        <f t="shared" si="120"/>
        <v>4753.4509074905809</v>
      </c>
      <c r="V278" s="43">
        <f t="shared" si="100"/>
        <v>576.36640192235882</v>
      </c>
      <c r="W278" s="43">
        <f t="shared" si="101"/>
        <v>576.3664019223587</v>
      </c>
      <c r="X278" s="43">
        <f t="shared" si="102"/>
        <v>576.3664019223587</v>
      </c>
      <c r="Y278" s="43">
        <f t="shared" si="103"/>
        <v>576.3664019223587</v>
      </c>
      <c r="Z278" s="95">
        <f t="shared" si="104"/>
        <v>576.3664019223587</v>
      </c>
      <c r="AB278" s="43">
        <f t="shared" si="105"/>
        <v>7319.8533044139567</v>
      </c>
      <c r="AC278" s="43">
        <f t="shared" si="106"/>
        <v>5725.9382183704884</v>
      </c>
      <c r="AD278" s="43">
        <f t="shared" si="107"/>
        <v>5329.8173094129397</v>
      </c>
      <c r="AE278" s="43">
        <f t="shared" si="108"/>
        <v>5329.8173094129397</v>
      </c>
      <c r="AF278" s="95">
        <f t="shared" si="109"/>
        <v>5329.8173094129397</v>
      </c>
      <c r="AH278" s="43">
        <f t="shared" si="110"/>
        <v>24380.298801315774</v>
      </c>
      <c r="AI278" s="43">
        <f t="shared" si="111"/>
        <v>18654.360582945286</v>
      </c>
      <c r="AJ278" s="43">
        <f t="shared" si="112"/>
        <v>13324.543273532347</v>
      </c>
      <c r="AK278" s="43">
        <f t="shared" si="113"/>
        <v>7994.7259641194069</v>
      </c>
      <c r="AL278" s="95">
        <f t="shared" si="114"/>
        <v>2664.9086547064671</v>
      </c>
      <c r="AN278" s="47">
        <f t="shared" si="115"/>
        <v>8319.4455552679028</v>
      </c>
      <c r="AO278" s="47">
        <f t="shared" si="116"/>
        <v>6677.3106081006981</v>
      </c>
      <c r="AP278" s="47">
        <f t="shared" si="117"/>
        <v>6009.369016363089</v>
      </c>
      <c r="AQ278" s="47">
        <f t="shared" si="118"/>
        <v>5633.616896049477</v>
      </c>
      <c r="AR278" s="193">
        <f t="shared" si="119"/>
        <v>5431.0838382917855</v>
      </c>
      <c r="AS278" s="122"/>
      <c r="AT278" s="122"/>
      <c r="AU278" s="122"/>
      <c r="AV278" s="122"/>
      <c r="AW278" s="122"/>
      <c r="AX278" s="122"/>
    </row>
    <row r="279" spans="1:50" s="90" customFormat="1">
      <c r="A279" s="229"/>
      <c r="B279" s="37">
        <f>'13. Desinvesteringen'!B563</f>
        <v>544</v>
      </c>
      <c r="C279" s="339"/>
      <c r="D279" s="339"/>
      <c r="E279" s="339"/>
      <c r="F279" s="42">
        <f>'5. Input GAW-waarde desinv.'!D239</f>
        <v>50171.039481668777</v>
      </c>
      <c r="G279" s="177">
        <f>'13. Desinvesteringen'!D563</f>
        <v>1973</v>
      </c>
      <c r="H279" s="177">
        <f>'13. Desinvesteringen'!G563</f>
        <v>2024</v>
      </c>
      <c r="I279" s="37" t="str">
        <f>'13. Desinvesteringen'!C563</f>
        <v>01 Regionale leidingen</v>
      </c>
      <c r="J279" s="166">
        <f>'13. Desinvesteringen'!F563</f>
        <v>0</v>
      </c>
      <c r="K279" s="38">
        <f>_xlfn.XLOOKUP(I279,'3. Input (des)investeringen '!$B$11:$B$81,'3. Input (des)investeringen '!$E$11:$E$81)</f>
        <v>1</v>
      </c>
      <c r="L279" s="339"/>
      <c r="M279" s="38">
        <f>_xlfn.XLOOKUP(I279,'3. Input (des)investeringen '!$B$11:$B$81,'3. Input (des)investeringen '!$D$11:$D$81,0)</f>
        <v>55</v>
      </c>
      <c r="N279" s="38">
        <f t="shared" si="99"/>
        <v>6.5</v>
      </c>
      <c r="P279" s="43">
        <f t="shared" si="120"/>
        <v>9030.7871067003798</v>
      </c>
      <c r="Q279" s="43">
        <f t="shared" si="120"/>
        <v>7224.6296853603044</v>
      </c>
      <c r="R279" s="43">
        <f t="shared" si="120"/>
        <v>6421.8930536536036</v>
      </c>
      <c r="S279" s="43">
        <f t="shared" si="120"/>
        <v>6421.8930536536036</v>
      </c>
      <c r="T279" s="95">
        <f t="shared" si="120"/>
        <v>6421.8930536536036</v>
      </c>
      <c r="V279" s="43">
        <f t="shared" si="100"/>
        <v>771.86214587182747</v>
      </c>
      <c r="W279" s="43">
        <f t="shared" si="101"/>
        <v>771.86214587182735</v>
      </c>
      <c r="X279" s="43">
        <f t="shared" si="102"/>
        <v>771.86214587182735</v>
      </c>
      <c r="Y279" s="43">
        <f t="shared" si="103"/>
        <v>771.86214587182735</v>
      </c>
      <c r="Z279" s="95">
        <f t="shared" si="104"/>
        <v>771.86214587182735</v>
      </c>
      <c r="AB279" s="43">
        <f t="shared" si="105"/>
        <v>9802.6492525722078</v>
      </c>
      <c r="AC279" s="43">
        <f t="shared" si="106"/>
        <v>7996.4918312321315</v>
      </c>
      <c r="AD279" s="43">
        <f t="shared" si="107"/>
        <v>7193.7551995254307</v>
      </c>
      <c r="AE279" s="43">
        <f t="shared" si="108"/>
        <v>7193.7551995254307</v>
      </c>
      <c r="AF279" s="95">
        <f t="shared" si="109"/>
        <v>7193.7551995254307</v>
      </c>
      <c r="AH279" s="43">
        <f t="shared" si="110"/>
        <v>40368.390229096571</v>
      </c>
      <c r="AI279" s="43">
        <f t="shared" si="111"/>
        <v>32371.898397864439</v>
      </c>
      <c r="AJ279" s="43">
        <f t="shared" si="112"/>
        <v>25178.143198339007</v>
      </c>
      <c r="AK279" s="43">
        <f t="shared" si="113"/>
        <v>17984.387998813574</v>
      </c>
      <c r="AL279" s="95">
        <f t="shared" si="114"/>
        <v>10790.632799288143</v>
      </c>
      <c r="AN279" s="47">
        <f t="shared" si="115"/>
        <v>11457.753251965167</v>
      </c>
      <c r="AO279" s="47">
        <f t="shared" si="116"/>
        <v>9647.4586495232179</v>
      </c>
      <c r="AP279" s="47">
        <f t="shared" si="117"/>
        <v>8477.8405026407199</v>
      </c>
      <c r="AQ279" s="47">
        <f t="shared" si="118"/>
        <v>7877.161943480347</v>
      </c>
      <c r="AR279" s="193">
        <f t="shared" si="119"/>
        <v>7603.7992458983799</v>
      </c>
      <c r="AS279" s="122"/>
      <c r="AT279" s="122"/>
      <c r="AU279" s="122"/>
      <c r="AV279" s="122"/>
      <c r="AW279" s="122"/>
      <c r="AX279" s="122"/>
    </row>
    <row r="280" spans="1:50" s="90" customFormat="1">
      <c r="A280" s="229"/>
      <c r="B280" s="37">
        <f>'13. Desinvesteringen'!B564</f>
        <v>545</v>
      </c>
      <c r="C280" s="339"/>
      <c r="D280" s="339"/>
      <c r="E280" s="339"/>
      <c r="F280" s="42">
        <f>'5. Input GAW-waarde desinv.'!D240</f>
        <v>20841.942479994177</v>
      </c>
      <c r="G280" s="177">
        <f>'13. Desinvesteringen'!D564</f>
        <v>1974</v>
      </c>
      <c r="H280" s="177">
        <f>'13. Desinvesteringen'!G564</f>
        <v>2024</v>
      </c>
      <c r="I280" s="37" t="str">
        <f>'13. Desinvesteringen'!C564</f>
        <v>01 Regionale leidingen</v>
      </c>
      <c r="J280" s="166">
        <f>'13. Desinvesteringen'!F564</f>
        <v>0</v>
      </c>
      <c r="K280" s="38">
        <f>_xlfn.XLOOKUP(I280,'3. Input (des)investeringen '!$B$11:$B$81,'3. Input (des)investeringen '!$E$11:$E$81)</f>
        <v>1</v>
      </c>
      <c r="L280" s="339"/>
      <c r="M280" s="38">
        <f>_xlfn.XLOOKUP(I280,'3. Input (des)investeringen '!$B$11:$B$81,'3. Input (des)investeringen '!$D$11:$D$81,0)</f>
        <v>55</v>
      </c>
      <c r="N280" s="38">
        <f t="shared" si="99"/>
        <v>7.5</v>
      </c>
      <c r="P280" s="43">
        <f t="shared" si="120"/>
        <v>3251.3430268790917</v>
      </c>
      <c r="Q280" s="43">
        <f t="shared" si="120"/>
        <v>2687.7769022200491</v>
      </c>
      <c r="R280" s="43">
        <f t="shared" si="120"/>
        <v>2330.6596914355664</v>
      </c>
      <c r="S280" s="43">
        <f t="shared" si="120"/>
        <v>2330.6596914355664</v>
      </c>
      <c r="T280" s="95">
        <f t="shared" si="120"/>
        <v>2330.6596914355664</v>
      </c>
      <c r="V280" s="43">
        <f t="shared" si="100"/>
        <v>277.89256639992237</v>
      </c>
      <c r="W280" s="43">
        <f t="shared" si="101"/>
        <v>277.89256639992237</v>
      </c>
      <c r="X280" s="43">
        <f t="shared" si="102"/>
        <v>277.89256639992237</v>
      </c>
      <c r="Y280" s="43">
        <f t="shared" si="103"/>
        <v>277.89256639992237</v>
      </c>
      <c r="Z280" s="95">
        <f t="shared" si="104"/>
        <v>277.89256639992237</v>
      </c>
      <c r="AB280" s="43">
        <f t="shared" si="105"/>
        <v>3529.2355932790142</v>
      </c>
      <c r="AC280" s="43">
        <f t="shared" si="106"/>
        <v>2965.6694686199717</v>
      </c>
      <c r="AD280" s="43">
        <f t="shared" si="107"/>
        <v>2608.5522578354889</v>
      </c>
      <c r="AE280" s="43">
        <f t="shared" si="108"/>
        <v>2608.5522578354889</v>
      </c>
      <c r="AF280" s="95">
        <f t="shared" si="109"/>
        <v>2608.5522578354889</v>
      </c>
      <c r="AH280" s="43">
        <f t="shared" si="110"/>
        <v>17312.706886715161</v>
      </c>
      <c r="AI280" s="43">
        <f t="shared" si="111"/>
        <v>14347.037418095189</v>
      </c>
      <c r="AJ280" s="43">
        <f t="shared" si="112"/>
        <v>11738.485160259701</v>
      </c>
      <c r="AK280" s="43">
        <f t="shared" si="113"/>
        <v>9129.9329024242124</v>
      </c>
      <c r="AL280" s="95">
        <f t="shared" si="114"/>
        <v>6521.380644588724</v>
      </c>
      <c r="AN280" s="47">
        <f t="shared" si="115"/>
        <v>4239.0565756343358</v>
      </c>
      <c r="AO280" s="47">
        <f t="shared" si="116"/>
        <v>3697.3683769428262</v>
      </c>
      <c r="AP280" s="47">
        <f t="shared" si="117"/>
        <v>3207.2150010087335</v>
      </c>
      <c r="AQ280" s="47">
        <f t="shared" si="118"/>
        <v>2955.489708127609</v>
      </c>
      <c r="AR280" s="193">
        <f t="shared" si="119"/>
        <v>2856.3647223298603</v>
      </c>
      <c r="AS280" s="122"/>
      <c r="AT280" s="122"/>
      <c r="AU280" s="122"/>
      <c r="AV280" s="122"/>
      <c r="AW280" s="122"/>
      <c r="AX280" s="122"/>
    </row>
    <row r="281" spans="1:50" s="90" customFormat="1">
      <c r="A281" s="229"/>
      <c r="B281" s="37">
        <f>'13. Desinvesteringen'!B565</f>
        <v>546</v>
      </c>
      <c r="C281" s="339"/>
      <c r="D281" s="339"/>
      <c r="E281" s="339"/>
      <c r="F281" s="42">
        <f>'5. Input GAW-waarde desinv.'!D241</f>
        <v>21512.630367935792</v>
      </c>
      <c r="G281" s="177">
        <f>'13. Desinvesteringen'!D565</f>
        <v>1975</v>
      </c>
      <c r="H281" s="177">
        <f>'13. Desinvesteringen'!G565</f>
        <v>2024</v>
      </c>
      <c r="I281" s="37" t="str">
        <f>'13. Desinvesteringen'!C565</f>
        <v>01 Regionale leidingen</v>
      </c>
      <c r="J281" s="166">
        <f>'13. Desinvesteringen'!F565</f>
        <v>0</v>
      </c>
      <c r="K281" s="38">
        <f>_xlfn.XLOOKUP(I281,'3. Input (des)investeringen '!$B$11:$B$81,'3. Input (des)investeringen '!$E$11:$E$81)</f>
        <v>1</v>
      </c>
      <c r="L281" s="339"/>
      <c r="M281" s="38">
        <f>_xlfn.XLOOKUP(I281,'3. Input (des)investeringen '!$B$11:$B$81,'3. Input (des)investeringen '!$D$11:$D$81,0)</f>
        <v>55</v>
      </c>
      <c r="N281" s="38">
        <f t="shared" si="99"/>
        <v>8.5</v>
      </c>
      <c r="P281" s="43">
        <f t="shared" si="120"/>
        <v>2961.1502977041032</v>
      </c>
      <c r="Q281" s="43">
        <f t="shared" si="120"/>
        <v>2508.2684874670053</v>
      </c>
      <c r="R281" s="43">
        <f t="shared" si="120"/>
        <v>2137.2228532263239</v>
      </c>
      <c r="S281" s="43">
        <f t="shared" si="120"/>
        <v>2137.2228532263239</v>
      </c>
      <c r="T281" s="95">
        <f t="shared" si="120"/>
        <v>2137.2228532263239</v>
      </c>
      <c r="V281" s="43">
        <f t="shared" si="100"/>
        <v>253.08976903453873</v>
      </c>
      <c r="W281" s="43">
        <f t="shared" si="101"/>
        <v>253.08976903453873</v>
      </c>
      <c r="X281" s="43">
        <f t="shared" si="102"/>
        <v>253.08976903453873</v>
      </c>
      <c r="Y281" s="43">
        <f t="shared" si="103"/>
        <v>253.08976903453873</v>
      </c>
      <c r="Z281" s="95">
        <f t="shared" si="104"/>
        <v>253.08976903453873</v>
      </c>
      <c r="AB281" s="43">
        <f t="shared" si="105"/>
        <v>3214.2400667386419</v>
      </c>
      <c r="AC281" s="43">
        <f t="shared" si="106"/>
        <v>2761.358256501544</v>
      </c>
      <c r="AD281" s="43">
        <f t="shared" si="107"/>
        <v>2390.3126222608626</v>
      </c>
      <c r="AE281" s="43">
        <f t="shared" si="108"/>
        <v>2390.3126222608626</v>
      </c>
      <c r="AF281" s="95">
        <f t="shared" si="109"/>
        <v>2390.3126222608626</v>
      </c>
      <c r="AH281" s="43">
        <f t="shared" si="110"/>
        <v>18298.390301197149</v>
      </c>
      <c r="AI281" s="43">
        <f t="shared" si="111"/>
        <v>15537.032044695605</v>
      </c>
      <c r="AJ281" s="43">
        <f t="shared" si="112"/>
        <v>13146.719422434742</v>
      </c>
      <c r="AK281" s="43">
        <f t="shared" si="113"/>
        <v>10756.40680017388</v>
      </c>
      <c r="AL281" s="95">
        <f t="shared" si="114"/>
        <v>8366.0941779130171</v>
      </c>
      <c r="AN281" s="47">
        <f t="shared" si="115"/>
        <v>3964.4740690877252</v>
      </c>
      <c r="AO281" s="47">
        <f t="shared" si="116"/>
        <v>3553.7468907810198</v>
      </c>
      <c r="AP281" s="47">
        <f t="shared" si="117"/>
        <v>3060.7953128050344</v>
      </c>
      <c r="AQ281" s="47">
        <f t="shared" si="118"/>
        <v>2799.0560806674698</v>
      </c>
      <c r="AR281" s="193">
        <f t="shared" si="119"/>
        <v>2708.2242010215573</v>
      </c>
      <c r="AS281" s="122"/>
      <c r="AT281" s="122"/>
      <c r="AU281" s="122"/>
      <c r="AV281" s="122"/>
      <c r="AW281" s="122"/>
      <c r="AX281" s="122"/>
    </row>
    <row r="282" spans="1:50" s="90" customFormat="1">
      <c r="A282" s="229"/>
      <c r="B282" s="37">
        <f>'13. Desinvesteringen'!B566</f>
        <v>547</v>
      </c>
      <c r="C282" s="339"/>
      <c r="D282" s="339"/>
      <c r="E282" s="339"/>
      <c r="F282" s="42">
        <f>'5. Input GAW-waarde desinv.'!D242</f>
        <v>125308.74203121607</v>
      </c>
      <c r="G282" s="177">
        <f>'13. Desinvesteringen'!D566</f>
        <v>1976</v>
      </c>
      <c r="H282" s="177">
        <f>'13. Desinvesteringen'!G566</f>
        <v>2024</v>
      </c>
      <c r="I282" s="37" t="str">
        <f>'13. Desinvesteringen'!C566</f>
        <v>01 Regionale leidingen</v>
      </c>
      <c r="J282" s="166">
        <f>'13. Desinvesteringen'!F566</f>
        <v>0</v>
      </c>
      <c r="K282" s="38">
        <f>_xlfn.XLOOKUP(I282,'3. Input (des)investeringen '!$B$11:$B$81,'3. Input (des)investeringen '!$E$11:$E$81)</f>
        <v>1</v>
      </c>
      <c r="L282" s="339"/>
      <c r="M282" s="38">
        <f>_xlfn.XLOOKUP(I282,'3. Input (des)investeringen '!$B$11:$B$81,'3. Input (des)investeringen '!$D$11:$D$81,0)</f>
        <v>55</v>
      </c>
      <c r="N282" s="38">
        <f t="shared" si="99"/>
        <v>9.5</v>
      </c>
      <c r="P282" s="43">
        <f t="shared" si="120"/>
        <v>15432.760860686612</v>
      </c>
      <c r="Q282" s="43">
        <f t="shared" si="120"/>
        <v>13320.90937448739</v>
      </c>
      <c r="R282" s="43">
        <f t="shared" si="120"/>
        <v>11498.0480916628</v>
      </c>
      <c r="S282" s="43">
        <f t="shared" si="120"/>
        <v>11157.869154039639</v>
      </c>
      <c r="T282" s="95">
        <f t="shared" si="120"/>
        <v>11157.869154039639</v>
      </c>
      <c r="V282" s="43">
        <f t="shared" si="100"/>
        <v>1319.0393898022746</v>
      </c>
      <c r="W282" s="43">
        <f t="shared" si="101"/>
        <v>1319.0393898022746</v>
      </c>
      <c r="X282" s="43">
        <f t="shared" si="102"/>
        <v>1319.0393898022746</v>
      </c>
      <c r="Y282" s="43">
        <f t="shared" si="103"/>
        <v>1319.0393898022746</v>
      </c>
      <c r="Z282" s="95">
        <f t="shared" si="104"/>
        <v>1319.0393898022746</v>
      </c>
      <c r="AB282" s="43">
        <f t="shared" si="105"/>
        <v>16751.800250488886</v>
      </c>
      <c r="AC282" s="43">
        <f t="shared" si="106"/>
        <v>14639.948764289664</v>
      </c>
      <c r="AD282" s="43">
        <f t="shared" si="107"/>
        <v>12817.087481465074</v>
      </c>
      <c r="AE282" s="43">
        <f t="shared" si="108"/>
        <v>12476.908543841913</v>
      </c>
      <c r="AF282" s="95">
        <f t="shared" si="109"/>
        <v>12476.908543841913</v>
      </c>
      <c r="AH282" s="43">
        <f t="shared" si="110"/>
        <v>108556.94178072718</v>
      </c>
      <c r="AI282" s="43">
        <f t="shared" si="111"/>
        <v>93916.993016437511</v>
      </c>
      <c r="AJ282" s="43">
        <f t="shared" si="112"/>
        <v>81099.905534972437</v>
      </c>
      <c r="AK282" s="43">
        <f t="shared" si="113"/>
        <v>68622.996991130523</v>
      </c>
      <c r="AL282" s="95">
        <f t="shared" si="114"/>
        <v>56146.08844728861</v>
      </c>
      <c r="AN282" s="47">
        <f t="shared" si="115"/>
        <v>21202.634863498701</v>
      </c>
      <c r="AO282" s="47">
        <f t="shared" si="116"/>
        <v>19429.715408127977</v>
      </c>
      <c r="AP282" s="47">
        <f t="shared" si="117"/>
        <v>16953.182663748667</v>
      </c>
      <c r="AQ282" s="47">
        <f t="shared" si="118"/>
        <v>15084.582429504873</v>
      </c>
      <c r="AR282" s="193">
        <f t="shared" si="119"/>
        <v>14610.459904838881</v>
      </c>
      <c r="AS282" s="122"/>
      <c r="AT282" s="122"/>
      <c r="AU282" s="122"/>
      <c r="AV282" s="122"/>
      <c r="AW282" s="122"/>
      <c r="AX282" s="122"/>
    </row>
    <row r="283" spans="1:50" s="90" customFormat="1">
      <c r="A283" s="229"/>
      <c r="B283" s="37">
        <f>'13. Desinvesteringen'!B567</f>
        <v>548</v>
      </c>
      <c r="C283" s="339"/>
      <c r="D283" s="339"/>
      <c r="E283" s="339"/>
      <c r="F283" s="42">
        <f>'5. Input GAW-waarde desinv.'!D243</f>
        <v>10935.593498707885</v>
      </c>
      <c r="G283" s="177">
        <f>'13. Desinvesteringen'!D567</f>
        <v>1977</v>
      </c>
      <c r="H283" s="177">
        <f>'13. Desinvesteringen'!G567</f>
        <v>2024</v>
      </c>
      <c r="I283" s="37" t="str">
        <f>'13. Desinvesteringen'!C567</f>
        <v>01 Regionale leidingen</v>
      </c>
      <c r="J283" s="166">
        <f>'13. Desinvesteringen'!F567</f>
        <v>0</v>
      </c>
      <c r="K283" s="38">
        <f>_xlfn.XLOOKUP(I283,'3. Input (des)investeringen '!$B$11:$B$81,'3. Input (des)investeringen '!$E$11:$E$81)</f>
        <v>1</v>
      </c>
      <c r="L283" s="339"/>
      <c r="M283" s="38">
        <f>_xlfn.XLOOKUP(I283,'3. Input (des)investeringen '!$B$11:$B$81,'3. Input (des)investeringen '!$D$11:$D$81,0)</f>
        <v>55</v>
      </c>
      <c r="N283" s="38">
        <f t="shared" si="99"/>
        <v>10.5</v>
      </c>
      <c r="P283" s="43">
        <f t="shared" si="120"/>
        <v>1218.537561284593</v>
      </c>
      <c r="Q283" s="43">
        <f t="shared" si="120"/>
        <v>1067.671006077929</v>
      </c>
      <c r="R283" s="43">
        <f t="shared" si="120"/>
        <v>935.48316723018547</v>
      </c>
      <c r="S283" s="43">
        <f t="shared" si="120"/>
        <v>882.71232189925195</v>
      </c>
      <c r="T283" s="95">
        <f t="shared" si="120"/>
        <v>882.71232189925195</v>
      </c>
      <c r="V283" s="43">
        <f t="shared" si="100"/>
        <v>104.14850951150368</v>
      </c>
      <c r="W283" s="43">
        <f t="shared" si="101"/>
        <v>104.14850951150368</v>
      </c>
      <c r="X283" s="43">
        <f t="shared" si="102"/>
        <v>104.14850951150368</v>
      </c>
      <c r="Y283" s="43">
        <f t="shared" si="103"/>
        <v>104.14850951150368</v>
      </c>
      <c r="Z283" s="95">
        <f t="shared" si="104"/>
        <v>104.14850951150368</v>
      </c>
      <c r="AB283" s="43">
        <f t="shared" si="105"/>
        <v>1322.6860707960968</v>
      </c>
      <c r="AC283" s="43">
        <f t="shared" si="106"/>
        <v>1171.8195155894327</v>
      </c>
      <c r="AD283" s="43">
        <f t="shared" si="107"/>
        <v>1039.6316767416893</v>
      </c>
      <c r="AE283" s="43">
        <f t="shared" si="108"/>
        <v>986.86083141075562</v>
      </c>
      <c r="AF283" s="95">
        <f t="shared" si="109"/>
        <v>986.86083141075562</v>
      </c>
      <c r="AH283" s="43">
        <f t="shared" si="110"/>
        <v>9612.9074279117885</v>
      </c>
      <c r="AI283" s="43">
        <f t="shared" si="111"/>
        <v>8441.0879123223567</v>
      </c>
      <c r="AJ283" s="43">
        <f t="shared" si="112"/>
        <v>7401.4562355806675</v>
      </c>
      <c r="AK283" s="43">
        <f t="shared" si="113"/>
        <v>6414.5954041699115</v>
      </c>
      <c r="AL283" s="95">
        <f t="shared" si="114"/>
        <v>5427.7345727591555</v>
      </c>
      <c r="AN283" s="47">
        <f t="shared" si="115"/>
        <v>1716.8152753404802</v>
      </c>
      <c r="AO283" s="47">
        <f t="shared" si="116"/>
        <v>1602.314999117873</v>
      </c>
      <c r="AP283" s="47">
        <f t="shared" si="117"/>
        <v>1417.1059447563034</v>
      </c>
      <c r="AQ283" s="47">
        <f t="shared" si="118"/>
        <v>1230.6154567692122</v>
      </c>
      <c r="AR283" s="193">
        <f t="shared" si="119"/>
        <v>1193.1147451756035</v>
      </c>
      <c r="AS283" s="122"/>
      <c r="AT283" s="122"/>
      <c r="AU283" s="122"/>
      <c r="AV283" s="122"/>
      <c r="AW283" s="122"/>
      <c r="AX283" s="122"/>
    </row>
    <row r="284" spans="1:50" s="90" customFormat="1">
      <c r="A284" s="229"/>
      <c r="B284" s="37">
        <f>'13. Desinvesteringen'!B568</f>
        <v>549</v>
      </c>
      <c r="C284" s="339"/>
      <c r="D284" s="339"/>
      <c r="E284" s="339"/>
      <c r="F284" s="42">
        <f>'5. Input GAW-waarde desinv.'!D244</f>
        <v>626.06137659381329</v>
      </c>
      <c r="G284" s="177">
        <f>'13. Desinvesteringen'!D568</f>
        <v>1979</v>
      </c>
      <c r="H284" s="177">
        <f>'13. Desinvesteringen'!G568</f>
        <v>2024</v>
      </c>
      <c r="I284" s="37" t="str">
        <f>'13. Desinvesteringen'!C568</f>
        <v>01 Regionale leidingen</v>
      </c>
      <c r="J284" s="166">
        <f>'13. Desinvesteringen'!F568</f>
        <v>0</v>
      </c>
      <c r="K284" s="38">
        <f>_xlfn.XLOOKUP(I284,'3. Input (des)investeringen '!$B$11:$B$81,'3. Input (des)investeringen '!$E$11:$E$81)</f>
        <v>1</v>
      </c>
      <c r="L284" s="339"/>
      <c r="M284" s="38">
        <f>_xlfn.XLOOKUP(I284,'3. Input (des)investeringen '!$B$11:$B$81,'3. Input (des)investeringen '!$D$11:$D$81,0)</f>
        <v>55</v>
      </c>
      <c r="N284" s="38">
        <f t="shared" si="99"/>
        <v>12.5</v>
      </c>
      <c r="P284" s="43">
        <f t="shared" si="120"/>
        <v>58.59934484918093</v>
      </c>
      <c r="Q284" s="43">
        <f t="shared" si="120"/>
        <v>52.505012984866113</v>
      </c>
      <c r="R284" s="43">
        <f t="shared" si="120"/>
        <v>47.044491634440043</v>
      </c>
      <c r="S284" s="43">
        <f t="shared" si="120"/>
        <v>42.663830470099462</v>
      </c>
      <c r="T284" s="95">
        <f t="shared" si="120"/>
        <v>42.663830470099462</v>
      </c>
      <c r="V284" s="43">
        <f t="shared" si="100"/>
        <v>5.0084910127505067</v>
      </c>
      <c r="W284" s="43">
        <f t="shared" si="101"/>
        <v>5.0084910127505067</v>
      </c>
      <c r="X284" s="43">
        <f t="shared" si="102"/>
        <v>5.0084910127505067</v>
      </c>
      <c r="Y284" s="43">
        <f t="shared" si="103"/>
        <v>5.0084910127505067</v>
      </c>
      <c r="Z284" s="95">
        <f t="shared" si="104"/>
        <v>5.0084910127505067</v>
      </c>
      <c r="AB284" s="43">
        <f t="shared" si="105"/>
        <v>63.607835861931434</v>
      </c>
      <c r="AC284" s="43">
        <f t="shared" si="106"/>
        <v>57.513503997616617</v>
      </c>
      <c r="AD284" s="43">
        <f t="shared" si="107"/>
        <v>52.052982647190547</v>
      </c>
      <c r="AE284" s="43">
        <f t="shared" si="108"/>
        <v>47.672321482849966</v>
      </c>
      <c r="AF284" s="95">
        <f t="shared" si="109"/>
        <v>47.672321482849966</v>
      </c>
      <c r="AH284" s="43">
        <f t="shared" si="110"/>
        <v>562.45354073188184</v>
      </c>
      <c r="AI284" s="43">
        <f t="shared" si="111"/>
        <v>504.94003673426522</v>
      </c>
      <c r="AJ284" s="43">
        <f t="shared" si="112"/>
        <v>452.88705408707466</v>
      </c>
      <c r="AK284" s="43">
        <f t="shared" si="113"/>
        <v>405.21473260422471</v>
      </c>
      <c r="AL284" s="95">
        <f t="shared" si="114"/>
        <v>357.54241112137476</v>
      </c>
      <c r="AN284" s="47">
        <f t="shared" si="115"/>
        <v>86.668431031938596</v>
      </c>
      <c r="AO284" s="47">
        <f t="shared" si="116"/>
        <v>83.265445871064145</v>
      </c>
      <c r="AP284" s="47">
        <f t="shared" si="117"/>
        <v>75.150222405631354</v>
      </c>
      <c r="AQ284" s="47">
        <f t="shared" si="118"/>
        <v>63.070481321810504</v>
      </c>
      <c r="AR284" s="193">
        <f t="shared" si="119"/>
        <v>61.258933105462205</v>
      </c>
      <c r="AS284" s="122"/>
      <c r="AT284" s="122"/>
      <c r="AU284" s="122"/>
      <c r="AV284" s="122"/>
      <c r="AW284" s="122"/>
      <c r="AX284" s="122"/>
    </row>
    <row r="285" spans="1:50" s="90" customFormat="1">
      <c r="A285" s="229"/>
      <c r="B285" s="37">
        <f>'13. Desinvesteringen'!B569</f>
        <v>550</v>
      </c>
      <c r="C285" s="339"/>
      <c r="D285" s="339"/>
      <c r="E285" s="339"/>
      <c r="F285" s="42">
        <f>'5. Input GAW-waarde desinv.'!D245</f>
        <v>1810.4047177063972</v>
      </c>
      <c r="G285" s="177">
        <f>'13. Desinvesteringen'!D569</f>
        <v>1985</v>
      </c>
      <c r="H285" s="177">
        <f>'13. Desinvesteringen'!G569</f>
        <v>2024</v>
      </c>
      <c r="I285" s="37" t="str">
        <f>'13. Desinvesteringen'!C569</f>
        <v>01 Regionale leidingen</v>
      </c>
      <c r="J285" s="166">
        <f>'13. Desinvesteringen'!F569</f>
        <v>0</v>
      </c>
      <c r="K285" s="38">
        <f>_xlfn.XLOOKUP(I285,'3. Input (des)investeringen '!$B$11:$B$81,'3. Input (des)investeringen '!$E$11:$E$81)</f>
        <v>1</v>
      </c>
      <c r="L285" s="339"/>
      <c r="M285" s="38">
        <f>_xlfn.XLOOKUP(I285,'3. Input (des)investeringen '!$B$11:$B$81,'3. Input (des)investeringen '!$D$11:$D$81,0)</f>
        <v>55</v>
      </c>
      <c r="N285" s="38">
        <f t="shared" si="99"/>
        <v>18.5</v>
      </c>
      <c r="P285" s="43">
        <f t="shared" si="120"/>
        <v>114.49586593062081</v>
      </c>
      <c r="Q285" s="43">
        <f t="shared" si="120"/>
        <v>106.45021048684744</v>
      </c>
      <c r="R285" s="43">
        <f t="shared" si="120"/>
        <v>98.969925425609517</v>
      </c>
      <c r="S285" s="43">
        <f t="shared" si="120"/>
        <v>92.015282017323429</v>
      </c>
      <c r="T285" s="95">
        <f t="shared" si="120"/>
        <v>85.549343280970973</v>
      </c>
      <c r="V285" s="43">
        <f t="shared" si="100"/>
        <v>9.7859714470616073</v>
      </c>
      <c r="W285" s="43">
        <f t="shared" si="101"/>
        <v>9.7859714470616055</v>
      </c>
      <c r="X285" s="43">
        <f t="shared" si="102"/>
        <v>9.7859714470616055</v>
      </c>
      <c r="Y285" s="43">
        <f t="shared" si="103"/>
        <v>9.7859714470616055</v>
      </c>
      <c r="Z285" s="95">
        <f t="shared" si="104"/>
        <v>9.7859714470616055</v>
      </c>
      <c r="AB285" s="43">
        <f t="shared" si="105"/>
        <v>124.28183737768242</v>
      </c>
      <c r="AC285" s="43">
        <f t="shared" si="106"/>
        <v>116.23618193390905</v>
      </c>
      <c r="AD285" s="43">
        <f t="shared" si="107"/>
        <v>108.75589687267112</v>
      </c>
      <c r="AE285" s="43">
        <f t="shared" si="108"/>
        <v>101.80125346438504</v>
      </c>
      <c r="AF285" s="95">
        <f t="shared" si="109"/>
        <v>95.335314728032586</v>
      </c>
      <c r="AH285" s="43">
        <f t="shared" si="110"/>
        <v>1686.1228803287147</v>
      </c>
      <c r="AI285" s="43">
        <f t="shared" si="111"/>
        <v>1569.8866983948055</v>
      </c>
      <c r="AJ285" s="43">
        <f t="shared" si="112"/>
        <v>1461.1308015221343</v>
      </c>
      <c r="AK285" s="43">
        <f t="shared" si="113"/>
        <v>1359.3295480577492</v>
      </c>
      <c r="AL285" s="95">
        <f t="shared" si="114"/>
        <v>1263.9942333297167</v>
      </c>
      <c r="AN285" s="47">
        <f t="shared" si="115"/>
        <v>193.41287547115974</v>
      </c>
      <c r="AO285" s="47">
        <f t="shared" si="116"/>
        <v>196.30040355204414</v>
      </c>
      <c r="AP285" s="47">
        <f t="shared" si="117"/>
        <v>183.27356775029995</v>
      </c>
      <c r="AQ285" s="47">
        <f t="shared" si="118"/>
        <v>153.45577629057951</v>
      </c>
      <c r="AR285" s="193">
        <f t="shared" si="119"/>
        <v>143.36709559456182</v>
      </c>
      <c r="AS285" s="122"/>
      <c r="AT285" s="122"/>
      <c r="AU285" s="122"/>
      <c r="AV285" s="122"/>
      <c r="AW285" s="122"/>
      <c r="AX285" s="122"/>
    </row>
    <row r="286" spans="1:50" s="90" customFormat="1">
      <c r="A286" s="229"/>
      <c r="B286" s="37">
        <f>'13. Desinvesteringen'!B570</f>
        <v>551</v>
      </c>
      <c r="C286" s="339"/>
      <c r="D286" s="339"/>
      <c r="E286" s="339"/>
      <c r="F286" s="42">
        <f>'5. Input GAW-waarde desinv.'!D246</f>
        <v>10852.493952417557</v>
      </c>
      <c r="G286" s="177">
        <f>'13. Desinvesteringen'!D570</f>
        <v>1988</v>
      </c>
      <c r="H286" s="177">
        <f>'13. Desinvesteringen'!G570</f>
        <v>2024</v>
      </c>
      <c r="I286" s="37" t="str">
        <f>'13. Desinvesteringen'!C570</f>
        <v>01 Regionale leidingen</v>
      </c>
      <c r="J286" s="166">
        <f>'13. Desinvesteringen'!F570</f>
        <v>0</v>
      </c>
      <c r="K286" s="38">
        <f>_xlfn.XLOOKUP(I286,'3. Input (des)investeringen '!$B$11:$B$81,'3. Input (des)investeringen '!$E$11:$E$81)</f>
        <v>1</v>
      </c>
      <c r="L286" s="339"/>
      <c r="M286" s="38">
        <f>_xlfn.XLOOKUP(I286,'3. Input (des)investeringen '!$B$11:$B$81,'3. Input (des)investeringen '!$D$11:$D$81,0)</f>
        <v>55</v>
      </c>
      <c r="N286" s="38">
        <f t="shared" si="99"/>
        <v>21.5</v>
      </c>
      <c r="P286" s="43">
        <f t="shared" si="120"/>
        <v>590.57757787574621</v>
      </c>
      <c r="Q286" s="43">
        <f t="shared" si="120"/>
        <v>554.86823595767783</v>
      </c>
      <c r="R286" s="43">
        <f t="shared" si="120"/>
        <v>521.31806355093443</v>
      </c>
      <c r="S286" s="43">
        <f t="shared" si="120"/>
        <v>489.79650621994773</v>
      </c>
      <c r="T286" s="95">
        <f t="shared" si="120"/>
        <v>460.18090351827647</v>
      </c>
      <c r="V286" s="43">
        <f t="shared" si="100"/>
        <v>50.476716057756079</v>
      </c>
      <c r="W286" s="43">
        <f t="shared" si="101"/>
        <v>50.476716057756079</v>
      </c>
      <c r="X286" s="43">
        <f t="shared" si="102"/>
        <v>50.476716057756079</v>
      </c>
      <c r="Y286" s="43">
        <f t="shared" si="103"/>
        <v>50.476716057756079</v>
      </c>
      <c r="Z286" s="95">
        <f t="shared" si="104"/>
        <v>50.476716057756079</v>
      </c>
      <c r="AB286" s="43">
        <f t="shared" si="105"/>
        <v>641.05429393350232</v>
      </c>
      <c r="AC286" s="43">
        <f t="shared" si="106"/>
        <v>605.34495201543393</v>
      </c>
      <c r="AD286" s="43">
        <f t="shared" si="107"/>
        <v>571.79477960869053</v>
      </c>
      <c r="AE286" s="43">
        <f t="shared" si="108"/>
        <v>540.27322227770378</v>
      </c>
      <c r="AF286" s="95">
        <f t="shared" si="109"/>
        <v>510.65761957603252</v>
      </c>
      <c r="AH286" s="43">
        <f t="shared" si="110"/>
        <v>10211.439658484054</v>
      </c>
      <c r="AI286" s="43">
        <f t="shared" si="111"/>
        <v>9606.0947064686206</v>
      </c>
      <c r="AJ286" s="43">
        <f t="shared" si="112"/>
        <v>9034.2999268599306</v>
      </c>
      <c r="AK286" s="43">
        <f t="shared" si="113"/>
        <v>8494.0267045822275</v>
      </c>
      <c r="AL286" s="95">
        <f t="shared" si="114"/>
        <v>7983.3690850061948</v>
      </c>
      <c r="AN286" s="47">
        <f t="shared" si="115"/>
        <v>1059.7233199313487</v>
      </c>
      <c r="AO286" s="47">
        <f t="shared" si="116"/>
        <v>1095.2557820453335</v>
      </c>
      <c r="AP286" s="47">
        <f t="shared" si="117"/>
        <v>1032.5440758785469</v>
      </c>
      <c r="AQ286" s="47">
        <f t="shared" si="118"/>
        <v>863.04623705182848</v>
      </c>
      <c r="AR286" s="193">
        <f t="shared" si="119"/>
        <v>814.02564480626791</v>
      </c>
      <c r="AS286" s="122"/>
      <c r="AT286" s="122"/>
      <c r="AU286" s="122"/>
      <c r="AV286" s="122"/>
      <c r="AW286" s="122"/>
      <c r="AX286" s="122"/>
    </row>
    <row r="287" spans="1:50" s="90" customFormat="1">
      <c r="A287" s="229"/>
      <c r="B287" s="37">
        <f>'13. Desinvesteringen'!B571</f>
        <v>552</v>
      </c>
      <c r="C287" s="339"/>
      <c r="D287" s="339"/>
      <c r="E287" s="339"/>
      <c r="F287" s="42">
        <f>'5. Input GAW-waarde desinv.'!D247</f>
        <v>8422.2344911531891</v>
      </c>
      <c r="G287" s="177">
        <f>'13. Desinvesteringen'!D571</f>
        <v>1990</v>
      </c>
      <c r="H287" s="177">
        <f>'13. Desinvesteringen'!G571</f>
        <v>2024</v>
      </c>
      <c r="I287" s="37" t="str">
        <f>'13. Desinvesteringen'!C571</f>
        <v>01 Regionale leidingen</v>
      </c>
      <c r="J287" s="166">
        <f>'13. Desinvesteringen'!F571</f>
        <v>0</v>
      </c>
      <c r="K287" s="38">
        <f>_xlfn.XLOOKUP(I287,'3. Input (des)investeringen '!$B$11:$B$81,'3. Input (des)investeringen '!$E$11:$E$81)</f>
        <v>1</v>
      </c>
      <c r="L287" s="339"/>
      <c r="M287" s="38">
        <f>_xlfn.XLOOKUP(I287,'3. Input (des)investeringen '!$B$11:$B$81,'3. Input (des)investeringen '!$D$11:$D$81,0)</f>
        <v>55</v>
      </c>
      <c r="N287" s="38">
        <f t="shared" si="99"/>
        <v>23.5</v>
      </c>
      <c r="P287" s="43">
        <f t="shared" si="120"/>
        <v>419.31975977230775</v>
      </c>
      <c r="Q287" s="43">
        <f t="shared" si="120"/>
        <v>396.12334752958435</v>
      </c>
      <c r="R287" s="43">
        <f t="shared" si="120"/>
        <v>374.21014107050098</v>
      </c>
      <c r="S287" s="43">
        <f t="shared" si="120"/>
        <v>353.50915454319664</v>
      </c>
      <c r="T287" s="95">
        <f t="shared" si="120"/>
        <v>333.95332897272192</v>
      </c>
      <c r="V287" s="43">
        <f t="shared" si="100"/>
        <v>35.83929570703485</v>
      </c>
      <c r="W287" s="43">
        <f t="shared" si="101"/>
        <v>35.83929570703485</v>
      </c>
      <c r="X287" s="43">
        <f t="shared" si="102"/>
        <v>35.83929570703485</v>
      </c>
      <c r="Y287" s="43">
        <f t="shared" si="103"/>
        <v>35.83929570703485</v>
      </c>
      <c r="Z287" s="95">
        <f t="shared" si="104"/>
        <v>35.83929570703485</v>
      </c>
      <c r="AB287" s="43">
        <f t="shared" si="105"/>
        <v>455.15905547934261</v>
      </c>
      <c r="AC287" s="43">
        <f t="shared" si="106"/>
        <v>431.96264323661921</v>
      </c>
      <c r="AD287" s="43">
        <f t="shared" si="107"/>
        <v>410.04943677753585</v>
      </c>
      <c r="AE287" s="43">
        <f t="shared" si="108"/>
        <v>389.34845025023151</v>
      </c>
      <c r="AF287" s="95">
        <f t="shared" si="109"/>
        <v>369.79262467975678</v>
      </c>
      <c r="AH287" s="43">
        <f t="shared" si="110"/>
        <v>7967.0754356738462</v>
      </c>
      <c r="AI287" s="43">
        <f t="shared" si="111"/>
        <v>7535.1127924372267</v>
      </c>
      <c r="AJ287" s="43">
        <f t="shared" si="112"/>
        <v>7125.0633556596913</v>
      </c>
      <c r="AK287" s="43">
        <f t="shared" si="113"/>
        <v>6735.7149054094598</v>
      </c>
      <c r="AL287" s="95">
        <f t="shared" si="114"/>
        <v>6365.9222807297028</v>
      </c>
      <c r="AN287" s="47">
        <f t="shared" si="115"/>
        <v>781.80914834197029</v>
      </c>
      <c r="AO287" s="47">
        <f t="shared" si="116"/>
        <v>816.25339565091781</v>
      </c>
      <c r="AP287" s="47">
        <f t="shared" si="117"/>
        <v>773.4276679161801</v>
      </c>
      <c r="AQ287" s="47">
        <f t="shared" si="118"/>
        <v>645.30561665579103</v>
      </c>
      <c r="AR287" s="193">
        <f t="shared" si="119"/>
        <v>611.69767134748554</v>
      </c>
      <c r="AS287" s="122"/>
      <c r="AT287" s="122"/>
      <c r="AU287" s="122"/>
      <c r="AV287" s="122"/>
      <c r="AW287" s="122"/>
      <c r="AX287" s="122"/>
    </row>
    <row r="288" spans="1:50" s="90" customFormat="1">
      <c r="A288" s="229"/>
      <c r="B288" s="37">
        <f>'13. Desinvesteringen'!B572</f>
        <v>553</v>
      </c>
      <c r="C288" s="339"/>
      <c r="D288" s="339"/>
      <c r="E288" s="339"/>
      <c r="F288" s="42">
        <f>'5. Input GAW-waarde desinv.'!D248</f>
        <v>104614.15808228625</v>
      </c>
      <c r="G288" s="177">
        <f>'13. Desinvesteringen'!D572</f>
        <v>1992</v>
      </c>
      <c r="H288" s="177">
        <f>'13. Desinvesteringen'!G572</f>
        <v>2024</v>
      </c>
      <c r="I288" s="37" t="str">
        <f>'13. Desinvesteringen'!C572</f>
        <v>01 Regionale leidingen</v>
      </c>
      <c r="J288" s="166">
        <f>'13. Desinvesteringen'!F572</f>
        <v>0</v>
      </c>
      <c r="K288" s="38">
        <f>_xlfn.XLOOKUP(I288,'3. Input (des)investeringen '!$B$11:$B$81,'3. Input (des)investeringen '!$E$11:$E$81)</f>
        <v>1</v>
      </c>
      <c r="L288" s="339"/>
      <c r="M288" s="38">
        <f>_xlfn.XLOOKUP(I288,'3. Input (des)investeringen '!$B$11:$B$81,'3. Input (des)investeringen '!$D$11:$D$81,0)</f>
        <v>55</v>
      </c>
      <c r="N288" s="38">
        <f t="shared" si="99"/>
        <v>25.5</v>
      </c>
      <c r="P288" s="43">
        <f t="shared" si="120"/>
        <v>4799.9437237754864</v>
      </c>
      <c r="Q288" s="43">
        <f t="shared" si="120"/>
        <v>4555.2407104065405</v>
      </c>
      <c r="R288" s="43">
        <f t="shared" si="120"/>
        <v>4323.0127526211099</v>
      </c>
      <c r="S288" s="43">
        <f t="shared" si="120"/>
        <v>4102.6238671933661</v>
      </c>
      <c r="T288" s="95">
        <f t="shared" si="120"/>
        <v>3893.4704935717436</v>
      </c>
      <c r="V288" s="43">
        <f t="shared" si="100"/>
        <v>410.25160032269116</v>
      </c>
      <c r="W288" s="43">
        <f t="shared" si="101"/>
        <v>410.25160032269127</v>
      </c>
      <c r="X288" s="43">
        <f t="shared" si="102"/>
        <v>410.25160032269127</v>
      </c>
      <c r="Y288" s="43">
        <f t="shared" si="103"/>
        <v>410.25160032269127</v>
      </c>
      <c r="Z288" s="95">
        <f t="shared" si="104"/>
        <v>410.25160032269127</v>
      </c>
      <c r="AB288" s="43">
        <f t="shared" si="105"/>
        <v>5210.1953240981775</v>
      </c>
      <c r="AC288" s="43">
        <f t="shared" si="106"/>
        <v>4965.4923107292316</v>
      </c>
      <c r="AD288" s="43">
        <f t="shared" si="107"/>
        <v>4733.264352943801</v>
      </c>
      <c r="AE288" s="43">
        <f t="shared" si="108"/>
        <v>4512.8754675160571</v>
      </c>
      <c r="AF288" s="95">
        <f t="shared" si="109"/>
        <v>4303.7220938944347</v>
      </c>
      <c r="AH288" s="43">
        <f t="shared" si="110"/>
        <v>99403.962758188063</v>
      </c>
      <c r="AI288" s="43">
        <f t="shared" si="111"/>
        <v>94438.470447458836</v>
      </c>
      <c r="AJ288" s="43">
        <f t="shared" si="112"/>
        <v>89705.20609451503</v>
      </c>
      <c r="AK288" s="43">
        <f t="shared" si="113"/>
        <v>85192.33062699897</v>
      </c>
      <c r="AL288" s="95">
        <f t="shared" si="114"/>
        <v>80888.608533104532</v>
      </c>
      <c r="AN288" s="47">
        <f t="shared" si="115"/>
        <v>9285.7577971838873</v>
      </c>
      <c r="AO288" s="47">
        <f t="shared" si="116"/>
        <v>9781.8543035496332</v>
      </c>
      <c r="AP288" s="47">
        <f t="shared" si="117"/>
        <v>9308.229863764067</v>
      </c>
      <c r="AQ288" s="47">
        <f t="shared" si="118"/>
        <v>7750.184031342018</v>
      </c>
      <c r="AR288" s="193">
        <f t="shared" si="119"/>
        <v>7377.4892181524065</v>
      </c>
      <c r="AS288" s="122"/>
      <c r="AT288" s="122"/>
      <c r="AU288" s="122"/>
      <c r="AV288" s="122"/>
      <c r="AW288" s="122"/>
      <c r="AX288" s="122"/>
    </row>
    <row r="289" spans="1:50" s="90" customFormat="1">
      <c r="A289" s="229"/>
      <c r="B289" s="37">
        <f>'13. Desinvesteringen'!B573</f>
        <v>554</v>
      </c>
      <c r="C289" s="339"/>
      <c r="D289" s="339"/>
      <c r="E289" s="339"/>
      <c r="F289" s="42">
        <f>'5. Input GAW-waarde desinv.'!D249</f>
        <v>49487.380757693187</v>
      </c>
      <c r="G289" s="177">
        <f>'13. Desinvesteringen'!D573</f>
        <v>1993</v>
      </c>
      <c r="H289" s="177">
        <f>'13. Desinvesteringen'!G573</f>
        <v>2024</v>
      </c>
      <c r="I289" s="37" t="str">
        <f>'13. Desinvesteringen'!C573</f>
        <v>01 Regionale leidingen</v>
      </c>
      <c r="J289" s="166">
        <f>'13. Desinvesteringen'!F573</f>
        <v>0</v>
      </c>
      <c r="K289" s="38">
        <f>_xlfn.XLOOKUP(I289,'3. Input (des)investeringen '!$B$11:$B$81,'3. Input (des)investeringen '!$E$11:$E$81)</f>
        <v>1</v>
      </c>
      <c r="L289" s="339"/>
      <c r="M289" s="38">
        <f>_xlfn.XLOOKUP(I289,'3. Input (des)investeringen '!$B$11:$B$81,'3. Input (des)investeringen '!$D$11:$D$81,0)</f>
        <v>55</v>
      </c>
      <c r="N289" s="38">
        <f t="shared" si="99"/>
        <v>26.5</v>
      </c>
      <c r="P289" s="43">
        <f t="shared" si="120"/>
        <v>2184.9145466604164</v>
      </c>
      <c r="Q289" s="43">
        <f t="shared" si="120"/>
        <v>2077.7300594657545</v>
      </c>
      <c r="R289" s="43">
        <f t="shared" si="120"/>
        <v>1975.8036791900759</v>
      </c>
      <c r="S289" s="43">
        <f t="shared" si="120"/>
        <v>1878.8774609656568</v>
      </c>
      <c r="T289" s="95">
        <f t="shared" si="120"/>
        <v>1786.7061138239455</v>
      </c>
      <c r="V289" s="43">
        <f t="shared" si="100"/>
        <v>186.74483304789885</v>
      </c>
      <c r="W289" s="43">
        <f t="shared" si="101"/>
        <v>186.74483304789885</v>
      </c>
      <c r="X289" s="43">
        <f t="shared" si="102"/>
        <v>186.74483304789885</v>
      </c>
      <c r="Y289" s="43">
        <f t="shared" si="103"/>
        <v>186.74483304789885</v>
      </c>
      <c r="Z289" s="95">
        <f t="shared" si="104"/>
        <v>186.74483304789885</v>
      </c>
      <c r="AB289" s="43">
        <f t="shared" si="105"/>
        <v>2371.6593797083151</v>
      </c>
      <c r="AC289" s="43">
        <f t="shared" si="106"/>
        <v>2264.4748925136532</v>
      </c>
      <c r="AD289" s="43">
        <f t="shared" si="107"/>
        <v>2162.5485122379746</v>
      </c>
      <c r="AE289" s="43">
        <f t="shared" si="108"/>
        <v>2065.6222940135558</v>
      </c>
      <c r="AF289" s="95">
        <f t="shared" si="109"/>
        <v>1973.4509468718443</v>
      </c>
      <c r="AH289" s="43">
        <f t="shared" si="110"/>
        <v>47115.721377984868</v>
      </c>
      <c r="AI289" s="43">
        <f t="shared" si="111"/>
        <v>44851.246485471216</v>
      </c>
      <c r="AJ289" s="43">
        <f t="shared" si="112"/>
        <v>42688.69797323324</v>
      </c>
      <c r="AK289" s="43">
        <f t="shared" si="113"/>
        <v>40623.075679219684</v>
      </c>
      <c r="AL289" s="95">
        <f t="shared" si="114"/>
        <v>38649.624732347838</v>
      </c>
      <c r="AN289" s="47">
        <f t="shared" si="115"/>
        <v>4303.4039562056951</v>
      </c>
      <c r="AO289" s="47">
        <f t="shared" si="116"/>
        <v>4551.8884632726849</v>
      </c>
      <c r="AP289" s="47">
        <f t="shared" si="117"/>
        <v>4339.67210887287</v>
      </c>
      <c r="AQ289" s="47">
        <f t="shared" si="118"/>
        <v>3609.2991698239039</v>
      </c>
      <c r="AR289" s="193">
        <f t="shared" si="119"/>
        <v>3442.136686701062</v>
      </c>
      <c r="AS289" s="122"/>
      <c r="AT289" s="122"/>
      <c r="AU289" s="122"/>
      <c r="AV289" s="122"/>
      <c r="AW289" s="122"/>
      <c r="AX289" s="122"/>
    </row>
    <row r="290" spans="1:50" s="90" customFormat="1">
      <c r="A290" s="229"/>
      <c r="B290" s="37">
        <f>'13. Desinvesteringen'!B574</f>
        <v>555</v>
      </c>
      <c r="C290" s="339"/>
      <c r="D290" s="339"/>
      <c r="E290" s="339"/>
      <c r="F290" s="42">
        <f>'5. Input GAW-waarde desinv.'!D250</f>
        <v>6751.8169181566982</v>
      </c>
      <c r="G290" s="177">
        <f>'13. Desinvesteringen'!D574</f>
        <v>1998</v>
      </c>
      <c r="H290" s="177">
        <f>'13. Desinvesteringen'!G574</f>
        <v>2024</v>
      </c>
      <c r="I290" s="37" t="str">
        <f>'13. Desinvesteringen'!C574</f>
        <v>01 Regionale leidingen</v>
      </c>
      <c r="J290" s="166">
        <f>'13. Desinvesteringen'!F574</f>
        <v>0</v>
      </c>
      <c r="K290" s="38">
        <f>_xlfn.XLOOKUP(I290,'3. Input (des)investeringen '!$B$11:$B$81,'3. Input (des)investeringen '!$E$11:$E$81)</f>
        <v>1</v>
      </c>
      <c r="L290" s="339"/>
      <c r="M290" s="38">
        <f>_xlfn.XLOOKUP(I290,'3. Input (des)investeringen '!$B$11:$B$81,'3. Input (des)investeringen '!$D$11:$D$81,0)</f>
        <v>55</v>
      </c>
      <c r="N290" s="38">
        <f t="shared" si="99"/>
        <v>31.5</v>
      </c>
      <c r="P290" s="43">
        <f t="shared" si="120"/>
        <v>250.78177124582021</v>
      </c>
      <c r="Q290" s="43">
        <f t="shared" si="120"/>
        <v>240.4320473531356</v>
      </c>
      <c r="R290" s="43">
        <f t="shared" si="120"/>
        <v>230.50945492268872</v>
      </c>
      <c r="S290" s="43">
        <f t="shared" si="120"/>
        <v>220.99636630683173</v>
      </c>
      <c r="T290" s="95">
        <f t="shared" si="120"/>
        <v>211.87588134813709</v>
      </c>
      <c r="V290" s="43">
        <f t="shared" si="100"/>
        <v>21.434339422719678</v>
      </c>
      <c r="W290" s="43">
        <f t="shared" si="101"/>
        <v>21.434339422719678</v>
      </c>
      <c r="X290" s="43">
        <f t="shared" si="102"/>
        <v>21.434339422719678</v>
      </c>
      <c r="Y290" s="43">
        <f t="shared" si="103"/>
        <v>21.434339422719678</v>
      </c>
      <c r="Z290" s="95">
        <f t="shared" si="104"/>
        <v>21.434339422719678</v>
      </c>
      <c r="AB290" s="43">
        <f t="shared" si="105"/>
        <v>272.2161106685399</v>
      </c>
      <c r="AC290" s="43">
        <f t="shared" si="106"/>
        <v>261.86638677585529</v>
      </c>
      <c r="AD290" s="43">
        <f t="shared" si="107"/>
        <v>251.94379434540841</v>
      </c>
      <c r="AE290" s="43">
        <f t="shared" si="108"/>
        <v>242.43070572955142</v>
      </c>
      <c r="AF290" s="95">
        <f t="shared" si="109"/>
        <v>233.31022077085677</v>
      </c>
      <c r="AH290" s="43">
        <f t="shared" si="110"/>
        <v>6479.6008074881584</v>
      </c>
      <c r="AI290" s="43">
        <f t="shared" si="111"/>
        <v>6217.7344207123033</v>
      </c>
      <c r="AJ290" s="43">
        <f t="shared" si="112"/>
        <v>5965.7906263668947</v>
      </c>
      <c r="AK290" s="43">
        <f t="shared" si="113"/>
        <v>5723.3599206373428</v>
      </c>
      <c r="AL290" s="95">
        <f t="shared" si="114"/>
        <v>5490.0496998664858</v>
      </c>
      <c r="AN290" s="47">
        <f t="shared" si="115"/>
        <v>537.8797437755544</v>
      </c>
      <c r="AO290" s="47">
        <f t="shared" si="116"/>
        <v>578.9708422321828</v>
      </c>
      <c r="AP290" s="47">
        <f t="shared" si="117"/>
        <v>556.19911629012006</v>
      </c>
      <c r="AQ290" s="47">
        <f t="shared" si="118"/>
        <v>459.91838271377048</v>
      </c>
      <c r="AR290" s="193">
        <f t="shared" si="119"/>
        <v>441.93210936578322</v>
      </c>
      <c r="AS290" s="122"/>
      <c r="AT290" s="122"/>
      <c r="AU290" s="122"/>
      <c r="AV290" s="122"/>
      <c r="AW290" s="122"/>
      <c r="AX290" s="122"/>
    </row>
    <row r="291" spans="1:50" s="90" customFormat="1">
      <c r="A291" s="229"/>
      <c r="B291" s="37">
        <f>'13. Desinvesteringen'!B575</f>
        <v>556</v>
      </c>
      <c r="C291" s="339"/>
      <c r="D291" s="339"/>
      <c r="E291" s="339"/>
      <c r="F291" s="42">
        <f>'5. Input GAW-waarde desinv.'!D251</f>
        <v>69100.503781985579</v>
      </c>
      <c r="G291" s="177">
        <f>'13. Desinvesteringen'!D575</f>
        <v>2004</v>
      </c>
      <c r="H291" s="177">
        <f>'13. Desinvesteringen'!G575</f>
        <v>2024</v>
      </c>
      <c r="I291" s="37" t="str">
        <f>'13. Desinvesteringen'!C575</f>
        <v>01 Regionale leidingen</v>
      </c>
      <c r="J291" s="166">
        <f>'13. Desinvesteringen'!F575</f>
        <v>0</v>
      </c>
      <c r="K291" s="38">
        <f>_xlfn.XLOOKUP(I291,'3. Input (des)investeringen '!$B$11:$B$81,'3. Input (des)investeringen '!$E$11:$E$81)</f>
        <v>1</v>
      </c>
      <c r="L291" s="339"/>
      <c r="M291" s="38">
        <f>_xlfn.XLOOKUP(I291,'3. Input (des)investeringen '!$B$11:$B$81,'3. Input (des)investeringen '!$D$11:$D$81,0)</f>
        <v>55</v>
      </c>
      <c r="N291" s="38">
        <f t="shared" si="99"/>
        <v>37.5</v>
      </c>
      <c r="P291" s="43">
        <f t="shared" si="120"/>
        <v>2155.9357179979502</v>
      </c>
      <c r="Q291" s="43">
        <f t="shared" si="120"/>
        <v>2081.1966131073546</v>
      </c>
      <c r="R291" s="43">
        <f t="shared" si="120"/>
        <v>2009.0484638529658</v>
      </c>
      <c r="S291" s="43">
        <f t="shared" si="120"/>
        <v>1939.4014504393967</v>
      </c>
      <c r="T291" s="95">
        <f t="shared" si="120"/>
        <v>1872.1688668241641</v>
      </c>
      <c r="V291" s="43">
        <f t="shared" si="100"/>
        <v>184.26801008529492</v>
      </c>
      <c r="W291" s="43">
        <f t="shared" si="101"/>
        <v>184.26801008529492</v>
      </c>
      <c r="X291" s="43">
        <f t="shared" si="102"/>
        <v>184.26801008529492</v>
      </c>
      <c r="Y291" s="43">
        <f t="shared" si="103"/>
        <v>184.26801008529492</v>
      </c>
      <c r="Z291" s="95">
        <f t="shared" si="104"/>
        <v>184.26801008529492</v>
      </c>
      <c r="AB291" s="43">
        <f t="shared" si="105"/>
        <v>2340.2037280832451</v>
      </c>
      <c r="AC291" s="43">
        <f t="shared" si="106"/>
        <v>2265.4646231926495</v>
      </c>
      <c r="AD291" s="43">
        <f t="shared" si="107"/>
        <v>2193.316473938261</v>
      </c>
      <c r="AE291" s="43">
        <f t="shared" si="108"/>
        <v>2123.6694605246917</v>
      </c>
      <c r="AF291" s="95">
        <f t="shared" si="109"/>
        <v>2056.436876909459</v>
      </c>
      <c r="AH291" s="43">
        <f t="shared" si="110"/>
        <v>66760.300053902334</v>
      </c>
      <c r="AI291" s="43">
        <f t="shared" si="111"/>
        <v>64494.835430709682</v>
      </c>
      <c r="AJ291" s="43">
        <f t="shared" si="112"/>
        <v>62301.518956771419</v>
      </c>
      <c r="AK291" s="43">
        <f t="shared" si="113"/>
        <v>60177.84949624673</v>
      </c>
      <c r="AL291" s="95">
        <f t="shared" si="114"/>
        <v>58121.412619337272</v>
      </c>
      <c r="AN291" s="47">
        <f t="shared" si="115"/>
        <v>5077.3760302932405</v>
      </c>
      <c r="AO291" s="47">
        <f t="shared" si="116"/>
        <v>5554.7012301588429</v>
      </c>
      <c r="AP291" s="47">
        <f t="shared" si="117"/>
        <v>5370.6939407336031</v>
      </c>
      <c r="AQ291" s="47">
        <f t="shared" si="118"/>
        <v>4410.4277413820673</v>
      </c>
      <c r="AR291" s="193">
        <f t="shared" si="119"/>
        <v>4265.0505564442756</v>
      </c>
      <c r="AS291" s="122"/>
      <c r="AT291" s="122"/>
      <c r="AU291" s="122"/>
      <c r="AV291" s="122"/>
      <c r="AW291" s="122"/>
      <c r="AX291" s="122"/>
    </row>
    <row r="292" spans="1:50" s="90" customFormat="1">
      <c r="A292" s="229"/>
      <c r="B292" s="37">
        <f>'13. Desinvesteringen'!B576</f>
        <v>557</v>
      </c>
      <c r="C292" s="339"/>
      <c r="D292" s="339"/>
      <c r="E292" s="339"/>
      <c r="F292" s="42">
        <f>'5. Input GAW-waarde desinv.'!D252</f>
        <v>5340.5922809351332</v>
      </c>
      <c r="G292" s="177">
        <f>'13. Desinvesteringen'!D576</f>
        <v>2006</v>
      </c>
      <c r="H292" s="177">
        <f>'13. Desinvesteringen'!G576</f>
        <v>2024</v>
      </c>
      <c r="I292" s="37" t="str">
        <f>'13. Desinvesteringen'!C576</f>
        <v>01 Regionale leidingen</v>
      </c>
      <c r="J292" s="166">
        <f>'13. Desinvesteringen'!F576</f>
        <v>0</v>
      </c>
      <c r="K292" s="38">
        <f>_xlfn.XLOOKUP(I292,'3. Input (des)investeringen '!$B$11:$B$81,'3. Input (des)investeringen '!$E$11:$E$81)</f>
        <v>1</v>
      </c>
      <c r="L292" s="339"/>
      <c r="M292" s="38">
        <f>_xlfn.XLOOKUP(I292,'3. Input (des)investeringen '!$B$11:$B$81,'3. Input (des)investeringen '!$D$11:$D$81,0)</f>
        <v>55</v>
      </c>
      <c r="N292" s="38">
        <f t="shared" si="99"/>
        <v>39.5</v>
      </c>
      <c r="P292" s="43">
        <f t="shared" si="120"/>
        <v>158.18969540997739</v>
      </c>
      <c r="Q292" s="43">
        <f t="shared" si="120"/>
        <v>152.98345226990219</v>
      </c>
      <c r="R292" s="43">
        <f t="shared" si="120"/>
        <v>147.94855384076615</v>
      </c>
      <c r="S292" s="43">
        <f t="shared" si="120"/>
        <v>143.07936092955106</v>
      </c>
      <c r="T292" s="95">
        <f t="shared" si="120"/>
        <v>138.37041993693293</v>
      </c>
      <c r="V292" s="43">
        <f t="shared" si="100"/>
        <v>13.520486787177553</v>
      </c>
      <c r="W292" s="43">
        <f t="shared" si="101"/>
        <v>13.520486787177553</v>
      </c>
      <c r="X292" s="43">
        <f t="shared" si="102"/>
        <v>13.520486787177553</v>
      </c>
      <c r="Y292" s="43">
        <f t="shared" si="103"/>
        <v>13.520486787177553</v>
      </c>
      <c r="Z292" s="95">
        <f t="shared" si="104"/>
        <v>13.520486787177553</v>
      </c>
      <c r="AB292" s="43">
        <f t="shared" si="105"/>
        <v>171.71018219715495</v>
      </c>
      <c r="AC292" s="43">
        <f t="shared" si="106"/>
        <v>166.50393905707975</v>
      </c>
      <c r="AD292" s="43">
        <f t="shared" si="107"/>
        <v>161.46904062794371</v>
      </c>
      <c r="AE292" s="43">
        <f t="shared" si="108"/>
        <v>156.59984771672862</v>
      </c>
      <c r="AF292" s="95">
        <f t="shared" si="109"/>
        <v>151.89090672411049</v>
      </c>
      <c r="AH292" s="43">
        <f t="shared" si="110"/>
        <v>5168.8820987379786</v>
      </c>
      <c r="AI292" s="43">
        <f t="shared" si="111"/>
        <v>5002.3781596808985</v>
      </c>
      <c r="AJ292" s="43">
        <f t="shared" si="112"/>
        <v>4840.9091190529552</v>
      </c>
      <c r="AK292" s="43">
        <f t="shared" si="113"/>
        <v>4684.3092713362266</v>
      </c>
      <c r="AL292" s="95">
        <f t="shared" si="114"/>
        <v>4532.4183646121164</v>
      </c>
      <c r="AN292" s="47">
        <f t="shared" si="115"/>
        <v>383.63434824541207</v>
      </c>
      <c r="AO292" s="47">
        <f t="shared" si="116"/>
        <v>421.62522520080552</v>
      </c>
      <c r="AP292" s="47">
        <f t="shared" si="117"/>
        <v>408.35540569964439</v>
      </c>
      <c r="AQ292" s="47">
        <f t="shared" si="118"/>
        <v>334.60360002750519</v>
      </c>
      <c r="AR292" s="193">
        <f t="shared" si="119"/>
        <v>324.12280457937095</v>
      </c>
      <c r="AS292" s="122"/>
      <c r="AT292" s="122"/>
      <c r="AU292" s="122"/>
      <c r="AV292" s="122"/>
      <c r="AW292" s="122"/>
      <c r="AX292" s="122"/>
    </row>
    <row r="293" spans="1:50" s="90" customFormat="1">
      <c r="A293" s="229"/>
      <c r="B293" s="37">
        <f>'13. Desinvesteringen'!B577</f>
        <v>558</v>
      </c>
      <c r="C293" s="339"/>
      <c r="D293" s="339"/>
      <c r="E293" s="339"/>
      <c r="F293" s="42">
        <f>'5. Input GAW-waarde desinv.'!D253</f>
        <v>6203.2247031267789</v>
      </c>
      <c r="G293" s="177">
        <f>'13. Desinvesteringen'!D577</f>
        <v>2007</v>
      </c>
      <c r="H293" s="177">
        <f>'13. Desinvesteringen'!G577</f>
        <v>2024</v>
      </c>
      <c r="I293" s="37" t="str">
        <f>'13. Desinvesteringen'!C577</f>
        <v>01 Regionale leidingen</v>
      </c>
      <c r="J293" s="166">
        <f>'13. Desinvesteringen'!F577</f>
        <v>0</v>
      </c>
      <c r="K293" s="38">
        <f>_xlfn.XLOOKUP(I293,'3. Input (des)investeringen '!$B$11:$B$81,'3. Input (des)investeringen '!$E$11:$E$81)</f>
        <v>1</v>
      </c>
      <c r="L293" s="339"/>
      <c r="M293" s="38">
        <f>_xlfn.XLOOKUP(I293,'3. Input (des)investeringen '!$B$11:$B$81,'3. Input (des)investeringen '!$D$11:$D$81,0)</f>
        <v>55</v>
      </c>
      <c r="N293" s="38">
        <f t="shared" si="99"/>
        <v>40.5</v>
      </c>
      <c r="P293" s="43">
        <f t="shared" si="120"/>
        <v>179.2042692014403</v>
      </c>
      <c r="Q293" s="43">
        <f t="shared" si="120"/>
        <v>173.45203339991258</v>
      </c>
      <c r="R293" s="43">
        <f t="shared" si="120"/>
        <v>167.88443726608821</v>
      </c>
      <c r="S293" s="43">
        <f t="shared" si="120"/>
        <v>162.49555409458415</v>
      </c>
      <c r="T293" s="95">
        <f t="shared" si="120"/>
        <v>157.27964741994319</v>
      </c>
      <c r="V293" s="43">
        <f t="shared" si="100"/>
        <v>15.316604205251307</v>
      </c>
      <c r="W293" s="43">
        <f t="shared" si="101"/>
        <v>15.316604205251307</v>
      </c>
      <c r="X293" s="43">
        <f t="shared" si="102"/>
        <v>15.316604205251307</v>
      </c>
      <c r="Y293" s="43">
        <f t="shared" si="103"/>
        <v>15.316604205251307</v>
      </c>
      <c r="Z293" s="95">
        <f t="shared" si="104"/>
        <v>15.316604205251307</v>
      </c>
      <c r="AB293" s="43">
        <f t="shared" si="105"/>
        <v>194.52087340669161</v>
      </c>
      <c r="AC293" s="43">
        <f t="shared" si="106"/>
        <v>188.76863760516389</v>
      </c>
      <c r="AD293" s="43">
        <f t="shared" si="107"/>
        <v>183.20104147133952</v>
      </c>
      <c r="AE293" s="43">
        <f t="shared" si="108"/>
        <v>177.81215829983546</v>
      </c>
      <c r="AF293" s="95">
        <f t="shared" si="109"/>
        <v>172.5962516251945</v>
      </c>
      <c r="AH293" s="43">
        <f t="shared" si="110"/>
        <v>6008.703829720087</v>
      </c>
      <c r="AI293" s="43">
        <f t="shared" si="111"/>
        <v>5819.9351921149228</v>
      </c>
      <c r="AJ293" s="43">
        <f t="shared" si="112"/>
        <v>5636.7341506435832</v>
      </c>
      <c r="AK293" s="43">
        <f t="shared" si="113"/>
        <v>5458.9219923437477</v>
      </c>
      <c r="AL293" s="95">
        <f t="shared" si="114"/>
        <v>5286.3257407185529</v>
      </c>
      <c r="AN293" s="47">
        <f t="shared" si="115"/>
        <v>440.87773042521519</v>
      </c>
      <c r="AO293" s="47">
        <f t="shared" si="116"/>
        <v>485.58533240302495</v>
      </c>
      <c r="AP293" s="47">
        <f t="shared" si="117"/>
        <v>470.67448315416226</v>
      </c>
      <c r="AQ293" s="47">
        <f t="shared" si="118"/>
        <v>385.25119400889787</v>
      </c>
      <c r="AR293" s="193">
        <f t="shared" si="119"/>
        <v>373.47662977249951</v>
      </c>
      <c r="AS293" s="122"/>
      <c r="AT293" s="122"/>
      <c r="AU293" s="122"/>
      <c r="AV293" s="122"/>
      <c r="AW293" s="122"/>
      <c r="AX293" s="122"/>
    </row>
    <row r="294" spans="1:50" s="90" customFormat="1">
      <c r="A294" s="229"/>
      <c r="B294" s="37">
        <f>'13. Desinvesteringen'!B578</f>
        <v>559</v>
      </c>
      <c r="C294" s="339"/>
      <c r="D294" s="339"/>
      <c r="E294" s="339"/>
      <c r="F294" s="42">
        <f>'5. Input GAW-waarde desinv.'!D254</f>
        <v>367448.10804205487</v>
      </c>
      <c r="G294" s="177">
        <f>'13. Desinvesteringen'!D578</f>
        <v>2009</v>
      </c>
      <c r="H294" s="177">
        <f>'13. Desinvesteringen'!G578</f>
        <v>2024</v>
      </c>
      <c r="I294" s="37" t="str">
        <f>'13. Desinvesteringen'!C578</f>
        <v>01 Regionale leidingen</v>
      </c>
      <c r="J294" s="166">
        <f>'13. Desinvesteringen'!F578</f>
        <v>0</v>
      </c>
      <c r="K294" s="38">
        <f>_xlfn.XLOOKUP(I294,'3. Input (des)investeringen '!$B$11:$B$81,'3. Input (des)investeringen '!$E$11:$E$81)</f>
        <v>1</v>
      </c>
      <c r="L294" s="339"/>
      <c r="M294" s="38">
        <f>_xlfn.XLOOKUP(I294,'3. Input (des)investeringen '!$B$11:$B$81,'3. Input (des)investeringen '!$D$11:$D$81,0)</f>
        <v>55</v>
      </c>
      <c r="N294" s="38">
        <f t="shared" si="99"/>
        <v>42.5</v>
      </c>
      <c r="P294" s="43">
        <f t="shared" si="120"/>
        <v>10115.630268451865</v>
      </c>
      <c r="Q294" s="43">
        <f t="shared" si="120"/>
        <v>9806.2109896521597</v>
      </c>
      <c r="R294" s="43">
        <f t="shared" si="120"/>
        <v>9506.2563005569173</v>
      </c>
      <c r="S294" s="43">
        <f t="shared" si="120"/>
        <v>9215.4766960692941</v>
      </c>
      <c r="T294" s="95">
        <f t="shared" si="120"/>
        <v>8933.5915265424701</v>
      </c>
      <c r="V294" s="43">
        <f t="shared" si="100"/>
        <v>864.58378362836447</v>
      </c>
      <c r="W294" s="43">
        <f t="shared" si="101"/>
        <v>864.58378362836436</v>
      </c>
      <c r="X294" s="43">
        <f t="shared" si="102"/>
        <v>864.58378362836436</v>
      </c>
      <c r="Y294" s="43">
        <f t="shared" si="103"/>
        <v>864.58378362836436</v>
      </c>
      <c r="Z294" s="95">
        <f t="shared" si="104"/>
        <v>864.58378362836436</v>
      </c>
      <c r="AB294" s="43">
        <f t="shared" si="105"/>
        <v>10980.21405208023</v>
      </c>
      <c r="AC294" s="43">
        <f t="shared" si="106"/>
        <v>10670.794773280524</v>
      </c>
      <c r="AD294" s="43">
        <f t="shared" si="107"/>
        <v>10370.840084185282</v>
      </c>
      <c r="AE294" s="43">
        <f t="shared" si="108"/>
        <v>10080.060479697659</v>
      </c>
      <c r="AF294" s="95">
        <f t="shared" si="109"/>
        <v>9798.1753101708346</v>
      </c>
      <c r="AH294" s="43">
        <f t="shared" si="110"/>
        <v>356467.89398997463</v>
      </c>
      <c r="AI294" s="43">
        <f t="shared" si="111"/>
        <v>345797.09921669413</v>
      </c>
      <c r="AJ294" s="43">
        <f t="shared" si="112"/>
        <v>335426.25913250883</v>
      </c>
      <c r="AK294" s="43">
        <f t="shared" si="113"/>
        <v>325346.19865281117</v>
      </c>
      <c r="AL294" s="95">
        <f t="shared" si="114"/>
        <v>315548.02334264031</v>
      </c>
      <c r="AN294" s="47">
        <f t="shared" si="115"/>
        <v>25595.397705669187</v>
      </c>
      <c r="AO294" s="47">
        <f t="shared" si="116"/>
        <v>28306.446833331924</v>
      </c>
      <c r="AP294" s="47">
        <f t="shared" si="117"/>
        <v>27477.579299943231</v>
      </c>
      <c r="AQ294" s="47">
        <f t="shared" si="118"/>
        <v>22443.216028504481</v>
      </c>
      <c r="AR294" s="193">
        <f t="shared" si="119"/>
        <v>21789.000197191166</v>
      </c>
      <c r="AS294" s="122"/>
      <c r="AT294" s="122"/>
      <c r="AU294" s="122"/>
      <c r="AV294" s="122"/>
      <c r="AW294" s="122"/>
      <c r="AX294" s="122"/>
    </row>
    <row r="295" spans="1:50" s="90" customFormat="1">
      <c r="A295" s="229"/>
      <c r="B295" s="37">
        <f>'13. Desinvesteringen'!B579</f>
        <v>560</v>
      </c>
      <c r="C295" s="339"/>
      <c r="D295" s="339"/>
      <c r="E295" s="339"/>
      <c r="F295" s="42">
        <f>'5. Input GAW-waarde desinv.'!D255</f>
        <v>493283.8055615066</v>
      </c>
      <c r="G295" s="177">
        <f>'13. Desinvesteringen'!D579</f>
        <v>2010</v>
      </c>
      <c r="H295" s="177">
        <f>'13. Desinvesteringen'!G579</f>
        <v>2024</v>
      </c>
      <c r="I295" s="37" t="str">
        <f>'13. Desinvesteringen'!C579</f>
        <v>01 Regionale leidingen</v>
      </c>
      <c r="J295" s="166">
        <f>'13. Desinvesteringen'!F579</f>
        <v>0</v>
      </c>
      <c r="K295" s="38">
        <f>_xlfn.XLOOKUP(I295,'3. Input (des)investeringen '!$B$11:$B$81,'3. Input (des)investeringen '!$E$11:$E$81)</f>
        <v>1</v>
      </c>
      <c r="L295" s="339"/>
      <c r="M295" s="38">
        <f>_xlfn.XLOOKUP(I295,'3. Input (des)investeringen '!$B$11:$B$81,'3. Input (des)investeringen '!$D$11:$D$81,0)</f>
        <v>55</v>
      </c>
      <c r="N295" s="38">
        <f t="shared" si="99"/>
        <v>43.5</v>
      </c>
      <c r="P295" s="43">
        <f t="shared" si="120"/>
        <v>13267.63339096466</v>
      </c>
      <c r="Q295" s="43">
        <f t="shared" si="120"/>
        <v>12871.129404568017</v>
      </c>
      <c r="R295" s="43">
        <f t="shared" si="120"/>
        <v>12486.47496259242</v>
      </c>
      <c r="S295" s="43">
        <f t="shared" si="120"/>
        <v>12113.315940721841</v>
      </c>
      <c r="T295" s="95">
        <f t="shared" si="120"/>
        <v>11751.308797665788</v>
      </c>
      <c r="V295" s="43">
        <f t="shared" si="100"/>
        <v>1133.9857599115094</v>
      </c>
      <c r="W295" s="43">
        <f t="shared" si="101"/>
        <v>1133.9857599115094</v>
      </c>
      <c r="X295" s="43">
        <f t="shared" si="102"/>
        <v>1133.9857599115094</v>
      </c>
      <c r="Y295" s="43">
        <f t="shared" si="103"/>
        <v>1133.9857599115094</v>
      </c>
      <c r="Z295" s="95">
        <f t="shared" si="104"/>
        <v>1133.9857599115094</v>
      </c>
      <c r="AB295" s="43">
        <f t="shared" si="105"/>
        <v>14401.619150876169</v>
      </c>
      <c r="AC295" s="43">
        <f t="shared" si="106"/>
        <v>14005.115164479526</v>
      </c>
      <c r="AD295" s="43">
        <f t="shared" si="107"/>
        <v>13620.460722503929</v>
      </c>
      <c r="AE295" s="43">
        <f t="shared" si="108"/>
        <v>13247.30170063335</v>
      </c>
      <c r="AF295" s="95">
        <f t="shared" si="109"/>
        <v>12885.294557577297</v>
      </c>
      <c r="AH295" s="43">
        <f t="shared" si="110"/>
        <v>478882.18641063041</v>
      </c>
      <c r="AI295" s="43">
        <f t="shared" si="111"/>
        <v>464877.07124615088</v>
      </c>
      <c r="AJ295" s="43">
        <f t="shared" si="112"/>
        <v>451256.61052364693</v>
      </c>
      <c r="AK295" s="43">
        <f t="shared" si="113"/>
        <v>438009.30882301356</v>
      </c>
      <c r="AL295" s="95">
        <f t="shared" si="114"/>
        <v>425124.01426543627</v>
      </c>
      <c r="AN295" s="47">
        <f t="shared" si="115"/>
        <v>34035.788793712018</v>
      </c>
      <c r="AO295" s="47">
        <f t="shared" si="116"/>
        <v>37713.845798033217</v>
      </c>
      <c r="AP295" s="47">
        <f t="shared" si="117"/>
        <v>36634.547859209924</v>
      </c>
      <c r="AQ295" s="47">
        <f t="shared" si="118"/>
        <v>29891.655435907865</v>
      </c>
      <c r="AR295" s="193">
        <f t="shared" si="119"/>
        <v>29040.007099663875</v>
      </c>
      <c r="AS295" s="122"/>
      <c r="AT295" s="122"/>
      <c r="AU295" s="122"/>
      <c r="AV295" s="122"/>
      <c r="AW295" s="122"/>
      <c r="AX295" s="122"/>
    </row>
    <row r="296" spans="1:50" s="90" customFormat="1">
      <c r="A296" s="229"/>
      <c r="B296" s="37">
        <f>'13. Desinvesteringen'!B580</f>
        <v>561</v>
      </c>
      <c r="C296" s="339"/>
      <c r="D296" s="339"/>
      <c r="E296" s="339"/>
      <c r="F296" s="42">
        <f>'5. Input GAW-waarde desinv.'!D256</f>
        <v>3398.0182232575817</v>
      </c>
      <c r="G296" s="177">
        <f>'13. Desinvesteringen'!D580</f>
        <v>2011</v>
      </c>
      <c r="H296" s="177">
        <f>'13. Desinvesteringen'!G580</f>
        <v>2024</v>
      </c>
      <c r="I296" s="37" t="str">
        <f>'13. Desinvesteringen'!C580</f>
        <v>01 Regionale leidingen</v>
      </c>
      <c r="J296" s="166">
        <f>'13. Desinvesteringen'!F580</f>
        <v>0</v>
      </c>
      <c r="K296" s="38">
        <f>_xlfn.XLOOKUP(I296,'3. Input (des)investeringen '!$B$11:$B$81,'3. Input (des)investeringen '!$E$11:$E$81)</f>
        <v>1</v>
      </c>
      <c r="L296" s="339"/>
      <c r="M296" s="38">
        <f>_xlfn.XLOOKUP(I296,'3. Input (des)investeringen '!$B$11:$B$81,'3. Input (des)investeringen '!$D$11:$D$81,0)</f>
        <v>55</v>
      </c>
      <c r="N296" s="38">
        <f t="shared" si="99"/>
        <v>44.5</v>
      </c>
      <c r="P296" s="43">
        <f t="shared" si="120"/>
        <v>89.341153285648787</v>
      </c>
      <c r="Q296" s="43">
        <f t="shared" si="120"/>
        <v>86.731187009888259</v>
      </c>
      <c r="R296" s="43">
        <f t="shared" si="120"/>
        <v>84.197466939936476</v>
      </c>
      <c r="S296" s="43">
        <f t="shared" si="120"/>
        <v>81.737765658545072</v>
      </c>
      <c r="T296" s="95">
        <f t="shared" si="120"/>
        <v>79.349920819081973</v>
      </c>
      <c r="V296" s="43">
        <f t="shared" si="100"/>
        <v>7.6359960073204078</v>
      </c>
      <c r="W296" s="43">
        <f t="shared" si="101"/>
        <v>7.6359960073204078</v>
      </c>
      <c r="X296" s="43">
        <f t="shared" si="102"/>
        <v>7.6359960073204078</v>
      </c>
      <c r="Y296" s="43">
        <f t="shared" si="103"/>
        <v>7.6359960073204078</v>
      </c>
      <c r="Z296" s="95">
        <f t="shared" si="104"/>
        <v>7.6359960073204078</v>
      </c>
      <c r="AB296" s="43">
        <f t="shared" si="105"/>
        <v>96.977149292969187</v>
      </c>
      <c r="AC296" s="43">
        <f t="shared" si="106"/>
        <v>94.367183017208674</v>
      </c>
      <c r="AD296" s="43">
        <f t="shared" si="107"/>
        <v>91.833462947256891</v>
      </c>
      <c r="AE296" s="43">
        <f t="shared" si="108"/>
        <v>89.373761665865487</v>
      </c>
      <c r="AF296" s="95">
        <f t="shared" si="109"/>
        <v>86.985916826402388</v>
      </c>
      <c r="AH296" s="43">
        <f t="shared" si="110"/>
        <v>3301.0410739646127</v>
      </c>
      <c r="AI296" s="43">
        <f t="shared" si="111"/>
        <v>3206.6738909474038</v>
      </c>
      <c r="AJ296" s="43">
        <f t="shared" si="112"/>
        <v>3114.8404280001469</v>
      </c>
      <c r="AK296" s="43">
        <f t="shared" si="113"/>
        <v>3025.4666663342814</v>
      </c>
      <c r="AL296" s="95">
        <f t="shared" si="114"/>
        <v>2938.480749507879</v>
      </c>
      <c r="AN296" s="47">
        <f t="shared" si="115"/>
        <v>232.31983332551832</v>
      </c>
      <c r="AO296" s="47">
        <f t="shared" si="116"/>
        <v>257.90755145552623</v>
      </c>
      <c r="AP296" s="47">
        <f t="shared" si="117"/>
        <v>250.69032477526437</v>
      </c>
      <c r="AQ296" s="47">
        <f t="shared" si="118"/>
        <v>204.34149498656819</v>
      </c>
      <c r="AR296" s="193">
        <f t="shared" si="119"/>
        <v>198.64818530770179</v>
      </c>
      <c r="AS296" s="122"/>
      <c r="AT296" s="122"/>
      <c r="AU296" s="122"/>
      <c r="AV296" s="122"/>
      <c r="AW296" s="122"/>
      <c r="AX296" s="122"/>
    </row>
    <row r="297" spans="1:50" s="90" customFormat="1">
      <c r="A297" s="229"/>
      <c r="B297" s="37">
        <f>'13. Desinvesteringen'!B581</f>
        <v>562</v>
      </c>
      <c r="C297" s="339"/>
      <c r="D297" s="339"/>
      <c r="E297" s="339"/>
      <c r="F297" s="42">
        <f>'5. Input GAW-waarde desinv.'!D257</f>
        <v>415690.8352187156</v>
      </c>
      <c r="G297" s="177">
        <f>'13. Desinvesteringen'!D581</f>
        <v>2016</v>
      </c>
      <c r="H297" s="177">
        <f>'13. Desinvesteringen'!G581</f>
        <v>2024</v>
      </c>
      <c r="I297" s="37" t="str">
        <f>'13. Desinvesteringen'!C581</f>
        <v>01 Regionale leidingen</v>
      </c>
      <c r="J297" s="166">
        <f>'13. Desinvesteringen'!F581</f>
        <v>0</v>
      </c>
      <c r="K297" s="38">
        <f>_xlfn.XLOOKUP(I297,'3. Input (des)investeringen '!$B$11:$B$81,'3. Input (des)investeringen '!$E$11:$E$81)</f>
        <v>1</v>
      </c>
      <c r="L297" s="339"/>
      <c r="M297" s="38">
        <f>_xlfn.XLOOKUP(I297,'3. Input (des)investeringen '!$B$11:$B$81,'3. Input (des)investeringen '!$D$11:$D$81,0)</f>
        <v>55</v>
      </c>
      <c r="N297" s="38">
        <f t="shared" si="99"/>
        <v>49.5</v>
      </c>
      <c r="P297" s="43">
        <f t="shared" si="120"/>
        <v>9825.4197415332783</v>
      </c>
      <c r="Q297" s="43">
        <f t="shared" si="120"/>
        <v>9567.3784149879593</v>
      </c>
      <c r="R297" s="43">
        <f t="shared" si="120"/>
        <v>9316.1139313620133</v>
      </c>
      <c r="S297" s="43">
        <f t="shared" si="120"/>
        <v>9071.4483129626078</v>
      </c>
      <c r="T297" s="95">
        <f t="shared" si="120"/>
        <v>8833.2082562585401</v>
      </c>
      <c r="V297" s="43">
        <f t="shared" si="100"/>
        <v>839.77946508831451</v>
      </c>
      <c r="W297" s="43">
        <f t="shared" si="101"/>
        <v>839.77946508831451</v>
      </c>
      <c r="X297" s="43">
        <f t="shared" si="102"/>
        <v>839.77946508831451</v>
      </c>
      <c r="Y297" s="43">
        <f t="shared" si="103"/>
        <v>839.77946508831451</v>
      </c>
      <c r="Z297" s="95">
        <f t="shared" si="104"/>
        <v>839.77946508831451</v>
      </c>
      <c r="AB297" s="43">
        <f t="shared" si="105"/>
        <v>10665.199206621593</v>
      </c>
      <c r="AC297" s="43">
        <f t="shared" si="106"/>
        <v>10407.157880076275</v>
      </c>
      <c r="AD297" s="43">
        <f t="shared" si="107"/>
        <v>10155.893396450329</v>
      </c>
      <c r="AE297" s="43">
        <f t="shared" si="108"/>
        <v>9911.227778050923</v>
      </c>
      <c r="AF297" s="95">
        <f t="shared" si="109"/>
        <v>9672.9877213468553</v>
      </c>
      <c r="AH297" s="43">
        <f t="shared" si="110"/>
        <v>405025.63601209398</v>
      </c>
      <c r="AI297" s="43">
        <f t="shared" si="111"/>
        <v>394618.47813201771</v>
      </c>
      <c r="AJ297" s="43">
        <f t="shared" si="112"/>
        <v>384462.58473556739</v>
      </c>
      <c r="AK297" s="43">
        <f t="shared" si="113"/>
        <v>374551.35695751646</v>
      </c>
      <c r="AL297" s="95">
        <f t="shared" si="114"/>
        <v>364878.36923616962</v>
      </c>
      <c r="AN297" s="47">
        <f t="shared" si="115"/>
        <v>27271.250283117446</v>
      </c>
      <c r="AO297" s="47">
        <f t="shared" si="116"/>
        <v>30532.70026480918</v>
      </c>
      <c r="AP297" s="47">
        <f t="shared" si="117"/>
        <v>29763.485217964262</v>
      </c>
      <c r="AQ297" s="47">
        <f t="shared" si="118"/>
        <v>24144.179342436546</v>
      </c>
      <c r="AR297" s="193">
        <f t="shared" si="119"/>
        <v>23538.365752321301</v>
      </c>
      <c r="AS297" s="122"/>
      <c r="AT297" s="122"/>
      <c r="AU297" s="122"/>
      <c r="AV297" s="122"/>
      <c r="AW297" s="122"/>
      <c r="AX297" s="122"/>
    </row>
    <row r="298" spans="1:50" s="90" customFormat="1">
      <c r="A298" s="229"/>
      <c r="B298" s="37">
        <f>'13. Desinvesteringen'!B582</f>
        <v>563</v>
      </c>
      <c r="C298" s="339"/>
      <c r="D298" s="339"/>
      <c r="E298" s="339"/>
      <c r="F298" s="42">
        <f>'5. Input GAW-waarde desinv.'!D258</f>
        <v>0</v>
      </c>
      <c r="G298" s="177">
        <f>'13. Desinvesteringen'!D582</f>
        <v>1967</v>
      </c>
      <c r="H298" s="177">
        <f>'13. Desinvesteringen'!G582</f>
        <v>2024</v>
      </c>
      <c r="I298" s="37" t="str">
        <f>'13. Desinvesteringen'!C582</f>
        <v>02 Gasontvangststations</v>
      </c>
      <c r="J298" s="166">
        <f>'13. Desinvesteringen'!F582</f>
        <v>0</v>
      </c>
      <c r="K298" s="38">
        <f>_xlfn.XLOOKUP(I298,'3. Input (des)investeringen '!$B$11:$B$81,'3. Input (des)investeringen '!$E$11:$E$81)</f>
        <v>0</v>
      </c>
      <c r="L298" s="339"/>
      <c r="M298" s="38">
        <f>_xlfn.XLOOKUP(I298,'3. Input (des)investeringen '!$B$11:$B$81,'3. Input (des)investeringen '!$D$11:$D$81,0)</f>
        <v>30</v>
      </c>
      <c r="N298" s="38">
        <f t="shared" si="99"/>
        <v>0</v>
      </c>
      <c r="P298" s="43">
        <f t="shared" si="120"/>
        <v>0</v>
      </c>
      <c r="Q298" s="43">
        <f t="shared" si="120"/>
        <v>0</v>
      </c>
      <c r="R298" s="43">
        <f t="shared" si="120"/>
        <v>0</v>
      </c>
      <c r="S298" s="43">
        <f t="shared" si="120"/>
        <v>0</v>
      </c>
      <c r="T298" s="95">
        <f t="shared" si="120"/>
        <v>0</v>
      </c>
      <c r="V298" s="43">
        <f t="shared" si="100"/>
        <v>0</v>
      </c>
      <c r="W298" s="43">
        <f t="shared" si="101"/>
        <v>0</v>
      </c>
      <c r="X298" s="43">
        <f t="shared" si="102"/>
        <v>0</v>
      </c>
      <c r="Y298" s="43">
        <f t="shared" si="103"/>
        <v>0</v>
      </c>
      <c r="Z298" s="95">
        <f t="shared" si="104"/>
        <v>0</v>
      </c>
      <c r="AB298" s="43">
        <f t="shared" si="105"/>
        <v>0</v>
      </c>
      <c r="AC298" s="43">
        <f t="shared" si="106"/>
        <v>0</v>
      </c>
      <c r="AD298" s="43">
        <f t="shared" si="107"/>
        <v>0</v>
      </c>
      <c r="AE298" s="43">
        <f t="shared" si="108"/>
        <v>0</v>
      </c>
      <c r="AF298" s="95">
        <f t="shared" si="109"/>
        <v>0</v>
      </c>
      <c r="AH298" s="43">
        <f t="shared" si="110"/>
        <v>0</v>
      </c>
      <c r="AI298" s="43">
        <f t="shared" si="111"/>
        <v>0</v>
      </c>
      <c r="AJ298" s="43">
        <f t="shared" si="112"/>
        <v>0</v>
      </c>
      <c r="AK298" s="43">
        <f t="shared" si="113"/>
        <v>0</v>
      </c>
      <c r="AL298" s="95">
        <f t="shared" si="114"/>
        <v>0</v>
      </c>
      <c r="AN298" s="47">
        <f t="shared" si="115"/>
        <v>0</v>
      </c>
      <c r="AO298" s="47">
        <f t="shared" si="116"/>
        <v>0</v>
      </c>
      <c r="AP298" s="47">
        <f t="shared" si="117"/>
        <v>0</v>
      </c>
      <c r="AQ298" s="47">
        <f t="shared" si="118"/>
        <v>0</v>
      </c>
      <c r="AR298" s="193">
        <f t="shared" si="119"/>
        <v>0</v>
      </c>
      <c r="AS298" s="122"/>
      <c r="AT298" s="122"/>
      <c r="AU298" s="122"/>
      <c r="AV298" s="122"/>
      <c r="AW298" s="122"/>
      <c r="AX298" s="122"/>
    </row>
    <row r="299" spans="1:50" s="90" customFormat="1">
      <c r="A299" s="229"/>
      <c r="B299" s="37">
        <f>'13. Desinvesteringen'!B583</f>
        <v>564</v>
      </c>
      <c r="C299" s="339"/>
      <c r="D299" s="339"/>
      <c r="E299" s="339"/>
      <c r="F299" s="42">
        <f>'5. Input GAW-waarde desinv.'!D259</f>
        <v>0</v>
      </c>
      <c r="G299" s="177">
        <f>'13. Desinvesteringen'!D583</f>
        <v>1968</v>
      </c>
      <c r="H299" s="177">
        <f>'13. Desinvesteringen'!G583</f>
        <v>2024</v>
      </c>
      <c r="I299" s="37" t="str">
        <f>'13. Desinvesteringen'!C583</f>
        <v>02 Gasontvangststations</v>
      </c>
      <c r="J299" s="166">
        <f>'13. Desinvesteringen'!F583</f>
        <v>0</v>
      </c>
      <c r="K299" s="38">
        <f>_xlfn.XLOOKUP(I299,'3. Input (des)investeringen '!$B$11:$B$81,'3. Input (des)investeringen '!$E$11:$E$81)</f>
        <v>0</v>
      </c>
      <c r="L299" s="339"/>
      <c r="M299" s="38">
        <f>_xlfn.XLOOKUP(I299,'3. Input (des)investeringen '!$B$11:$B$81,'3. Input (des)investeringen '!$D$11:$D$81,0)</f>
        <v>30</v>
      </c>
      <c r="N299" s="38">
        <f t="shared" si="99"/>
        <v>0</v>
      </c>
      <c r="P299" s="43">
        <f t="shared" si="120"/>
        <v>0</v>
      </c>
      <c r="Q299" s="43">
        <f t="shared" si="120"/>
        <v>0</v>
      </c>
      <c r="R299" s="43">
        <f t="shared" si="120"/>
        <v>0</v>
      </c>
      <c r="S299" s="43">
        <f t="shared" si="120"/>
        <v>0</v>
      </c>
      <c r="T299" s="95">
        <f t="shared" si="120"/>
        <v>0</v>
      </c>
      <c r="V299" s="43">
        <f t="shared" si="100"/>
        <v>0</v>
      </c>
      <c r="W299" s="43">
        <f t="shared" si="101"/>
        <v>0</v>
      </c>
      <c r="X299" s="43">
        <f t="shared" si="102"/>
        <v>0</v>
      </c>
      <c r="Y299" s="43">
        <f t="shared" si="103"/>
        <v>0</v>
      </c>
      <c r="Z299" s="95">
        <f t="shared" si="104"/>
        <v>0</v>
      </c>
      <c r="AB299" s="43">
        <f t="shared" si="105"/>
        <v>0</v>
      </c>
      <c r="AC299" s="43">
        <f t="shared" si="106"/>
        <v>0</v>
      </c>
      <c r="AD299" s="43">
        <f t="shared" si="107"/>
        <v>0</v>
      </c>
      <c r="AE299" s="43">
        <f t="shared" si="108"/>
        <v>0</v>
      </c>
      <c r="AF299" s="95">
        <f t="shared" si="109"/>
        <v>0</v>
      </c>
      <c r="AH299" s="43">
        <f t="shared" si="110"/>
        <v>0</v>
      </c>
      <c r="AI299" s="43">
        <f t="shared" si="111"/>
        <v>0</v>
      </c>
      <c r="AJ299" s="43">
        <f t="shared" si="112"/>
        <v>0</v>
      </c>
      <c r="AK299" s="43">
        <f t="shared" si="113"/>
        <v>0</v>
      </c>
      <c r="AL299" s="95">
        <f t="shared" si="114"/>
        <v>0</v>
      </c>
      <c r="AN299" s="47">
        <f t="shared" si="115"/>
        <v>0</v>
      </c>
      <c r="AO299" s="47">
        <f t="shared" si="116"/>
        <v>0</v>
      </c>
      <c r="AP299" s="47">
        <f t="shared" si="117"/>
        <v>0</v>
      </c>
      <c r="AQ299" s="47">
        <f t="shared" si="118"/>
        <v>0</v>
      </c>
      <c r="AR299" s="193">
        <f t="shared" si="119"/>
        <v>0</v>
      </c>
      <c r="AS299" s="122"/>
      <c r="AT299" s="122"/>
      <c r="AU299" s="122"/>
      <c r="AV299" s="122"/>
      <c r="AW299" s="122"/>
      <c r="AX299" s="122"/>
    </row>
    <row r="300" spans="1:50" s="90" customFormat="1">
      <c r="A300" s="229"/>
      <c r="B300" s="37">
        <f>'13. Desinvesteringen'!B584</f>
        <v>565</v>
      </c>
      <c r="C300" s="339"/>
      <c r="D300" s="339"/>
      <c r="E300" s="339"/>
      <c r="F300" s="42">
        <f>'5. Input GAW-waarde desinv.'!D260</f>
        <v>0</v>
      </c>
      <c r="G300" s="177">
        <f>'13. Desinvesteringen'!D584</f>
        <v>1969</v>
      </c>
      <c r="H300" s="177">
        <f>'13. Desinvesteringen'!G584</f>
        <v>2024</v>
      </c>
      <c r="I300" s="37" t="str">
        <f>'13. Desinvesteringen'!C584</f>
        <v>02 Gasontvangststations</v>
      </c>
      <c r="J300" s="166">
        <f>'13. Desinvesteringen'!F584</f>
        <v>0</v>
      </c>
      <c r="K300" s="38">
        <f>_xlfn.XLOOKUP(I300,'3. Input (des)investeringen '!$B$11:$B$81,'3. Input (des)investeringen '!$E$11:$E$81)</f>
        <v>0</v>
      </c>
      <c r="L300" s="339"/>
      <c r="M300" s="38">
        <f>_xlfn.XLOOKUP(I300,'3. Input (des)investeringen '!$B$11:$B$81,'3. Input (des)investeringen '!$D$11:$D$81,0)</f>
        <v>30</v>
      </c>
      <c r="N300" s="38">
        <f t="shared" si="99"/>
        <v>0</v>
      </c>
      <c r="P300" s="43">
        <f t="shared" si="120"/>
        <v>0</v>
      </c>
      <c r="Q300" s="43">
        <f t="shared" si="120"/>
        <v>0</v>
      </c>
      <c r="R300" s="43">
        <f t="shared" si="120"/>
        <v>0</v>
      </c>
      <c r="S300" s="43">
        <f t="shared" si="120"/>
        <v>0</v>
      </c>
      <c r="T300" s="95">
        <f t="shared" si="120"/>
        <v>0</v>
      </c>
      <c r="V300" s="43">
        <f t="shared" si="100"/>
        <v>0</v>
      </c>
      <c r="W300" s="43">
        <f t="shared" si="101"/>
        <v>0</v>
      </c>
      <c r="X300" s="43">
        <f t="shared" si="102"/>
        <v>0</v>
      </c>
      <c r="Y300" s="43">
        <f t="shared" si="103"/>
        <v>0</v>
      </c>
      <c r="Z300" s="95">
        <f t="shared" si="104"/>
        <v>0</v>
      </c>
      <c r="AB300" s="43">
        <f t="shared" si="105"/>
        <v>0</v>
      </c>
      <c r="AC300" s="43">
        <f t="shared" si="106"/>
        <v>0</v>
      </c>
      <c r="AD300" s="43">
        <f t="shared" si="107"/>
        <v>0</v>
      </c>
      <c r="AE300" s="43">
        <f t="shared" si="108"/>
        <v>0</v>
      </c>
      <c r="AF300" s="95">
        <f t="shared" si="109"/>
        <v>0</v>
      </c>
      <c r="AH300" s="43">
        <f t="shared" si="110"/>
        <v>0</v>
      </c>
      <c r="AI300" s="43">
        <f t="shared" si="111"/>
        <v>0</v>
      </c>
      <c r="AJ300" s="43">
        <f t="shared" si="112"/>
        <v>0</v>
      </c>
      <c r="AK300" s="43">
        <f t="shared" si="113"/>
        <v>0</v>
      </c>
      <c r="AL300" s="95">
        <f t="shared" si="114"/>
        <v>0</v>
      </c>
      <c r="AN300" s="47">
        <f t="shared" si="115"/>
        <v>0</v>
      </c>
      <c r="AO300" s="47">
        <f t="shared" si="116"/>
        <v>0</v>
      </c>
      <c r="AP300" s="47">
        <f t="shared" si="117"/>
        <v>0</v>
      </c>
      <c r="AQ300" s="47">
        <f t="shared" si="118"/>
        <v>0</v>
      </c>
      <c r="AR300" s="193">
        <f t="shared" si="119"/>
        <v>0</v>
      </c>
      <c r="AS300" s="122"/>
      <c r="AT300" s="122"/>
      <c r="AU300" s="122"/>
      <c r="AV300" s="122"/>
      <c r="AW300" s="122"/>
      <c r="AX300" s="122"/>
    </row>
    <row r="301" spans="1:50" s="90" customFormat="1">
      <c r="A301" s="229"/>
      <c r="B301" s="37">
        <f>'13. Desinvesteringen'!B585</f>
        <v>566</v>
      </c>
      <c r="C301" s="339"/>
      <c r="D301" s="339"/>
      <c r="E301" s="339"/>
      <c r="F301" s="42">
        <f>'5. Input GAW-waarde desinv.'!D261</f>
        <v>0</v>
      </c>
      <c r="G301" s="177">
        <f>'13. Desinvesteringen'!D585</f>
        <v>1970</v>
      </c>
      <c r="H301" s="177">
        <f>'13. Desinvesteringen'!G585</f>
        <v>2024</v>
      </c>
      <c r="I301" s="37" t="str">
        <f>'13. Desinvesteringen'!C585</f>
        <v>02 Gasontvangststations</v>
      </c>
      <c r="J301" s="166">
        <f>'13. Desinvesteringen'!F585</f>
        <v>0</v>
      </c>
      <c r="K301" s="38">
        <f>_xlfn.XLOOKUP(I301,'3. Input (des)investeringen '!$B$11:$B$81,'3. Input (des)investeringen '!$E$11:$E$81)</f>
        <v>0</v>
      </c>
      <c r="L301" s="339"/>
      <c r="M301" s="38">
        <f>_xlfn.XLOOKUP(I301,'3. Input (des)investeringen '!$B$11:$B$81,'3. Input (des)investeringen '!$D$11:$D$81,0)</f>
        <v>30</v>
      </c>
      <c r="N301" s="38">
        <f t="shared" si="99"/>
        <v>0</v>
      </c>
      <c r="P301" s="43">
        <f t="shared" si="120"/>
        <v>0</v>
      </c>
      <c r="Q301" s="43">
        <f t="shared" si="120"/>
        <v>0</v>
      </c>
      <c r="R301" s="43">
        <f t="shared" si="120"/>
        <v>0</v>
      </c>
      <c r="S301" s="43">
        <f t="shared" si="120"/>
        <v>0</v>
      </c>
      <c r="T301" s="95">
        <f t="shared" si="120"/>
        <v>0</v>
      </c>
      <c r="V301" s="43">
        <f t="shared" si="100"/>
        <v>0</v>
      </c>
      <c r="W301" s="43">
        <f t="shared" si="101"/>
        <v>0</v>
      </c>
      <c r="X301" s="43">
        <f t="shared" si="102"/>
        <v>0</v>
      </c>
      <c r="Y301" s="43">
        <f t="shared" si="103"/>
        <v>0</v>
      </c>
      <c r="Z301" s="95">
        <f t="shared" si="104"/>
        <v>0</v>
      </c>
      <c r="AB301" s="43">
        <f t="shared" si="105"/>
        <v>0</v>
      </c>
      <c r="AC301" s="43">
        <f t="shared" si="106"/>
        <v>0</v>
      </c>
      <c r="AD301" s="43">
        <f t="shared" si="107"/>
        <v>0</v>
      </c>
      <c r="AE301" s="43">
        <f t="shared" si="108"/>
        <v>0</v>
      </c>
      <c r="AF301" s="95">
        <f t="shared" si="109"/>
        <v>0</v>
      </c>
      <c r="AH301" s="43">
        <f t="shared" si="110"/>
        <v>0</v>
      </c>
      <c r="AI301" s="43">
        <f t="shared" si="111"/>
        <v>0</v>
      </c>
      <c r="AJ301" s="43">
        <f t="shared" si="112"/>
        <v>0</v>
      </c>
      <c r="AK301" s="43">
        <f t="shared" si="113"/>
        <v>0</v>
      </c>
      <c r="AL301" s="95">
        <f t="shared" si="114"/>
        <v>0</v>
      </c>
      <c r="AN301" s="47">
        <f t="shared" si="115"/>
        <v>0</v>
      </c>
      <c r="AO301" s="47">
        <f t="shared" si="116"/>
        <v>0</v>
      </c>
      <c r="AP301" s="47">
        <f t="shared" si="117"/>
        <v>0</v>
      </c>
      <c r="AQ301" s="47">
        <f t="shared" si="118"/>
        <v>0</v>
      </c>
      <c r="AR301" s="193">
        <f t="shared" si="119"/>
        <v>0</v>
      </c>
      <c r="AS301" s="122"/>
      <c r="AT301" s="122"/>
      <c r="AU301" s="122"/>
      <c r="AV301" s="122"/>
      <c r="AW301" s="122"/>
      <c r="AX301" s="122"/>
    </row>
    <row r="302" spans="1:50" s="90" customFormat="1">
      <c r="A302" s="229"/>
      <c r="B302" s="37">
        <f>'13. Desinvesteringen'!B586</f>
        <v>567</v>
      </c>
      <c r="C302" s="339"/>
      <c r="D302" s="339"/>
      <c r="E302" s="339"/>
      <c r="F302" s="42">
        <f>'5. Input GAW-waarde desinv.'!D262</f>
        <v>0</v>
      </c>
      <c r="G302" s="177">
        <f>'13. Desinvesteringen'!D586</f>
        <v>1971</v>
      </c>
      <c r="H302" s="177">
        <f>'13. Desinvesteringen'!G586</f>
        <v>2024</v>
      </c>
      <c r="I302" s="37" t="str">
        <f>'13. Desinvesteringen'!C586</f>
        <v>02 Gasontvangststations</v>
      </c>
      <c r="J302" s="166">
        <f>'13. Desinvesteringen'!F586</f>
        <v>0</v>
      </c>
      <c r="K302" s="38">
        <f>_xlfn.XLOOKUP(I302,'3. Input (des)investeringen '!$B$11:$B$81,'3. Input (des)investeringen '!$E$11:$E$81)</f>
        <v>0</v>
      </c>
      <c r="L302" s="339"/>
      <c r="M302" s="38">
        <f>_xlfn.XLOOKUP(I302,'3. Input (des)investeringen '!$B$11:$B$81,'3. Input (des)investeringen '!$D$11:$D$81,0)</f>
        <v>30</v>
      </c>
      <c r="N302" s="38">
        <f t="shared" si="99"/>
        <v>0</v>
      </c>
      <c r="P302" s="43">
        <f t="shared" si="120"/>
        <v>0</v>
      </c>
      <c r="Q302" s="43">
        <f t="shared" si="120"/>
        <v>0</v>
      </c>
      <c r="R302" s="43">
        <f t="shared" si="120"/>
        <v>0</v>
      </c>
      <c r="S302" s="43">
        <f t="shared" si="120"/>
        <v>0</v>
      </c>
      <c r="T302" s="95">
        <f t="shared" si="120"/>
        <v>0</v>
      </c>
      <c r="V302" s="43">
        <f t="shared" si="100"/>
        <v>0</v>
      </c>
      <c r="W302" s="43">
        <f t="shared" si="101"/>
        <v>0</v>
      </c>
      <c r="X302" s="43">
        <f t="shared" si="102"/>
        <v>0</v>
      </c>
      <c r="Y302" s="43">
        <f t="shared" si="103"/>
        <v>0</v>
      </c>
      <c r="Z302" s="95">
        <f t="shared" si="104"/>
        <v>0</v>
      </c>
      <c r="AB302" s="43">
        <f t="shared" si="105"/>
        <v>0</v>
      </c>
      <c r="AC302" s="43">
        <f t="shared" si="106"/>
        <v>0</v>
      </c>
      <c r="AD302" s="43">
        <f t="shared" si="107"/>
        <v>0</v>
      </c>
      <c r="AE302" s="43">
        <f t="shared" si="108"/>
        <v>0</v>
      </c>
      <c r="AF302" s="95">
        <f t="shared" si="109"/>
        <v>0</v>
      </c>
      <c r="AH302" s="43">
        <f t="shared" si="110"/>
        <v>0</v>
      </c>
      <c r="AI302" s="43">
        <f t="shared" si="111"/>
        <v>0</v>
      </c>
      <c r="AJ302" s="43">
        <f t="shared" si="112"/>
        <v>0</v>
      </c>
      <c r="AK302" s="43">
        <f t="shared" si="113"/>
        <v>0</v>
      </c>
      <c r="AL302" s="95">
        <f t="shared" si="114"/>
        <v>0</v>
      </c>
      <c r="AN302" s="47">
        <f t="shared" si="115"/>
        <v>0</v>
      </c>
      <c r="AO302" s="47">
        <f t="shared" si="116"/>
        <v>0</v>
      </c>
      <c r="AP302" s="47">
        <f t="shared" si="117"/>
        <v>0</v>
      </c>
      <c r="AQ302" s="47">
        <f t="shared" si="118"/>
        <v>0</v>
      </c>
      <c r="AR302" s="193">
        <f t="shared" si="119"/>
        <v>0</v>
      </c>
      <c r="AS302" s="122"/>
      <c r="AT302" s="122"/>
      <c r="AU302" s="122"/>
      <c r="AV302" s="122"/>
      <c r="AW302" s="122"/>
      <c r="AX302" s="122"/>
    </row>
    <row r="303" spans="1:50" s="90" customFormat="1">
      <c r="A303" s="229"/>
      <c r="B303" s="37">
        <f>'13. Desinvesteringen'!B587</f>
        <v>568</v>
      </c>
      <c r="C303" s="339"/>
      <c r="D303" s="339"/>
      <c r="E303" s="339"/>
      <c r="F303" s="42">
        <f>'5. Input GAW-waarde desinv.'!D263</f>
        <v>0</v>
      </c>
      <c r="G303" s="177">
        <f>'13. Desinvesteringen'!D587</f>
        <v>1972</v>
      </c>
      <c r="H303" s="177">
        <f>'13. Desinvesteringen'!G587</f>
        <v>2024</v>
      </c>
      <c r="I303" s="37" t="str">
        <f>'13. Desinvesteringen'!C587</f>
        <v>02 Gasontvangststations</v>
      </c>
      <c r="J303" s="166">
        <f>'13. Desinvesteringen'!F587</f>
        <v>0</v>
      </c>
      <c r="K303" s="38">
        <f>_xlfn.XLOOKUP(I303,'3. Input (des)investeringen '!$B$11:$B$81,'3. Input (des)investeringen '!$E$11:$E$81)</f>
        <v>0</v>
      </c>
      <c r="L303" s="339"/>
      <c r="M303" s="38">
        <f>_xlfn.XLOOKUP(I303,'3. Input (des)investeringen '!$B$11:$B$81,'3. Input (des)investeringen '!$D$11:$D$81,0)</f>
        <v>30</v>
      </c>
      <c r="N303" s="38">
        <f t="shared" si="99"/>
        <v>0</v>
      </c>
      <c r="P303" s="43">
        <f t="shared" si="120"/>
        <v>0</v>
      </c>
      <c r="Q303" s="43">
        <f t="shared" si="120"/>
        <v>0</v>
      </c>
      <c r="R303" s="43">
        <f t="shared" si="120"/>
        <v>0</v>
      </c>
      <c r="S303" s="43">
        <f t="shared" si="120"/>
        <v>0</v>
      </c>
      <c r="T303" s="95">
        <f t="shared" si="120"/>
        <v>0</v>
      </c>
      <c r="V303" s="43">
        <f t="shared" si="100"/>
        <v>0</v>
      </c>
      <c r="W303" s="43">
        <f t="shared" si="101"/>
        <v>0</v>
      </c>
      <c r="X303" s="43">
        <f t="shared" si="102"/>
        <v>0</v>
      </c>
      <c r="Y303" s="43">
        <f t="shared" si="103"/>
        <v>0</v>
      </c>
      <c r="Z303" s="95">
        <f t="shared" si="104"/>
        <v>0</v>
      </c>
      <c r="AB303" s="43">
        <f t="shared" si="105"/>
        <v>0</v>
      </c>
      <c r="AC303" s="43">
        <f t="shared" si="106"/>
        <v>0</v>
      </c>
      <c r="AD303" s="43">
        <f t="shared" si="107"/>
        <v>0</v>
      </c>
      <c r="AE303" s="43">
        <f t="shared" si="108"/>
        <v>0</v>
      </c>
      <c r="AF303" s="95">
        <f t="shared" si="109"/>
        <v>0</v>
      </c>
      <c r="AH303" s="43">
        <f t="shared" si="110"/>
        <v>0</v>
      </c>
      <c r="AI303" s="43">
        <f t="shared" si="111"/>
        <v>0</v>
      </c>
      <c r="AJ303" s="43">
        <f t="shared" si="112"/>
        <v>0</v>
      </c>
      <c r="AK303" s="43">
        <f t="shared" si="113"/>
        <v>0</v>
      </c>
      <c r="AL303" s="95">
        <f t="shared" si="114"/>
        <v>0</v>
      </c>
      <c r="AN303" s="47">
        <f t="shared" si="115"/>
        <v>0</v>
      </c>
      <c r="AO303" s="47">
        <f t="shared" si="116"/>
        <v>0</v>
      </c>
      <c r="AP303" s="47">
        <f t="shared" si="117"/>
        <v>0</v>
      </c>
      <c r="AQ303" s="47">
        <f t="shared" si="118"/>
        <v>0</v>
      </c>
      <c r="AR303" s="193">
        <f t="shared" si="119"/>
        <v>0</v>
      </c>
      <c r="AS303" s="122"/>
      <c r="AT303" s="122"/>
      <c r="AU303" s="122"/>
      <c r="AV303" s="122"/>
      <c r="AW303" s="122"/>
      <c r="AX303" s="122"/>
    </row>
    <row r="304" spans="1:50" s="90" customFormat="1">
      <c r="A304" s="229"/>
      <c r="B304" s="37">
        <f>'13. Desinvesteringen'!B588</f>
        <v>569</v>
      </c>
      <c r="C304" s="339"/>
      <c r="D304" s="339"/>
      <c r="E304" s="339"/>
      <c r="F304" s="42">
        <f>'5. Input GAW-waarde desinv.'!D264</f>
        <v>0</v>
      </c>
      <c r="G304" s="177">
        <f>'13. Desinvesteringen'!D588</f>
        <v>1975</v>
      </c>
      <c r="H304" s="177">
        <f>'13. Desinvesteringen'!G588</f>
        <v>2024</v>
      </c>
      <c r="I304" s="37" t="str">
        <f>'13. Desinvesteringen'!C588</f>
        <v>02 Gasontvangststations</v>
      </c>
      <c r="J304" s="166">
        <f>'13. Desinvesteringen'!F588</f>
        <v>0</v>
      </c>
      <c r="K304" s="38">
        <f>_xlfn.XLOOKUP(I304,'3. Input (des)investeringen '!$B$11:$B$81,'3. Input (des)investeringen '!$E$11:$E$81)</f>
        <v>0</v>
      </c>
      <c r="L304" s="339"/>
      <c r="M304" s="38">
        <f>_xlfn.XLOOKUP(I304,'3. Input (des)investeringen '!$B$11:$B$81,'3. Input (des)investeringen '!$D$11:$D$81,0)</f>
        <v>30</v>
      </c>
      <c r="N304" s="38">
        <f t="shared" si="99"/>
        <v>0</v>
      </c>
      <c r="P304" s="43">
        <f t="shared" si="120"/>
        <v>0</v>
      </c>
      <c r="Q304" s="43">
        <f t="shared" si="120"/>
        <v>0</v>
      </c>
      <c r="R304" s="43">
        <f t="shared" si="120"/>
        <v>0</v>
      </c>
      <c r="S304" s="43">
        <f t="shared" si="120"/>
        <v>0</v>
      </c>
      <c r="T304" s="95">
        <f t="shared" si="120"/>
        <v>0</v>
      </c>
      <c r="V304" s="43">
        <f t="shared" si="100"/>
        <v>0</v>
      </c>
      <c r="W304" s="43">
        <f t="shared" si="101"/>
        <v>0</v>
      </c>
      <c r="X304" s="43">
        <f t="shared" si="102"/>
        <v>0</v>
      </c>
      <c r="Y304" s="43">
        <f t="shared" si="103"/>
        <v>0</v>
      </c>
      <c r="Z304" s="95">
        <f t="shared" si="104"/>
        <v>0</v>
      </c>
      <c r="AB304" s="43">
        <f t="shared" si="105"/>
        <v>0</v>
      </c>
      <c r="AC304" s="43">
        <f t="shared" si="106"/>
        <v>0</v>
      </c>
      <c r="AD304" s="43">
        <f t="shared" si="107"/>
        <v>0</v>
      </c>
      <c r="AE304" s="43">
        <f t="shared" si="108"/>
        <v>0</v>
      </c>
      <c r="AF304" s="95">
        <f t="shared" si="109"/>
        <v>0</v>
      </c>
      <c r="AH304" s="43">
        <f t="shared" si="110"/>
        <v>0</v>
      </c>
      <c r="AI304" s="43">
        <f t="shared" si="111"/>
        <v>0</v>
      </c>
      <c r="AJ304" s="43">
        <f t="shared" si="112"/>
        <v>0</v>
      </c>
      <c r="AK304" s="43">
        <f t="shared" si="113"/>
        <v>0</v>
      </c>
      <c r="AL304" s="95">
        <f t="shared" si="114"/>
        <v>0</v>
      </c>
      <c r="AN304" s="47">
        <f t="shared" si="115"/>
        <v>0</v>
      </c>
      <c r="AO304" s="47">
        <f t="shared" si="116"/>
        <v>0</v>
      </c>
      <c r="AP304" s="47">
        <f t="shared" si="117"/>
        <v>0</v>
      </c>
      <c r="AQ304" s="47">
        <f t="shared" si="118"/>
        <v>0</v>
      </c>
      <c r="AR304" s="193">
        <f t="shared" si="119"/>
        <v>0</v>
      </c>
      <c r="AS304" s="122"/>
      <c r="AT304" s="122"/>
      <c r="AU304" s="122"/>
      <c r="AV304" s="122"/>
      <c r="AW304" s="122"/>
      <c r="AX304" s="122"/>
    </row>
    <row r="305" spans="1:50" s="90" customFormat="1">
      <c r="A305" s="229"/>
      <c r="B305" s="37">
        <f>'13. Desinvesteringen'!B589</f>
        <v>570</v>
      </c>
      <c r="C305" s="339"/>
      <c r="D305" s="339"/>
      <c r="E305" s="339"/>
      <c r="F305" s="42">
        <f>'5. Input GAW-waarde desinv.'!D265</f>
        <v>0</v>
      </c>
      <c r="G305" s="177">
        <f>'13. Desinvesteringen'!D589</f>
        <v>1976</v>
      </c>
      <c r="H305" s="177">
        <f>'13. Desinvesteringen'!G589</f>
        <v>2024</v>
      </c>
      <c r="I305" s="37" t="str">
        <f>'13. Desinvesteringen'!C589</f>
        <v>02 Gasontvangststations</v>
      </c>
      <c r="J305" s="166">
        <f>'13. Desinvesteringen'!F589</f>
        <v>0</v>
      </c>
      <c r="K305" s="38">
        <f>_xlfn.XLOOKUP(I305,'3. Input (des)investeringen '!$B$11:$B$81,'3. Input (des)investeringen '!$E$11:$E$81)</f>
        <v>0</v>
      </c>
      <c r="L305" s="339"/>
      <c r="M305" s="38">
        <f>_xlfn.XLOOKUP(I305,'3. Input (des)investeringen '!$B$11:$B$81,'3. Input (des)investeringen '!$D$11:$D$81,0)</f>
        <v>30</v>
      </c>
      <c r="N305" s="38">
        <f t="shared" si="99"/>
        <v>0</v>
      </c>
      <c r="P305" s="43">
        <f t="shared" si="120"/>
        <v>0</v>
      </c>
      <c r="Q305" s="43">
        <f t="shared" si="120"/>
        <v>0</v>
      </c>
      <c r="R305" s="43">
        <f t="shared" si="120"/>
        <v>0</v>
      </c>
      <c r="S305" s="43">
        <f t="shared" si="120"/>
        <v>0</v>
      </c>
      <c r="T305" s="95">
        <f t="shared" si="120"/>
        <v>0</v>
      </c>
      <c r="V305" s="43">
        <f t="shared" si="100"/>
        <v>0</v>
      </c>
      <c r="W305" s="43">
        <f t="shared" si="101"/>
        <v>0</v>
      </c>
      <c r="X305" s="43">
        <f t="shared" si="102"/>
        <v>0</v>
      </c>
      <c r="Y305" s="43">
        <f t="shared" si="103"/>
        <v>0</v>
      </c>
      <c r="Z305" s="95">
        <f t="shared" si="104"/>
        <v>0</v>
      </c>
      <c r="AB305" s="43">
        <f t="shared" si="105"/>
        <v>0</v>
      </c>
      <c r="AC305" s="43">
        <f t="shared" si="106"/>
        <v>0</v>
      </c>
      <c r="AD305" s="43">
        <f t="shared" si="107"/>
        <v>0</v>
      </c>
      <c r="AE305" s="43">
        <f t="shared" si="108"/>
        <v>0</v>
      </c>
      <c r="AF305" s="95">
        <f t="shared" si="109"/>
        <v>0</v>
      </c>
      <c r="AH305" s="43">
        <f t="shared" si="110"/>
        <v>0</v>
      </c>
      <c r="AI305" s="43">
        <f t="shared" si="111"/>
        <v>0</v>
      </c>
      <c r="AJ305" s="43">
        <f t="shared" si="112"/>
        <v>0</v>
      </c>
      <c r="AK305" s="43">
        <f t="shared" si="113"/>
        <v>0</v>
      </c>
      <c r="AL305" s="95">
        <f t="shared" si="114"/>
        <v>0</v>
      </c>
      <c r="AN305" s="47">
        <f t="shared" si="115"/>
        <v>0</v>
      </c>
      <c r="AO305" s="47">
        <f t="shared" si="116"/>
        <v>0</v>
      </c>
      <c r="AP305" s="47">
        <f t="shared" si="117"/>
        <v>0</v>
      </c>
      <c r="AQ305" s="47">
        <f t="shared" si="118"/>
        <v>0</v>
      </c>
      <c r="AR305" s="193">
        <f t="shared" si="119"/>
        <v>0</v>
      </c>
      <c r="AS305" s="122"/>
      <c r="AT305" s="122"/>
      <c r="AU305" s="122"/>
      <c r="AV305" s="122"/>
      <c r="AW305" s="122"/>
      <c r="AX305" s="122"/>
    </row>
    <row r="306" spans="1:50" s="90" customFormat="1">
      <c r="A306" s="229"/>
      <c r="B306" s="37">
        <f>'13. Desinvesteringen'!B590</f>
        <v>571</v>
      </c>
      <c r="C306" s="339"/>
      <c r="D306" s="339"/>
      <c r="E306" s="339"/>
      <c r="F306" s="42">
        <f>'5. Input GAW-waarde desinv.'!D266</f>
        <v>0</v>
      </c>
      <c r="G306" s="177">
        <f>'13. Desinvesteringen'!D590</f>
        <v>1981</v>
      </c>
      <c r="H306" s="177">
        <f>'13. Desinvesteringen'!G590</f>
        <v>2024</v>
      </c>
      <c r="I306" s="37" t="str">
        <f>'13. Desinvesteringen'!C590</f>
        <v>02 Gasontvangststations</v>
      </c>
      <c r="J306" s="166">
        <f>'13. Desinvesteringen'!F590</f>
        <v>0</v>
      </c>
      <c r="K306" s="38">
        <f>_xlfn.XLOOKUP(I306,'3. Input (des)investeringen '!$B$11:$B$81,'3. Input (des)investeringen '!$E$11:$E$81)</f>
        <v>0</v>
      </c>
      <c r="L306" s="339"/>
      <c r="M306" s="38">
        <f>_xlfn.XLOOKUP(I306,'3. Input (des)investeringen '!$B$11:$B$81,'3. Input (des)investeringen '!$D$11:$D$81,0)</f>
        <v>30</v>
      </c>
      <c r="N306" s="38">
        <f t="shared" si="99"/>
        <v>0</v>
      </c>
      <c r="P306" s="43">
        <f t="shared" si="120"/>
        <v>0</v>
      </c>
      <c r="Q306" s="43">
        <f t="shared" si="120"/>
        <v>0</v>
      </c>
      <c r="R306" s="43">
        <f t="shared" si="120"/>
        <v>0</v>
      </c>
      <c r="S306" s="43">
        <f t="shared" si="120"/>
        <v>0</v>
      </c>
      <c r="T306" s="95">
        <f t="shared" si="120"/>
        <v>0</v>
      </c>
      <c r="V306" s="43">
        <f t="shared" si="100"/>
        <v>0</v>
      </c>
      <c r="W306" s="43">
        <f t="shared" si="101"/>
        <v>0</v>
      </c>
      <c r="X306" s="43">
        <f t="shared" si="102"/>
        <v>0</v>
      </c>
      <c r="Y306" s="43">
        <f t="shared" si="103"/>
        <v>0</v>
      </c>
      <c r="Z306" s="95">
        <f t="shared" si="104"/>
        <v>0</v>
      </c>
      <c r="AB306" s="43">
        <f t="shared" si="105"/>
        <v>0</v>
      </c>
      <c r="AC306" s="43">
        <f t="shared" si="106"/>
        <v>0</v>
      </c>
      <c r="AD306" s="43">
        <f t="shared" si="107"/>
        <v>0</v>
      </c>
      <c r="AE306" s="43">
        <f t="shared" si="108"/>
        <v>0</v>
      </c>
      <c r="AF306" s="95">
        <f t="shared" si="109"/>
        <v>0</v>
      </c>
      <c r="AH306" s="43">
        <f t="shared" si="110"/>
        <v>0</v>
      </c>
      <c r="AI306" s="43">
        <f t="shared" si="111"/>
        <v>0</v>
      </c>
      <c r="AJ306" s="43">
        <f t="shared" si="112"/>
        <v>0</v>
      </c>
      <c r="AK306" s="43">
        <f t="shared" si="113"/>
        <v>0</v>
      </c>
      <c r="AL306" s="95">
        <f t="shared" si="114"/>
        <v>0</v>
      </c>
      <c r="AN306" s="47">
        <f t="shared" si="115"/>
        <v>0</v>
      </c>
      <c r="AO306" s="47">
        <f t="shared" si="116"/>
        <v>0</v>
      </c>
      <c r="AP306" s="47">
        <f t="shared" si="117"/>
        <v>0</v>
      </c>
      <c r="AQ306" s="47">
        <f t="shared" si="118"/>
        <v>0</v>
      </c>
      <c r="AR306" s="193">
        <f t="shared" si="119"/>
        <v>0</v>
      </c>
      <c r="AS306" s="122"/>
      <c r="AT306" s="122"/>
      <c r="AU306" s="122"/>
      <c r="AV306" s="122"/>
      <c r="AW306" s="122"/>
      <c r="AX306" s="122"/>
    </row>
    <row r="307" spans="1:50" s="90" customFormat="1">
      <c r="A307" s="229"/>
      <c r="B307" s="37">
        <f>'13. Desinvesteringen'!B591</f>
        <v>572</v>
      </c>
      <c r="C307" s="339"/>
      <c r="D307" s="339"/>
      <c r="E307" s="339"/>
      <c r="F307" s="42">
        <f>'5. Input GAW-waarde desinv.'!D267</f>
        <v>0</v>
      </c>
      <c r="G307" s="177">
        <f>'13. Desinvesteringen'!D591</f>
        <v>1986</v>
      </c>
      <c r="H307" s="177">
        <f>'13. Desinvesteringen'!G591</f>
        <v>2024</v>
      </c>
      <c r="I307" s="37" t="str">
        <f>'13. Desinvesteringen'!C591</f>
        <v>02 Gasontvangststations</v>
      </c>
      <c r="J307" s="166">
        <f>'13. Desinvesteringen'!F591</f>
        <v>0</v>
      </c>
      <c r="K307" s="38">
        <f>_xlfn.XLOOKUP(I307,'3. Input (des)investeringen '!$B$11:$B$81,'3. Input (des)investeringen '!$E$11:$E$81)</f>
        <v>0</v>
      </c>
      <c r="L307" s="339"/>
      <c r="M307" s="38">
        <f>_xlfn.XLOOKUP(I307,'3. Input (des)investeringen '!$B$11:$B$81,'3. Input (des)investeringen '!$D$11:$D$81,0)</f>
        <v>30</v>
      </c>
      <c r="N307" s="38">
        <f t="shared" si="99"/>
        <v>0</v>
      </c>
      <c r="P307" s="43">
        <f t="shared" si="120"/>
        <v>0</v>
      </c>
      <c r="Q307" s="43">
        <f t="shared" si="120"/>
        <v>0</v>
      </c>
      <c r="R307" s="43">
        <f t="shared" si="120"/>
        <v>0</v>
      </c>
      <c r="S307" s="43">
        <f t="shared" si="120"/>
        <v>0</v>
      </c>
      <c r="T307" s="95">
        <f t="shared" si="120"/>
        <v>0</v>
      </c>
      <c r="V307" s="43">
        <f t="shared" si="100"/>
        <v>0</v>
      </c>
      <c r="W307" s="43">
        <f t="shared" si="101"/>
        <v>0</v>
      </c>
      <c r="X307" s="43">
        <f t="shared" si="102"/>
        <v>0</v>
      </c>
      <c r="Y307" s="43">
        <f t="shared" si="103"/>
        <v>0</v>
      </c>
      <c r="Z307" s="95">
        <f t="shared" si="104"/>
        <v>0</v>
      </c>
      <c r="AB307" s="43">
        <f t="shared" si="105"/>
        <v>0</v>
      </c>
      <c r="AC307" s="43">
        <f t="shared" si="106"/>
        <v>0</v>
      </c>
      <c r="AD307" s="43">
        <f t="shared" si="107"/>
        <v>0</v>
      </c>
      <c r="AE307" s="43">
        <f t="shared" si="108"/>
        <v>0</v>
      </c>
      <c r="AF307" s="95">
        <f t="shared" si="109"/>
        <v>0</v>
      </c>
      <c r="AH307" s="43">
        <f t="shared" si="110"/>
        <v>0</v>
      </c>
      <c r="AI307" s="43">
        <f t="shared" si="111"/>
        <v>0</v>
      </c>
      <c r="AJ307" s="43">
        <f t="shared" si="112"/>
        <v>0</v>
      </c>
      <c r="AK307" s="43">
        <f t="shared" si="113"/>
        <v>0</v>
      </c>
      <c r="AL307" s="95">
        <f t="shared" si="114"/>
        <v>0</v>
      </c>
      <c r="AN307" s="47">
        <f t="shared" si="115"/>
        <v>0</v>
      </c>
      <c r="AO307" s="47">
        <f t="shared" si="116"/>
        <v>0</v>
      </c>
      <c r="AP307" s="47">
        <f t="shared" si="117"/>
        <v>0</v>
      </c>
      <c r="AQ307" s="47">
        <f t="shared" si="118"/>
        <v>0</v>
      </c>
      <c r="AR307" s="193">
        <f t="shared" si="119"/>
        <v>0</v>
      </c>
      <c r="AS307" s="122"/>
      <c r="AT307" s="122"/>
      <c r="AU307" s="122"/>
      <c r="AV307" s="122"/>
      <c r="AW307" s="122"/>
      <c r="AX307" s="122"/>
    </row>
    <row r="308" spans="1:50" s="90" customFormat="1">
      <c r="A308" s="229"/>
      <c r="B308" s="37">
        <f>'13. Desinvesteringen'!B592</f>
        <v>573</v>
      </c>
      <c r="C308" s="339"/>
      <c r="D308" s="339"/>
      <c r="E308" s="339"/>
      <c r="F308" s="42">
        <f>'5. Input GAW-waarde desinv.'!D268</f>
        <v>53427.92963177264</v>
      </c>
      <c r="G308" s="177">
        <f>'13. Desinvesteringen'!D592</f>
        <v>1997</v>
      </c>
      <c r="H308" s="177">
        <f>'13. Desinvesteringen'!G592</f>
        <v>2024</v>
      </c>
      <c r="I308" s="37" t="str">
        <f>'13. Desinvesteringen'!C592</f>
        <v>02 Gasontvangststations</v>
      </c>
      <c r="J308" s="166">
        <f>'13. Desinvesteringen'!F592</f>
        <v>0</v>
      </c>
      <c r="K308" s="38">
        <f>_xlfn.XLOOKUP(I308,'3. Input (des)investeringen '!$B$11:$B$81,'3. Input (des)investeringen '!$E$11:$E$81)</f>
        <v>0</v>
      </c>
      <c r="L308" s="339"/>
      <c r="M308" s="38">
        <f>_xlfn.XLOOKUP(I308,'3. Input (des)investeringen '!$B$11:$B$81,'3. Input (des)investeringen '!$D$11:$D$81,0)</f>
        <v>30</v>
      </c>
      <c r="N308" s="38">
        <f t="shared" si="99"/>
        <v>5.5</v>
      </c>
      <c r="P308" s="43">
        <f t="shared" si="120"/>
        <v>11365.577758031633</v>
      </c>
      <c r="Q308" s="43">
        <f t="shared" si="120"/>
        <v>8679.168469769611</v>
      </c>
      <c r="R308" s="43">
        <f t="shared" si="120"/>
        <v>8011.5401259411801</v>
      </c>
      <c r="S308" s="43">
        <f t="shared" si="120"/>
        <v>8011.5401259411801</v>
      </c>
      <c r="T308" s="95">
        <f t="shared" si="120"/>
        <v>8011.5401259411801</v>
      </c>
      <c r="V308" s="43">
        <f t="shared" si="100"/>
        <v>971.41690239586626</v>
      </c>
      <c r="W308" s="43">
        <f t="shared" si="101"/>
        <v>971.41690239586626</v>
      </c>
      <c r="X308" s="43">
        <f t="shared" si="102"/>
        <v>971.41690239586626</v>
      </c>
      <c r="Y308" s="43">
        <f t="shared" si="103"/>
        <v>971.41690239586626</v>
      </c>
      <c r="Z308" s="95">
        <f t="shared" si="104"/>
        <v>971.41690239586626</v>
      </c>
      <c r="AB308" s="43">
        <f t="shared" si="105"/>
        <v>12336.994660427499</v>
      </c>
      <c r="AC308" s="43">
        <f t="shared" si="106"/>
        <v>9650.5853721654767</v>
      </c>
      <c r="AD308" s="43">
        <f t="shared" si="107"/>
        <v>8982.9570283370467</v>
      </c>
      <c r="AE308" s="43">
        <f t="shared" si="108"/>
        <v>8982.9570283370467</v>
      </c>
      <c r="AF308" s="95">
        <f t="shared" si="109"/>
        <v>8982.9570283370467</v>
      </c>
      <c r="AH308" s="43">
        <f t="shared" si="110"/>
        <v>41090.934971345137</v>
      </c>
      <c r="AI308" s="43">
        <f t="shared" si="111"/>
        <v>31440.349599179659</v>
      </c>
      <c r="AJ308" s="43">
        <f t="shared" si="112"/>
        <v>22457.39257084261</v>
      </c>
      <c r="AK308" s="43">
        <f t="shared" si="113"/>
        <v>13474.435542505564</v>
      </c>
      <c r="AL308" s="95">
        <f t="shared" si="114"/>
        <v>4491.478514168517</v>
      </c>
      <c r="AN308" s="47">
        <f t="shared" si="115"/>
        <v>14021.72299425265</v>
      </c>
      <c r="AO308" s="47">
        <f t="shared" si="116"/>
        <v>11254.04320172364</v>
      </c>
      <c r="AP308" s="47">
        <f t="shared" si="117"/>
        <v>10128.28404945002</v>
      </c>
      <c r="AQ308" s="47">
        <f t="shared" si="118"/>
        <v>9494.9855789522589</v>
      </c>
      <c r="AR308" s="193">
        <f t="shared" si="119"/>
        <v>9153.6332118754508</v>
      </c>
      <c r="AS308" s="122"/>
      <c r="AT308" s="122"/>
      <c r="AU308" s="122"/>
      <c r="AV308" s="122"/>
      <c r="AW308" s="122"/>
      <c r="AX308" s="122"/>
    </row>
    <row r="309" spans="1:50" s="90" customFormat="1">
      <c r="A309" s="229"/>
      <c r="B309" s="37">
        <f>'13. Desinvesteringen'!B593</f>
        <v>574</v>
      </c>
      <c r="C309" s="339"/>
      <c r="D309" s="339"/>
      <c r="E309" s="339"/>
      <c r="F309" s="42">
        <f>'5. Input GAW-waarde desinv.'!D269</f>
        <v>6869.2461574103609</v>
      </c>
      <c r="G309" s="177">
        <f>'13. Desinvesteringen'!D593</f>
        <v>1998</v>
      </c>
      <c r="H309" s="177">
        <f>'13. Desinvesteringen'!G593</f>
        <v>2024</v>
      </c>
      <c r="I309" s="37" t="str">
        <f>'13. Desinvesteringen'!C593</f>
        <v>02 Gasontvangststations</v>
      </c>
      <c r="J309" s="166">
        <f>'13. Desinvesteringen'!F593</f>
        <v>0</v>
      </c>
      <c r="K309" s="38">
        <f>_xlfn.XLOOKUP(I309,'3. Input (des)investeringen '!$B$11:$B$81,'3. Input (des)investeringen '!$E$11:$E$81)</f>
        <v>0</v>
      </c>
      <c r="L309" s="339"/>
      <c r="M309" s="38">
        <f>_xlfn.XLOOKUP(I309,'3. Input (des)investeringen '!$B$11:$B$81,'3. Input (des)investeringen '!$D$11:$D$81,0)</f>
        <v>30</v>
      </c>
      <c r="N309" s="38">
        <f t="shared" si="99"/>
        <v>6.5</v>
      </c>
      <c r="P309" s="43">
        <f t="shared" si="120"/>
        <v>1236.4643083338651</v>
      </c>
      <c r="Q309" s="43">
        <f t="shared" si="120"/>
        <v>989.17144666709191</v>
      </c>
      <c r="R309" s="43">
        <f t="shared" si="120"/>
        <v>879.26350814852617</v>
      </c>
      <c r="S309" s="43">
        <f t="shared" si="120"/>
        <v>879.26350814852617</v>
      </c>
      <c r="T309" s="95">
        <f t="shared" si="120"/>
        <v>879.26350814852617</v>
      </c>
      <c r="V309" s="43">
        <f t="shared" si="100"/>
        <v>105.68071011400555</v>
      </c>
      <c r="W309" s="43">
        <f t="shared" si="101"/>
        <v>105.68071011400555</v>
      </c>
      <c r="X309" s="43">
        <f t="shared" si="102"/>
        <v>105.68071011400555</v>
      </c>
      <c r="Y309" s="43">
        <f t="shared" si="103"/>
        <v>105.68071011400555</v>
      </c>
      <c r="Z309" s="95">
        <f t="shared" si="104"/>
        <v>105.68071011400555</v>
      </c>
      <c r="AB309" s="43">
        <f t="shared" si="105"/>
        <v>1342.1450184478706</v>
      </c>
      <c r="AC309" s="43">
        <f t="shared" si="106"/>
        <v>1094.8521567810974</v>
      </c>
      <c r="AD309" s="43">
        <f t="shared" si="107"/>
        <v>984.94421826253176</v>
      </c>
      <c r="AE309" s="43">
        <f t="shared" si="108"/>
        <v>984.94421826253176</v>
      </c>
      <c r="AF309" s="95">
        <f t="shared" si="109"/>
        <v>984.94421826253176</v>
      </c>
      <c r="AH309" s="43">
        <f t="shared" si="110"/>
        <v>5527.10113896249</v>
      </c>
      <c r="AI309" s="43">
        <f t="shared" si="111"/>
        <v>4432.2489821813924</v>
      </c>
      <c r="AJ309" s="43">
        <f t="shared" si="112"/>
        <v>3447.3047639188608</v>
      </c>
      <c r="AK309" s="43">
        <f t="shared" si="113"/>
        <v>2462.3605456563291</v>
      </c>
      <c r="AL309" s="95">
        <f t="shared" si="114"/>
        <v>1477.4163273937975</v>
      </c>
      <c r="AN309" s="47">
        <f t="shared" si="115"/>
        <v>1568.7561651453327</v>
      </c>
      <c r="AO309" s="47">
        <f t="shared" si="116"/>
        <v>1320.8968548723483</v>
      </c>
      <c r="AP309" s="47">
        <f t="shared" si="117"/>
        <v>1160.7567612223936</v>
      </c>
      <c r="AQ309" s="47">
        <f t="shared" si="118"/>
        <v>1078.5139189974723</v>
      </c>
      <c r="AR309" s="193">
        <f t="shared" si="119"/>
        <v>1041.0860387034961</v>
      </c>
      <c r="AS309" s="122"/>
      <c r="AT309" s="122"/>
      <c r="AU309" s="122"/>
      <c r="AV309" s="122"/>
      <c r="AW309" s="122"/>
      <c r="AX309" s="122"/>
    </row>
    <row r="310" spans="1:50" s="90" customFormat="1">
      <c r="A310" s="229"/>
      <c r="B310" s="37">
        <f>'13. Desinvesteringen'!B594</f>
        <v>575</v>
      </c>
      <c r="C310" s="339"/>
      <c r="D310" s="339"/>
      <c r="E310" s="339"/>
      <c r="F310" s="42">
        <f>'5. Input GAW-waarde desinv.'!D270</f>
        <v>4716.7151587022527</v>
      </c>
      <c r="G310" s="177">
        <f>'13. Desinvesteringen'!D594</f>
        <v>2000</v>
      </c>
      <c r="H310" s="177">
        <f>'13. Desinvesteringen'!G594</f>
        <v>2024</v>
      </c>
      <c r="I310" s="37" t="str">
        <f>'13. Desinvesteringen'!C594</f>
        <v>02 Gasontvangststations</v>
      </c>
      <c r="J310" s="166">
        <f>'13. Desinvesteringen'!F594</f>
        <v>0</v>
      </c>
      <c r="K310" s="38">
        <f>_xlfn.XLOOKUP(I310,'3. Input (des)investeringen '!$B$11:$B$81,'3. Input (des)investeringen '!$E$11:$E$81)</f>
        <v>0</v>
      </c>
      <c r="L310" s="339"/>
      <c r="M310" s="38">
        <f>_xlfn.XLOOKUP(I310,'3. Input (des)investeringen '!$B$11:$B$81,'3. Input (des)investeringen '!$D$11:$D$81,0)</f>
        <v>30</v>
      </c>
      <c r="N310" s="38">
        <f t="shared" si="99"/>
        <v>8.5</v>
      </c>
      <c r="P310" s="43">
        <f t="shared" si="120"/>
        <v>649.24196890372195</v>
      </c>
      <c r="Q310" s="43">
        <f t="shared" si="120"/>
        <v>549.94613836550559</v>
      </c>
      <c r="R310" s="43">
        <f t="shared" si="120"/>
        <v>468.59315931735381</v>
      </c>
      <c r="S310" s="43">
        <f t="shared" si="120"/>
        <v>468.59315931735381</v>
      </c>
      <c r="T310" s="95">
        <f t="shared" si="120"/>
        <v>468.59315931735381</v>
      </c>
      <c r="V310" s="43">
        <f t="shared" si="100"/>
        <v>55.490766572967679</v>
      </c>
      <c r="W310" s="43">
        <f t="shared" si="101"/>
        <v>55.490766572967686</v>
      </c>
      <c r="X310" s="43">
        <f t="shared" si="102"/>
        <v>55.490766572967686</v>
      </c>
      <c r="Y310" s="43">
        <f t="shared" si="103"/>
        <v>55.490766572967686</v>
      </c>
      <c r="Z310" s="95">
        <f t="shared" si="104"/>
        <v>55.490766572967686</v>
      </c>
      <c r="AB310" s="43">
        <f t="shared" si="105"/>
        <v>704.73273547668964</v>
      </c>
      <c r="AC310" s="43">
        <f t="shared" si="106"/>
        <v>605.43690493847328</v>
      </c>
      <c r="AD310" s="43">
        <f t="shared" si="107"/>
        <v>524.08392589032155</v>
      </c>
      <c r="AE310" s="43">
        <f t="shared" si="108"/>
        <v>524.08392589032155</v>
      </c>
      <c r="AF310" s="95">
        <f t="shared" si="109"/>
        <v>524.08392589032155</v>
      </c>
      <c r="AH310" s="43">
        <f t="shared" si="110"/>
        <v>4011.9824232255633</v>
      </c>
      <c r="AI310" s="43">
        <f t="shared" si="111"/>
        <v>3406.5455182870901</v>
      </c>
      <c r="AJ310" s="43">
        <f t="shared" si="112"/>
        <v>2882.4615923967685</v>
      </c>
      <c r="AK310" s="43">
        <f t="shared" si="113"/>
        <v>2358.377666506447</v>
      </c>
      <c r="AL310" s="95">
        <f t="shared" si="114"/>
        <v>1834.2937406161254</v>
      </c>
      <c r="AN310" s="47">
        <f t="shared" si="115"/>
        <v>869.2240148289377</v>
      </c>
      <c r="AO310" s="47">
        <f t="shared" si="116"/>
        <v>779.17072637111482</v>
      </c>
      <c r="AP310" s="47">
        <f t="shared" si="117"/>
        <v>671.08946710255668</v>
      </c>
      <c r="AQ310" s="47">
        <f t="shared" si="118"/>
        <v>613.70227721756658</v>
      </c>
      <c r="AR310" s="193">
        <f t="shared" si="119"/>
        <v>593.78708803373434</v>
      </c>
      <c r="AS310" s="122"/>
      <c r="AT310" s="122"/>
      <c r="AU310" s="122"/>
      <c r="AV310" s="122"/>
      <c r="AW310" s="122"/>
      <c r="AX310" s="122"/>
    </row>
    <row r="311" spans="1:50" s="90" customFormat="1">
      <c r="A311" s="229"/>
      <c r="B311" s="37">
        <f>'13. Desinvesteringen'!B595</f>
        <v>576</v>
      </c>
      <c r="C311" s="339"/>
      <c r="D311" s="339"/>
      <c r="E311" s="339"/>
      <c r="F311" s="42">
        <f>'5. Input GAW-waarde desinv.'!D271</f>
        <v>65931.311505200705</v>
      </c>
      <c r="G311" s="177">
        <f>'13. Desinvesteringen'!D595</f>
        <v>2001</v>
      </c>
      <c r="H311" s="177">
        <f>'13. Desinvesteringen'!G595</f>
        <v>2024</v>
      </c>
      <c r="I311" s="37" t="str">
        <f>'13. Desinvesteringen'!C595</f>
        <v>02 Gasontvangststations</v>
      </c>
      <c r="J311" s="166">
        <f>'13. Desinvesteringen'!F595</f>
        <v>0</v>
      </c>
      <c r="K311" s="38">
        <f>_xlfn.XLOOKUP(I311,'3. Input (des)investeringen '!$B$11:$B$81,'3. Input (des)investeringen '!$E$11:$E$81)</f>
        <v>0</v>
      </c>
      <c r="L311" s="339"/>
      <c r="M311" s="38">
        <f>_xlfn.XLOOKUP(I311,'3. Input (des)investeringen '!$B$11:$B$81,'3. Input (des)investeringen '!$D$11:$D$81,0)</f>
        <v>30</v>
      </c>
      <c r="N311" s="38">
        <f t="shared" si="99"/>
        <v>9.5</v>
      </c>
      <c r="P311" s="43">
        <f t="shared" si="120"/>
        <v>8119.9615222194561</v>
      </c>
      <c r="Q311" s="43">
        <f t="shared" si="120"/>
        <v>7008.8088928631096</v>
      </c>
      <c r="R311" s="43">
        <f t="shared" si="120"/>
        <v>6049.7087285765783</v>
      </c>
      <c r="S311" s="43">
        <f t="shared" si="120"/>
        <v>5870.7232632340747</v>
      </c>
      <c r="T311" s="95">
        <f t="shared" si="120"/>
        <v>5870.7232632340747</v>
      </c>
      <c r="V311" s="43">
        <f t="shared" si="100"/>
        <v>694.01380531790221</v>
      </c>
      <c r="W311" s="43">
        <f t="shared" si="101"/>
        <v>694.01380531790221</v>
      </c>
      <c r="X311" s="43">
        <f t="shared" si="102"/>
        <v>694.01380531790221</v>
      </c>
      <c r="Y311" s="43">
        <f t="shared" si="103"/>
        <v>694.01380531790221</v>
      </c>
      <c r="Z311" s="95">
        <f t="shared" si="104"/>
        <v>694.01380531790221</v>
      </c>
      <c r="AB311" s="43">
        <f t="shared" si="105"/>
        <v>8813.9753275373587</v>
      </c>
      <c r="AC311" s="43">
        <f t="shared" si="106"/>
        <v>7702.8226981810121</v>
      </c>
      <c r="AD311" s="43">
        <f t="shared" si="107"/>
        <v>6743.7225338944809</v>
      </c>
      <c r="AE311" s="43">
        <f t="shared" si="108"/>
        <v>6564.7370685519772</v>
      </c>
      <c r="AF311" s="95">
        <f t="shared" si="109"/>
        <v>6564.7370685519772</v>
      </c>
      <c r="AH311" s="43">
        <f t="shared" si="110"/>
        <v>57117.336177663346</v>
      </c>
      <c r="AI311" s="43">
        <f t="shared" si="111"/>
        <v>49414.513479482332</v>
      </c>
      <c r="AJ311" s="43">
        <f t="shared" si="112"/>
        <v>42670.790945587854</v>
      </c>
      <c r="AK311" s="43">
        <f t="shared" si="113"/>
        <v>36106.053877035876</v>
      </c>
      <c r="AL311" s="95">
        <f t="shared" si="114"/>
        <v>29541.316808483898</v>
      </c>
      <c r="AN311" s="47">
        <f t="shared" si="115"/>
        <v>11155.786110821557</v>
      </c>
      <c r="AO311" s="47">
        <f t="shared" si="116"/>
        <v>10222.96288563461</v>
      </c>
      <c r="AP311" s="47">
        <f t="shared" si="117"/>
        <v>8919.9328721194615</v>
      </c>
      <c r="AQ311" s="47">
        <f t="shared" si="118"/>
        <v>7936.7671158793401</v>
      </c>
      <c r="AR311" s="193">
        <f t="shared" si="119"/>
        <v>7687.3071072743651</v>
      </c>
      <c r="AS311" s="122"/>
      <c r="AT311" s="122"/>
      <c r="AU311" s="122"/>
      <c r="AV311" s="122"/>
      <c r="AW311" s="122"/>
      <c r="AX311" s="122"/>
    </row>
    <row r="312" spans="1:50" s="90" customFormat="1">
      <c r="A312" s="229"/>
      <c r="B312" s="37">
        <f>'13. Desinvesteringen'!B596</f>
        <v>577</v>
      </c>
      <c r="C312" s="339"/>
      <c r="D312" s="339"/>
      <c r="E312" s="339"/>
      <c r="F312" s="42">
        <f>'5. Input GAW-waarde desinv.'!D272</f>
        <v>24863.217055860056</v>
      </c>
      <c r="G312" s="177">
        <f>'13. Desinvesteringen'!D596</f>
        <v>2007</v>
      </c>
      <c r="H312" s="177">
        <f>'13. Desinvesteringen'!G596</f>
        <v>2024</v>
      </c>
      <c r="I312" s="37" t="str">
        <f>'13. Desinvesteringen'!C596</f>
        <v>02 Gasontvangststations</v>
      </c>
      <c r="J312" s="166">
        <f>'13. Desinvesteringen'!F596</f>
        <v>0</v>
      </c>
      <c r="K312" s="38">
        <f>_xlfn.XLOOKUP(I312,'3. Input (des)investeringen '!$B$11:$B$81,'3. Input (des)investeringen '!$E$11:$E$81)</f>
        <v>0</v>
      </c>
      <c r="L312" s="339"/>
      <c r="M312" s="38">
        <f>_xlfn.XLOOKUP(I312,'3. Input (des)investeringen '!$B$11:$B$81,'3. Input (des)investeringen '!$D$11:$D$81,0)</f>
        <v>30</v>
      </c>
      <c r="N312" s="38">
        <f t="shared" si="99"/>
        <v>15.5</v>
      </c>
      <c r="P312" s="43">
        <f t="shared" si="120"/>
        <v>1876.7718680875012</v>
      </c>
      <c r="Q312" s="43">
        <f t="shared" si="120"/>
        <v>1719.3651952801622</v>
      </c>
      <c r="R312" s="43">
        <f t="shared" si="120"/>
        <v>1575.1603724502131</v>
      </c>
      <c r="S312" s="43">
        <f t="shared" si="120"/>
        <v>1443.0501476640661</v>
      </c>
      <c r="T312" s="95">
        <f t="shared" si="120"/>
        <v>1370.6563275471397</v>
      </c>
      <c r="V312" s="43">
        <f t="shared" si="100"/>
        <v>160.40785197329069</v>
      </c>
      <c r="W312" s="43">
        <f t="shared" si="101"/>
        <v>160.40785197329069</v>
      </c>
      <c r="X312" s="43">
        <f t="shared" si="102"/>
        <v>160.40785197329069</v>
      </c>
      <c r="Y312" s="43">
        <f t="shared" si="103"/>
        <v>160.40785197329069</v>
      </c>
      <c r="Z312" s="95">
        <f t="shared" si="104"/>
        <v>160.40785197329069</v>
      </c>
      <c r="AB312" s="43">
        <f t="shared" si="105"/>
        <v>2037.1797200607919</v>
      </c>
      <c r="AC312" s="43">
        <f t="shared" si="106"/>
        <v>1879.7730472534529</v>
      </c>
      <c r="AD312" s="43">
        <f t="shared" si="107"/>
        <v>1735.5682244235038</v>
      </c>
      <c r="AE312" s="43">
        <f t="shared" si="108"/>
        <v>1603.4579996373568</v>
      </c>
      <c r="AF312" s="95">
        <f t="shared" si="109"/>
        <v>1531.0641795204303</v>
      </c>
      <c r="AH312" s="43">
        <f t="shared" si="110"/>
        <v>22826.037335799265</v>
      </c>
      <c r="AI312" s="43">
        <f t="shared" si="111"/>
        <v>20946.264288545812</v>
      </c>
      <c r="AJ312" s="43">
        <f t="shared" si="112"/>
        <v>19210.696064122309</v>
      </c>
      <c r="AK312" s="43">
        <f t="shared" si="113"/>
        <v>17607.238064484951</v>
      </c>
      <c r="AL312" s="95">
        <f t="shared" si="114"/>
        <v>16076.173884964521</v>
      </c>
      <c r="AN312" s="47">
        <f t="shared" si="115"/>
        <v>2973.047250828562</v>
      </c>
      <c r="AO312" s="47">
        <f t="shared" si="116"/>
        <v>2948.0325259692891</v>
      </c>
      <c r="AP312" s="47">
        <f t="shared" si="117"/>
        <v>2715.3137236937414</v>
      </c>
      <c r="AQ312" s="47">
        <f t="shared" si="118"/>
        <v>2272.5330460877849</v>
      </c>
      <c r="AR312" s="193">
        <f t="shared" si="119"/>
        <v>2141.9587871490821</v>
      </c>
      <c r="AS312" s="122"/>
      <c r="AT312" s="122"/>
      <c r="AU312" s="122"/>
      <c r="AV312" s="122"/>
      <c r="AW312" s="122"/>
      <c r="AX312" s="122"/>
    </row>
    <row r="313" spans="1:50" s="90" customFormat="1">
      <c r="A313" s="229"/>
      <c r="B313" s="37">
        <f>'13. Desinvesteringen'!B597</f>
        <v>578</v>
      </c>
      <c r="C313" s="339"/>
      <c r="D313" s="339"/>
      <c r="E313" s="339"/>
      <c r="F313" s="42">
        <f>'5. Input GAW-waarde desinv.'!D273</f>
        <v>21467.5396328608</v>
      </c>
      <c r="G313" s="177">
        <f>'13. Desinvesteringen'!D597</f>
        <v>2010</v>
      </c>
      <c r="H313" s="177">
        <f>'13. Desinvesteringen'!G597</f>
        <v>2024</v>
      </c>
      <c r="I313" s="37" t="str">
        <f>'13. Desinvesteringen'!C597</f>
        <v>02 Gasontvangststations</v>
      </c>
      <c r="J313" s="166">
        <f>'13. Desinvesteringen'!F597</f>
        <v>0</v>
      </c>
      <c r="K313" s="38">
        <f>_xlfn.XLOOKUP(I313,'3. Input (des)investeringen '!$B$11:$B$81,'3. Input (des)investeringen '!$E$11:$E$81)</f>
        <v>0</v>
      </c>
      <c r="L313" s="339"/>
      <c r="M313" s="38">
        <f>_xlfn.XLOOKUP(I313,'3. Input (des)investeringen '!$B$11:$B$81,'3. Input (des)investeringen '!$D$11:$D$81,0)</f>
        <v>30</v>
      </c>
      <c r="N313" s="38">
        <f t="shared" si="99"/>
        <v>18.5</v>
      </c>
      <c r="P313" s="43">
        <f t="shared" si="120"/>
        <v>1357.6768308349804</v>
      </c>
      <c r="Q313" s="43">
        <f t="shared" si="120"/>
        <v>1262.2725129925225</v>
      </c>
      <c r="R313" s="43">
        <f t="shared" si="120"/>
        <v>1173.5722823498047</v>
      </c>
      <c r="S313" s="43">
        <f t="shared" si="120"/>
        <v>1091.1050408873859</v>
      </c>
      <c r="T313" s="95">
        <f t="shared" si="120"/>
        <v>1014.4327947709753</v>
      </c>
      <c r="V313" s="43">
        <f t="shared" si="100"/>
        <v>116.04075477222055</v>
      </c>
      <c r="W313" s="43">
        <f t="shared" si="101"/>
        <v>116.04075477222055</v>
      </c>
      <c r="X313" s="43">
        <f t="shared" si="102"/>
        <v>116.04075477222055</v>
      </c>
      <c r="Y313" s="43">
        <f t="shared" si="103"/>
        <v>116.04075477222055</v>
      </c>
      <c r="Z313" s="95">
        <f t="shared" si="104"/>
        <v>116.04075477222055</v>
      </c>
      <c r="AB313" s="43">
        <f t="shared" si="105"/>
        <v>1473.7175856072008</v>
      </c>
      <c r="AC313" s="43">
        <f t="shared" si="106"/>
        <v>1378.3132677647429</v>
      </c>
      <c r="AD313" s="43">
        <f t="shared" si="107"/>
        <v>1289.6130371220252</v>
      </c>
      <c r="AE313" s="43">
        <f t="shared" si="108"/>
        <v>1207.1457956596064</v>
      </c>
      <c r="AF313" s="95">
        <f t="shared" si="109"/>
        <v>1130.4735495431958</v>
      </c>
      <c r="AH313" s="43">
        <f t="shared" si="110"/>
        <v>19993.822047253598</v>
      </c>
      <c r="AI313" s="43">
        <f t="shared" si="111"/>
        <v>18615.508779488853</v>
      </c>
      <c r="AJ313" s="43">
        <f t="shared" si="112"/>
        <v>17325.895742366829</v>
      </c>
      <c r="AK313" s="43">
        <f t="shared" si="113"/>
        <v>16118.749946707223</v>
      </c>
      <c r="AL313" s="95">
        <f t="shared" si="114"/>
        <v>14988.276397164027</v>
      </c>
      <c r="AN313" s="47">
        <f t="shared" si="115"/>
        <v>2293.4642895445986</v>
      </c>
      <c r="AO313" s="47">
        <f t="shared" si="116"/>
        <v>2327.7042155186746</v>
      </c>
      <c r="AP313" s="47">
        <f t="shared" si="117"/>
        <v>2173.2337199827334</v>
      </c>
      <c r="AQ313" s="47">
        <f t="shared" si="118"/>
        <v>1819.6582936344807</v>
      </c>
      <c r="AR313" s="193">
        <f t="shared" si="119"/>
        <v>1700.0280526354288</v>
      </c>
      <c r="AS313" s="122"/>
      <c r="AT313" s="122"/>
      <c r="AU313" s="122"/>
      <c r="AV313" s="122"/>
      <c r="AW313" s="122"/>
      <c r="AX313" s="122"/>
    </row>
    <row r="314" spans="1:50" s="90" customFormat="1">
      <c r="A314" s="229"/>
      <c r="B314" s="37">
        <f>'13. Desinvesteringen'!B598</f>
        <v>579</v>
      </c>
      <c r="C314" s="339"/>
      <c r="D314" s="339"/>
      <c r="E314" s="339"/>
      <c r="F314" s="42">
        <f>'5. Input GAW-waarde desinv.'!D274</f>
        <v>83136.628234360018</v>
      </c>
      <c r="G314" s="177">
        <f>'13. Desinvesteringen'!D598</f>
        <v>2011</v>
      </c>
      <c r="H314" s="177">
        <f>'13. Desinvesteringen'!G598</f>
        <v>2024</v>
      </c>
      <c r="I314" s="37" t="str">
        <f>'13. Desinvesteringen'!C598</f>
        <v>02 Gasontvangststations</v>
      </c>
      <c r="J314" s="166">
        <f>'13. Desinvesteringen'!F598</f>
        <v>0</v>
      </c>
      <c r="K314" s="38">
        <f>_xlfn.XLOOKUP(I314,'3. Input (des)investeringen '!$B$11:$B$81,'3. Input (des)investeringen '!$E$11:$E$81)</f>
        <v>0</v>
      </c>
      <c r="L314" s="339"/>
      <c r="M314" s="38">
        <f>_xlfn.XLOOKUP(I314,'3. Input (des)investeringen '!$B$11:$B$81,'3. Input (des)investeringen '!$D$11:$D$81,0)</f>
        <v>30</v>
      </c>
      <c r="N314" s="38">
        <f t="shared" si="99"/>
        <v>19.5</v>
      </c>
      <c r="P314" s="43">
        <f t="shared" si="120"/>
        <v>4988.1976940616014</v>
      </c>
      <c r="Q314" s="43">
        <f t="shared" si="120"/>
        <v>4655.6511811241608</v>
      </c>
      <c r="R314" s="43">
        <f t="shared" si="120"/>
        <v>4345.2744357158836</v>
      </c>
      <c r="S314" s="43">
        <f t="shared" si="120"/>
        <v>4055.589473334825</v>
      </c>
      <c r="T314" s="95">
        <f t="shared" si="120"/>
        <v>3785.21684177917</v>
      </c>
      <c r="V314" s="43">
        <f t="shared" si="100"/>
        <v>426.34168325312834</v>
      </c>
      <c r="W314" s="43">
        <f t="shared" si="101"/>
        <v>426.34168325312834</v>
      </c>
      <c r="X314" s="43">
        <f t="shared" si="102"/>
        <v>426.34168325312834</v>
      </c>
      <c r="Y314" s="43">
        <f t="shared" si="103"/>
        <v>426.34168325312834</v>
      </c>
      <c r="Z314" s="95">
        <f t="shared" si="104"/>
        <v>426.34168325312834</v>
      </c>
      <c r="AB314" s="43">
        <f t="shared" si="105"/>
        <v>5414.5393773147298</v>
      </c>
      <c r="AC314" s="43">
        <f t="shared" si="106"/>
        <v>5081.9928643772892</v>
      </c>
      <c r="AD314" s="43">
        <f t="shared" si="107"/>
        <v>4771.6161189690119</v>
      </c>
      <c r="AE314" s="43">
        <f t="shared" si="108"/>
        <v>4481.9311565879534</v>
      </c>
      <c r="AF314" s="95">
        <f t="shared" si="109"/>
        <v>4211.5585250322983</v>
      </c>
      <c r="AH314" s="43">
        <f t="shared" si="110"/>
        <v>77722.088857045281</v>
      </c>
      <c r="AI314" s="43">
        <f t="shared" si="111"/>
        <v>72640.095992667993</v>
      </c>
      <c r="AJ314" s="43">
        <f t="shared" si="112"/>
        <v>67868.479873698976</v>
      </c>
      <c r="AK314" s="43">
        <f t="shared" si="113"/>
        <v>63386.548717111022</v>
      </c>
      <c r="AL314" s="95">
        <f t="shared" si="114"/>
        <v>59174.990192078723</v>
      </c>
      <c r="AN314" s="47">
        <f t="shared" si="115"/>
        <v>8601.1450204535868</v>
      </c>
      <c r="AO314" s="47">
        <f t="shared" si="116"/>
        <v>8786.6377600033557</v>
      </c>
      <c r="AP314" s="47">
        <f t="shared" si="117"/>
        <v>8232.9085925276595</v>
      </c>
      <c r="AQ314" s="47">
        <f t="shared" si="118"/>
        <v>6890.6200078381717</v>
      </c>
      <c r="AR314" s="193">
        <f t="shared" si="119"/>
        <v>6460.20815233129</v>
      </c>
      <c r="AS314" s="122"/>
      <c r="AT314" s="122"/>
      <c r="AU314" s="122"/>
      <c r="AV314" s="122"/>
      <c r="AW314" s="122"/>
      <c r="AX314" s="122"/>
    </row>
    <row r="315" spans="1:50" s="90" customFormat="1">
      <c r="A315" s="229"/>
      <c r="B315" s="37">
        <f>'13. Desinvesteringen'!B599</f>
        <v>580</v>
      </c>
      <c r="C315" s="339"/>
      <c r="D315" s="339"/>
      <c r="E315" s="339"/>
      <c r="F315" s="42">
        <f>'5. Input GAW-waarde desinv.'!D275</f>
        <v>41879.587518857079</v>
      </c>
      <c r="G315" s="177">
        <f>'13. Desinvesteringen'!D599</f>
        <v>2017</v>
      </c>
      <c r="H315" s="177">
        <f>'13. Desinvesteringen'!G599</f>
        <v>2024</v>
      </c>
      <c r="I315" s="37" t="str">
        <f>'13. Desinvesteringen'!C599</f>
        <v>02 Gasontvangststations</v>
      </c>
      <c r="J315" s="166">
        <f>'13. Desinvesteringen'!F599</f>
        <v>0</v>
      </c>
      <c r="K315" s="38">
        <f>_xlfn.XLOOKUP(I315,'3. Input (des)investeringen '!$B$11:$B$81,'3. Input (des)investeringen '!$E$11:$E$81)</f>
        <v>0</v>
      </c>
      <c r="L315" s="339"/>
      <c r="M315" s="38">
        <f>_xlfn.XLOOKUP(I315,'3. Input (des)investeringen '!$B$11:$B$81,'3. Input (des)investeringen '!$D$11:$D$81,0)</f>
        <v>30</v>
      </c>
      <c r="N315" s="38">
        <f t="shared" si="99"/>
        <v>25.5</v>
      </c>
      <c r="P315" s="43">
        <f t="shared" si="120"/>
        <v>1921.5340155710896</v>
      </c>
      <c r="Q315" s="43">
        <f t="shared" si="120"/>
        <v>1823.5734579145239</v>
      </c>
      <c r="R315" s="43">
        <f t="shared" si="120"/>
        <v>1730.6069679031953</v>
      </c>
      <c r="S315" s="43">
        <f t="shared" si="120"/>
        <v>1642.3799460100909</v>
      </c>
      <c r="T315" s="95">
        <f t="shared" si="120"/>
        <v>1558.6507722919293</v>
      </c>
      <c r="V315" s="43">
        <f t="shared" si="100"/>
        <v>164.23367654453759</v>
      </c>
      <c r="W315" s="43">
        <f t="shared" si="101"/>
        <v>164.23367654453759</v>
      </c>
      <c r="X315" s="43">
        <f t="shared" si="102"/>
        <v>164.23367654453759</v>
      </c>
      <c r="Y315" s="43">
        <f t="shared" si="103"/>
        <v>164.23367654453759</v>
      </c>
      <c r="Z315" s="95">
        <f t="shared" si="104"/>
        <v>164.23367654453759</v>
      </c>
      <c r="AB315" s="43">
        <f t="shared" si="105"/>
        <v>2085.7676921156271</v>
      </c>
      <c r="AC315" s="43">
        <f t="shared" si="106"/>
        <v>1987.8071344590614</v>
      </c>
      <c r="AD315" s="43">
        <f t="shared" si="107"/>
        <v>1894.8406444477328</v>
      </c>
      <c r="AE315" s="43">
        <f t="shared" si="108"/>
        <v>1806.6136225546284</v>
      </c>
      <c r="AF315" s="95">
        <f t="shared" si="109"/>
        <v>1722.8844488364668</v>
      </c>
      <c r="AH315" s="43">
        <f t="shared" si="110"/>
        <v>39793.819826741455</v>
      </c>
      <c r="AI315" s="43">
        <f t="shared" si="111"/>
        <v>37806.012692282391</v>
      </c>
      <c r="AJ315" s="43">
        <f t="shared" si="112"/>
        <v>35911.172047834661</v>
      </c>
      <c r="AK315" s="43">
        <f t="shared" si="113"/>
        <v>34104.558425280033</v>
      </c>
      <c r="AL315" s="95">
        <f t="shared" si="114"/>
        <v>32381.673976443566</v>
      </c>
      <c r="AN315" s="47">
        <f t="shared" si="115"/>
        <v>3717.314305012027</v>
      </c>
      <c r="AO315" s="47">
        <f t="shared" si="116"/>
        <v>3915.9137817654632</v>
      </c>
      <c r="AP315" s="47">
        <f t="shared" si="117"/>
        <v>3726.3104188873003</v>
      </c>
      <c r="AQ315" s="47">
        <f t="shared" si="118"/>
        <v>3102.5868427152695</v>
      </c>
      <c r="AR315" s="193">
        <f t="shared" si="119"/>
        <v>2953.3880599413224</v>
      </c>
      <c r="AS315" s="122"/>
      <c r="AT315" s="122"/>
      <c r="AU315" s="122"/>
      <c r="AV315" s="122"/>
      <c r="AW315" s="122"/>
      <c r="AX315" s="122"/>
    </row>
    <row r="316" spans="1:50" s="90" customFormat="1">
      <c r="A316" s="229"/>
      <c r="B316" s="37">
        <f>'13. Desinvesteringen'!B600</f>
        <v>581</v>
      </c>
      <c r="C316" s="339"/>
      <c r="D316" s="339"/>
      <c r="E316" s="339"/>
      <c r="F316" s="42">
        <f>'5. Input GAW-waarde desinv.'!D276</f>
        <v>16441.216799999998</v>
      </c>
      <c r="G316" s="177">
        <f>'13. Desinvesteringen'!D600</f>
        <v>2020</v>
      </c>
      <c r="H316" s="177">
        <f>'13. Desinvesteringen'!G600</f>
        <v>2024</v>
      </c>
      <c r="I316" s="37" t="str">
        <f>'13. Desinvesteringen'!C600</f>
        <v>02 Gasontvangststations</v>
      </c>
      <c r="J316" s="166">
        <f>'13. Desinvesteringen'!F600</f>
        <v>0</v>
      </c>
      <c r="K316" s="38">
        <f>_xlfn.XLOOKUP(I316,'3. Input (des)investeringen '!$B$11:$B$81,'3. Input (des)investeringen '!$E$11:$E$81)</f>
        <v>0</v>
      </c>
      <c r="L316" s="339"/>
      <c r="M316" s="38">
        <f>_xlfn.XLOOKUP(I316,'3. Input (des)investeringen '!$B$11:$B$81,'3. Input (des)investeringen '!$D$11:$D$81,0)</f>
        <v>30</v>
      </c>
      <c r="N316" s="38">
        <f t="shared" si="99"/>
        <v>28.5</v>
      </c>
      <c r="P316" s="43">
        <f t="shared" si="120"/>
        <v>674.95521600000006</v>
      </c>
      <c r="Q316" s="43">
        <f t="shared" si="120"/>
        <v>644.16778509473681</v>
      </c>
      <c r="R316" s="43">
        <f t="shared" si="120"/>
        <v>614.78469314304709</v>
      </c>
      <c r="S316" s="43">
        <f t="shared" si="120"/>
        <v>586.74188257862738</v>
      </c>
      <c r="T316" s="95">
        <f t="shared" si="120"/>
        <v>559.97821775925138</v>
      </c>
      <c r="V316" s="43">
        <f t="shared" si="100"/>
        <v>57.688479999999998</v>
      </c>
      <c r="W316" s="43">
        <f t="shared" si="101"/>
        <v>57.688479999999998</v>
      </c>
      <c r="X316" s="43">
        <f t="shared" si="102"/>
        <v>57.688479999999998</v>
      </c>
      <c r="Y316" s="43">
        <f t="shared" si="103"/>
        <v>57.688479999999998</v>
      </c>
      <c r="Z316" s="95">
        <f t="shared" si="104"/>
        <v>57.688479999999998</v>
      </c>
      <c r="AB316" s="43">
        <f t="shared" si="105"/>
        <v>732.64369600000009</v>
      </c>
      <c r="AC316" s="43">
        <f t="shared" si="106"/>
        <v>701.85626509473684</v>
      </c>
      <c r="AD316" s="43">
        <f t="shared" si="107"/>
        <v>672.47317314304712</v>
      </c>
      <c r="AE316" s="43">
        <f t="shared" si="108"/>
        <v>644.43036257862741</v>
      </c>
      <c r="AF316" s="95">
        <f t="shared" si="109"/>
        <v>617.66669775925141</v>
      </c>
      <c r="AH316" s="43">
        <f t="shared" si="110"/>
        <v>15708.573103999999</v>
      </c>
      <c r="AI316" s="43">
        <f t="shared" si="111"/>
        <v>15006.716838905262</v>
      </c>
      <c r="AJ316" s="43">
        <f t="shared" si="112"/>
        <v>14334.243665762215</v>
      </c>
      <c r="AK316" s="43">
        <f t="shared" si="113"/>
        <v>13689.813303183588</v>
      </c>
      <c r="AL316" s="95">
        <f t="shared" si="114"/>
        <v>13072.146605424336</v>
      </c>
      <c r="AN316" s="47">
        <f t="shared" si="115"/>
        <v>1376.695193264</v>
      </c>
      <c r="AO316" s="47">
        <f t="shared" si="116"/>
        <v>1467.1988238789052</v>
      </c>
      <c r="AP316" s="47">
        <f t="shared" si="117"/>
        <v>1403.5196000969199</v>
      </c>
      <c r="AQ316" s="47">
        <f t="shared" si="118"/>
        <v>1164.6432680996036</v>
      </c>
      <c r="AR316" s="193">
        <f t="shared" si="119"/>
        <v>1114.4082687653761</v>
      </c>
      <c r="AS316" s="122"/>
      <c r="AT316" s="122"/>
      <c r="AU316" s="122"/>
      <c r="AV316" s="122"/>
      <c r="AW316" s="122"/>
      <c r="AX316" s="122"/>
    </row>
    <row r="317" spans="1:50" s="90" customFormat="1">
      <c r="A317" s="229"/>
      <c r="B317" s="37">
        <f>'13. Desinvesteringen'!B601</f>
        <v>582</v>
      </c>
      <c r="C317" s="339"/>
      <c r="D317" s="339"/>
      <c r="E317" s="339"/>
      <c r="F317" s="42">
        <f>'5. Input GAW-waarde desinv.'!D277</f>
        <v>0</v>
      </c>
      <c r="G317" s="177">
        <f>'13. Desinvesteringen'!D601</f>
        <v>1998</v>
      </c>
      <c r="H317" s="177">
        <f>'13. Desinvesteringen'!G601</f>
        <v>2024</v>
      </c>
      <c r="I317" s="37" t="str">
        <f>'13. Desinvesteringen'!C601</f>
        <v>03 Verremeting</v>
      </c>
      <c r="J317" s="166">
        <f>'13. Desinvesteringen'!F601</f>
        <v>0</v>
      </c>
      <c r="K317" s="38">
        <f>_xlfn.XLOOKUP(I317,'3. Input (des)investeringen '!$B$11:$B$81,'3. Input (des)investeringen '!$E$11:$E$81)</f>
        <v>1</v>
      </c>
      <c r="L317" s="339"/>
      <c r="M317" s="38">
        <f>_xlfn.XLOOKUP(I317,'3. Input (des)investeringen '!$B$11:$B$81,'3. Input (des)investeringen '!$D$11:$D$81,0)</f>
        <v>5</v>
      </c>
      <c r="N317" s="38">
        <f t="shared" si="99"/>
        <v>0</v>
      </c>
      <c r="P317" s="43">
        <f t="shared" si="120"/>
        <v>0</v>
      </c>
      <c r="Q317" s="43">
        <f t="shared" si="120"/>
        <v>0</v>
      </c>
      <c r="R317" s="43">
        <f t="shared" si="120"/>
        <v>0</v>
      </c>
      <c r="S317" s="43">
        <f t="shared" si="120"/>
        <v>0</v>
      </c>
      <c r="T317" s="95">
        <f t="shared" si="120"/>
        <v>0</v>
      </c>
      <c r="V317" s="43">
        <f t="shared" si="100"/>
        <v>0</v>
      </c>
      <c r="W317" s="43">
        <f t="shared" si="101"/>
        <v>0</v>
      </c>
      <c r="X317" s="43">
        <f t="shared" si="102"/>
        <v>0</v>
      </c>
      <c r="Y317" s="43">
        <f t="shared" si="103"/>
        <v>0</v>
      </c>
      <c r="Z317" s="95">
        <f t="shared" si="104"/>
        <v>0</v>
      </c>
      <c r="AB317" s="43">
        <f t="shared" si="105"/>
        <v>0</v>
      </c>
      <c r="AC317" s="43">
        <f t="shared" si="106"/>
        <v>0</v>
      </c>
      <c r="AD317" s="43">
        <f t="shared" si="107"/>
        <v>0</v>
      </c>
      <c r="AE317" s="43">
        <f t="shared" si="108"/>
        <v>0</v>
      </c>
      <c r="AF317" s="95">
        <f t="shared" si="109"/>
        <v>0</v>
      </c>
      <c r="AH317" s="43">
        <f t="shared" si="110"/>
        <v>0</v>
      </c>
      <c r="AI317" s="43">
        <f t="shared" si="111"/>
        <v>0</v>
      </c>
      <c r="AJ317" s="43">
        <f t="shared" si="112"/>
        <v>0</v>
      </c>
      <c r="AK317" s="43">
        <f t="shared" si="113"/>
        <v>0</v>
      </c>
      <c r="AL317" s="95">
        <f t="shared" si="114"/>
        <v>0</v>
      </c>
      <c r="AN317" s="47">
        <f t="shared" si="115"/>
        <v>0</v>
      </c>
      <c r="AO317" s="47">
        <f t="shared" si="116"/>
        <v>0</v>
      </c>
      <c r="AP317" s="47">
        <f t="shared" si="117"/>
        <v>0</v>
      </c>
      <c r="AQ317" s="47">
        <f t="shared" si="118"/>
        <v>0</v>
      </c>
      <c r="AR317" s="193">
        <f t="shared" si="119"/>
        <v>0</v>
      </c>
      <c r="AS317" s="122"/>
      <c r="AT317" s="122"/>
      <c r="AU317" s="122"/>
      <c r="AV317" s="122"/>
      <c r="AW317" s="122"/>
      <c r="AX317" s="122"/>
    </row>
    <row r="318" spans="1:50" s="90" customFormat="1">
      <c r="A318" s="229"/>
      <c r="B318" s="37">
        <f>'13. Desinvesteringen'!B602</f>
        <v>583</v>
      </c>
      <c r="C318" s="339"/>
      <c r="D318" s="339"/>
      <c r="E318" s="339"/>
      <c r="F318" s="42">
        <f>'5. Input GAW-waarde desinv.'!D278</f>
        <v>156251.04854529988</v>
      </c>
      <c r="G318" s="177">
        <f>'13. Desinvesteringen'!D602</f>
        <v>1996</v>
      </c>
      <c r="H318" s="177">
        <f>'13. Desinvesteringen'!G602</f>
        <v>2024</v>
      </c>
      <c r="I318" s="37" t="str">
        <f>'13. Desinvesteringen'!C602</f>
        <v>06 Utiliteitsgebouwen</v>
      </c>
      <c r="J318" s="166">
        <f>'13. Desinvesteringen'!F602</f>
        <v>0</v>
      </c>
      <c r="K318" s="38">
        <f>_xlfn.XLOOKUP(I318,'3. Input (des)investeringen '!$B$11:$B$81,'3. Input (des)investeringen '!$E$11:$E$81)</f>
        <v>0</v>
      </c>
      <c r="L318" s="339"/>
      <c r="M318" s="38">
        <f>_xlfn.XLOOKUP(I318,'3. Input (des)investeringen '!$B$11:$B$81,'3. Input (des)investeringen '!$D$11:$D$81,0)</f>
        <v>30</v>
      </c>
      <c r="N318" s="38">
        <f t="shared" si="99"/>
        <v>4.5</v>
      </c>
      <c r="P318" s="43">
        <f t="shared" si="120"/>
        <v>40625.272621777971</v>
      </c>
      <c r="Q318" s="43">
        <f t="shared" si="120"/>
        <v>28889.082753264338</v>
      </c>
      <c r="R318" s="43">
        <f t="shared" si="120"/>
        <v>28444.635326291038</v>
      </c>
      <c r="S318" s="43">
        <f t="shared" si="120"/>
        <v>28444.635326291038</v>
      </c>
      <c r="T318" s="95">
        <f t="shared" si="120"/>
        <v>14222.317663145519</v>
      </c>
      <c r="V318" s="43">
        <f t="shared" si="100"/>
        <v>3472.2455232288867</v>
      </c>
      <c r="W318" s="43">
        <f t="shared" si="101"/>
        <v>3472.2455232288867</v>
      </c>
      <c r="X318" s="43">
        <f t="shared" si="102"/>
        <v>3472.2455232288867</v>
      </c>
      <c r="Y318" s="43">
        <f t="shared" si="103"/>
        <v>3472.2455232288867</v>
      </c>
      <c r="Z318" s="95">
        <f t="shared" si="104"/>
        <v>1736.1227616144433</v>
      </c>
      <c r="AB318" s="43">
        <f t="shared" si="105"/>
        <v>44097.518145006856</v>
      </c>
      <c r="AC318" s="43">
        <f t="shared" si="106"/>
        <v>32361.328276493223</v>
      </c>
      <c r="AD318" s="43">
        <f t="shared" si="107"/>
        <v>31916.880849519926</v>
      </c>
      <c r="AE318" s="43">
        <f t="shared" si="108"/>
        <v>31916.880849519926</v>
      </c>
      <c r="AF318" s="95">
        <f t="shared" si="109"/>
        <v>15958.440424759963</v>
      </c>
      <c r="AH318" s="43">
        <f t="shared" si="110"/>
        <v>112153.53040029304</v>
      </c>
      <c r="AI318" s="43">
        <f t="shared" si="111"/>
        <v>79792.202123799812</v>
      </c>
      <c r="AJ318" s="43">
        <f t="shared" si="112"/>
        <v>47875.321274279886</v>
      </c>
      <c r="AK318" s="43">
        <f t="shared" si="113"/>
        <v>15958.44042475996</v>
      </c>
      <c r="AL318" s="95">
        <f t="shared" si="114"/>
        <v>0</v>
      </c>
      <c r="AN318" s="47">
        <f t="shared" si="115"/>
        <v>48695.812891418871</v>
      </c>
      <c r="AO318" s="47">
        <f t="shared" si="116"/>
        <v>36430.73058480701</v>
      </c>
      <c r="AP318" s="47">
        <f t="shared" si="117"/>
        <v>34358.5222345082</v>
      </c>
      <c r="AQ318" s="47">
        <f t="shared" si="118"/>
        <v>32523.301585660804</v>
      </c>
      <c r="AR318" s="193">
        <f t="shared" si="119"/>
        <v>15958.440424759963</v>
      </c>
      <c r="AS318" s="122"/>
      <c r="AT318" s="122"/>
      <c r="AU318" s="122"/>
      <c r="AV318" s="122"/>
      <c r="AW318" s="122"/>
      <c r="AX318" s="122"/>
    </row>
    <row r="319" spans="1:50" s="90" customFormat="1">
      <c r="A319" s="229"/>
      <c r="B319" s="37">
        <f>'13. Desinvesteringen'!B603</f>
        <v>584</v>
      </c>
      <c r="C319" s="339"/>
      <c r="D319" s="339"/>
      <c r="E319" s="339"/>
      <c r="F319" s="42">
        <f>'5. Input GAW-waarde desinv.'!D279</f>
        <v>571344.07191404735</v>
      </c>
      <c r="G319" s="177">
        <f>'13. Desinvesteringen'!D603</f>
        <v>1998</v>
      </c>
      <c r="H319" s="177">
        <f>'13. Desinvesteringen'!G603</f>
        <v>2024</v>
      </c>
      <c r="I319" s="37" t="str">
        <f>'13. Desinvesteringen'!C603</f>
        <v>06 Utiliteitsgebouwen</v>
      </c>
      <c r="J319" s="166">
        <f>'13. Desinvesteringen'!F603</f>
        <v>0</v>
      </c>
      <c r="K319" s="38">
        <f>_xlfn.XLOOKUP(I319,'3. Input (des)investeringen '!$B$11:$B$81,'3. Input (des)investeringen '!$E$11:$E$81)</f>
        <v>0</v>
      </c>
      <c r="L319" s="339"/>
      <c r="M319" s="38">
        <f>_xlfn.XLOOKUP(I319,'3. Input (des)investeringen '!$B$11:$B$81,'3. Input (des)investeringen '!$D$11:$D$81,0)</f>
        <v>30</v>
      </c>
      <c r="N319" s="38">
        <f t="shared" si="99"/>
        <v>6.5</v>
      </c>
      <c r="P319" s="43">
        <f t="shared" si="120"/>
        <v>102841.93294452853</v>
      </c>
      <c r="Q319" s="43">
        <f t="shared" si="120"/>
        <v>82273.546355622835</v>
      </c>
      <c r="R319" s="43">
        <f t="shared" si="120"/>
        <v>73132.041204998066</v>
      </c>
      <c r="S319" s="43">
        <f t="shared" si="120"/>
        <v>73132.041204998066</v>
      </c>
      <c r="T319" s="95">
        <f t="shared" si="120"/>
        <v>73132.041204998066</v>
      </c>
      <c r="V319" s="43">
        <f t="shared" si="100"/>
        <v>8789.9087986776522</v>
      </c>
      <c r="W319" s="43">
        <f t="shared" si="101"/>
        <v>8789.9087986776522</v>
      </c>
      <c r="X319" s="43">
        <f t="shared" si="102"/>
        <v>8789.9087986776522</v>
      </c>
      <c r="Y319" s="43">
        <f t="shared" si="103"/>
        <v>8789.9087986776522</v>
      </c>
      <c r="Z319" s="95">
        <f t="shared" si="104"/>
        <v>8789.9087986776522</v>
      </c>
      <c r="AB319" s="43">
        <f t="shared" si="105"/>
        <v>111631.84174320618</v>
      </c>
      <c r="AC319" s="43">
        <f t="shared" si="106"/>
        <v>91063.455154300493</v>
      </c>
      <c r="AD319" s="43">
        <f t="shared" si="107"/>
        <v>81921.950003675724</v>
      </c>
      <c r="AE319" s="43">
        <f t="shared" si="108"/>
        <v>81921.950003675724</v>
      </c>
      <c r="AF319" s="95">
        <f t="shared" si="109"/>
        <v>81921.950003675724</v>
      </c>
      <c r="AH319" s="43">
        <f t="shared" si="110"/>
        <v>459712.23017084115</v>
      </c>
      <c r="AI319" s="43">
        <f t="shared" si="111"/>
        <v>368648.77501654066</v>
      </c>
      <c r="AJ319" s="43">
        <f t="shared" si="112"/>
        <v>286726.82501286495</v>
      </c>
      <c r="AK319" s="43">
        <f t="shared" si="113"/>
        <v>204804.87500918924</v>
      </c>
      <c r="AL319" s="95">
        <f t="shared" si="114"/>
        <v>122882.92500551352</v>
      </c>
      <c r="AN319" s="47">
        <f t="shared" si="115"/>
        <v>130480.04318021068</v>
      </c>
      <c r="AO319" s="47">
        <f t="shared" si="116"/>
        <v>109864.54268014406</v>
      </c>
      <c r="AP319" s="47">
        <f t="shared" si="117"/>
        <v>96545.018079331843</v>
      </c>
      <c r="AQ319" s="47">
        <f t="shared" si="118"/>
        <v>89704.535254024915</v>
      </c>
      <c r="AR319" s="193">
        <f t="shared" si="119"/>
        <v>86591.501153885241</v>
      </c>
      <c r="AS319" s="122"/>
      <c r="AT319" s="122"/>
      <c r="AU319" s="122"/>
      <c r="AV319" s="122"/>
      <c r="AW319" s="122"/>
      <c r="AX319" s="122"/>
    </row>
    <row r="320" spans="1:50" s="90" customFormat="1">
      <c r="A320" s="229"/>
      <c r="B320" s="37">
        <f>'13. Desinvesteringen'!B604</f>
        <v>585</v>
      </c>
      <c r="C320" s="339"/>
      <c r="D320" s="339"/>
      <c r="E320" s="339"/>
      <c r="F320" s="42">
        <f>'5. Input GAW-waarde desinv.'!D280</f>
        <v>16920.652386594666</v>
      </c>
      <c r="G320" s="177">
        <f>'13. Desinvesteringen'!D604</f>
        <v>2005</v>
      </c>
      <c r="H320" s="177">
        <f>'13. Desinvesteringen'!G604</f>
        <v>2024</v>
      </c>
      <c r="I320" s="37" t="str">
        <f>'13. Desinvesteringen'!C604</f>
        <v>06 Utiliteitsgebouwen</v>
      </c>
      <c r="J320" s="166">
        <f>'13. Desinvesteringen'!F604</f>
        <v>0</v>
      </c>
      <c r="K320" s="38">
        <f>_xlfn.XLOOKUP(I320,'3. Input (des)investeringen '!$B$11:$B$81,'3. Input (des)investeringen '!$E$11:$E$81)</f>
        <v>0</v>
      </c>
      <c r="L320" s="339"/>
      <c r="M320" s="38">
        <f>_xlfn.XLOOKUP(I320,'3. Input (des)investeringen '!$B$11:$B$81,'3. Input (des)investeringen '!$D$11:$D$81,0)</f>
        <v>30</v>
      </c>
      <c r="N320" s="38">
        <f t="shared" si="99"/>
        <v>13.5</v>
      </c>
      <c r="P320" s="43">
        <f t="shared" si="120"/>
        <v>1466.4565401715377</v>
      </c>
      <c r="Q320" s="43">
        <f t="shared" si="120"/>
        <v>1325.2422066735378</v>
      </c>
      <c r="R320" s="43">
        <f t="shared" si="120"/>
        <v>1197.6262904753453</v>
      </c>
      <c r="S320" s="43">
        <f t="shared" si="120"/>
        <v>1082.2993143554972</v>
      </c>
      <c r="T320" s="95">
        <f t="shared" si="120"/>
        <v>1069.1539785536086</v>
      </c>
      <c r="V320" s="43">
        <f t="shared" si="100"/>
        <v>125.33816582662715</v>
      </c>
      <c r="W320" s="43">
        <f t="shared" si="101"/>
        <v>125.33816582662718</v>
      </c>
      <c r="X320" s="43">
        <f t="shared" si="102"/>
        <v>125.33816582662718</v>
      </c>
      <c r="Y320" s="43">
        <f t="shared" si="103"/>
        <v>125.33816582662718</v>
      </c>
      <c r="Z320" s="95">
        <f t="shared" si="104"/>
        <v>125.33816582662718</v>
      </c>
      <c r="AB320" s="43">
        <f t="shared" si="105"/>
        <v>1591.7947059981648</v>
      </c>
      <c r="AC320" s="43">
        <f t="shared" si="106"/>
        <v>1450.5803725001649</v>
      </c>
      <c r="AD320" s="43">
        <f t="shared" si="107"/>
        <v>1322.9644563019724</v>
      </c>
      <c r="AE320" s="43">
        <f t="shared" si="108"/>
        <v>1207.6374801821244</v>
      </c>
      <c r="AF320" s="95">
        <f t="shared" si="109"/>
        <v>1194.4921443802357</v>
      </c>
      <c r="AH320" s="43">
        <f t="shared" si="110"/>
        <v>15328.8576805965</v>
      </c>
      <c r="AI320" s="43">
        <f t="shared" si="111"/>
        <v>13878.277308096336</v>
      </c>
      <c r="AJ320" s="43">
        <f t="shared" si="112"/>
        <v>12555.312851794364</v>
      </c>
      <c r="AK320" s="43">
        <f t="shared" si="113"/>
        <v>11347.67537161224</v>
      </c>
      <c r="AL320" s="95">
        <f t="shared" si="114"/>
        <v>10153.183227232004</v>
      </c>
      <c r="AN320" s="47">
        <f t="shared" si="115"/>
        <v>2220.2778709026215</v>
      </c>
      <c r="AO320" s="47">
        <f t="shared" si="116"/>
        <v>2158.3725152130783</v>
      </c>
      <c r="AP320" s="47">
        <f t="shared" si="117"/>
        <v>1963.2854117434849</v>
      </c>
      <c r="AQ320" s="47">
        <f t="shared" si="118"/>
        <v>1638.8491443033895</v>
      </c>
      <c r="AR320" s="193">
        <f t="shared" si="119"/>
        <v>1580.3131070150519</v>
      </c>
      <c r="AS320" s="122"/>
      <c r="AT320" s="122"/>
      <c r="AU320" s="122"/>
      <c r="AV320" s="122"/>
      <c r="AW320" s="122"/>
      <c r="AX320" s="122"/>
    </row>
    <row r="321" spans="1:50" s="90" customFormat="1">
      <c r="A321" s="229"/>
      <c r="B321" s="37">
        <f>'13. Desinvesteringen'!B605</f>
        <v>586</v>
      </c>
      <c r="C321" s="339"/>
      <c r="D321" s="339"/>
      <c r="E321" s="339"/>
      <c r="F321" s="42">
        <f>'5. Input GAW-waarde desinv.'!D281</f>
        <v>161395.41974096847</v>
      </c>
      <c r="G321" s="177">
        <f>'13. Desinvesteringen'!D605</f>
        <v>2007</v>
      </c>
      <c r="H321" s="177">
        <f>'13. Desinvesteringen'!G605</f>
        <v>2024</v>
      </c>
      <c r="I321" s="37" t="str">
        <f>'13. Desinvesteringen'!C605</f>
        <v>06 Utiliteitsgebouwen</v>
      </c>
      <c r="J321" s="166">
        <f>'13. Desinvesteringen'!F605</f>
        <v>0</v>
      </c>
      <c r="K321" s="38">
        <f>_xlfn.XLOOKUP(I321,'3. Input (des)investeringen '!$B$11:$B$81,'3. Input (des)investeringen '!$E$11:$E$81)</f>
        <v>0</v>
      </c>
      <c r="L321" s="339"/>
      <c r="M321" s="38">
        <f>_xlfn.XLOOKUP(I321,'3. Input (des)investeringen '!$B$11:$B$81,'3. Input (des)investeringen '!$D$11:$D$81,0)</f>
        <v>30</v>
      </c>
      <c r="N321" s="38">
        <f t="shared" si="99"/>
        <v>15.5</v>
      </c>
      <c r="P321" s="43">
        <f t="shared" si="120"/>
        <v>12182.751038511815</v>
      </c>
      <c r="Q321" s="43">
        <f t="shared" si="120"/>
        <v>11160.971919152758</v>
      </c>
      <c r="R321" s="43">
        <f t="shared" si="120"/>
        <v>10224.890403352849</v>
      </c>
      <c r="S321" s="43">
        <f t="shared" si="120"/>
        <v>9367.3189501684174</v>
      </c>
      <c r="T321" s="95">
        <f t="shared" si="120"/>
        <v>8897.3865613639809</v>
      </c>
      <c r="V321" s="43">
        <f t="shared" si="100"/>
        <v>1041.2607725223772</v>
      </c>
      <c r="W321" s="43">
        <f t="shared" si="101"/>
        <v>1041.2607725223775</v>
      </c>
      <c r="X321" s="43">
        <f t="shared" si="102"/>
        <v>1041.2607725223775</v>
      </c>
      <c r="Y321" s="43">
        <f t="shared" si="103"/>
        <v>1041.2607725223775</v>
      </c>
      <c r="Z321" s="95">
        <f t="shared" si="104"/>
        <v>1041.2607725223775</v>
      </c>
      <c r="AB321" s="43">
        <f t="shared" si="105"/>
        <v>13224.011811034192</v>
      </c>
      <c r="AC321" s="43">
        <f t="shared" si="106"/>
        <v>12202.232691675135</v>
      </c>
      <c r="AD321" s="43">
        <f t="shared" si="107"/>
        <v>11266.151175875226</v>
      </c>
      <c r="AE321" s="43">
        <f t="shared" si="108"/>
        <v>10408.579722690794</v>
      </c>
      <c r="AF321" s="95">
        <f t="shared" si="109"/>
        <v>9938.647333886358</v>
      </c>
      <c r="AH321" s="43">
        <f t="shared" si="110"/>
        <v>148171.40792993427</v>
      </c>
      <c r="AI321" s="43">
        <f t="shared" si="111"/>
        <v>135969.17523825914</v>
      </c>
      <c r="AJ321" s="43">
        <f t="shared" si="112"/>
        <v>124703.02406238391</v>
      </c>
      <c r="AK321" s="43">
        <f t="shared" si="113"/>
        <v>114294.44433969312</v>
      </c>
      <c r="AL321" s="95">
        <f t="shared" si="114"/>
        <v>104355.79700580676</v>
      </c>
      <c r="AN321" s="47">
        <f t="shared" si="115"/>
        <v>19299.039536161497</v>
      </c>
      <c r="AO321" s="47">
        <f t="shared" si="116"/>
        <v>19136.66062882635</v>
      </c>
      <c r="AP321" s="47">
        <f t="shared" si="117"/>
        <v>17626.005403056806</v>
      </c>
      <c r="AQ321" s="47">
        <f t="shared" si="118"/>
        <v>14751.768607599133</v>
      </c>
      <c r="AR321" s="193">
        <f t="shared" si="119"/>
        <v>13904.167620107015</v>
      </c>
      <c r="AS321" s="122"/>
      <c r="AT321" s="122"/>
      <c r="AU321" s="122"/>
      <c r="AV321" s="122"/>
      <c r="AW321" s="122"/>
      <c r="AX321" s="122"/>
    </row>
    <row r="322" spans="1:50" s="90" customFormat="1">
      <c r="A322" s="229"/>
      <c r="B322" s="37">
        <f>'13. Desinvesteringen'!B606</f>
        <v>587</v>
      </c>
      <c r="C322" s="339"/>
      <c r="D322" s="339"/>
      <c r="E322" s="339"/>
      <c r="F322" s="42">
        <f>'5. Input GAW-waarde desinv.'!D282</f>
        <v>107094.4472815734</v>
      </c>
      <c r="G322" s="177">
        <f>'13. Desinvesteringen'!D606</f>
        <v>2008</v>
      </c>
      <c r="H322" s="177">
        <f>'13. Desinvesteringen'!G606</f>
        <v>2024</v>
      </c>
      <c r="I322" s="37" t="str">
        <f>'13. Desinvesteringen'!C606</f>
        <v>06 Utiliteitsgebouwen</v>
      </c>
      <c r="J322" s="166">
        <f>'13. Desinvesteringen'!F606</f>
        <v>0</v>
      </c>
      <c r="K322" s="38">
        <f>_xlfn.XLOOKUP(I322,'3. Input (des)investeringen '!$B$11:$B$81,'3. Input (des)investeringen '!$E$11:$E$81)</f>
        <v>0</v>
      </c>
      <c r="L322" s="339"/>
      <c r="M322" s="38">
        <f>_xlfn.XLOOKUP(I322,'3. Input (des)investeringen '!$B$11:$B$81,'3. Input (des)investeringen '!$D$11:$D$81,0)</f>
        <v>30</v>
      </c>
      <c r="N322" s="38">
        <f t="shared" si="99"/>
        <v>16.5</v>
      </c>
      <c r="P322" s="43">
        <f t="shared" si="120"/>
        <v>7593.9698981479323</v>
      </c>
      <c r="Q322" s="43">
        <f t="shared" si="120"/>
        <v>6995.6571182938533</v>
      </c>
      <c r="R322" s="43">
        <f t="shared" si="120"/>
        <v>6444.4841332161559</v>
      </c>
      <c r="S322" s="43">
        <f t="shared" si="120"/>
        <v>5936.7368984779132</v>
      </c>
      <c r="T322" s="95">
        <f t="shared" si="120"/>
        <v>5553.1323604224172</v>
      </c>
      <c r="V322" s="43">
        <f t="shared" si="100"/>
        <v>649.0572562519601</v>
      </c>
      <c r="W322" s="43">
        <f t="shared" si="101"/>
        <v>649.0572562519601</v>
      </c>
      <c r="X322" s="43">
        <f t="shared" si="102"/>
        <v>649.0572562519601</v>
      </c>
      <c r="Y322" s="43">
        <f t="shared" si="103"/>
        <v>649.0572562519601</v>
      </c>
      <c r="Z322" s="95">
        <f t="shared" si="104"/>
        <v>649.0572562519601</v>
      </c>
      <c r="AB322" s="43">
        <f t="shared" si="105"/>
        <v>8243.0271543998933</v>
      </c>
      <c r="AC322" s="43">
        <f t="shared" si="106"/>
        <v>7644.7143745458134</v>
      </c>
      <c r="AD322" s="43">
        <f t="shared" si="107"/>
        <v>7093.541389468116</v>
      </c>
      <c r="AE322" s="43">
        <f t="shared" si="108"/>
        <v>6585.7941547298733</v>
      </c>
      <c r="AF322" s="95">
        <f t="shared" si="109"/>
        <v>6202.1896166743772</v>
      </c>
      <c r="AH322" s="43">
        <f t="shared" si="110"/>
        <v>98851.420127173507</v>
      </c>
      <c r="AI322" s="43">
        <f t="shared" si="111"/>
        <v>91206.705752627691</v>
      </c>
      <c r="AJ322" s="43">
        <f t="shared" si="112"/>
        <v>84113.16436315958</v>
      </c>
      <c r="AK322" s="43">
        <f t="shared" si="113"/>
        <v>77527.370208429711</v>
      </c>
      <c r="AL322" s="95">
        <f t="shared" si="114"/>
        <v>71325.180591755328</v>
      </c>
      <c r="AN322" s="47">
        <f t="shared" si="115"/>
        <v>12295.935379614008</v>
      </c>
      <c r="AO322" s="47">
        <f t="shared" si="116"/>
        <v>12296.256367929826</v>
      </c>
      <c r="AP322" s="47">
        <f t="shared" si="117"/>
        <v>11383.312771989255</v>
      </c>
      <c r="AQ322" s="47">
        <f t="shared" si="118"/>
        <v>9531.8342226502027</v>
      </c>
      <c r="AR322" s="193">
        <f t="shared" si="119"/>
        <v>8912.5464791610793</v>
      </c>
      <c r="AS322" s="122"/>
      <c r="AT322" s="122"/>
      <c r="AU322" s="122"/>
      <c r="AV322" s="122"/>
      <c r="AW322" s="122"/>
      <c r="AX322" s="122"/>
    </row>
    <row r="323" spans="1:50" s="90" customFormat="1">
      <c r="A323" s="229"/>
      <c r="B323" s="37">
        <f>'13. Desinvesteringen'!B607</f>
        <v>588</v>
      </c>
      <c r="C323" s="339"/>
      <c r="D323" s="339"/>
      <c r="E323" s="339"/>
      <c r="F323" s="42">
        <f>'5. Input GAW-waarde desinv.'!D283</f>
        <v>67773.247093874292</v>
      </c>
      <c r="G323" s="177">
        <f>'13. Desinvesteringen'!D607</f>
        <v>2009</v>
      </c>
      <c r="H323" s="177">
        <f>'13. Desinvesteringen'!G607</f>
        <v>2024</v>
      </c>
      <c r="I323" s="37" t="str">
        <f>'13. Desinvesteringen'!C607</f>
        <v>06 Utiliteitsgebouwen</v>
      </c>
      <c r="J323" s="166">
        <f>'13. Desinvesteringen'!F607</f>
        <v>0</v>
      </c>
      <c r="K323" s="38">
        <f>_xlfn.XLOOKUP(I323,'3. Input (des)investeringen '!$B$11:$B$81,'3. Input (des)investeringen '!$E$11:$E$81)</f>
        <v>0</v>
      </c>
      <c r="L323" s="339"/>
      <c r="M323" s="38">
        <f>_xlfn.XLOOKUP(I323,'3. Input (des)investeringen '!$B$11:$B$81,'3. Input (des)investeringen '!$D$11:$D$81,0)</f>
        <v>30</v>
      </c>
      <c r="N323" s="38">
        <f t="shared" si="99"/>
        <v>17.5</v>
      </c>
      <c r="P323" s="43">
        <f t="shared" si="120"/>
        <v>4531.1256628475958</v>
      </c>
      <c r="Q323" s="43">
        <f t="shared" si="120"/>
        <v>4194.5277564646312</v>
      </c>
      <c r="R323" s="43">
        <f t="shared" si="120"/>
        <v>3882.9342659844015</v>
      </c>
      <c r="S323" s="43">
        <f t="shared" si="120"/>
        <v>3594.4877205112748</v>
      </c>
      <c r="T323" s="95">
        <f t="shared" si="120"/>
        <v>3327.4686327018658</v>
      </c>
      <c r="V323" s="43">
        <f t="shared" si="100"/>
        <v>387.27569767928168</v>
      </c>
      <c r="W323" s="43">
        <f t="shared" si="101"/>
        <v>387.27569767928168</v>
      </c>
      <c r="X323" s="43">
        <f t="shared" si="102"/>
        <v>387.27569767928168</v>
      </c>
      <c r="Y323" s="43">
        <f t="shared" si="103"/>
        <v>387.27569767928168</v>
      </c>
      <c r="Z323" s="95">
        <f t="shared" si="104"/>
        <v>387.27569767928168</v>
      </c>
      <c r="AB323" s="43">
        <f t="shared" si="105"/>
        <v>4918.4013605268774</v>
      </c>
      <c r="AC323" s="43">
        <f t="shared" si="106"/>
        <v>4581.8034541439129</v>
      </c>
      <c r="AD323" s="43">
        <f t="shared" si="107"/>
        <v>4270.2099636636831</v>
      </c>
      <c r="AE323" s="43">
        <f t="shared" si="108"/>
        <v>3981.7634181905564</v>
      </c>
      <c r="AF323" s="95">
        <f t="shared" si="109"/>
        <v>3714.7443303811474</v>
      </c>
      <c r="AH323" s="43">
        <f t="shared" si="110"/>
        <v>62854.845733347414</v>
      </c>
      <c r="AI323" s="43">
        <f t="shared" si="111"/>
        <v>58273.042279203502</v>
      </c>
      <c r="AJ323" s="43">
        <f t="shared" si="112"/>
        <v>54002.832315539818</v>
      </c>
      <c r="AK323" s="43">
        <f t="shared" si="113"/>
        <v>50021.068897349258</v>
      </c>
      <c r="AL323" s="95">
        <f t="shared" si="114"/>
        <v>46306.324566968113</v>
      </c>
      <c r="AN323" s="47">
        <f t="shared" si="115"/>
        <v>7495.4500355941218</v>
      </c>
      <c r="AO323" s="47">
        <f t="shared" si="116"/>
        <v>7553.7286103832912</v>
      </c>
      <c r="AP323" s="47">
        <f t="shared" si="117"/>
        <v>7024.3544117562142</v>
      </c>
      <c r="AQ323" s="47">
        <f t="shared" si="118"/>
        <v>5882.5640362898284</v>
      </c>
      <c r="AR323" s="193">
        <f t="shared" si="119"/>
        <v>5474.3846639259355</v>
      </c>
      <c r="AS323" s="122"/>
      <c r="AT323" s="122"/>
      <c r="AU323" s="122"/>
      <c r="AV323" s="122"/>
      <c r="AW323" s="122"/>
      <c r="AX323" s="122"/>
    </row>
    <row r="324" spans="1:50" s="90" customFormat="1">
      <c r="A324" s="229"/>
      <c r="B324" s="37">
        <f>'13. Desinvesteringen'!B608</f>
        <v>589</v>
      </c>
      <c r="C324" s="339"/>
      <c r="D324" s="339"/>
      <c r="E324" s="339"/>
      <c r="F324" s="42">
        <f>'5. Input GAW-waarde desinv.'!D284</f>
        <v>520303.7394086328</v>
      </c>
      <c r="G324" s="177">
        <f>'13. Desinvesteringen'!D608</f>
        <v>2010</v>
      </c>
      <c r="H324" s="177">
        <f>'13. Desinvesteringen'!G608</f>
        <v>2024</v>
      </c>
      <c r="I324" s="37" t="str">
        <f>'13. Desinvesteringen'!C608</f>
        <v>06 Utiliteitsgebouwen</v>
      </c>
      <c r="J324" s="166">
        <f>'13. Desinvesteringen'!F608</f>
        <v>0</v>
      </c>
      <c r="K324" s="38">
        <f>_xlfn.XLOOKUP(I324,'3. Input (des)investeringen '!$B$11:$B$81,'3. Input (des)investeringen '!$E$11:$E$81)</f>
        <v>0</v>
      </c>
      <c r="L324" s="339"/>
      <c r="M324" s="38">
        <f>_xlfn.XLOOKUP(I324,'3. Input (des)investeringen '!$B$11:$B$81,'3. Input (des)investeringen '!$D$11:$D$81,0)</f>
        <v>30</v>
      </c>
      <c r="N324" s="38">
        <f t="shared" si="99"/>
        <v>18.5</v>
      </c>
      <c r="P324" s="43">
        <f t="shared" si="120"/>
        <v>32905.695951789217</v>
      </c>
      <c r="Q324" s="43">
        <f t="shared" si="120"/>
        <v>30593.403803825648</v>
      </c>
      <c r="R324" s="43">
        <f t="shared" si="120"/>
        <v>28443.597050043303</v>
      </c>
      <c r="S324" s="43">
        <f t="shared" si="120"/>
        <v>26444.857797878096</v>
      </c>
      <c r="T324" s="95">
        <f t="shared" si="120"/>
        <v>24586.57049316234</v>
      </c>
      <c r="V324" s="43">
        <f t="shared" si="100"/>
        <v>2812.4526454520692</v>
      </c>
      <c r="W324" s="43">
        <f t="shared" si="101"/>
        <v>2812.4526454520692</v>
      </c>
      <c r="X324" s="43">
        <f t="shared" si="102"/>
        <v>2812.4526454520692</v>
      </c>
      <c r="Y324" s="43">
        <f t="shared" si="103"/>
        <v>2812.4526454520692</v>
      </c>
      <c r="Z324" s="95">
        <f t="shared" si="104"/>
        <v>2812.4526454520692</v>
      </c>
      <c r="AB324" s="43">
        <f t="shared" si="105"/>
        <v>35718.148597241285</v>
      </c>
      <c r="AC324" s="43">
        <f t="shared" si="106"/>
        <v>33405.856449277715</v>
      </c>
      <c r="AD324" s="43">
        <f t="shared" si="107"/>
        <v>31256.049695495371</v>
      </c>
      <c r="AE324" s="43">
        <f t="shared" si="108"/>
        <v>29257.310443330163</v>
      </c>
      <c r="AF324" s="95">
        <f t="shared" si="109"/>
        <v>27399.023138614408</v>
      </c>
      <c r="AH324" s="43">
        <f t="shared" si="110"/>
        <v>484585.59081139154</v>
      </c>
      <c r="AI324" s="43">
        <f t="shared" si="111"/>
        <v>451179.73436211381</v>
      </c>
      <c r="AJ324" s="43">
        <f t="shared" si="112"/>
        <v>419923.68466661847</v>
      </c>
      <c r="AK324" s="43">
        <f t="shared" si="113"/>
        <v>390666.37422328832</v>
      </c>
      <c r="AL324" s="95">
        <f t="shared" si="114"/>
        <v>363267.35108467389</v>
      </c>
      <c r="AN324" s="47">
        <f t="shared" si="115"/>
        <v>55586.157820508335</v>
      </c>
      <c r="AO324" s="47">
        <f t="shared" si="116"/>
        <v>56416.022901745513</v>
      </c>
      <c r="AP324" s="47">
        <f t="shared" si="117"/>
        <v>52672.157613492913</v>
      </c>
      <c r="AQ324" s="47">
        <f t="shared" si="118"/>
        <v>44102.632663815122</v>
      </c>
      <c r="AR324" s="193">
        <f t="shared" si="119"/>
        <v>41203.182479832016</v>
      </c>
      <c r="AS324" s="122"/>
      <c r="AT324" s="122"/>
      <c r="AU324" s="122"/>
      <c r="AV324" s="122"/>
      <c r="AW324" s="122"/>
      <c r="AX324" s="122"/>
    </row>
    <row r="325" spans="1:50" s="90" customFormat="1">
      <c r="A325" s="229"/>
      <c r="B325" s="37">
        <f>'13. Desinvesteringen'!B609</f>
        <v>590</v>
      </c>
      <c r="C325" s="339"/>
      <c r="D325" s="339"/>
      <c r="E325" s="339"/>
      <c r="F325" s="42">
        <f>'5. Input GAW-waarde desinv.'!D285</f>
        <v>0</v>
      </c>
      <c r="G325" s="177">
        <f>'13. Desinvesteringen'!D609</f>
        <v>1998</v>
      </c>
      <c r="H325" s="177">
        <f>'13. Desinvesteringen'!G609</f>
        <v>2024</v>
      </c>
      <c r="I325" s="37" t="str">
        <f>'13. Desinvesteringen'!C609</f>
        <v>08 Inrichting gebouwen</v>
      </c>
      <c r="J325" s="166">
        <f>'13. Desinvesteringen'!F609</f>
        <v>0</v>
      </c>
      <c r="K325" s="38">
        <f>_xlfn.XLOOKUP(I325,'3. Input (des)investeringen '!$B$11:$B$81,'3. Input (des)investeringen '!$E$11:$E$81)</f>
        <v>0</v>
      </c>
      <c r="L325" s="339"/>
      <c r="M325" s="38">
        <f>_xlfn.XLOOKUP(I325,'3. Input (des)investeringen '!$B$11:$B$81,'3. Input (des)investeringen '!$D$11:$D$81,0)</f>
        <v>10</v>
      </c>
      <c r="N325" s="38">
        <f t="shared" si="99"/>
        <v>0</v>
      </c>
      <c r="P325" s="43">
        <f t="shared" si="120"/>
        <v>0</v>
      </c>
      <c r="Q325" s="43">
        <f t="shared" si="120"/>
        <v>0</v>
      </c>
      <c r="R325" s="43">
        <f t="shared" si="120"/>
        <v>0</v>
      </c>
      <c r="S325" s="43">
        <f t="shared" si="120"/>
        <v>0</v>
      </c>
      <c r="T325" s="95">
        <f t="shared" si="120"/>
        <v>0</v>
      </c>
      <c r="V325" s="43">
        <f t="shared" si="100"/>
        <v>0</v>
      </c>
      <c r="W325" s="43">
        <f t="shared" si="101"/>
        <v>0</v>
      </c>
      <c r="X325" s="43">
        <f t="shared" si="102"/>
        <v>0</v>
      </c>
      <c r="Y325" s="43">
        <f t="shared" si="103"/>
        <v>0</v>
      </c>
      <c r="Z325" s="95">
        <f t="shared" si="104"/>
        <v>0</v>
      </c>
      <c r="AB325" s="43">
        <f t="shared" si="105"/>
        <v>0</v>
      </c>
      <c r="AC325" s="43">
        <f t="shared" si="106"/>
        <v>0</v>
      </c>
      <c r="AD325" s="43">
        <f t="shared" si="107"/>
        <v>0</v>
      </c>
      <c r="AE325" s="43">
        <f t="shared" si="108"/>
        <v>0</v>
      </c>
      <c r="AF325" s="95">
        <f t="shared" si="109"/>
        <v>0</v>
      </c>
      <c r="AH325" s="43">
        <f t="shared" si="110"/>
        <v>0</v>
      </c>
      <c r="AI325" s="43">
        <f t="shared" si="111"/>
        <v>0</v>
      </c>
      <c r="AJ325" s="43">
        <f t="shared" si="112"/>
        <v>0</v>
      </c>
      <c r="AK325" s="43">
        <f t="shared" si="113"/>
        <v>0</v>
      </c>
      <c r="AL325" s="95">
        <f t="shared" si="114"/>
        <v>0</v>
      </c>
      <c r="AN325" s="47">
        <f t="shared" si="115"/>
        <v>0</v>
      </c>
      <c r="AO325" s="47">
        <f t="shared" si="116"/>
        <v>0</v>
      </c>
      <c r="AP325" s="47">
        <f t="shared" si="117"/>
        <v>0</v>
      </c>
      <c r="AQ325" s="47">
        <f t="shared" si="118"/>
        <v>0</v>
      </c>
      <c r="AR325" s="193">
        <f t="shared" si="119"/>
        <v>0</v>
      </c>
      <c r="AS325" s="122"/>
      <c r="AT325" s="122"/>
      <c r="AU325" s="122"/>
      <c r="AV325" s="122"/>
      <c r="AW325" s="122"/>
      <c r="AX325" s="122"/>
    </row>
    <row r="326" spans="1:50" s="90" customFormat="1">
      <c r="A326" s="229"/>
      <c r="B326" s="37">
        <f>'13. Desinvesteringen'!B610</f>
        <v>591</v>
      </c>
      <c r="C326" s="339"/>
      <c r="D326" s="339"/>
      <c r="E326" s="339"/>
      <c r="F326" s="42">
        <f>'5. Input GAW-waarde desinv.'!D286</f>
        <v>0</v>
      </c>
      <c r="G326" s="177">
        <f>'13. Desinvesteringen'!D610</f>
        <v>2001</v>
      </c>
      <c r="H326" s="177">
        <f>'13. Desinvesteringen'!G610</f>
        <v>2024</v>
      </c>
      <c r="I326" s="37" t="str">
        <f>'13. Desinvesteringen'!C610</f>
        <v>08 Inrichting gebouwen</v>
      </c>
      <c r="J326" s="166">
        <f>'13. Desinvesteringen'!F610</f>
        <v>0</v>
      </c>
      <c r="K326" s="38">
        <f>_xlfn.XLOOKUP(I326,'3. Input (des)investeringen '!$B$11:$B$81,'3. Input (des)investeringen '!$E$11:$E$81)</f>
        <v>0</v>
      </c>
      <c r="L326" s="339"/>
      <c r="M326" s="38">
        <f>_xlfn.XLOOKUP(I326,'3. Input (des)investeringen '!$B$11:$B$81,'3. Input (des)investeringen '!$D$11:$D$81,0)</f>
        <v>10</v>
      </c>
      <c r="N326" s="38">
        <f t="shared" si="99"/>
        <v>0</v>
      </c>
      <c r="P326" s="43">
        <f t="shared" si="120"/>
        <v>0</v>
      </c>
      <c r="Q326" s="43">
        <f t="shared" si="120"/>
        <v>0</v>
      </c>
      <c r="R326" s="43">
        <f t="shared" si="120"/>
        <v>0</v>
      </c>
      <c r="S326" s="43">
        <f t="shared" si="120"/>
        <v>0</v>
      </c>
      <c r="T326" s="95">
        <f t="shared" si="120"/>
        <v>0</v>
      </c>
      <c r="V326" s="43">
        <f t="shared" si="100"/>
        <v>0</v>
      </c>
      <c r="W326" s="43">
        <f t="shared" si="101"/>
        <v>0</v>
      </c>
      <c r="X326" s="43">
        <f t="shared" si="102"/>
        <v>0</v>
      </c>
      <c r="Y326" s="43">
        <f t="shared" si="103"/>
        <v>0</v>
      </c>
      <c r="Z326" s="95">
        <f t="shared" si="104"/>
        <v>0</v>
      </c>
      <c r="AB326" s="43">
        <f t="shared" si="105"/>
        <v>0</v>
      </c>
      <c r="AC326" s="43">
        <f t="shared" si="106"/>
        <v>0</v>
      </c>
      <c r="AD326" s="43">
        <f t="shared" si="107"/>
        <v>0</v>
      </c>
      <c r="AE326" s="43">
        <f t="shared" si="108"/>
        <v>0</v>
      </c>
      <c r="AF326" s="95">
        <f t="shared" si="109"/>
        <v>0</v>
      </c>
      <c r="AH326" s="43">
        <f t="shared" si="110"/>
        <v>0</v>
      </c>
      <c r="AI326" s="43">
        <f t="shared" si="111"/>
        <v>0</v>
      </c>
      <c r="AJ326" s="43">
        <f t="shared" si="112"/>
        <v>0</v>
      </c>
      <c r="AK326" s="43">
        <f t="shared" si="113"/>
        <v>0</v>
      </c>
      <c r="AL326" s="95">
        <f t="shared" si="114"/>
        <v>0</v>
      </c>
      <c r="AN326" s="47">
        <f t="shared" si="115"/>
        <v>0</v>
      </c>
      <c r="AO326" s="47">
        <f t="shared" si="116"/>
        <v>0</v>
      </c>
      <c r="AP326" s="47">
        <f t="shared" si="117"/>
        <v>0</v>
      </c>
      <c r="AQ326" s="47">
        <f t="shared" si="118"/>
        <v>0</v>
      </c>
      <c r="AR326" s="193">
        <f t="shared" si="119"/>
        <v>0</v>
      </c>
      <c r="AS326" s="122"/>
      <c r="AT326" s="122"/>
      <c r="AU326" s="122"/>
      <c r="AV326" s="122"/>
      <c r="AW326" s="122"/>
      <c r="AX326" s="122"/>
    </row>
    <row r="327" spans="1:50" s="90" customFormat="1">
      <c r="A327" s="229"/>
      <c r="B327" s="37">
        <f>'13. Desinvesteringen'!B611</f>
        <v>592</v>
      </c>
      <c r="C327" s="339"/>
      <c r="D327" s="339"/>
      <c r="E327" s="339"/>
      <c r="F327" s="42">
        <f>'5. Input GAW-waarde desinv.'!D287</f>
        <v>0</v>
      </c>
      <c r="G327" s="177">
        <f>'13. Desinvesteringen'!D611</f>
        <v>2003</v>
      </c>
      <c r="H327" s="177">
        <f>'13. Desinvesteringen'!G611</f>
        <v>2024</v>
      </c>
      <c r="I327" s="37" t="str">
        <f>'13. Desinvesteringen'!C611</f>
        <v>08 Inrichting gebouwen</v>
      </c>
      <c r="J327" s="166">
        <f>'13. Desinvesteringen'!F611</f>
        <v>0</v>
      </c>
      <c r="K327" s="38">
        <f>_xlfn.XLOOKUP(I327,'3. Input (des)investeringen '!$B$11:$B$81,'3. Input (des)investeringen '!$E$11:$E$81)</f>
        <v>0</v>
      </c>
      <c r="L327" s="339"/>
      <c r="M327" s="38">
        <f>_xlfn.XLOOKUP(I327,'3. Input (des)investeringen '!$B$11:$B$81,'3. Input (des)investeringen '!$D$11:$D$81,0)</f>
        <v>10</v>
      </c>
      <c r="N327" s="38">
        <f t="shared" si="99"/>
        <v>0</v>
      </c>
      <c r="P327" s="43">
        <f t="shared" si="120"/>
        <v>0</v>
      </c>
      <c r="Q327" s="43">
        <f t="shared" si="120"/>
        <v>0</v>
      </c>
      <c r="R327" s="43">
        <f t="shared" si="120"/>
        <v>0</v>
      </c>
      <c r="S327" s="43">
        <f t="shared" si="120"/>
        <v>0</v>
      </c>
      <c r="T327" s="95">
        <f t="shared" si="120"/>
        <v>0</v>
      </c>
      <c r="V327" s="43">
        <f t="shared" si="100"/>
        <v>0</v>
      </c>
      <c r="W327" s="43">
        <f t="shared" si="101"/>
        <v>0</v>
      </c>
      <c r="X327" s="43">
        <f t="shared" si="102"/>
        <v>0</v>
      </c>
      <c r="Y327" s="43">
        <f t="shared" si="103"/>
        <v>0</v>
      </c>
      <c r="Z327" s="95">
        <f t="shared" si="104"/>
        <v>0</v>
      </c>
      <c r="AB327" s="43">
        <f t="shared" si="105"/>
        <v>0</v>
      </c>
      <c r="AC327" s="43">
        <f t="shared" si="106"/>
        <v>0</v>
      </c>
      <c r="AD327" s="43">
        <f t="shared" si="107"/>
        <v>0</v>
      </c>
      <c r="AE327" s="43">
        <f t="shared" si="108"/>
        <v>0</v>
      </c>
      <c r="AF327" s="95">
        <f t="shared" si="109"/>
        <v>0</v>
      </c>
      <c r="AH327" s="43">
        <f t="shared" si="110"/>
        <v>0</v>
      </c>
      <c r="AI327" s="43">
        <f t="shared" si="111"/>
        <v>0</v>
      </c>
      <c r="AJ327" s="43">
        <f t="shared" si="112"/>
        <v>0</v>
      </c>
      <c r="AK327" s="43">
        <f t="shared" si="113"/>
        <v>0</v>
      </c>
      <c r="AL327" s="95">
        <f t="shared" si="114"/>
        <v>0</v>
      </c>
      <c r="AN327" s="47">
        <f t="shared" si="115"/>
        <v>0</v>
      </c>
      <c r="AO327" s="47">
        <f t="shared" si="116"/>
        <v>0</v>
      </c>
      <c r="AP327" s="47">
        <f t="shared" si="117"/>
        <v>0</v>
      </c>
      <c r="AQ327" s="47">
        <f t="shared" si="118"/>
        <v>0</v>
      </c>
      <c r="AR327" s="193">
        <f t="shared" si="119"/>
        <v>0</v>
      </c>
      <c r="AS327" s="122"/>
      <c r="AT327" s="122"/>
      <c r="AU327" s="122"/>
      <c r="AV327" s="122"/>
      <c r="AW327" s="122"/>
      <c r="AX327" s="122"/>
    </row>
    <row r="328" spans="1:50" s="90" customFormat="1">
      <c r="A328" s="229"/>
      <c r="B328" s="37">
        <f>'13. Desinvesteringen'!B612</f>
        <v>593</v>
      </c>
      <c r="C328" s="339"/>
      <c r="D328" s="339"/>
      <c r="E328" s="339"/>
      <c r="F328" s="42">
        <f>'5. Input GAW-waarde desinv.'!D288</f>
        <v>0</v>
      </c>
      <c r="G328" s="177">
        <f>'13. Desinvesteringen'!D612</f>
        <v>1970</v>
      </c>
      <c r="H328" s="177">
        <f>'13. Desinvesteringen'!G612</f>
        <v>2024</v>
      </c>
      <c r="I328" s="37" t="str">
        <f>'13. Desinvesteringen'!C612</f>
        <v>15 Compressorstations (TT-BT-AT)</v>
      </c>
      <c r="J328" s="166">
        <f>'13. Desinvesteringen'!F612</f>
        <v>0</v>
      </c>
      <c r="K328" s="38">
        <f>_xlfn.XLOOKUP(I328,'3. Input (des)investeringen '!$B$11:$B$81,'3. Input (des)investeringen '!$E$11:$E$81)</f>
        <v>1</v>
      </c>
      <c r="L328" s="339"/>
      <c r="M328" s="38">
        <f>_xlfn.XLOOKUP(I328,'3. Input (des)investeringen '!$B$11:$B$81,'3. Input (des)investeringen '!$D$11:$D$81,0)</f>
        <v>30</v>
      </c>
      <c r="N328" s="38">
        <f t="shared" si="99"/>
        <v>0</v>
      </c>
      <c r="P328" s="43">
        <f t="shared" si="120"/>
        <v>0</v>
      </c>
      <c r="Q328" s="43">
        <f t="shared" si="120"/>
        <v>0</v>
      </c>
      <c r="R328" s="43">
        <f t="shared" si="120"/>
        <v>0</v>
      </c>
      <c r="S328" s="43">
        <f t="shared" si="120"/>
        <v>0</v>
      </c>
      <c r="T328" s="95">
        <f t="shared" si="120"/>
        <v>0</v>
      </c>
      <c r="V328" s="43">
        <f t="shared" si="100"/>
        <v>0</v>
      </c>
      <c r="W328" s="43">
        <f t="shared" si="101"/>
        <v>0</v>
      </c>
      <c r="X328" s="43">
        <f t="shared" si="102"/>
        <v>0</v>
      </c>
      <c r="Y328" s="43">
        <f t="shared" si="103"/>
        <v>0</v>
      </c>
      <c r="Z328" s="95">
        <f t="shared" si="104"/>
        <v>0</v>
      </c>
      <c r="AB328" s="43">
        <f t="shared" si="105"/>
        <v>0</v>
      </c>
      <c r="AC328" s="43">
        <f t="shared" si="106"/>
        <v>0</v>
      </c>
      <c r="AD328" s="43">
        <f t="shared" si="107"/>
        <v>0</v>
      </c>
      <c r="AE328" s="43">
        <f t="shared" si="108"/>
        <v>0</v>
      </c>
      <c r="AF328" s="95">
        <f t="shared" si="109"/>
        <v>0</v>
      </c>
      <c r="AH328" s="43">
        <f t="shared" si="110"/>
        <v>0</v>
      </c>
      <c r="AI328" s="43">
        <f t="shared" si="111"/>
        <v>0</v>
      </c>
      <c r="AJ328" s="43">
        <f t="shared" si="112"/>
        <v>0</v>
      </c>
      <c r="AK328" s="43">
        <f t="shared" si="113"/>
        <v>0</v>
      </c>
      <c r="AL328" s="95">
        <f t="shared" si="114"/>
        <v>0</v>
      </c>
      <c r="AN328" s="47">
        <f t="shared" si="115"/>
        <v>0</v>
      </c>
      <c r="AO328" s="47">
        <f t="shared" si="116"/>
        <v>0</v>
      </c>
      <c r="AP328" s="47">
        <f t="shared" si="117"/>
        <v>0</v>
      </c>
      <c r="AQ328" s="47">
        <f t="shared" si="118"/>
        <v>0</v>
      </c>
      <c r="AR328" s="193">
        <f t="shared" si="119"/>
        <v>0</v>
      </c>
      <c r="AS328" s="122"/>
      <c r="AT328" s="122"/>
      <c r="AU328" s="122"/>
      <c r="AV328" s="122"/>
      <c r="AW328" s="122"/>
      <c r="AX328" s="122"/>
    </row>
    <row r="329" spans="1:50" s="90" customFormat="1">
      <c r="A329" s="229"/>
      <c r="B329" s="37">
        <f>'13. Desinvesteringen'!B613</f>
        <v>594</v>
      </c>
      <c r="C329" s="339"/>
      <c r="D329" s="339"/>
      <c r="E329" s="339"/>
      <c r="F329" s="42">
        <f>'5. Input GAW-waarde desinv.'!D289</f>
        <v>0</v>
      </c>
      <c r="G329" s="177">
        <f>'13. Desinvesteringen'!D613</f>
        <v>1971</v>
      </c>
      <c r="H329" s="177">
        <f>'13. Desinvesteringen'!G613</f>
        <v>2024</v>
      </c>
      <c r="I329" s="37" t="str">
        <f>'13. Desinvesteringen'!C613</f>
        <v>15 Compressorstations (TT-BT-AT)</v>
      </c>
      <c r="J329" s="166">
        <f>'13. Desinvesteringen'!F613</f>
        <v>0</v>
      </c>
      <c r="K329" s="38">
        <f>_xlfn.XLOOKUP(I329,'3. Input (des)investeringen '!$B$11:$B$81,'3. Input (des)investeringen '!$E$11:$E$81)</f>
        <v>1</v>
      </c>
      <c r="L329" s="339"/>
      <c r="M329" s="38">
        <f>_xlfn.XLOOKUP(I329,'3. Input (des)investeringen '!$B$11:$B$81,'3. Input (des)investeringen '!$D$11:$D$81,0)</f>
        <v>30</v>
      </c>
      <c r="N329" s="38">
        <f t="shared" si="99"/>
        <v>0</v>
      </c>
      <c r="P329" s="43">
        <f t="shared" ref="P329:T379" si="121">IF($M329&gt;0, IF(OR($G329&gt;P$49,$G329+$M329&lt;P$49),0,
VDB($F329,0,$N329,MAX(0,P$49-2022),MIN($N329,P$49-2021),$F$22,FALSE))*(1-$F$25), 0)</f>
        <v>0</v>
      </c>
      <c r="Q329" s="43">
        <f t="shared" si="121"/>
        <v>0</v>
      </c>
      <c r="R329" s="43">
        <f t="shared" si="121"/>
        <v>0</v>
      </c>
      <c r="S329" s="43">
        <f t="shared" si="121"/>
        <v>0</v>
      </c>
      <c r="T329" s="95">
        <f t="shared" si="121"/>
        <v>0</v>
      </c>
      <c r="V329" s="43">
        <f t="shared" si="100"/>
        <v>0</v>
      </c>
      <c r="W329" s="43">
        <f t="shared" si="101"/>
        <v>0</v>
      </c>
      <c r="X329" s="43">
        <f t="shared" si="102"/>
        <v>0</v>
      </c>
      <c r="Y329" s="43">
        <f t="shared" si="103"/>
        <v>0</v>
      </c>
      <c r="Z329" s="95">
        <f t="shared" si="104"/>
        <v>0</v>
      </c>
      <c r="AB329" s="43">
        <f t="shared" si="105"/>
        <v>0</v>
      </c>
      <c r="AC329" s="43">
        <f t="shared" si="106"/>
        <v>0</v>
      </c>
      <c r="AD329" s="43">
        <f t="shared" si="107"/>
        <v>0</v>
      </c>
      <c r="AE329" s="43">
        <f t="shared" si="108"/>
        <v>0</v>
      </c>
      <c r="AF329" s="95">
        <f t="shared" si="109"/>
        <v>0</v>
      </c>
      <c r="AH329" s="43">
        <f t="shared" si="110"/>
        <v>0</v>
      </c>
      <c r="AI329" s="43">
        <f t="shared" si="111"/>
        <v>0</v>
      </c>
      <c r="AJ329" s="43">
        <f t="shared" si="112"/>
        <v>0</v>
      </c>
      <c r="AK329" s="43">
        <f t="shared" si="113"/>
        <v>0</v>
      </c>
      <c r="AL329" s="95">
        <f t="shared" si="114"/>
        <v>0</v>
      </c>
      <c r="AN329" s="47">
        <f t="shared" si="115"/>
        <v>0</v>
      </c>
      <c r="AO329" s="47">
        <f t="shared" si="116"/>
        <v>0</v>
      </c>
      <c r="AP329" s="47">
        <f t="shared" si="117"/>
        <v>0</v>
      </c>
      <c r="AQ329" s="47">
        <f t="shared" si="118"/>
        <v>0</v>
      </c>
      <c r="AR329" s="193">
        <f t="shared" si="119"/>
        <v>0</v>
      </c>
      <c r="AS329" s="122"/>
      <c r="AT329" s="122"/>
      <c r="AU329" s="122"/>
      <c r="AV329" s="122"/>
      <c r="AW329" s="122"/>
      <c r="AX329" s="122"/>
    </row>
    <row r="330" spans="1:50" s="90" customFormat="1">
      <c r="A330" s="229"/>
      <c r="B330" s="37">
        <f>'13. Desinvesteringen'!B614</f>
        <v>595</v>
      </c>
      <c r="C330" s="339"/>
      <c r="D330" s="339"/>
      <c r="E330" s="339"/>
      <c r="F330" s="42">
        <f>'5. Input GAW-waarde desinv.'!D290</f>
        <v>0</v>
      </c>
      <c r="G330" s="177">
        <f>'13. Desinvesteringen'!D614</f>
        <v>1972</v>
      </c>
      <c r="H330" s="177">
        <f>'13. Desinvesteringen'!G614</f>
        <v>2024</v>
      </c>
      <c r="I330" s="37" t="str">
        <f>'13. Desinvesteringen'!C614</f>
        <v>15 Compressorstations (TT-BT-AT)</v>
      </c>
      <c r="J330" s="166">
        <f>'13. Desinvesteringen'!F614</f>
        <v>0</v>
      </c>
      <c r="K330" s="38">
        <f>_xlfn.XLOOKUP(I330,'3. Input (des)investeringen '!$B$11:$B$81,'3. Input (des)investeringen '!$E$11:$E$81)</f>
        <v>1</v>
      </c>
      <c r="L330" s="339"/>
      <c r="M330" s="38">
        <f>_xlfn.XLOOKUP(I330,'3. Input (des)investeringen '!$B$11:$B$81,'3. Input (des)investeringen '!$D$11:$D$81,0)</f>
        <v>30</v>
      </c>
      <c r="N330" s="38">
        <f t="shared" si="99"/>
        <v>0</v>
      </c>
      <c r="P330" s="43">
        <f t="shared" si="121"/>
        <v>0</v>
      </c>
      <c r="Q330" s="43">
        <f t="shared" si="121"/>
        <v>0</v>
      </c>
      <c r="R330" s="43">
        <f t="shared" si="121"/>
        <v>0</v>
      </c>
      <c r="S330" s="43">
        <f t="shared" si="121"/>
        <v>0</v>
      </c>
      <c r="T330" s="95">
        <f t="shared" si="121"/>
        <v>0</v>
      </c>
      <c r="V330" s="43">
        <f t="shared" si="100"/>
        <v>0</v>
      </c>
      <c r="W330" s="43">
        <f t="shared" si="101"/>
        <v>0</v>
      </c>
      <c r="X330" s="43">
        <f t="shared" si="102"/>
        <v>0</v>
      </c>
      <c r="Y330" s="43">
        <f t="shared" si="103"/>
        <v>0</v>
      </c>
      <c r="Z330" s="95">
        <f t="shared" si="104"/>
        <v>0</v>
      </c>
      <c r="AB330" s="43">
        <f t="shared" si="105"/>
        <v>0</v>
      </c>
      <c r="AC330" s="43">
        <f t="shared" si="106"/>
        <v>0</v>
      </c>
      <c r="AD330" s="43">
        <f t="shared" si="107"/>
        <v>0</v>
      </c>
      <c r="AE330" s="43">
        <f t="shared" si="108"/>
        <v>0</v>
      </c>
      <c r="AF330" s="95">
        <f t="shared" si="109"/>
        <v>0</v>
      </c>
      <c r="AH330" s="43">
        <f t="shared" si="110"/>
        <v>0</v>
      </c>
      <c r="AI330" s="43">
        <f t="shared" si="111"/>
        <v>0</v>
      </c>
      <c r="AJ330" s="43">
        <f t="shared" si="112"/>
        <v>0</v>
      </c>
      <c r="AK330" s="43">
        <f t="shared" si="113"/>
        <v>0</v>
      </c>
      <c r="AL330" s="95">
        <f t="shared" si="114"/>
        <v>0</v>
      </c>
      <c r="AN330" s="47">
        <f t="shared" si="115"/>
        <v>0</v>
      </c>
      <c r="AO330" s="47">
        <f t="shared" si="116"/>
        <v>0</v>
      </c>
      <c r="AP330" s="47">
        <f t="shared" si="117"/>
        <v>0</v>
      </c>
      <c r="AQ330" s="47">
        <f t="shared" si="118"/>
        <v>0</v>
      </c>
      <c r="AR330" s="193">
        <f t="shared" si="119"/>
        <v>0</v>
      </c>
      <c r="AS330" s="122"/>
      <c r="AT330" s="122"/>
      <c r="AU330" s="122"/>
      <c r="AV330" s="122"/>
      <c r="AW330" s="122"/>
      <c r="AX330" s="122"/>
    </row>
    <row r="331" spans="1:50" s="90" customFormat="1">
      <c r="A331" s="229"/>
      <c r="B331" s="37">
        <f>'13. Desinvesteringen'!B615</f>
        <v>596</v>
      </c>
      <c r="C331" s="339"/>
      <c r="D331" s="339"/>
      <c r="E331" s="339"/>
      <c r="F331" s="42">
        <f>'5. Input GAW-waarde desinv.'!D291</f>
        <v>0</v>
      </c>
      <c r="G331" s="177">
        <f>'13. Desinvesteringen'!D615</f>
        <v>1973</v>
      </c>
      <c r="H331" s="177">
        <f>'13. Desinvesteringen'!G615</f>
        <v>2024</v>
      </c>
      <c r="I331" s="37" t="str">
        <f>'13. Desinvesteringen'!C615</f>
        <v>15 Compressorstations (TT-BT-AT)</v>
      </c>
      <c r="J331" s="166">
        <f>'13. Desinvesteringen'!F615</f>
        <v>0</v>
      </c>
      <c r="K331" s="38">
        <f>_xlfn.XLOOKUP(I331,'3. Input (des)investeringen '!$B$11:$B$81,'3. Input (des)investeringen '!$E$11:$E$81)</f>
        <v>1</v>
      </c>
      <c r="L331" s="339"/>
      <c r="M331" s="38">
        <f>_xlfn.XLOOKUP(I331,'3. Input (des)investeringen '!$B$11:$B$81,'3. Input (des)investeringen '!$D$11:$D$81,0)</f>
        <v>30</v>
      </c>
      <c r="N331" s="38">
        <f t="shared" ref="N331:N383" si="122">IF($M331&gt;0, MAX(0,IF(G331&lt;2022,M331-2021+G331-0.5,M331)), 0)</f>
        <v>0</v>
      </c>
      <c r="P331" s="43">
        <f t="shared" si="121"/>
        <v>0</v>
      </c>
      <c r="Q331" s="43">
        <f t="shared" si="121"/>
        <v>0</v>
      </c>
      <c r="R331" s="43">
        <f t="shared" si="121"/>
        <v>0</v>
      </c>
      <c r="S331" s="43">
        <f t="shared" si="121"/>
        <v>0</v>
      </c>
      <c r="T331" s="95">
        <f t="shared" si="121"/>
        <v>0</v>
      </c>
      <c r="V331" s="43">
        <f t="shared" ref="V331:V383" si="123">IF($M331&gt;0, IF(OR($G331&gt;V$49,$G331+$M331&lt;V$49),0,
VDB($F331,0,$N331,MAX(0,P$49-2022),MIN($N331,P$49-2021),1,FALSE))*$F$25, 0)</f>
        <v>0</v>
      </c>
      <c r="W331" s="43">
        <f t="shared" ref="W331:W383" si="124">IF($M331&gt;0, IF(OR($G331&gt;W$49,$G331+$M331&lt;W$49),0,
VDB($F331,0,$N331,MAX(0,Q$49-2022),MIN($N331,Q$49-2021),1,FALSE))*$F$25, 0)</f>
        <v>0</v>
      </c>
      <c r="X331" s="43">
        <f t="shared" ref="X331:X383" si="125">IF($M331&gt;0, IF(OR($G331&gt;X$49,$G331+$M331&lt;X$49),0,
VDB($F331,0,$N331,MAX(0,R$49-2022),MIN($N331,R$49-2021),1,FALSE))*$F$25, 0)</f>
        <v>0</v>
      </c>
      <c r="Y331" s="43">
        <f t="shared" ref="Y331:Y383" si="126">IF($M331&gt;0, IF(OR($G331&gt;Y$49,$G331+$M331&lt;Y$49),0,
VDB($F331,0,$N331,MAX(0,S$49-2022),MIN($N331,S$49-2021),1,FALSE))*$F$25, 0)</f>
        <v>0</v>
      </c>
      <c r="Z331" s="95">
        <f t="shared" ref="Z331:Z383" si="127">IF($M331&gt;0, IF(OR($G331&gt;Z$49,$G331+$M331&lt;Z$49),0,
VDB($F331,0,$N331,MAX(0,T$49-2022),MIN($N331,T$49-2021),1,FALSE))*$F$25, 0)</f>
        <v>0</v>
      </c>
      <c r="AB331" s="43">
        <f t="shared" ref="AB331:AB383" si="128">P331+V331</f>
        <v>0</v>
      </c>
      <c r="AC331" s="43">
        <f t="shared" ref="AC331:AC383" si="129">Q331+W331</f>
        <v>0</v>
      </c>
      <c r="AD331" s="43">
        <f t="shared" ref="AD331:AD383" si="130">R331+X331</f>
        <v>0</v>
      </c>
      <c r="AE331" s="43">
        <f t="shared" ref="AE331:AE383" si="131">S331+Y331</f>
        <v>0</v>
      </c>
      <c r="AF331" s="95">
        <f t="shared" ref="AF331:AF383" si="132">T331+Z331</f>
        <v>0</v>
      </c>
      <c r="AH331" s="43">
        <f t="shared" ref="AH331:AH383" si="133">IF($M331&gt;0, IF($M331&gt;0,IF(OR($G331&gt;AH$49,$G331+$M331&lt;=AH$49),0,IF(AH$49=2022,$F331-AB331,AG331-AB331))), $F331)</f>
        <v>0</v>
      </c>
      <c r="AI331" s="43">
        <f t="shared" ref="AI331:AI383" si="134">IF($M331&gt;0, IF(OR($G331&gt;AI$49,$G331+$M331&lt;=AI$49),0,IF(AI$49=2022,$F331-AC331,AH331-AC331)), AH331)</f>
        <v>0</v>
      </c>
      <c r="AJ331" s="43">
        <f t="shared" ref="AJ331:AJ383" si="135">IF($M331&gt;0, IF(OR($G331&gt;AJ$49,$G331+$M331&lt;=AJ$49),0,IF(AJ$49=2022,$F331-AD331,AI331-AD331)), AI331)</f>
        <v>0</v>
      </c>
      <c r="AK331" s="43">
        <f t="shared" ref="AK331:AK383" si="136">IF($M331&gt;0, IF(OR($G331&gt;AK$49,$G331+$M331&lt;=AK$49),0,IF(AK$49=2022,$F331-AE331,AJ331-AE331)), AJ331)</f>
        <v>0</v>
      </c>
      <c r="AL331" s="95">
        <f t="shared" ref="AL331:AL383" si="137">IF($M331&gt;0, IF(OR($G331&gt;AL$49,$G331+$M331&lt;=AL$49),0,IF(AL$49=2022,$F331-AF331,AK331-AF331)), AK331)</f>
        <v>0</v>
      </c>
      <c r="AN331" s="47">
        <f t="shared" ref="AN331:AN383" si="138">(AB331+AH331*H$16)*IF($K331=1,$F$31,1)</f>
        <v>0</v>
      </c>
      <c r="AO331" s="47">
        <f t="shared" ref="AO331:AO383" si="139">(AC331+AI331*I$16)*IF($K331=1,$F$31,1)</f>
        <v>0</v>
      </c>
      <c r="AP331" s="47">
        <f t="shared" ref="AP331:AP383" si="140">(AD331+AJ331*J$16)*IF($K331=1,$F$31,1)</f>
        <v>0</v>
      </c>
      <c r="AQ331" s="47">
        <f t="shared" ref="AQ331:AQ383" si="141">(AE331+AK331*K$16)*IF($K331=1,$F$31,1)</f>
        <v>0</v>
      </c>
      <c r="AR331" s="193">
        <f t="shared" ref="AR331:AR383" si="142">(AF331+AL331*L$16)*IF($K331=1,$F$31,1)</f>
        <v>0</v>
      </c>
      <c r="AS331" s="122"/>
      <c r="AT331" s="122"/>
      <c r="AU331" s="122"/>
      <c r="AV331" s="122"/>
      <c r="AW331" s="122"/>
      <c r="AX331" s="122"/>
    </row>
    <row r="332" spans="1:50" s="90" customFormat="1">
      <c r="A332" s="229"/>
      <c r="B332" s="37">
        <f>'13. Desinvesteringen'!B616</f>
        <v>597</v>
      </c>
      <c r="C332" s="339"/>
      <c r="D332" s="339"/>
      <c r="E332" s="339"/>
      <c r="F332" s="42">
        <f>'5. Input GAW-waarde desinv.'!D292</f>
        <v>0</v>
      </c>
      <c r="G332" s="177">
        <f>'13. Desinvesteringen'!D616</f>
        <v>1977</v>
      </c>
      <c r="H332" s="177">
        <f>'13. Desinvesteringen'!G616</f>
        <v>2024</v>
      </c>
      <c r="I332" s="37" t="str">
        <f>'13. Desinvesteringen'!C616</f>
        <v>15 Compressorstations (TT-BT-AT)</v>
      </c>
      <c r="J332" s="166">
        <f>'13. Desinvesteringen'!F616</f>
        <v>0</v>
      </c>
      <c r="K332" s="38">
        <f>_xlfn.XLOOKUP(I332,'3. Input (des)investeringen '!$B$11:$B$81,'3. Input (des)investeringen '!$E$11:$E$81)</f>
        <v>1</v>
      </c>
      <c r="L332" s="339"/>
      <c r="M332" s="38">
        <f>_xlfn.XLOOKUP(I332,'3. Input (des)investeringen '!$B$11:$B$81,'3. Input (des)investeringen '!$D$11:$D$81,0)</f>
        <v>30</v>
      </c>
      <c r="N332" s="38">
        <f t="shared" si="122"/>
        <v>0</v>
      </c>
      <c r="P332" s="43">
        <f t="shared" si="121"/>
        <v>0</v>
      </c>
      <c r="Q332" s="43">
        <f t="shared" si="121"/>
        <v>0</v>
      </c>
      <c r="R332" s="43">
        <f t="shared" si="121"/>
        <v>0</v>
      </c>
      <c r="S332" s="43">
        <f t="shared" si="121"/>
        <v>0</v>
      </c>
      <c r="T332" s="95">
        <f t="shared" si="121"/>
        <v>0</v>
      </c>
      <c r="V332" s="43">
        <f t="shared" si="123"/>
        <v>0</v>
      </c>
      <c r="W332" s="43">
        <f t="shared" si="124"/>
        <v>0</v>
      </c>
      <c r="X332" s="43">
        <f t="shared" si="125"/>
        <v>0</v>
      </c>
      <c r="Y332" s="43">
        <f t="shared" si="126"/>
        <v>0</v>
      </c>
      <c r="Z332" s="95">
        <f t="shared" si="127"/>
        <v>0</v>
      </c>
      <c r="AB332" s="43">
        <f t="shared" si="128"/>
        <v>0</v>
      </c>
      <c r="AC332" s="43">
        <f t="shared" si="129"/>
        <v>0</v>
      </c>
      <c r="AD332" s="43">
        <f t="shared" si="130"/>
        <v>0</v>
      </c>
      <c r="AE332" s="43">
        <f t="shared" si="131"/>
        <v>0</v>
      </c>
      <c r="AF332" s="95">
        <f t="shared" si="132"/>
        <v>0</v>
      </c>
      <c r="AH332" s="43">
        <f t="shared" si="133"/>
        <v>0</v>
      </c>
      <c r="AI332" s="43">
        <f t="shared" si="134"/>
        <v>0</v>
      </c>
      <c r="AJ332" s="43">
        <f t="shared" si="135"/>
        <v>0</v>
      </c>
      <c r="AK332" s="43">
        <f t="shared" si="136"/>
        <v>0</v>
      </c>
      <c r="AL332" s="95">
        <f t="shared" si="137"/>
        <v>0</v>
      </c>
      <c r="AN332" s="47">
        <f t="shared" si="138"/>
        <v>0</v>
      </c>
      <c r="AO332" s="47">
        <f t="shared" si="139"/>
        <v>0</v>
      </c>
      <c r="AP332" s="47">
        <f t="shared" si="140"/>
        <v>0</v>
      </c>
      <c r="AQ332" s="47">
        <f t="shared" si="141"/>
        <v>0</v>
      </c>
      <c r="AR332" s="193">
        <f t="shared" si="142"/>
        <v>0</v>
      </c>
      <c r="AS332" s="122"/>
      <c r="AT332" s="122"/>
      <c r="AU332" s="122"/>
      <c r="AV332" s="122"/>
      <c r="AW332" s="122"/>
      <c r="AX332" s="122"/>
    </row>
    <row r="333" spans="1:50" s="90" customFormat="1">
      <c r="A333" s="229"/>
      <c r="B333" s="37">
        <f>'13. Desinvesteringen'!B617</f>
        <v>598</v>
      </c>
      <c r="C333" s="339"/>
      <c r="D333" s="339"/>
      <c r="E333" s="339"/>
      <c r="F333" s="42">
        <f>'5. Input GAW-waarde desinv.'!D293</f>
        <v>0</v>
      </c>
      <c r="G333" s="177">
        <f>'13. Desinvesteringen'!D617</f>
        <v>1978</v>
      </c>
      <c r="H333" s="177">
        <f>'13. Desinvesteringen'!G617</f>
        <v>2024</v>
      </c>
      <c r="I333" s="37" t="str">
        <f>'13. Desinvesteringen'!C617</f>
        <v>15 Compressorstations (TT-BT-AT)</v>
      </c>
      <c r="J333" s="166">
        <f>'13. Desinvesteringen'!F617</f>
        <v>0</v>
      </c>
      <c r="K333" s="38">
        <f>_xlfn.XLOOKUP(I333,'3. Input (des)investeringen '!$B$11:$B$81,'3. Input (des)investeringen '!$E$11:$E$81)</f>
        <v>1</v>
      </c>
      <c r="L333" s="339"/>
      <c r="M333" s="38">
        <f>_xlfn.XLOOKUP(I333,'3. Input (des)investeringen '!$B$11:$B$81,'3. Input (des)investeringen '!$D$11:$D$81,0)</f>
        <v>30</v>
      </c>
      <c r="N333" s="38">
        <f t="shared" si="122"/>
        <v>0</v>
      </c>
      <c r="P333" s="43">
        <f t="shared" si="121"/>
        <v>0</v>
      </c>
      <c r="Q333" s="43">
        <f t="shared" si="121"/>
        <v>0</v>
      </c>
      <c r="R333" s="43">
        <f t="shared" si="121"/>
        <v>0</v>
      </c>
      <c r="S333" s="43">
        <f t="shared" si="121"/>
        <v>0</v>
      </c>
      <c r="T333" s="95">
        <f t="shared" si="121"/>
        <v>0</v>
      </c>
      <c r="V333" s="43">
        <f t="shared" si="123"/>
        <v>0</v>
      </c>
      <c r="W333" s="43">
        <f t="shared" si="124"/>
        <v>0</v>
      </c>
      <c r="X333" s="43">
        <f t="shared" si="125"/>
        <v>0</v>
      </c>
      <c r="Y333" s="43">
        <f t="shared" si="126"/>
        <v>0</v>
      </c>
      <c r="Z333" s="95">
        <f t="shared" si="127"/>
        <v>0</v>
      </c>
      <c r="AB333" s="43">
        <f t="shared" si="128"/>
        <v>0</v>
      </c>
      <c r="AC333" s="43">
        <f t="shared" si="129"/>
        <v>0</v>
      </c>
      <c r="AD333" s="43">
        <f t="shared" si="130"/>
        <v>0</v>
      </c>
      <c r="AE333" s="43">
        <f t="shared" si="131"/>
        <v>0</v>
      </c>
      <c r="AF333" s="95">
        <f t="shared" si="132"/>
        <v>0</v>
      </c>
      <c r="AH333" s="43">
        <f t="shared" si="133"/>
        <v>0</v>
      </c>
      <c r="AI333" s="43">
        <f t="shared" si="134"/>
        <v>0</v>
      </c>
      <c r="AJ333" s="43">
        <f t="shared" si="135"/>
        <v>0</v>
      </c>
      <c r="AK333" s="43">
        <f t="shared" si="136"/>
        <v>0</v>
      </c>
      <c r="AL333" s="95">
        <f t="shared" si="137"/>
        <v>0</v>
      </c>
      <c r="AN333" s="47">
        <f t="shared" si="138"/>
        <v>0</v>
      </c>
      <c r="AO333" s="47">
        <f t="shared" si="139"/>
        <v>0</v>
      </c>
      <c r="AP333" s="47">
        <f t="shared" si="140"/>
        <v>0</v>
      </c>
      <c r="AQ333" s="47">
        <f t="shared" si="141"/>
        <v>0</v>
      </c>
      <c r="AR333" s="193">
        <f t="shared" si="142"/>
        <v>0</v>
      </c>
      <c r="AS333" s="122"/>
      <c r="AT333" s="122"/>
      <c r="AU333" s="122"/>
      <c r="AV333" s="122"/>
      <c r="AW333" s="122"/>
      <c r="AX333" s="122"/>
    </row>
    <row r="334" spans="1:50" s="90" customFormat="1">
      <c r="A334" s="229"/>
      <c r="B334" s="37">
        <f>'13. Desinvesteringen'!B618</f>
        <v>599</v>
      </c>
      <c r="C334" s="339"/>
      <c r="D334" s="339"/>
      <c r="E334" s="339"/>
      <c r="F334" s="42">
        <f>'5. Input GAW-waarde desinv.'!D294</f>
        <v>0</v>
      </c>
      <c r="G334" s="177">
        <f>'13. Desinvesteringen'!D618</f>
        <v>1980</v>
      </c>
      <c r="H334" s="177">
        <f>'13. Desinvesteringen'!G618</f>
        <v>2024</v>
      </c>
      <c r="I334" s="37" t="str">
        <f>'13. Desinvesteringen'!C618</f>
        <v>15 Compressorstations (TT-BT-AT)</v>
      </c>
      <c r="J334" s="166">
        <f>'13. Desinvesteringen'!F618</f>
        <v>0</v>
      </c>
      <c r="K334" s="38">
        <f>_xlfn.XLOOKUP(I334,'3. Input (des)investeringen '!$B$11:$B$81,'3. Input (des)investeringen '!$E$11:$E$81)</f>
        <v>1</v>
      </c>
      <c r="L334" s="339"/>
      <c r="M334" s="38">
        <f>_xlfn.XLOOKUP(I334,'3. Input (des)investeringen '!$B$11:$B$81,'3. Input (des)investeringen '!$D$11:$D$81,0)</f>
        <v>30</v>
      </c>
      <c r="N334" s="38">
        <f t="shared" si="122"/>
        <v>0</v>
      </c>
      <c r="P334" s="43">
        <f t="shared" si="121"/>
        <v>0</v>
      </c>
      <c r="Q334" s="43">
        <f t="shared" si="121"/>
        <v>0</v>
      </c>
      <c r="R334" s="43">
        <f t="shared" si="121"/>
        <v>0</v>
      </c>
      <c r="S334" s="43">
        <f t="shared" si="121"/>
        <v>0</v>
      </c>
      <c r="T334" s="95">
        <f t="shared" si="121"/>
        <v>0</v>
      </c>
      <c r="V334" s="43">
        <f t="shared" si="123"/>
        <v>0</v>
      </c>
      <c r="W334" s="43">
        <f t="shared" si="124"/>
        <v>0</v>
      </c>
      <c r="X334" s="43">
        <f t="shared" si="125"/>
        <v>0</v>
      </c>
      <c r="Y334" s="43">
        <f t="shared" si="126"/>
        <v>0</v>
      </c>
      <c r="Z334" s="95">
        <f t="shared" si="127"/>
        <v>0</v>
      </c>
      <c r="AB334" s="43">
        <f t="shared" si="128"/>
        <v>0</v>
      </c>
      <c r="AC334" s="43">
        <f t="shared" si="129"/>
        <v>0</v>
      </c>
      <c r="AD334" s="43">
        <f t="shared" si="130"/>
        <v>0</v>
      </c>
      <c r="AE334" s="43">
        <f t="shared" si="131"/>
        <v>0</v>
      </c>
      <c r="AF334" s="95">
        <f t="shared" si="132"/>
        <v>0</v>
      </c>
      <c r="AH334" s="43">
        <f t="shared" si="133"/>
        <v>0</v>
      </c>
      <c r="AI334" s="43">
        <f t="shared" si="134"/>
        <v>0</v>
      </c>
      <c r="AJ334" s="43">
        <f t="shared" si="135"/>
        <v>0</v>
      </c>
      <c r="AK334" s="43">
        <f t="shared" si="136"/>
        <v>0</v>
      </c>
      <c r="AL334" s="95">
        <f t="shared" si="137"/>
        <v>0</v>
      </c>
      <c r="AN334" s="47">
        <f t="shared" si="138"/>
        <v>0</v>
      </c>
      <c r="AO334" s="47">
        <f t="shared" si="139"/>
        <v>0</v>
      </c>
      <c r="AP334" s="47">
        <f t="shared" si="140"/>
        <v>0</v>
      </c>
      <c r="AQ334" s="47">
        <f t="shared" si="141"/>
        <v>0</v>
      </c>
      <c r="AR334" s="193">
        <f t="shared" si="142"/>
        <v>0</v>
      </c>
      <c r="AS334" s="122"/>
      <c r="AT334" s="122"/>
      <c r="AU334" s="122"/>
      <c r="AV334" s="122"/>
      <c r="AW334" s="122"/>
      <c r="AX334" s="122"/>
    </row>
    <row r="335" spans="1:50" s="90" customFormat="1">
      <c r="A335" s="229"/>
      <c r="B335" s="37">
        <f>'13. Desinvesteringen'!B619</f>
        <v>600</v>
      </c>
      <c r="C335" s="339"/>
      <c r="D335" s="339"/>
      <c r="E335" s="339"/>
      <c r="F335" s="42">
        <f>'5. Input GAW-waarde desinv.'!D295</f>
        <v>0</v>
      </c>
      <c r="G335" s="177">
        <f>'13. Desinvesteringen'!D619</f>
        <v>1982</v>
      </c>
      <c r="H335" s="177">
        <f>'13. Desinvesteringen'!G619</f>
        <v>2024</v>
      </c>
      <c r="I335" s="37" t="str">
        <f>'13. Desinvesteringen'!C619</f>
        <v>15 Compressorstations (TT-BT-AT)</v>
      </c>
      <c r="J335" s="166">
        <f>'13. Desinvesteringen'!F619</f>
        <v>0</v>
      </c>
      <c r="K335" s="38">
        <f>_xlfn.XLOOKUP(I335,'3. Input (des)investeringen '!$B$11:$B$81,'3. Input (des)investeringen '!$E$11:$E$81)</f>
        <v>1</v>
      </c>
      <c r="L335" s="339"/>
      <c r="M335" s="38">
        <f>_xlfn.XLOOKUP(I335,'3. Input (des)investeringen '!$B$11:$B$81,'3. Input (des)investeringen '!$D$11:$D$81,0)</f>
        <v>30</v>
      </c>
      <c r="N335" s="38">
        <f t="shared" si="122"/>
        <v>0</v>
      </c>
      <c r="P335" s="43">
        <f t="shared" si="121"/>
        <v>0</v>
      </c>
      <c r="Q335" s="43">
        <f t="shared" si="121"/>
        <v>0</v>
      </c>
      <c r="R335" s="43">
        <f t="shared" si="121"/>
        <v>0</v>
      </c>
      <c r="S335" s="43">
        <f t="shared" si="121"/>
        <v>0</v>
      </c>
      <c r="T335" s="95">
        <f t="shared" si="121"/>
        <v>0</v>
      </c>
      <c r="V335" s="43">
        <f t="shared" si="123"/>
        <v>0</v>
      </c>
      <c r="W335" s="43">
        <f t="shared" si="124"/>
        <v>0</v>
      </c>
      <c r="X335" s="43">
        <f t="shared" si="125"/>
        <v>0</v>
      </c>
      <c r="Y335" s="43">
        <f t="shared" si="126"/>
        <v>0</v>
      </c>
      <c r="Z335" s="95">
        <f t="shared" si="127"/>
        <v>0</v>
      </c>
      <c r="AB335" s="43">
        <f t="shared" si="128"/>
        <v>0</v>
      </c>
      <c r="AC335" s="43">
        <f t="shared" si="129"/>
        <v>0</v>
      </c>
      <c r="AD335" s="43">
        <f t="shared" si="130"/>
        <v>0</v>
      </c>
      <c r="AE335" s="43">
        <f t="shared" si="131"/>
        <v>0</v>
      </c>
      <c r="AF335" s="95">
        <f t="shared" si="132"/>
        <v>0</v>
      </c>
      <c r="AH335" s="43">
        <f t="shared" si="133"/>
        <v>0</v>
      </c>
      <c r="AI335" s="43">
        <f t="shared" si="134"/>
        <v>0</v>
      </c>
      <c r="AJ335" s="43">
        <f t="shared" si="135"/>
        <v>0</v>
      </c>
      <c r="AK335" s="43">
        <f t="shared" si="136"/>
        <v>0</v>
      </c>
      <c r="AL335" s="95">
        <f t="shared" si="137"/>
        <v>0</v>
      </c>
      <c r="AN335" s="47">
        <f t="shared" si="138"/>
        <v>0</v>
      </c>
      <c r="AO335" s="47">
        <f t="shared" si="139"/>
        <v>0</v>
      </c>
      <c r="AP335" s="47">
        <f t="shared" si="140"/>
        <v>0</v>
      </c>
      <c r="AQ335" s="47">
        <f t="shared" si="141"/>
        <v>0</v>
      </c>
      <c r="AR335" s="193">
        <f t="shared" si="142"/>
        <v>0</v>
      </c>
      <c r="AS335" s="122"/>
      <c r="AT335" s="122"/>
      <c r="AU335" s="122"/>
      <c r="AV335" s="122"/>
      <c r="AW335" s="122"/>
      <c r="AX335" s="122"/>
    </row>
    <row r="336" spans="1:50" s="90" customFormat="1">
      <c r="A336" s="229"/>
      <c r="B336" s="37">
        <f>'13. Desinvesteringen'!B620</f>
        <v>601</v>
      </c>
      <c r="C336" s="339"/>
      <c r="D336" s="339"/>
      <c r="E336" s="339"/>
      <c r="F336" s="42">
        <f>'5. Input GAW-waarde desinv.'!D296</f>
        <v>0</v>
      </c>
      <c r="G336" s="177">
        <f>'13. Desinvesteringen'!D620</f>
        <v>1984</v>
      </c>
      <c r="H336" s="177">
        <f>'13. Desinvesteringen'!G620</f>
        <v>2024</v>
      </c>
      <c r="I336" s="37" t="str">
        <f>'13. Desinvesteringen'!C620</f>
        <v>15 Compressorstations (TT-BT-AT)</v>
      </c>
      <c r="J336" s="166">
        <f>'13. Desinvesteringen'!F620</f>
        <v>0</v>
      </c>
      <c r="K336" s="38">
        <f>_xlfn.XLOOKUP(I336,'3. Input (des)investeringen '!$B$11:$B$81,'3. Input (des)investeringen '!$E$11:$E$81)</f>
        <v>1</v>
      </c>
      <c r="L336" s="339"/>
      <c r="M336" s="38">
        <f>_xlfn.XLOOKUP(I336,'3. Input (des)investeringen '!$B$11:$B$81,'3. Input (des)investeringen '!$D$11:$D$81,0)</f>
        <v>30</v>
      </c>
      <c r="N336" s="38">
        <f t="shared" si="122"/>
        <v>0</v>
      </c>
      <c r="P336" s="43">
        <f t="shared" si="121"/>
        <v>0</v>
      </c>
      <c r="Q336" s="43">
        <f t="shared" si="121"/>
        <v>0</v>
      </c>
      <c r="R336" s="43">
        <f t="shared" si="121"/>
        <v>0</v>
      </c>
      <c r="S336" s="43">
        <f t="shared" si="121"/>
        <v>0</v>
      </c>
      <c r="T336" s="95">
        <f t="shared" si="121"/>
        <v>0</v>
      </c>
      <c r="V336" s="43">
        <f t="shared" si="123"/>
        <v>0</v>
      </c>
      <c r="W336" s="43">
        <f t="shared" si="124"/>
        <v>0</v>
      </c>
      <c r="X336" s="43">
        <f t="shared" si="125"/>
        <v>0</v>
      </c>
      <c r="Y336" s="43">
        <f t="shared" si="126"/>
        <v>0</v>
      </c>
      <c r="Z336" s="95">
        <f t="shared" si="127"/>
        <v>0</v>
      </c>
      <c r="AB336" s="43">
        <f t="shared" si="128"/>
        <v>0</v>
      </c>
      <c r="AC336" s="43">
        <f t="shared" si="129"/>
        <v>0</v>
      </c>
      <c r="AD336" s="43">
        <f t="shared" si="130"/>
        <v>0</v>
      </c>
      <c r="AE336" s="43">
        <f t="shared" si="131"/>
        <v>0</v>
      </c>
      <c r="AF336" s="95">
        <f t="shared" si="132"/>
        <v>0</v>
      </c>
      <c r="AH336" s="43">
        <f t="shared" si="133"/>
        <v>0</v>
      </c>
      <c r="AI336" s="43">
        <f t="shared" si="134"/>
        <v>0</v>
      </c>
      <c r="AJ336" s="43">
        <f t="shared" si="135"/>
        <v>0</v>
      </c>
      <c r="AK336" s="43">
        <f t="shared" si="136"/>
        <v>0</v>
      </c>
      <c r="AL336" s="95">
        <f t="shared" si="137"/>
        <v>0</v>
      </c>
      <c r="AN336" s="47">
        <f t="shared" si="138"/>
        <v>0</v>
      </c>
      <c r="AO336" s="47">
        <f t="shared" si="139"/>
        <v>0</v>
      </c>
      <c r="AP336" s="47">
        <f t="shared" si="140"/>
        <v>0</v>
      </c>
      <c r="AQ336" s="47">
        <f t="shared" si="141"/>
        <v>0</v>
      </c>
      <c r="AR336" s="193">
        <f t="shared" si="142"/>
        <v>0</v>
      </c>
      <c r="AS336" s="122"/>
      <c r="AT336" s="122"/>
      <c r="AU336" s="122"/>
      <c r="AV336" s="122"/>
      <c r="AW336" s="122"/>
      <c r="AX336" s="122"/>
    </row>
    <row r="337" spans="1:50" s="90" customFormat="1">
      <c r="A337" s="229"/>
      <c r="B337" s="37">
        <f>'13. Desinvesteringen'!B621</f>
        <v>602</v>
      </c>
      <c r="C337" s="339"/>
      <c r="D337" s="339"/>
      <c r="E337" s="339"/>
      <c r="F337" s="42">
        <f>'5. Input GAW-waarde desinv.'!D297</f>
        <v>0</v>
      </c>
      <c r="G337" s="177">
        <f>'13. Desinvesteringen'!D621</f>
        <v>1990</v>
      </c>
      <c r="H337" s="177">
        <f>'13. Desinvesteringen'!G621</f>
        <v>2024</v>
      </c>
      <c r="I337" s="37" t="str">
        <f>'13. Desinvesteringen'!C621</f>
        <v>15 Compressorstations (TT-BT-AT)</v>
      </c>
      <c r="J337" s="166">
        <f>'13. Desinvesteringen'!F621</f>
        <v>0</v>
      </c>
      <c r="K337" s="38">
        <f>_xlfn.XLOOKUP(I337,'3. Input (des)investeringen '!$B$11:$B$81,'3. Input (des)investeringen '!$E$11:$E$81)</f>
        <v>1</v>
      </c>
      <c r="L337" s="339"/>
      <c r="M337" s="38">
        <f>_xlfn.XLOOKUP(I337,'3. Input (des)investeringen '!$B$11:$B$81,'3. Input (des)investeringen '!$D$11:$D$81,0)</f>
        <v>30</v>
      </c>
      <c r="N337" s="38">
        <f t="shared" si="122"/>
        <v>0</v>
      </c>
      <c r="P337" s="43">
        <f t="shared" si="121"/>
        <v>0</v>
      </c>
      <c r="Q337" s="43">
        <f t="shared" si="121"/>
        <v>0</v>
      </c>
      <c r="R337" s="43">
        <f t="shared" si="121"/>
        <v>0</v>
      </c>
      <c r="S337" s="43">
        <f t="shared" si="121"/>
        <v>0</v>
      </c>
      <c r="T337" s="95">
        <f t="shared" si="121"/>
        <v>0</v>
      </c>
      <c r="V337" s="43">
        <f t="shared" si="123"/>
        <v>0</v>
      </c>
      <c r="W337" s="43">
        <f t="shared" si="124"/>
        <v>0</v>
      </c>
      <c r="X337" s="43">
        <f t="shared" si="125"/>
        <v>0</v>
      </c>
      <c r="Y337" s="43">
        <f t="shared" si="126"/>
        <v>0</v>
      </c>
      <c r="Z337" s="95">
        <f t="shared" si="127"/>
        <v>0</v>
      </c>
      <c r="AB337" s="43">
        <f t="shared" si="128"/>
        <v>0</v>
      </c>
      <c r="AC337" s="43">
        <f t="shared" si="129"/>
        <v>0</v>
      </c>
      <c r="AD337" s="43">
        <f t="shared" si="130"/>
        <v>0</v>
      </c>
      <c r="AE337" s="43">
        <f t="shared" si="131"/>
        <v>0</v>
      </c>
      <c r="AF337" s="95">
        <f t="shared" si="132"/>
        <v>0</v>
      </c>
      <c r="AH337" s="43">
        <f t="shared" si="133"/>
        <v>0</v>
      </c>
      <c r="AI337" s="43">
        <f t="shared" si="134"/>
        <v>0</v>
      </c>
      <c r="AJ337" s="43">
        <f t="shared" si="135"/>
        <v>0</v>
      </c>
      <c r="AK337" s="43">
        <f t="shared" si="136"/>
        <v>0</v>
      </c>
      <c r="AL337" s="95">
        <f t="shared" si="137"/>
        <v>0</v>
      </c>
      <c r="AN337" s="47">
        <f t="shared" si="138"/>
        <v>0</v>
      </c>
      <c r="AO337" s="47">
        <f t="shared" si="139"/>
        <v>0</v>
      </c>
      <c r="AP337" s="47">
        <f t="shared" si="140"/>
        <v>0</v>
      </c>
      <c r="AQ337" s="47">
        <f t="shared" si="141"/>
        <v>0</v>
      </c>
      <c r="AR337" s="193">
        <f t="shared" si="142"/>
        <v>0</v>
      </c>
      <c r="AS337" s="122"/>
      <c r="AT337" s="122"/>
      <c r="AU337" s="122"/>
      <c r="AV337" s="122"/>
      <c r="AW337" s="122"/>
      <c r="AX337" s="122"/>
    </row>
    <row r="338" spans="1:50" s="90" customFormat="1">
      <c r="A338" s="229"/>
      <c r="B338" s="37">
        <f>'13. Desinvesteringen'!B622</f>
        <v>603</v>
      </c>
      <c r="C338" s="339"/>
      <c r="D338" s="339"/>
      <c r="E338" s="339"/>
      <c r="F338" s="42">
        <f>'5. Input GAW-waarde desinv.'!D298</f>
        <v>5866.8839006931503</v>
      </c>
      <c r="G338" s="177">
        <f>'13. Desinvesteringen'!D622</f>
        <v>1996</v>
      </c>
      <c r="H338" s="177">
        <f>'13. Desinvesteringen'!G622</f>
        <v>2024</v>
      </c>
      <c r="I338" s="37" t="str">
        <f>'13. Desinvesteringen'!C622</f>
        <v>15 Compressorstations (TT-BT-AT)</v>
      </c>
      <c r="J338" s="166">
        <f>'13. Desinvesteringen'!F622</f>
        <v>0</v>
      </c>
      <c r="K338" s="38">
        <f>_xlfn.XLOOKUP(I338,'3. Input (des)investeringen '!$B$11:$B$81,'3. Input (des)investeringen '!$E$11:$E$81)</f>
        <v>1</v>
      </c>
      <c r="L338" s="339"/>
      <c r="M338" s="38">
        <f>_xlfn.XLOOKUP(I338,'3. Input (des)investeringen '!$B$11:$B$81,'3. Input (des)investeringen '!$D$11:$D$81,0)</f>
        <v>30</v>
      </c>
      <c r="N338" s="38">
        <f t="shared" si="122"/>
        <v>4.5</v>
      </c>
      <c r="P338" s="43">
        <f t="shared" si="121"/>
        <v>1525.3898141802192</v>
      </c>
      <c r="Q338" s="43">
        <f t="shared" si="121"/>
        <v>1084.7216456392671</v>
      </c>
      <c r="R338" s="43">
        <f t="shared" si="121"/>
        <v>1068.0336203217396</v>
      </c>
      <c r="S338" s="43">
        <f t="shared" si="121"/>
        <v>1068.0336203217396</v>
      </c>
      <c r="T338" s="95">
        <f t="shared" si="121"/>
        <v>534.0168101608698</v>
      </c>
      <c r="V338" s="43">
        <f t="shared" si="123"/>
        <v>130.37519779318112</v>
      </c>
      <c r="W338" s="43">
        <f t="shared" si="124"/>
        <v>130.37519779318114</v>
      </c>
      <c r="X338" s="43">
        <f t="shared" si="125"/>
        <v>130.37519779318114</v>
      </c>
      <c r="Y338" s="43">
        <f t="shared" si="126"/>
        <v>130.37519779318114</v>
      </c>
      <c r="Z338" s="95">
        <f t="shared" si="127"/>
        <v>65.187598896590572</v>
      </c>
      <c r="AB338" s="43">
        <f t="shared" si="128"/>
        <v>1655.7650119734003</v>
      </c>
      <c r="AC338" s="43">
        <f t="shared" si="129"/>
        <v>1215.0968434324482</v>
      </c>
      <c r="AD338" s="43">
        <f t="shared" si="130"/>
        <v>1198.4088181149207</v>
      </c>
      <c r="AE338" s="43">
        <f t="shared" si="131"/>
        <v>1198.4088181149207</v>
      </c>
      <c r="AF338" s="95">
        <f t="shared" si="132"/>
        <v>599.20440905746034</v>
      </c>
      <c r="AH338" s="43">
        <f t="shared" si="133"/>
        <v>4211.1188887197495</v>
      </c>
      <c r="AI338" s="43">
        <f t="shared" si="134"/>
        <v>2996.0220452873014</v>
      </c>
      <c r="AJ338" s="43">
        <f t="shared" si="135"/>
        <v>1797.6132271723807</v>
      </c>
      <c r="AK338" s="43">
        <f t="shared" si="136"/>
        <v>599.20440905746</v>
      </c>
      <c r="AL338" s="95">
        <f t="shared" si="137"/>
        <v>0</v>
      </c>
      <c r="AN338" s="47">
        <f t="shared" si="138"/>
        <v>1828.42088641091</v>
      </c>
      <c r="AO338" s="47">
        <f t="shared" si="139"/>
        <v>1367.8939677421006</v>
      </c>
      <c r="AP338" s="47">
        <f t="shared" si="140"/>
        <v>1290.087092700712</v>
      </c>
      <c r="AQ338" s="47">
        <f t="shared" si="141"/>
        <v>1221.1785856591041</v>
      </c>
      <c r="AR338" s="193">
        <f t="shared" si="142"/>
        <v>599.20440905746034</v>
      </c>
      <c r="AS338" s="122"/>
      <c r="AT338" s="122"/>
      <c r="AU338" s="122"/>
      <c r="AV338" s="122"/>
      <c r="AW338" s="122"/>
      <c r="AX338" s="122"/>
    </row>
    <row r="339" spans="1:50" s="90" customFormat="1">
      <c r="A339" s="229"/>
      <c r="B339" s="37">
        <f>'13. Desinvesteringen'!B623</f>
        <v>604</v>
      </c>
      <c r="C339" s="339"/>
      <c r="D339" s="339"/>
      <c r="E339" s="339"/>
      <c r="F339" s="42">
        <f>'5. Input GAW-waarde desinv.'!D299</f>
        <v>9075542.9359124992</v>
      </c>
      <c r="G339" s="177">
        <f>'13. Desinvesteringen'!D623</f>
        <v>1997</v>
      </c>
      <c r="H339" s="177">
        <f>'13. Desinvesteringen'!G623</f>
        <v>2024</v>
      </c>
      <c r="I339" s="37" t="str">
        <f>'13. Desinvesteringen'!C623</f>
        <v>15 Compressorstations (TT-BT-AT)</v>
      </c>
      <c r="J339" s="166">
        <f>'13. Desinvesteringen'!F623</f>
        <v>0</v>
      </c>
      <c r="K339" s="38">
        <f>_xlfn.XLOOKUP(I339,'3. Input (des)investeringen '!$B$11:$B$81,'3. Input (des)investeringen '!$E$11:$E$81)</f>
        <v>1</v>
      </c>
      <c r="L339" s="339"/>
      <c r="M339" s="38">
        <f>_xlfn.XLOOKUP(I339,'3. Input (des)investeringen '!$B$11:$B$81,'3. Input (des)investeringen '!$D$11:$D$81,0)</f>
        <v>30</v>
      </c>
      <c r="N339" s="38">
        <f t="shared" si="122"/>
        <v>5.5</v>
      </c>
      <c r="P339" s="43">
        <f t="shared" si="121"/>
        <v>1930615.4972759315</v>
      </c>
      <c r="Q339" s="43">
        <f t="shared" si="121"/>
        <v>1474288.1979198023</v>
      </c>
      <c r="R339" s="43">
        <f t="shared" si="121"/>
        <v>1360881.413464433</v>
      </c>
      <c r="S339" s="43">
        <f t="shared" si="121"/>
        <v>1360881.413464433</v>
      </c>
      <c r="T339" s="95">
        <f t="shared" si="121"/>
        <v>1360881.413464433</v>
      </c>
      <c r="V339" s="43">
        <f t="shared" si="123"/>
        <v>165009.87156204545</v>
      </c>
      <c r="W339" s="43">
        <f t="shared" si="124"/>
        <v>165009.87156204545</v>
      </c>
      <c r="X339" s="43">
        <f t="shared" si="125"/>
        <v>165009.87156204545</v>
      </c>
      <c r="Y339" s="43">
        <f t="shared" si="126"/>
        <v>165009.87156204545</v>
      </c>
      <c r="Z339" s="95">
        <f t="shared" si="127"/>
        <v>165009.87156204545</v>
      </c>
      <c r="AB339" s="43">
        <f t="shared" si="128"/>
        <v>2095625.3688379771</v>
      </c>
      <c r="AC339" s="43">
        <f t="shared" si="129"/>
        <v>1639298.0694818478</v>
      </c>
      <c r="AD339" s="43">
        <f t="shared" si="130"/>
        <v>1525891.2850264786</v>
      </c>
      <c r="AE339" s="43">
        <f t="shared" si="131"/>
        <v>1525891.2850264786</v>
      </c>
      <c r="AF339" s="95">
        <f t="shared" si="132"/>
        <v>1525891.2850264786</v>
      </c>
      <c r="AH339" s="43">
        <f t="shared" si="133"/>
        <v>6979917.5670745224</v>
      </c>
      <c r="AI339" s="43">
        <f t="shared" si="134"/>
        <v>5340619.4975926746</v>
      </c>
      <c r="AJ339" s="43">
        <f t="shared" si="135"/>
        <v>3814728.212566196</v>
      </c>
      <c r="AK339" s="43">
        <f t="shared" si="136"/>
        <v>2288836.9275397174</v>
      </c>
      <c r="AL339" s="95">
        <f t="shared" si="137"/>
        <v>762945.64251323882</v>
      </c>
      <c r="AN339" s="47">
        <f t="shared" si="138"/>
        <v>2381801.9890880324</v>
      </c>
      <c r="AO339" s="47">
        <f t="shared" si="139"/>
        <v>1911669.6638590742</v>
      </c>
      <c r="AP339" s="47">
        <f t="shared" si="140"/>
        <v>1720442.4238673546</v>
      </c>
      <c r="AQ339" s="47">
        <f t="shared" si="141"/>
        <v>1612867.0882729879</v>
      </c>
      <c r="AR339" s="193">
        <f t="shared" si="142"/>
        <v>1554883.2194419818</v>
      </c>
      <c r="AS339" s="122"/>
      <c r="AT339" s="122"/>
      <c r="AU339" s="122"/>
      <c r="AV339" s="122"/>
      <c r="AW339" s="122"/>
      <c r="AX339" s="122"/>
    </row>
    <row r="340" spans="1:50" s="90" customFormat="1">
      <c r="A340" s="229"/>
      <c r="B340" s="37">
        <f>'13. Desinvesteringen'!B624</f>
        <v>605</v>
      </c>
      <c r="C340" s="339"/>
      <c r="D340" s="339"/>
      <c r="E340" s="339"/>
      <c r="F340" s="42">
        <f>'5. Input GAW-waarde desinv.'!D300</f>
        <v>87331.73753895532</v>
      </c>
      <c r="G340" s="177">
        <f>'13. Desinvesteringen'!D624</f>
        <v>1998</v>
      </c>
      <c r="H340" s="177">
        <f>'13. Desinvesteringen'!G624</f>
        <v>2024</v>
      </c>
      <c r="I340" s="37" t="str">
        <f>'13. Desinvesteringen'!C624</f>
        <v>15 Compressorstations (TT-BT-AT)</v>
      </c>
      <c r="J340" s="166">
        <f>'13. Desinvesteringen'!F624</f>
        <v>0</v>
      </c>
      <c r="K340" s="38">
        <f>_xlfn.XLOOKUP(I340,'3. Input (des)investeringen '!$B$11:$B$81,'3. Input (des)investeringen '!$E$11:$E$81)</f>
        <v>1</v>
      </c>
      <c r="L340" s="339"/>
      <c r="M340" s="38">
        <f>_xlfn.XLOOKUP(I340,'3. Input (des)investeringen '!$B$11:$B$81,'3. Input (des)investeringen '!$D$11:$D$81,0)</f>
        <v>30</v>
      </c>
      <c r="N340" s="38">
        <f t="shared" si="122"/>
        <v>6.5</v>
      </c>
      <c r="P340" s="43">
        <f t="shared" si="121"/>
        <v>15719.712757011959</v>
      </c>
      <c r="Q340" s="43">
        <f t="shared" si="121"/>
        <v>12575.770205609566</v>
      </c>
      <c r="R340" s="43">
        <f t="shared" si="121"/>
        <v>11178.46240498628</v>
      </c>
      <c r="S340" s="43">
        <f t="shared" si="121"/>
        <v>11178.46240498628</v>
      </c>
      <c r="T340" s="95">
        <f t="shared" si="121"/>
        <v>11178.46240498628</v>
      </c>
      <c r="V340" s="43">
        <f t="shared" si="123"/>
        <v>1343.5651929070052</v>
      </c>
      <c r="W340" s="43">
        <f t="shared" si="124"/>
        <v>1343.565192907005</v>
      </c>
      <c r="X340" s="43">
        <f t="shared" si="125"/>
        <v>1343.565192907005</v>
      </c>
      <c r="Y340" s="43">
        <f t="shared" si="126"/>
        <v>1343.565192907005</v>
      </c>
      <c r="Z340" s="95">
        <f t="shared" si="127"/>
        <v>1343.565192907005</v>
      </c>
      <c r="AB340" s="43">
        <f t="shared" si="128"/>
        <v>17063.277949918964</v>
      </c>
      <c r="AC340" s="43">
        <f t="shared" si="129"/>
        <v>13919.33539851657</v>
      </c>
      <c r="AD340" s="43">
        <f t="shared" si="130"/>
        <v>12522.027597893284</v>
      </c>
      <c r="AE340" s="43">
        <f t="shared" si="131"/>
        <v>12522.027597893284</v>
      </c>
      <c r="AF340" s="95">
        <f t="shared" si="132"/>
        <v>12522.027597893284</v>
      </c>
      <c r="AH340" s="43">
        <f t="shared" si="133"/>
        <v>70268.459589036356</v>
      </c>
      <c r="AI340" s="43">
        <f t="shared" si="134"/>
        <v>56349.124190519782</v>
      </c>
      <c r="AJ340" s="43">
        <f t="shared" si="135"/>
        <v>43827.096592626498</v>
      </c>
      <c r="AK340" s="43">
        <f t="shared" si="136"/>
        <v>31305.068994733214</v>
      </c>
      <c r="AL340" s="95">
        <f t="shared" si="137"/>
        <v>18783.04139683993</v>
      </c>
      <c r="AN340" s="47">
        <f t="shared" si="138"/>
        <v>19944.284793069455</v>
      </c>
      <c r="AO340" s="47">
        <f t="shared" si="139"/>
        <v>16793.140732233078</v>
      </c>
      <c r="AP340" s="47">
        <f t="shared" si="140"/>
        <v>14757.209524117236</v>
      </c>
      <c r="AQ340" s="47">
        <f t="shared" si="141"/>
        <v>13711.620219693146</v>
      </c>
      <c r="AR340" s="193">
        <f t="shared" si="142"/>
        <v>13235.783170973202</v>
      </c>
      <c r="AS340" s="122"/>
      <c r="AT340" s="122"/>
      <c r="AU340" s="122"/>
      <c r="AV340" s="122"/>
      <c r="AW340" s="122"/>
      <c r="AX340" s="122"/>
    </row>
    <row r="341" spans="1:50" s="90" customFormat="1">
      <c r="A341" s="229"/>
      <c r="B341" s="37">
        <f>'13. Desinvesteringen'!B625</f>
        <v>606</v>
      </c>
      <c r="C341" s="339"/>
      <c r="D341" s="339"/>
      <c r="E341" s="339"/>
      <c r="F341" s="42">
        <f>'5. Input GAW-waarde desinv.'!D301</f>
        <v>20500.533572624918</v>
      </c>
      <c r="G341" s="177">
        <f>'13. Desinvesteringen'!D625</f>
        <v>2001</v>
      </c>
      <c r="H341" s="177">
        <f>'13. Desinvesteringen'!G625</f>
        <v>2024</v>
      </c>
      <c r="I341" s="37" t="str">
        <f>'13. Desinvesteringen'!C625</f>
        <v>15 Compressorstations (TT-BT-AT)</v>
      </c>
      <c r="J341" s="166">
        <f>'13. Desinvesteringen'!F625</f>
        <v>0</v>
      </c>
      <c r="K341" s="38">
        <f>_xlfn.XLOOKUP(I341,'3. Input (des)investeringen '!$B$11:$B$81,'3. Input (des)investeringen '!$E$11:$E$81)</f>
        <v>1</v>
      </c>
      <c r="L341" s="339"/>
      <c r="M341" s="38">
        <f>_xlfn.XLOOKUP(I341,'3. Input (des)investeringen '!$B$11:$B$81,'3. Input (des)investeringen '!$D$11:$D$81,0)</f>
        <v>30</v>
      </c>
      <c r="N341" s="38">
        <f t="shared" si="122"/>
        <v>9.5</v>
      </c>
      <c r="P341" s="43">
        <f t="shared" si="121"/>
        <v>2524.8025557864376</v>
      </c>
      <c r="Q341" s="43">
        <f t="shared" si="121"/>
        <v>2179.3032586788195</v>
      </c>
      <c r="R341" s="43">
        <f t="shared" si="121"/>
        <v>1881.0828127543493</v>
      </c>
      <c r="S341" s="43">
        <f t="shared" si="121"/>
        <v>1825.4294750988952</v>
      </c>
      <c r="T341" s="95">
        <f t="shared" si="121"/>
        <v>1825.4294750988952</v>
      </c>
      <c r="V341" s="43">
        <f t="shared" si="123"/>
        <v>215.79509023815706</v>
      </c>
      <c r="W341" s="43">
        <f t="shared" si="124"/>
        <v>215.79509023815706</v>
      </c>
      <c r="X341" s="43">
        <f t="shared" si="125"/>
        <v>215.79509023815706</v>
      </c>
      <c r="Y341" s="43">
        <f t="shared" si="126"/>
        <v>215.79509023815706</v>
      </c>
      <c r="Z341" s="95">
        <f t="shared" si="127"/>
        <v>215.79509023815706</v>
      </c>
      <c r="AB341" s="43">
        <f t="shared" si="128"/>
        <v>2740.5976460245947</v>
      </c>
      <c r="AC341" s="43">
        <f t="shared" si="129"/>
        <v>2395.0983489169766</v>
      </c>
      <c r="AD341" s="43">
        <f t="shared" si="130"/>
        <v>2096.8779029925063</v>
      </c>
      <c r="AE341" s="43">
        <f t="shared" si="131"/>
        <v>2041.2245653370524</v>
      </c>
      <c r="AF341" s="95">
        <f t="shared" si="132"/>
        <v>2041.2245653370524</v>
      </c>
      <c r="AH341" s="43">
        <f t="shared" si="133"/>
        <v>17759.935926600323</v>
      </c>
      <c r="AI341" s="43">
        <f t="shared" si="134"/>
        <v>15364.837577683345</v>
      </c>
      <c r="AJ341" s="43">
        <f t="shared" si="135"/>
        <v>13267.959674690839</v>
      </c>
      <c r="AK341" s="43">
        <f t="shared" si="136"/>
        <v>11226.735109353787</v>
      </c>
      <c r="AL341" s="95">
        <f t="shared" si="137"/>
        <v>9185.5105440167354</v>
      </c>
      <c r="AN341" s="47">
        <f t="shared" si="138"/>
        <v>3468.7550190152078</v>
      </c>
      <c r="AO341" s="47">
        <f t="shared" si="139"/>
        <v>3178.7050653788274</v>
      </c>
      <c r="AP341" s="47">
        <f t="shared" si="140"/>
        <v>2773.5438464017388</v>
      </c>
      <c r="AQ341" s="47">
        <f t="shared" si="141"/>
        <v>2467.8404994924963</v>
      </c>
      <c r="AR341" s="193">
        <f t="shared" si="142"/>
        <v>2390.2739660096881</v>
      </c>
      <c r="AS341" s="122"/>
      <c r="AT341" s="122"/>
      <c r="AU341" s="122"/>
      <c r="AV341" s="122"/>
      <c r="AW341" s="122"/>
      <c r="AX341" s="122"/>
    </row>
    <row r="342" spans="1:50" s="90" customFormat="1">
      <c r="A342" s="229"/>
      <c r="B342" s="37">
        <f>'13. Desinvesteringen'!B626</f>
        <v>607</v>
      </c>
      <c r="C342" s="339"/>
      <c r="D342" s="339"/>
      <c r="E342" s="339"/>
      <c r="F342" s="42">
        <f>'5. Input GAW-waarde desinv.'!D302</f>
        <v>228572.72715228627</v>
      </c>
      <c r="G342" s="177">
        <f>'13. Desinvesteringen'!D626</f>
        <v>2002</v>
      </c>
      <c r="H342" s="177">
        <f>'13. Desinvesteringen'!G626</f>
        <v>2024</v>
      </c>
      <c r="I342" s="37" t="str">
        <f>'13. Desinvesteringen'!C626</f>
        <v>15 Compressorstations (TT-BT-AT)</v>
      </c>
      <c r="J342" s="166">
        <f>'13. Desinvesteringen'!F626</f>
        <v>0</v>
      </c>
      <c r="K342" s="38">
        <f>_xlfn.XLOOKUP(I342,'3. Input (des)investeringen '!$B$11:$B$81,'3. Input (des)investeringen '!$E$11:$E$81)</f>
        <v>1</v>
      </c>
      <c r="L342" s="339"/>
      <c r="M342" s="38">
        <f>_xlfn.XLOOKUP(I342,'3. Input (des)investeringen '!$B$11:$B$81,'3. Input (des)investeringen '!$D$11:$D$81,0)</f>
        <v>30</v>
      </c>
      <c r="N342" s="38">
        <f t="shared" si="122"/>
        <v>10.5</v>
      </c>
      <c r="P342" s="43">
        <f t="shared" si="121"/>
        <v>25469.532454111901</v>
      </c>
      <c r="Q342" s="43">
        <f t="shared" si="121"/>
        <v>22316.161769317092</v>
      </c>
      <c r="R342" s="43">
        <f t="shared" si="121"/>
        <v>19553.208407401646</v>
      </c>
      <c r="S342" s="43">
        <f t="shared" si="121"/>
        <v>18450.206907496937</v>
      </c>
      <c r="T342" s="95">
        <f t="shared" si="121"/>
        <v>18450.206907496937</v>
      </c>
      <c r="V342" s="43">
        <f t="shared" si="123"/>
        <v>2176.8831157360596</v>
      </c>
      <c r="W342" s="43">
        <f t="shared" si="124"/>
        <v>2176.8831157360596</v>
      </c>
      <c r="X342" s="43">
        <f t="shared" si="125"/>
        <v>2176.8831157360596</v>
      </c>
      <c r="Y342" s="43">
        <f t="shared" si="126"/>
        <v>2176.8831157360596</v>
      </c>
      <c r="Z342" s="95">
        <f t="shared" si="127"/>
        <v>2176.8831157360596</v>
      </c>
      <c r="AB342" s="43">
        <f t="shared" si="128"/>
        <v>27646.415569847959</v>
      </c>
      <c r="AC342" s="43">
        <f t="shared" si="129"/>
        <v>24493.04488505315</v>
      </c>
      <c r="AD342" s="43">
        <f t="shared" si="130"/>
        <v>21730.091523137704</v>
      </c>
      <c r="AE342" s="43">
        <f t="shared" si="131"/>
        <v>20627.090023232995</v>
      </c>
      <c r="AF342" s="95">
        <f t="shared" si="132"/>
        <v>20627.090023232995</v>
      </c>
      <c r="AH342" s="43">
        <f t="shared" si="133"/>
        <v>200926.3115824383</v>
      </c>
      <c r="AI342" s="43">
        <f t="shared" si="134"/>
        <v>176433.26669738514</v>
      </c>
      <c r="AJ342" s="43">
        <f t="shared" si="135"/>
        <v>154703.17517424744</v>
      </c>
      <c r="AK342" s="43">
        <f t="shared" si="136"/>
        <v>134076.08515101444</v>
      </c>
      <c r="AL342" s="95">
        <f t="shared" si="137"/>
        <v>113448.99512778144</v>
      </c>
      <c r="AN342" s="47">
        <f t="shared" si="138"/>
        <v>35884.394344727931</v>
      </c>
      <c r="AO342" s="47">
        <f t="shared" si="139"/>
        <v>33491.141486619788</v>
      </c>
      <c r="AP342" s="47">
        <f t="shared" si="140"/>
        <v>29619.953457024323</v>
      </c>
      <c r="AQ342" s="47">
        <f t="shared" si="141"/>
        <v>25721.981258971544</v>
      </c>
      <c r="AR342" s="193">
        <f t="shared" si="142"/>
        <v>24938.151838088692</v>
      </c>
      <c r="AS342" s="122"/>
      <c r="AT342" s="122"/>
      <c r="AU342" s="122"/>
      <c r="AV342" s="122"/>
      <c r="AW342" s="122"/>
      <c r="AX342" s="122"/>
    </row>
    <row r="343" spans="1:50" s="90" customFormat="1">
      <c r="A343" s="229"/>
      <c r="B343" s="37">
        <f>'13. Desinvesteringen'!B627</f>
        <v>608</v>
      </c>
      <c r="C343" s="339"/>
      <c r="D343" s="339"/>
      <c r="E343" s="339"/>
      <c r="F343" s="42">
        <f>'5. Input GAW-waarde desinv.'!D303</f>
        <v>287131.81151071272</v>
      </c>
      <c r="G343" s="177">
        <f>'13. Desinvesteringen'!D627</f>
        <v>2003</v>
      </c>
      <c r="H343" s="177">
        <f>'13. Desinvesteringen'!G627</f>
        <v>2024</v>
      </c>
      <c r="I343" s="37" t="str">
        <f>'13. Desinvesteringen'!C627</f>
        <v>15 Compressorstations (TT-BT-AT)</v>
      </c>
      <c r="J343" s="166">
        <f>'13. Desinvesteringen'!F627</f>
        <v>0</v>
      </c>
      <c r="K343" s="38">
        <f>_xlfn.XLOOKUP(I343,'3. Input (des)investeringen '!$B$11:$B$81,'3. Input (des)investeringen '!$E$11:$E$81)</f>
        <v>1</v>
      </c>
      <c r="L343" s="339"/>
      <c r="M343" s="38">
        <f>_xlfn.XLOOKUP(I343,'3. Input (des)investeringen '!$B$11:$B$81,'3. Input (des)investeringen '!$D$11:$D$81,0)</f>
        <v>30</v>
      </c>
      <c r="N343" s="38">
        <f t="shared" si="122"/>
        <v>11.5</v>
      </c>
      <c r="P343" s="43">
        <f t="shared" si="121"/>
        <v>29212.540823263815</v>
      </c>
      <c r="Q343" s="43">
        <f t="shared" si="121"/>
        <v>25910.25359976443</v>
      </c>
      <c r="R343" s="43">
        <f t="shared" si="121"/>
        <v>22981.268410225843</v>
      </c>
      <c r="S343" s="43">
        <f t="shared" si="121"/>
        <v>21213.478532516161</v>
      </c>
      <c r="T343" s="95">
        <f t="shared" si="121"/>
        <v>21213.478532516161</v>
      </c>
      <c r="V343" s="43">
        <f t="shared" si="123"/>
        <v>2496.7983609627195</v>
      </c>
      <c r="W343" s="43">
        <f t="shared" si="124"/>
        <v>2496.7983609627195</v>
      </c>
      <c r="X343" s="43">
        <f t="shared" si="125"/>
        <v>2496.7983609627195</v>
      </c>
      <c r="Y343" s="43">
        <f t="shared" si="126"/>
        <v>2496.7983609627195</v>
      </c>
      <c r="Z343" s="95">
        <f t="shared" si="127"/>
        <v>2496.7983609627195</v>
      </c>
      <c r="AB343" s="43">
        <f t="shared" si="128"/>
        <v>31709.339184226534</v>
      </c>
      <c r="AC343" s="43">
        <f t="shared" si="129"/>
        <v>28407.051960727149</v>
      </c>
      <c r="AD343" s="43">
        <f t="shared" si="130"/>
        <v>25478.066771188562</v>
      </c>
      <c r="AE343" s="43">
        <f t="shared" si="131"/>
        <v>23710.27689347888</v>
      </c>
      <c r="AF343" s="95">
        <f t="shared" si="132"/>
        <v>23710.27689347888</v>
      </c>
      <c r="AH343" s="43">
        <f t="shared" si="133"/>
        <v>255422.4723264862</v>
      </c>
      <c r="AI343" s="43">
        <f t="shared" si="134"/>
        <v>227015.42036575906</v>
      </c>
      <c r="AJ343" s="43">
        <f t="shared" si="135"/>
        <v>201537.35359457048</v>
      </c>
      <c r="AK343" s="43">
        <f t="shared" si="136"/>
        <v>177827.0767010916</v>
      </c>
      <c r="AL343" s="95">
        <f t="shared" si="137"/>
        <v>154116.79980761273</v>
      </c>
      <c r="AN343" s="47">
        <f t="shared" si="138"/>
        <v>42181.660549612468</v>
      </c>
      <c r="AO343" s="47">
        <f t="shared" si="139"/>
        <v>39984.83839938086</v>
      </c>
      <c r="AP343" s="47">
        <f t="shared" si="140"/>
        <v>35756.471804511653</v>
      </c>
      <c r="AQ343" s="47">
        <f t="shared" si="141"/>
        <v>30467.705808120361</v>
      </c>
      <c r="AR343" s="193">
        <f t="shared" si="142"/>
        <v>29566.715286168164</v>
      </c>
      <c r="AS343" s="122"/>
      <c r="AT343" s="122"/>
      <c r="AU343" s="122"/>
      <c r="AV343" s="122"/>
      <c r="AW343" s="122"/>
      <c r="AX343" s="122"/>
    </row>
    <row r="344" spans="1:50" s="90" customFormat="1">
      <c r="A344" s="229"/>
      <c r="B344" s="37">
        <f>'13. Desinvesteringen'!B628</f>
        <v>609</v>
      </c>
      <c r="C344" s="339"/>
      <c r="D344" s="339"/>
      <c r="E344" s="339"/>
      <c r="F344" s="42">
        <f>'5. Input GAW-waarde desinv.'!D304</f>
        <v>193601.40516849293</v>
      </c>
      <c r="G344" s="177">
        <f>'13. Desinvesteringen'!D628</f>
        <v>2004</v>
      </c>
      <c r="H344" s="177">
        <f>'13. Desinvesteringen'!G628</f>
        <v>2024</v>
      </c>
      <c r="I344" s="37" t="str">
        <f>'13. Desinvesteringen'!C628</f>
        <v>15 Compressorstations (TT-BT-AT)</v>
      </c>
      <c r="J344" s="166">
        <f>'13. Desinvesteringen'!F628</f>
        <v>0</v>
      </c>
      <c r="K344" s="38">
        <f>_xlfn.XLOOKUP(I344,'3. Input (des)investeringen '!$B$11:$B$81,'3. Input (des)investeringen '!$E$11:$E$81)</f>
        <v>1</v>
      </c>
      <c r="L344" s="339"/>
      <c r="M344" s="38">
        <f>_xlfn.XLOOKUP(I344,'3. Input (des)investeringen '!$B$11:$B$81,'3. Input (des)investeringen '!$D$11:$D$81,0)</f>
        <v>30</v>
      </c>
      <c r="N344" s="38">
        <f t="shared" si="122"/>
        <v>12.5</v>
      </c>
      <c r="P344" s="43">
        <f t="shared" si="121"/>
        <v>18121.091523770941</v>
      </c>
      <c r="Q344" s="43">
        <f t="shared" si="121"/>
        <v>16236.498005298765</v>
      </c>
      <c r="R344" s="43">
        <f t="shared" si="121"/>
        <v>14547.902212747691</v>
      </c>
      <c r="S344" s="43">
        <f t="shared" si="121"/>
        <v>13193.239253665921</v>
      </c>
      <c r="T344" s="95">
        <f t="shared" si="121"/>
        <v>13193.239253665921</v>
      </c>
      <c r="V344" s="43">
        <f t="shared" si="123"/>
        <v>1548.8112413479437</v>
      </c>
      <c r="W344" s="43">
        <f t="shared" si="124"/>
        <v>1548.8112413479437</v>
      </c>
      <c r="X344" s="43">
        <f t="shared" si="125"/>
        <v>1548.8112413479437</v>
      </c>
      <c r="Y344" s="43">
        <f t="shared" si="126"/>
        <v>1548.8112413479437</v>
      </c>
      <c r="Z344" s="95">
        <f t="shared" si="127"/>
        <v>1548.8112413479437</v>
      </c>
      <c r="AB344" s="43">
        <f t="shared" si="128"/>
        <v>19669.902765118884</v>
      </c>
      <c r="AC344" s="43">
        <f t="shared" si="129"/>
        <v>17785.30924664671</v>
      </c>
      <c r="AD344" s="43">
        <f t="shared" si="130"/>
        <v>16096.713454095634</v>
      </c>
      <c r="AE344" s="43">
        <f t="shared" si="131"/>
        <v>14742.050495013864</v>
      </c>
      <c r="AF344" s="95">
        <f t="shared" si="132"/>
        <v>14742.050495013864</v>
      </c>
      <c r="AH344" s="43">
        <f t="shared" si="133"/>
        <v>173931.50240337403</v>
      </c>
      <c r="AI344" s="43">
        <f t="shared" si="134"/>
        <v>156146.19315672733</v>
      </c>
      <c r="AJ344" s="43">
        <f t="shared" si="135"/>
        <v>140049.47970263168</v>
      </c>
      <c r="AK344" s="43">
        <f t="shared" si="136"/>
        <v>125307.42920761782</v>
      </c>
      <c r="AL344" s="95">
        <f t="shared" si="137"/>
        <v>110565.37871260397</v>
      </c>
      <c r="AN344" s="47">
        <f t="shared" si="138"/>
        <v>26801.094363657219</v>
      </c>
      <c r="AO344" s="47">
        <f t="shared" si="139"/>
        <v>25748.765097639804</v>
      </c>
      <c r="AP344" s="47">
        <f t="shared" si="140"/>
        <v>23239.236918929848</v>
      </c>
      <c r="AQ344" s="47">
        <f t="shared" si="141"/>
        <v>19503.732804903342</v>
      </c>
      <c r="AR344" s="193">
        <f t="shared" si="142"/>
        <v>18943.534886092813</v>
      </c>
      <c r="AS344" s="122"/>
      <c r="AT344" s="122"/>
      <c r="AU344" s="122"/>
      <c r="AV344" s="122"/>
      <c r="AW344" s="122"/>
      <c r="AX344" s="122"/>
    </row>
    <row r="345" spans="1:50" s="90" customFormat="1">
      <c r="A345" s="229"/>
      <c r="B345" s="37">
        <f>'13. Desinvesteringen'!B629</f>
        <v>610</v>
      </c>
      <c r="C345" s="339"/>
      <c r="D345" s="339"/>
      <c r="E345" s="339"/>
      <c r="F345" s="42">
        <f>'5. Input GAW-waarde desinv.'!D305</f>
        <v>800920.7553862785</v>
      </c>
      <c r="G345" s="177">
        <f>'13. Desinvesteringen'!D629</f>
        <v>2005</v>
      </c>
      <c r="H345" s="177">
        <f>'13. Desinvesteringen'!G629</f>
        <v>2024</v>
      </c>
      <c r="I345" s="37" t="str">
        <f>'13. Desinvesteringen'!C629</f>
        <v>15 Compressorstations (TT-BT-AT)</v>
      </c>
      <c r="J345" s="166">
        <f>'13. Desinvesteringen'!F629</f>
        <v>0</v>
      </c>
      <c r="K345" s="38">
        <f>_xlfn.XLOOKUP(I345,'3. Input (des)investeringen '!$B$11:$B$81,'3. Input (des)investeringen '!$E$11:$E$81)</f>
        <v>1</v>
      </c>
      <c r="L345" s="339"/>
      <c r="M345" s="38">
        <f>_xlfn.XLOOKUP(I345,'3. Input (des)investeringen '!$B$11:$B$81,'3. Input (des)investeringen '!$D$11:$D$81,0)</f>
        <v>30</v>
      </c>
      <c r="N345" s="38">
        <f t="shared" si="122"/>
        <v>13.5</v>
      </c>
      <c r="P345" s="43">
        <f t="shared" si="121"/>
        <v>69413.132133477469</v>
      </c>
      <c r="Q345" s="43">
        <f t="shared" si="121"/>
        <v>62728.904594698164</v>
      </c>
      <c r="R345" s="43">
        <f t="shared" si="121"/>
        <v>56688.343411505004</v>
      </c>
      <c r="S345" s="43">
        <f t="shared" si="121"/>
        <v>51229.465897804526</v>
      </c>
      <c r="T345" s="95">
        <f t="shared" si="121"/>
        <v>50607.245664227943</v>
      </c>
      <c r="V345" s="43">
        <f t="shared" si="123"/>
        <v>5932.7463361946557</v>
      </c>
      <c r="W345" s="43">
        <f t="shared" si="124"/>
        <v>5932.7463361946566</v>
      </c>
      <c r="X345" s="43">
        <f t="shared" si="125"/>
        <v>5932.7463361946566</v>
      </c>
      <c r="Y345" s="43">
        <f t="shared" si="126"/>
        <v>5932.7463361946566</v>
      </c>
      <c r="Z345" s="95">
        <f t="shared" si="127"/>
        <v>5932.7463361946566</v>
      </c>
      <c r="AB345" s="43">
        <f t="shared" si="128"/>
        <v>75345.878469672127</v>
      </c>
      <c r="AC345" s="43">
        <f t="shared" si="129"/>
        <v>68661.650930892822</v>
      </c>
      <c r="AD345" s="43">
        <f t="shared" si="130"/>
        <v>62621.089747699662</v>
      </c>
      <c r="AE345" s="43">
        <f t="shared" si="131"/>
        <v>57162.212233999184</v>
      </c>
      <c r="AF345" s="95">
        <f t="shared" si="132"/>
        <v>56539.992000422601</v>
      </c>
      <c r="AH345" s="43">
        <f t="shared" si="133"/>
        <v>725574.87691660633</v>
      </c>
      <c r="AI345" s="43">
        <f t="shared" si="134"/>
        <v>656913.22598571354</v>
      </c>
      <c r="AJ345" s="43">
        <f t="shared" si="135"/>
        <v>594292.13623801386</v>
      </c>
      <c r="AK345" s="43">
        <f t="shared" si="136"/>
        <v>537129.9240040147</v>
      </c>
      <c r="AL345" s="95">
        <f t="shared" si="137"/>
        <v>480589.93200359208</v>
      </c>
      <c r="AN345" s="47">
        <f t="shared" si="138"/>
        <v>105094.44842325299</v>
      </c>
      <c r="AO345" s="47">
        <f t="shared" si="139"/>
        <v>102164.22545616422</v>
      </c>
      <c r="AP345" s="47">
        <f t="shared" si="140"/>
        <v>92929.988695838372</v>
      </c>
      <c r="AQ345" s="47">
        <f t="shared" si="141"/>
        <v>77573.149346151738</v>
      </c>
      <c r="AR345" s="193">
        <f t="shared" si="142"/>
        <v>74802.409416559094</v>
      </c>
      <c r="AS345" s="122"/>
      <c r="AT345" s="122"/>
      <c r="AU345" s="122"/>
      <c r="AV345" s="122"/>
      <c r="AW345" s="122"/>
      <c r="AX345" s="122"/>
    </row>
    <row r="346" spans="1:50" s="90" customFormat="1">
      <c r="A346" s="229"/>
      <c r="B346" s="37">
        <f>'13. Desinvesteringen'!B630</f>
        <v>611</v>
      </c>
      <c r="C346" s="339"/>
      <c r="D346" s="339"/>
      <c r="E346" s="339"/>
      <c r="F346" s="42">
        <f>'5. Input GAW-waarde desinv.'!D306</f>
        <v>668161.29475516581</v>
      </c>
      <c r="G346" s="177">
        <f>'13. Desinvesteringen'!D630</f>
        <v>2006</v>
      </c>
      <c r="H346" s="177">
        <f>'13. Desinvesteringen'!G630</f>
        <v>2024</v>
      </c>
      <c r="I346" s="37" t="str">
        <f>'13. Desinvesteringen'!C630</f>
        <v>15 Compressorstations (TT-BT-AT)</v>
      </c>
      <c r="J346" s="166">
        <f>'13. Desinvesteringen'!F630</f>
        <v>0</v>
      </c>
      <c r="K346" s="38">
        <f>_xlfn.XLOOKUP(I346,'3. Input (des)investeringen '!$B$11:$B$81,'3. Input (des)investeringen '!$E$11:$E$81)</f>
        <v>1</v>
      </c>
      <c r="L346" s="339"/>
      <c r="M346" s="38">
        <f>_xlfn.XLOOKUP(I346,'3. Input (des)investeringen '!$B$11:$B$81,'3. Input (des)investeringen '!$D$11:$D$81,0)</f>
        <v>30</v>
      </c>
      <c r="N346" s="38">
        <f t="shared" si="122"/>
        <v>14.5</v>
      </c>
      <c r="P346" s="43">
        <f t="shared" si="121"/>
        <v>53913.704473347861</v>
      </c>
      <c r="Q346" s="43">
        <f t="shared" si="121"/>
        <v>49080.062003323575</v>
      </c>
      <c r="R346" s="43">
        <f t="shared" si="121"/>
        <v>44679.780582335938</v>
      </c>
      <c r="S346" s="43">
        <f t="shared" si="121"/>
        <v>40674.007150816164</v>
      </c>
      <c r="T346" s="95">
        <f t="shared" si="121"/>
        <v>39333.105816173877</v>
      </c>
      <c r="V346" s="43">
        <f t="shared" si="123"/>
        <v>4608.0089293459714</v>
      </c>
      <c r="W346" s="43">
        <f t="shared" si="124"/>
        <v>4608.0089293459714</v>
      </c>
      <c r="X346" s="43">
        <f t="shared" si="125"/>
        <v>4608.0089293459714</v>
      </c>
      <c r="Y346" s="43">
        <f t="shared" si="126"/>
        <v>4608.0089293459714</v>
      </c>
      <c r="Z346" s="95">
        <f t="shared" si="127"/>
        <v>4608.0089293459714</v>
      </c>
      <c r="AB346" s="43">
        <f t="shared" si="128"/>
        <v>58521.713402693829</v>
      </c>
      <c r="AC346" s="43">
        <f t="shared" si="129"/>
        <v>53688.070932669551</v>
      </c>
      <c r="AD346" s="43">
        <f t="shared" si="130"/>
        <v>49287.789511681913</v>
      </c>
      <c r="AE346" s="43">
        <f t="shared" si="131"/>
        <v>45282.016080162139</v>
      </c>
      <c r="AF346" s="95">
        <f t="shared" si="132"/>
        <v>43941.114745519852</v>
      </c>
      <c r="AH346" s="43">
        <f t="shared" si="133"/>
        <v>609639.58135247196</v>
      </c>
      <c r="AI346" s="43">
        <f t="shared" si="134"/>
        <v>555951.51041980239</v>
      </c>
      <c r="AJ346" s="43">
        <f t="shared" si="135"/>
        <v>506663.72090812051</v>
      </c>
      <c r="AK346" s="43">
        <f t="shared" si="136"/>
        <v>461381.70482795837</v>
      </c>
      <c r="AL346" s="95">
        <f t="shared" si="137"/>
        <v>417440.59008243855</v>
      </c>
      <c r="AN346" s="47">
        <f t="shared" si="138"/>
        <v>83516.936238145179</v>
      </c>
      <c r="AO346" s="47">
        <f t="shared" si="139"/>
        <v>82041.597964079469</v>
      </c>
      <c r="AP346" s="47">
        <f t="shared" si="140"/>
        <v>75127.639277996059</v>
      </c>
      <c r="AQ346" s="47">
        <f t="shared" si="141"/>
        <v>62814.520863624552</v>
      </c>
      <c r="AR346" s="193">
        <f t="shared" si="142"/>
        <v>59803.857168652517</v>
      </c>
      <c r="AS346" s="122"/>
      <c r="AT346" s="122"/>
      <c r="AU346" s="122"/>
      <c r="AV346" s="122"/>
      <c r="AW346" s="122"/>
      <c r="AX346" s="122"/>
    </row>
    <row r="347" spans="1:50" s="90" customFormat="1">
      <c r="A347" s="229"/>
      <c r="B347" s="37">
        <f>'13. Desinvesteringen'!B631</f>
        <v>612</v>
      </c>
      <c r="C347" s="339"/>
      <c r="D347" s="339"/>
      <c r="E347" s="339"/>
      <c r="F347" s="42">
        <f>'5. Input GAW-waarde desinv.'!D307</f>
        <v>1872522.2209963768</v>
      </c>
      <c r="G347" s="177">
        <f>'13. Desinvesteringen'!D631</f>
        <v>2007</v>
      </c>
      <c r="H347" s="177">
        <f>'13. Desinvesteringen'!G631</f>
        <v>2024</v>
      </c>
      <c r="I347" s="37" t="str">
        <f>'13. Desinvesteringen'!C631</f>
        <v>15 Compressorstations (TT-BT-AT)</v>
      </c>
      <c r="J347" s="166">
        <f>'13. Desinvesteringen'!F631</f>
        <v>0</v>
      </c>
      <c r="K347" s="38">
        <f>_xlfn.XLOOKUP(I347,'3. Input (des)investeringen '!$B$11:$B$81,'3. Input (des)investeringen '!$E$11:$E$81)</f>
        <v>1</v>
      </c>
      <c r="L347" s="339"/>
      <c r="M347" s="38">
        <f>_xlfn.XLOOKUP(I347,'3. Input (des)investeringen '!$B$11:$B$81,'3. Input (des)investeringen '!$D$11:$D$81,0)</f>
        <v>30</v>
      </c>
      <c r="N347" s="38">
        <f t="shared" si="122"/>
        <v>15.5</v>
      </c>
      <c r="P347" s="43">
        <f t="shared" si="121"/>
        <v>141345.22571392008</v>
      </c>
      <c r="Q347" s="43">
        <f t="shared" si="121"/>
        <v>129490.46484759131</v>
      </c>
      <c r="R347" s="43">
        <f t="shared" si="121"/>
        <v>118629.97424747073</v>
      </c>
      <c r="S347" s="43">
        <f t="shared" si="121"/>
        <v>108680.36350413447</v>
      </c>
      <c r="T347" s="95">
        <f t="shared" si="121"/>
        <v>103228.17135509761</v>
      </c>
      <c r="V347" s="43">
        <f t="shared" si="123"/>
        <v>12080.78852255727</v>
      </c>
      <c r="W347" s="43">
        <f t="shared" si="124"/>
        <v>12080.788522557272</v>
      </c>
      <c r="X347" s="43">
        <f t="shared" si="125"/>
        <v>12080.788522557272</v>
      </c>
      <c r="Y347" s="43">
        <f t="shared" si="126"/>
        <v>12080.788522557272</v>
      </c>
      <c r="Z347" s="95">
        <f t="shared" si="127"/>
        <v>12080.788522557272</v>
      </c>
      <c r="AB347" s="43">
        <f t="shared" si="128"/>
        <v>153426.01423647735</v>
      </c>
      <c r="AC347" s="43">
        <f t="shared" si="129"/>
        <v>141571.2533701486</v>
      </c>
      <c r="AD347" s="43">
        <f t="shared" si="130"/>
        <v>130710.762770028</v>
      </c>
      <c r="AE347" s="43">
        <f t="shared" si="131"/>
        <v>120761.15202669174</v>
      </c>
      <c r="AF347" s="95">
        <f t="shared" si="132"/>
        <v>115308.95987765488</v>
      </c>
      <c r="AH347" s="43">
        <f t="shared" si="133"/>
        <v>1719096.2067598994</v>
      </c>
      <c r="AI347" s="43">
        <f t="shared" si="134"/>
        <v>1577524.9533897508</v>
      </c>
      <c r="AJ347" s="43">
        <f t="shared" si="135"/>
        <v>1446814.1906197227</v>
      </c>
      <c r="AK347" s="43">
        <f t="shared" si="136"/>
        <v>1326053.038593031</v>
      </c>
      <c r="AL347" s="95">
        <f t="shared" si="137"/>
        <v>1210744.0787153761</v>
      </c>
      <c r="AN347" s="47">
        <f t="shared" si="138"/>
        <v>223908.95871363324</v>
      </c>
      <c r="AO347" s="47">
        <f t="shared" si="139"/>
        <v>222025.02599302586</v>
      </c>
      <c r="AP347" s="47">
        <f t="shared" si="140"/>
        <v>204498.28649163386</v>
      </c>
      <c r="AQ347" s="47">
        <f t="shared" si="141"/>
        <v>171151.16749322691</v>
      </c>
      <c r="AR347" s="193">
        <f t="shared" si="142"/>
        <v>161317.23486883918</v>
      </c>
      <c r="AS347" s="122"/>
      <c r="AT347" s="122"/>
      <c r="AU347" s="122"/>
      <c r="AV347" s="122"/>
      <c r="AW347" s="122"/>
      <c r="AX347" s="122"/>
    </row>
    <row r="348" spans="1:50" s="90" customFormat="1">
      <c r="A348" s="229"/>
      <c r="B348" s="37">
        <f>'13. Desinvesteringen'!B632</f>
        <v>613</v>
      </c>
      <c r="C348" s="339"/>
      <c r="D348" s="339"/>
      <c r="E348" s="339"/>
      <c r="F348" s="42">
        <f>'5. Input GAW-waarde desinv.'!D308</f>
        <v>2079569.9240820273</v>
      </c>
      <c r="G348" s="177">
        <f>'13. Desinvesteringen'!D632</f>
        <v>2008</v>
      </c>
      <c r="H348" s="177">
        <f>'13. Desinvesteringen'!G632</f>
        <v>2024</v>
      </c>
      <c r="I348" s="37" t="str">
        <f>'13. Desinvesteringen'!C632</f>
        <v>15 Compressorstations (TT-BT-AT)</v>
      </c>
      <c r="J348" s="166">
        <f>'13. Desinvesteringen'!F632</f>
        <v>0</v>
      </c>
      <c r="K348" s="38">
        <f>_xlfn.XLOOKUP(I348,'3. Input (des)investeringen '!$B$11:$B$81,'3. Input (des)investeringen '!$E$11:$E$81)</f>
        <v>1</v>
      </c>
      <c r="L348" s="339"/>
      <c r="M348" s="38">
        <f>_xlfn.XLOOKUP(I348,'3. Input (des)investeringen '!$B$11:$B$81,'3. Input (des)investeringen '!$D$11:$D$81,0)</f>
        <v>30</v>
      </c>
      <c r="N348" s="38">
        <f t="shared" si="122"/>
        <v>16.5</v>
      </c>
      <c r="P348" s="43">
        <f t="shared" si="121"/>
        <v>147460.41279854378</v>
      </c>
      <c r="Q348" s="43">
        <f t="shared" si="121"/>
        <v>135842.31966896154</v>
      </c>
      <c r="R348" s="43">
        <f t="shared" si="121"/>
        <v>125139.5914526191</v>
      </c>
      <c r="S348" s="43">
        <f t="shared" si="121"/>
        <v>115280.10848968546</v>
      </c>
      <c r="T348" s="95">
        <f t="shared" si="121"/>
        <v>107831.23994112117</v>
      </c>
      <c r="V348" s="43">
        <f t="shared" si="123"/>
        <v>12603.45408534562</v>
      </c>
      <c r="W348" s="43">
        <f t="shared" si="124"/>
        <v>12603.45408534562</v>
      </c>
      <c r="X348" s="43">
        <f t="shared" si="125"/>
        <v>12603.45408534562</v>
      </c>
      <c r="Y348" s="43">
        <f t="shared" si="126"/>
        <v>12603.45408534562</v>
      </c>
      <c r="Z348" s="95">
        <f t="shared" si="127"/>
        <v>12603.45408534562</v>
      </c>
      <c r="AB348" s="43">
        <f t="shared" si="128"/>
        <v>160063.86688388939</v>
      </c>
      <c r="AC348" s="43">
        <f t="shared" si="129"/>
        <v>148445.77375430716</v>
      </c>
      <c r="AD348" s="43">
        <f t="shared" si="130"/>
        <v>137743.04553796473</v>
      </c>
      <c r="AE348" s="43">
        <f t="shared" si="131"/>
        <v>127883.56257503107</v>
      </c>
      <c r="AF348" s="95">
        <f t="shared" si="132"/>
        <v>120434.69402646678</v>
      </c>
      <c r="AH348" s="43">
        <f t="shared" si="133"/>
        <v>1919506.057198138</v>
      </c>
      <c r="AI348" s="43">
        <f t="shared" si="134"/>
        <v>1771060.2834438309</v>
      </c>
      <c r="AJ348" s="43">
        <f t="shared" si="135"/>
        <v>1633317.2379058662</v>
      </c>
      <c r="AK348" s="43">
        <f t="shared" si="136"/>
        <v>1505433.6753308352</v>
      </c>
      <c r="AL348" s="95">
        <f t="shared" si="137"/>
        <v>1384998.9813043685</v>
      </c>
      <c r="AN348" s="47">
        <f t="shared" si="138"/>
        <v>238763.61522901306</v>
      </c>
      <c r="AO348" s="47">
        <f t="shared" si="139"/>
        <v>238769.84820994252</v>
      </c>
      <c r="AP348" s="47">
        <f t="shared" si="140"/>
        <v>221042.22467116389</v>
      </c>
      <c r="AQ348" s="47">
        <f t="shared" si="141"/>
        <v>185090.04223760281</v>
      </c>
      <c r="AR348" s="193">
        <f t="shared" si="142"/>
        <v>173064.65531603279</v>
      </c>
      <c r="AS348" s="122"/>
      <c r="AT348" s="122"/>
      <c r="AU348" s="122"/>
      <c r="AV348" s="122"/>
      <c r="AW348" s="122"/>
      <c r="AX348" s="122"/>
    </row>
    <row r="349" spans="1:50" s="90" customFormat="1">
      <c r="A349" s="229"/>
      <c r="B349" s="37">
        <f>'13. Desinvesteringen'!B633</f>
        <v>614</v>
      </c>
      <c r="C349" s="339"/>
      <c r="D349" s="339"/>
      <c r="E349" s="339"/>
      <c r="F349" s="42">
        <f>'5. Input GAW-waarde desinv.'!D309</f>
        <v>206182.49436233655</v>
      </c>
      <c r="G349" s="177">
        <f>'13. Desinvesteringen'!D633</f>
        <v>2008</v>
      </c>
      <c r="H349" s="177">
        <f>'13. Desinvesteringen'!G633</f>
        <v>2024</v>
      </c>
      <c r="I349" s="37" t="str">
        <f>'13. Desinvesteringen'!C633</f>
        <v>15 Compressorstations (TT-BT-AT)</v>
      </c>
      <c r="J349" s="166">
        <f>'13. Desinvesteringen'!F633</f>
        <v>0</v>
      </c>
      <c r="K349" s="38">
        <f>_xlfn.XLOOKUP(I349,'3. Input (des)investeringen '!$B$11:$B$81,'3. Input (des)investeringen '!$E$11:$E$81)</f>
        <v>1</v>
      </c>
      <c r="L349" s="339"/>
      <c r="M349" s="38">
        <f>_xlfn.XLOOKUP(I349,'3. Input (des)investeringen '!$B$11:$B$81,'3. Input (des)investeringen '!$D$11:$D$81,0)</f>
        <v>30</v>
      </c>
      <c r="N349" s="38">
        <f t="shared" si="122"/>
        <v>16.5</v>
      </c>
      <c r="P349" s="43">
        <f t="shared" si="121"/>
        <v>14620.213236602049</v>
      </c>
      <c r="Q349" s="43">
        <f t="shared" si="121"/>
        <v>13468.317648263705</v>
      </c>
      <c r="R349" s="43">
        <f t="shared" si="121"/>
        <v>12407.177469915656</v>
      </c>
      <c r="S349" s="43">
        <f t="shared" si="121"/>
        <v>11429.642275316241</v>
      </c>
      <c r="T349" s="95">
        <f t="shared" si="121"/>
        <v>10691.111543680421</v>
      </c>
      <c r="V349" s="43">
        <f t="shared" si="123"/>
        <v>1249.5908749232519</v>
      </c>
      <c r="W349" s="43">
        <f t="shared" si="124"/>
        <v>1249.5908749232522</v>
      </c>
      <c r="X349" s="43">
        <f t="shared" si="125"/>
        <v>1249.5908749232522</v>
      </c>
      <c r="Y349" s="43">
        <f t="shared" si="126"/>
        <v>1249.5908749232522</v>
      </c>
      <c r="Z349" s="95">
        <f t="shared" si="127"/>
        <v>1249.5908749232522</v>
      </c>
      <c r="AB349" s="43">
        <f t="shared" si="128"/>
        <v>15869.8041115253</v>
      </c>
      <c r="AC349" s="43">
        <f t="shared" si="129"/>
        <v>14717.908523186958</v>
      </c>
      <c r="AD349" s="43">
        <f t="shared" si="130"/>
        <v>13656.768344838907</v>
      </c>
      <c r="AE349" s="43">
        <f t="shared" si="131"/>
        <v>12679.233150239492</v>
      </c>
      <c r="AF349" s="95">
        <f t="shared" si="132"/>
        <v>11940.702418603672</v>
      </c>
      <c r="AH349" s="43">
        <f t="shared" si="133"/>
        <v>190312.69025081125</v>
      </c>
      <c r="AI349" s="43">
        <f t="shared" si="134"/>
        <v>175594.7817276243</v>
      </c>
      <c r="AJ349" s="43">
        <f t="shared" si="135"/>
        <v>161938.0133827854</v>
      </c>
      <c r="AK349" s="43">
        <f t="shared" si="136"/>
        <v>149258.78023254592</v>
      </c>
      <c r="AL349" s="95">
        <f t="shared" si="137"/>
        <v>137318.07781394225</v>
      </c>
      <c r="AN349" s="47">
        <f t="shared" si="138"/>
        <v>23672.62441180856</v>
      </c>
      <c r="AO349" s="47">
        <f t="shared" si="139"/>
        <v>23673.242391295797</v>
      </c>
      <c r="AP349" s="47">
        <f t="shared" si="140"/>
        <v>21915.607027360962</v>
      </c>
      <c r="AQ349" s="47">
        <f t="shared" si="141"/>
        <v>18351.066799076238</v>
      </c>
      <c r="AR349" s="193">
        <f t="shared" si="142"/>
        <v>17158.789375533477</v>
      </c>
      <c r="AS349" s="122"/>
      <c r="AT349" s="122"/>
      <c r="AU349" s="122"/>
      <c r="AV349" s="122"/>
      <c r="AW349" s="122"/>
      <c r="AX349" s="122"/>
    </row>
    <row r="350" spans="1:50" s="90" customFormat="1">
      <c r="A350" s="229"/>
      <c r="B350" s="37">
        <f>'13. Desinvesteringen'!B634</f>
        <v>615</v>
      </c>
      <c r="C350" s="339"/>
      <c r="D350" s="339"/>
      <c r="E350" s="339"/>
      <c r="F350" s="42">
        <f>'5. Input GAW-waarde desinv.'!D310</f>
        <v>166559.3552970431</v>
      </c>
      <c r="G350" s="177">
        <f>'13. Desinvesteringen'!D634</f>
        <v>2009</v>
      </c>
      <c r="H350" s="177">
        <f>'13. Desinvesteringen'!G634</f>
        <v>2024</v>
      </c>
      <c r="I350" s="37" t="str">
        <f>'13. Desinvesteringen'!C634</f>
        <v>15 Compressorstations (TT-BT-AT)</v>
      </c>
      <c r="J350" s="166">
        <f>'13. Desinvesteringen'!F634</f>
        <v>0</v>
      </c>
      <c r="K350" s="38">
        <f>_xlfn.XLOOKUP(I350,'3. Input (des)investeringen '!$B$11:$B$81,'3. Input (des)investeringen '!$E$11:$E$81)</f>
        <v>1</v>
      </c>
      <c r="L350" s="339"/>
      <c r="M350" s="38">
        <f>_xlfn.XLOOKUP(I350,'3. Input (des)investeringen '!$B$11:$B$81,'3. Input (des)investeringen '!$D$11:$D$81,0)</f>
        <v>30</v>
      </c>
      <c r="N350" s="38">
        <f t="shared" si="122"/>
        <v>17.5</v>
      </c>
      <c r="P350" s="43">
        <f t="shared" si="121"/>
        <v>11135.682611288024</v>
      </c>
      <c r="Q350" s="43">
        <f t="shared" si="121"/>
        <v>10308.460474449486</v>
      </c>
      <c r="R350" s="43">
        <f t="shared" si="121"/>
        <v>9542.6891249189539</v>
      </c>
      <c r="S350" s="43">
        <f t="shared" si="121"/>
        <v>8833.8036470678308</v>
      </c>
      <c r="T350" s="95">
        <f t="shared" si="121"/>
        <v>8177.5782332856497</v>
      </c>
      <c r="V350" s="43">
        <f t="shared" si="123"/>
        <v>951.76774455453199</v>
      </c>
      <c r="W350" s="43">
        <f t="shared" si="124"/>
        <v>951.76774455453199</v>
      </c>
      <c r="X350" s="43">
        <f t="shared" si="125"/>
        <v>951.76774455453199</v>
      </c>
      <c r="Y350" s="43">
        <f t="shared" si="126"/>
        <v>951.76774455453199</v>
      </c>
      <c r="Z350" s="95">
        <f t="shared" si="127"/>
        <v>951.76774455453199</v>
      </c>
      <c r="AB350" s="43">
        <f t="shared" si="128"/>
        <v>12087.450355842557</v>
      </c>
      <c r="AC350" s="43">
        <f t="shared" si="129"/>
        <v>11260.228219004019</v>
      </c>
      <c r="AD350" s="43">
        <f t="shared" si="130"/>
        <v>10494.456869473486</v>
      </c>
      <c r="AE350" s="43">
        <f t="shared" si="131"/>
        <v>9785.5713916223631</v>
      </c>
      <c r="AF350" s="95">
        <f t="shared" si="132"/>
        <v>9129.3459778401811</v>
      </c>
      <c r="AH350" s="43">
        <f t="shared" si="133"/>
        <v>154471.90494120054</v>
      </c>
      <c r="AI350" s="43">
        <f t="shared" si="134"/>
        <v>143211.67672219651</v>
      </c>
      <c r="AJ350" s="43">
        <f t="shared" si="135"/>
        <v>132717.21985272304</v>
      </c>
      <c r="AK350" s="43">
        <f t="shared" si="136"/>
        <v>122931.64846110067</v>
      </c>
      <c r="AL350" s="95">
        <f t="shared" si="137"/>
        <v>113802.30248326049</v>
      </c>
      <c r="AN350" s="47">
        <f t="shared" si="138"/>
        <v>18420.798458431778</v>
      </c>
      <c r="AO350" s="47">
        <f t="shared" si="139"/>
        <v>18564.023731836041</v>
      </c>
      <c r="AP350" s="47">
        <f t="shared" si="140"/>
        <v>17263.03508196236</v>
      </c>
      <c r="AQ350" s="47">
        <f t="shared" si="141"/>
        <v>14456.97403314419</v>
      </c>
      <c r="AR350" s="193">
        <f t="shared" si="142"/>
        <v>13453.83347220408</v>
      </c>
      <c r="AS350" s="122"/>
      <c r="AT350" s="122"/>
      <c r="AU350" s="122"/>
      <c r="AV350" s="122"/>
      <c r="AW350" s="122"/>
      <c r="AX350" s="122"/>
    </row>
    <row r="351" spans="1:50" s="90" customFormat="1">
      <c r="A351" s="229"/>
      <c r="B351" s="37">
        <f>'13. Desinvesteringen'!B635</f>
        <v>616</v>
      </c>
      <c r="C351" s="339"/>
      <c r="D351" s="339"/>
      <c r="E351" s="339"/>
      <c r="F351" s="42">
        <f>'5. Input GAW-waarde desinv.'!D311</f>
        <v>1045405.8018708032</v>
      </c>
      <c r="G351" s="177">
        <f>'13. Desinvesteringen'!D635</f>
        <v>2010</v>
      </c>
      <c r="H351" s="177">
        <f>'13. Desinvesteringen'!G635</f>
        <v>2024</v>
      </c>
      <c r="I351" s="37" t="str">
        <f>'13. Desinvesteringen'!C635</f>
        <v>15 Compressorstations (TT-BT-AT)</v>
      </c>
      <c r="J351" s="166">
        <f>'13. Desinvesteringen'!F635</f>
        <v>0</v>
      </c>
      <c r="K351" s="38">
        <f>_xlfn.XLOOKUP(I351,'3. Input (des)investeringen '!$B$11:$B$81,'3. Input (des)investeringen '!$E$11:$E$81)</f>
        <v>1</v>
      </c>
      <c r="L351" s="339"/>
      <c r="M351" s="38">
        <f>_xlfn.XLOOKUP(I351,'3. Input (des)investeringen '!$B$11:$B$81,'3. Input (des)investeringen '!$D$11:$D$81,0)</f>
        <v>30</v>
      </c>
      <c r="N351" s="38">
        <f t="shared" si="122"/>
        <v>18.5</v>
      </c>
      <c r="P351" s="43">
        <f t="shared" si="121"/>
        <v>66114.853415612961</v>
      </c>
      <c r="Q351" s="43">
        <f t="shared" si="121"/>
        <v>61468.944797218552</v>
      </c>
      <c r="R351" s="43">
        <f t="shared" si="121"/>
        <v>57149.505433089675</v>
      </c>
      <c r="S351" s="43">
        <f t="shared" si="121"/>
        <v>53133.594240494182</v>
      </c>
      <c r="T351" s="95">
        <f t="shared" si="121"/>
        <v>49399.882212783785</v>
      </c>
      <c r="V351" s="43">
        <f t="shared" si="123"/>
        <v>5650.8421722746134</v>
      </c>
      <c r="W351" s="43">
        <f t="shared" si="124"/>
        <v>5650.8421722746125</v>
      </c>
      <c r="X351" s="43">
        <f t="shared" si="125"/>
        <v>5650.8421722746125</v>
      </c>
      <c r="Y351" s="43">
        <f t="shared" si="126"/>
        <v>5650.8421722746125</v>
      </c>
      <c r="Z351" s="95">
        <f t="shared" si="127"/>
        <v>5650.8421722746125</v>
      </c>
      <c r="AB351" s="43">
        <f t="shared" si="128"/>
        <v>71765.695587887574</v>
      </c>
      <c r="AC351" s="43">
        <f t="shared" si="129"/>
        <v>67119.786969493158</v>
      </c>
      <c r="AD351" s="43">
        <f t="shared" si="130"/>
        <v>62800.347605364288</v>
      </c>
      <c r="AE351" s="43">
        <f t="shared" si="131"/>
        <v>58784.436412768795</v>
      </c>
      <c r="AF351" s="95">
        <f t="shared" si="132"/>
        <v>55050.724385058398</v>
      </c>
      <c r="AH351" s="43">
        <f t="shared" si="133"/>
        <v>973640.10628291569</v>
      </c>
      <c r="AI351" s="43">
        <f t="shared" si="134"/>
        <v>906520.31931342254</v>
      </c>
      <c r="AJ351" s="43">
        <f t="shared" si="135"/>
        <v>843719.97170805826</v>
      </c>
      <c r="AK351" s="43">
        <f t="shared" si="136"/>
        <v>784935.53529528948</v>
      </c>
      <c r="AL351" s="95">
        <f t="shared" si="137"/>
        <v>729884.81091023108</v>
      </c>
      <c r="AN351" s="47">
        <f t="shared" si="138"/>
        <v>111684.93994548712</v>
      </c>
      <c r="AO351" s="47">
        <f t="shared" si="139"/>
        <v>113352.3232544777</v>
      </c>
      <c r="AP351" s="47">
        <f t="shared" si="140"/>
        <v>105830.06616247525</v>
      </c>
      <c r="AQ351" s="47">
        <f t="shared" si="141"/>
        <v>88611.986753989797</v>
      </c>
      <c r="AR351" s="193">
        <f t="shared" si="142"/>
        <v>82786.347199647178</v>
      </c>
      <c r="AS351" s="122"/>
      <c r="AT351" s="122"/>
      <c r="AU351" s="122"/>
      <c r="AV351" s="122"/>
      <c r="AW351" s="122"/>
      <c r="AX351" s="122"/>
    </row>
    <row r="352" spans="1:50" s="90" customFormat="1">
      <c r="A352" s="229"/>
      <c r="B352" s="37">
        <f>'13. Desinvesteringen'!B636</f>
        <v>617</v>
      </c>
      <c r="C352" s="339"/>
      <c r="D352" s="339"/>
      <c r="E352" s="339"/>
      <c r="F352" s="42">
        <f>'5. Input GAW-waarde desinv.'!D312</f>
        <v>3985882.0977839921</v>
      </c>
      <c r="G352" s="177">
        <f>'13. Desinvesteringen'!D636</f>
        <v>2011</v>
      </c>
      <c r="H352" s="177">
        <f>'13. Desinvesteringen'!G636</f>
        <v>2024</v>
      </c>
      <c r="I352" s="37" t="str">
        <f>'13. Desinvesteringen'!C636</f>
        <v>15 Compressorstations (TT-BT-AT)</v>
      </c>
      <c r="J352" s="166">
        <f>'13. Desinvesteringen'!F636</f>
        <v>0</v>
      </c>
      <c r="K352" s="38">
        <f>_xlfn.XLOOKUP(I352,'3. Input (des)investeringen '!$B$11:$B$81,'3. Input (des)investeringen '!$E$11:$E$81)</f>
        <v>1</v>
      </c>
      <c r="L352" s="339"/>
      <c r="M352" s="38">
        <f>_xlfn.XLOOKUP(I352,'3. Input (des)investeringen '!$B$11:$B$81,'3. Input (des)investeringen '!$D$11:$D$81,0)</f>
        <v>30</v>
      </c>
      <c r="N352" s="38">
        <f t="shared" si="122"/>
        <v>19.5</v>
      </c>
      <c r="P352" s="43">
        <f t="shared" si="121"/>
        <v>239152.92586703954</v>
      </c>
      <c r="Q352" s="43">
        <f t="shared" si="121"/>
        <v>223209.39747590356</v>
      </c>
      <c r="R352" s="43">
        <f t="shared" si="121"/>
        <v>208328.77097750999</v>
      </c>
      <c r="S352" s="43">
        <f t="shared" si="121"/>
        <v>194440.18624567601</v>
      </c>
      <c r="T352" s="95">
        <f t="shared" si="121"/>
        <v>181477.50716263094</v>
      </c>
      <c r="V352" s="43">
        <f t="shared" si="123"/>
        <v>20440.421014276886</v>
      </c>
      <c r="W352" s="43">
        <f t="shared" si="124"/>
        <v>20440.421014276886</v>
      </c>
      <c r="X352" s="43">
        <f t="shared" si="125"/>
        <v>20440.421014276886</v>
      </c>
      <c r="Y352" s="43">
        <f t="shared" si="126"/>
        <v>20440.421014276886</v>
      </c>
      <c r="Z352" s="95">
        <f t="shared" si="127"/>
        <v>20440.421014276886</v>
      </c>
      <c r="AB352" s="43">
        <f t="shared" si="128"/>
        <v>259593.34688131642</v>
      </c>
      <c r="AC352" s="43">
        <f t="shared" si="129"/>
        <v>243649.81849018045</v>
      </c>
      <c r="AD352" s="43">
        <f t="shared" si="130"/>
        <v>228769.19199178688</v>
      </c>
      <c r="AE352" s="43">
        <f t="shared" si="131"/>
        <v>214880.6072599529</v>
      </c>
      <c r="AF352" s="95">
        <f t="shared" si="132"/>
        <v>201917.92817690782</v>
      </c>
      <c r="AH352" s="43">
        <f t="shared" si="133"/>
        <v>3726288.7509026756</v>
      </c>
      <c r="AI352" s="43">
        <f t="shared" si="134"/>
        <v>3482638.9324124949</v>
      </c>
      <c r="AJ352" s="43">
        <f t="shared" si="135"/>
        <v>3253869.740420708</v>
      </c>
      <c r="AK352" s="43">
        <f t="shared" si="136"/>
        <v>3038989.133160755</v>
      </c>
      <c r="AL352" s="95">
        <f t="shared" si="137"/>
        <v>2837071.2049838472</v>
      </c>
      <c r="AN352" s="47">
        <f t="shared" si="138"/>
        <v>412371.1856683261</v>
      </c>
      <c r="AO352" s="47">
        <f t="shared" si="139"/>
        <v>421264.40404321766</v>
      </c>
      <c r="AP352" s="47">
        <f t="shared" si="140"/>
        <v>394716.54875324294</v>
      </c>
      <c r="AQ352" s="47">
        <f t="shared" si="141"/>
        <v>330362.19432006159</v>
      </c>
      <c r="AR352" s="193">
        <f t="shared" si="142"/>
        <v>309726.633966294</v>
      </c>
      <c r="AS352" s="122"/>
      <c r="AT352" s="122"/>
      <c r="AU352" s="122"/>
      <c r="AV352" s="122"/>
      <c r="AW352" s="122"/>
      <c r="AX352" s="122"/>
    </row>
    <row r="353" spans="1:50" s="90" customFormat="1">
      <c r="A353" s="229"/>
      <c r="B353" s="37">
        <f>'13. Desinvesteringen'!B637</f>
        <v>618</v>
      </c>
      <c r="C353" s="339"/>
      <c r="D353" s="339"/>
      <c r="E353" s="339"/>
      <c r="F353" s="42">
        <f>'5. Input GAW-waarde desinv.'!D313</f>
        <v>41545.737407650391</v>
      </c>
      <c r="G353" s="177">
        <f>'13. Desinvesteringen'!D637</f>
        <v>2011</v>
      </c>
      <c r="H353" s="177">
        <f>'13. Desinvesteringen'!G637</f>
        <v>2024</v>
      </c>
      <c r="I353" s="37" t="str">
        <f>'13. Desinvesteringen'!C637</f>
        <v>15 Compressorstations (TT-BT-AT)</v>
      </c>
      <c r="J353" s="166">
        <f>'13. Desinvesteringen'!F637</f>
        <v>0</v>
      </c>
      <c r="K353" s="38">
        <f>_xlfn.XLOOKUP(I353,'3. Input (des)investeringen '!$B$11:$B$81,'3. Input (des)investeringen '!$E$11:$E$81)</f>
        <v>1</v>
      </c>
      <c r="L353" s="339"/>
      <c r="M353" s="38">
        <f>_xlfn.XLOOKUP(I353,'3. Input (des)investeringen '!$B$11:$B$81,'3. Input (des)investeringen '!$D$11:$D$81,0)</f>
        <v>30</v>
      </c>
      <c r="N353" s="38">
        <f t="shared" si="122"/>
        <v>19.5</v>
      </c>
      <c r="P353" s="43">
        <f t="shared" si="121"/>
        <v>2492.7442444590233</v>
      </c>
      <c r="Q353" s="43">
        <f t="shared" si="121"/>
        <v>2326.561294828422</v>
      </c>
      <c r="R353" s="43">
        <f t="shared" si="121"/>
        <v>2171.4572085065279</v>
      </c>
      <c r="S353" s="43">
        <f t="shared" si="121"/>
        <v>2026.6933946060924</v>
      </c>
      <c r="T353" s="95">
        <f t="shared" si="121"/>
        <v>1891.5805016323529</v>
      </c>
      <c r="V353" s="43">
        <f t="shared" si="123"/>
        <v>213.05506362897637</v>
      </c>
      <c r="W353" s="43">
        <f t="shared" si="124"/>
        <v>213.05506362897637</v>
      </c>
      <c r="X353" s="43">
        <f t="shared" si="125"/>
        <v>213.05506362897637</v>
      </c>
      <c r="Y353" s="43">
        <f t="shared" si="126"/>
        <v>213.05506362897637</v>
      </c>
      <c r="Z353" s="95">
        <f t="shared" si="127"/>
        <v>213.05506362897637</v>
      </c>
      <c r="AB353" s="43">
        <f t="shared" si="128"/>
        <v>2705.7993080879996</v>
      </c>
      <c r="AC353" s="43">
        <f t="shared" si="129"/>
        <v>2539.6163584573983</v>
      </c>
      <c r="AD353" s="43">
        <f t="shared" si="130"/>
        <v>2384.5122721355042</v>
      </c>
      <c r="AE353" s="43">
        <f t="shared" si="131"/>
        <v>2239.7484582350689</v>
      </c>
      <c r="AF353" s="95">
        <f t="shared" si="132"/>
        <v>2104.6355652613292</v>
      </c>
      <c r="AH353" s="43">
        <f t="shared" si="133"/>
        <v>38839.938099562394</v>
      </c>
      <c r="AI353" s="43">
        <f t="shared" si="134"/>
        <v>36300.321741104999</v>
      </c>
      <c r="AJ353" s="43">
        <f t="shared" si="135"/>
        <v>33915.809468969492</v>
      </c>
      <c r="AK353" s="43">
        <f t="shared" si="136"/>
        <v>31676.061010734422</v>
      </c>
      <c r="AL353" s="95">
        <f t="shared" si="137"/>
        <v>29571.425445473091</v>
      </c>
      <c r="AN353" s="47">
        <f t="shared" si="138"/>
        <v>4298.2367701700578</v>
      </c>
      <c r="AO353" s="47">
        <f t="shared" si="139"/>
        <v>4390.9327672537529</v>
      </c>
      <c r="AP353" s="47">
        <f t="shared" si="140"/>
        <v>4114.2185550529484</v>
      </c>
      <c r="AQ353" s="47">
        <f t="shared" si="141"/>
        <v>3443.4387766429772</v>
      </c>
      <c r="AR353" s="193">
        <f t="shared" si="142"/>
        <v>3228.3497321893065</v>
      </c>
      <c r="AS353" s="122"/>
      <c r="AT353" s="122"/>
      <c r="AU353" s="122"/>
      <c r="AV353" s="122"/>
      <c r="AW353" s="122"/>
      <c r="AX353" s="122"/>
    </row>
    <row r="354" spans="1:50" s="90" customFormat="1">
      <c r="A354" s="229"/>
      <c r="B354" s="37">
        <f>'13. Desinvesteringen'!B638</f>
        <v>619</v>
      </c>
      <c r="C354" s="339"/>
      <c r="D354" s="339"/>
      <c r="E354" s="339"/>
      <c r="F354" s="42">
        <f>'5. Input GAW-waarde desinv.'!D314</f>
        <v>4236969.0556051834</v>
      </c>
      <c r="G354" s="177">
        <f>'13. Desinvesteringen'!D638</f>
        <v>2012</v>
      </c>
      <c r="H354" s="177">
        <f>'13. Desinvesteringen'!G638</f>
        <v>2024</v>
      </c>
      <c r="I354" s="37" t="str">
        <f>'13. Desinvesteringen'!C638</f>
        <v>15 Compressorstations (TT-BT-AT)</v>
      </c>
      <c r="J354" s="166">
        <f>'13. Desinvesteringen'!F638</f>
        <v>0</v>
      </c>
      <c r="K354" s="38">
        <f>_xlfn.XLOOKUP(I354,'3. Input (des)investeringen '!$B$11:$B$81,'3. Input (des)investeringen '!$E$11:$E$81)</f>
        <v>1</v>
      </c>
      <c r="L354" s="339"/>
      <c r="M354" s="38">
        <f>_xlfn.XLOOKUP(I354,'3. Input (des)investeringen '!$B$11:$B$81,'3. Input (des)investeringen '!$D$11:$D$81,0)</f>
        <v>30</v>
      </c>
      <c r="N354" s="38">
        <f t="shared" si="122"/>
        <v>20.5</v>
      </c>
      <c r="P354" s="43">
        <f t="shared" si="121"/>
        <v>241817.25829551535</v>
      </c>
      <c r="Q354" s="43">
        <f t="shared" si="121"/>
        <v>226482.50533043389</v>
      </c>
      <c r="R354" s="43">
        <f t="shared" si="121"/>
        <v>212120.20011435761</v>
      </c>
      <c r="S354" s="43">
        <f t="shared" si="121"/>
        <v>198668.67522905688</v>
      </c>
      <c r="T354" s="95">
        <f t="shared" si="121"/>
        <v>186070.17387306792</v>
      </c>
      <c r="V354" s="43">
        <f t="shared" si="123"/>
        <v>20668.141734659435</v>
      </c>
      <c r="W354" s="43">
        <f t="shared" si="124"/>
        <v>20668.141734659432</v>
      </c>
      <c r="X354" s="43">
        <f t="shared" si="125"/>
        <v>20668.141734659432</v>
      </c>
      <c r="Y354" s="43">
        <f t="shared" si="126"/>
        <v>20668.141734659432</v>
      </c>
      <c r="Z354" s="95">
        <f t="shared" si="127"/>
        <v>20668.141734659432</v>
      </c>
      <c r="AB354" s="43">
        <f t="shared" si="128"/>
        <v>262485.40003017476</v>
      </c>
      <c r="AC354" s="43">
        <f t="shared" si="129"/>
        <v>247150.64706509333</v>
      </c>
      <c r="AD354" s="43">
        <f t="shared" si="130"/>
        <v>232788.34184901704</v>
      </c>
      <c r="AE354" s="43">
        <f t="shared" si="131"/>
        <v>219336.81696371632</v>
      </c>
      <c r="AF354" s="95">
        <f t="shared" si="132"/>
        <v>206738.31560772736</v>
      </c>
      <c r="AH354" s="43">
        <f t="shared" si="133"/>
        <v>3974483.6555750086</v>
      </c>
      <c r="AI354" s="43">
        <f t="shared" si="134"/>
        <v>3727333.0085099153</v>
      </c>
      <c r="AJ354" s="43">
        <f t="shared" si="135"/>
        <v>3494544.6666608984</v>
      </c>
      <c r="AK354" s="43">
        <f t="shared" si="136"/>
        <v>3275207.849697182</v>
      </c>
      <c r="AL354" s="95">
        <f t="shared" si="137"/>
        <v>3068469.5340894544</v>
      </c>
      <c r="AN354" s="47">
        <f t="shared" si="138"/>
        <v>425439.22990875016</v>
      </c>
      <c r="AO354" s="47">
        <f t="shared" si="139"/>
        <v>437244.63049909903</v>
      </c>
      <c r="AP354" s="47">
        <f t="shared" si="140"/>
        <v>411010.11984872282</v>
      </c>
      <c r="AQ354" s="47">
        <f t="shared" si="141"/>
        <v>343794.71525220922</v>
      </c>
      <c r="AR354" s="193">
        <f t="shared" si="142"/>
        <v>323340.15790312662</v>
      </c>
      <c r="AS354" s="122"/>
      <c r="AT354" s="122"/>
      <c r="AU354" s="122"/>
      <c r="AV354" s="122"/>
      <c r="AW354" s="122"/>
      <c r="AX354" s="122"/>
    </row>
    <row r="355" spans="1:50" s="90" customFormat="1">
      <c r="A355" s="229"/>
      <c r="B355" s="37">
        <f>'13. Desinvesteringen'!B639</f>
        <v>620</v>
      </c>
      <c r="C355" s="339"/>
      <c r="D355" s="339"/>
      <c r="E355" s="339"/>
      <c r="F355" s="42">
        <f>'5. Input GAW-waarde desinv.'!D315</f>
        <v>1309899.9728682514</v>
      </c>
      <c r="G355" s="177">
        <f>'13. Desinvesteringen'!D639</f>
        <v>2013</v>
      </c>
      <c r="H355" s="177">
        <f>'13. Desinvesteringen'!G639</f>
        <v>2024</v>
      </c>
      <c r="I355" s="37" t="str">
        <f>'13. Desinvesteringen'!C639</f>
        <v>15 Compressorstations (TT-BT-AT)</v>
      </c>
      <c r="J355" s="166">
        <f>'13. Desinvesteringen'!F639</f>
        <v>0</v>
      </c>
      <c r="K355" s="38">
        <f>_xlfn.XLOOKUP(I355,'3. Input (des)investeringen '!$B$11:$B$81,'3. Input (des)investeringen '!$E$11:$E$81)</f>
        <v>1</v>
      </c>
      <c r="L355" s="339"/>
      <c r="M355" s="38">
        <f>_xlfn.XLOOKUP(I355,'3. Input (des)investeringen '!$B$11:$B$81,'3. Input (des)investeringen '!$D$11:$D$81,0)</f>
        <v>30</v>
      </c>
      <c r="N355" s="38">
        <f t="shared" si="122"/>
        <v>21.5</v>
      </c>
      <c r="P355" s="43">
        <f t="shared" si="121"/>
        <v>71282.928756086243</v>
      </c>
      <c r="Q355" s="43">
        <f t="shared" si="121"/>
        <v>66972.79818013683</v>
      </c>
      <c r="R355" s="43">
        <f t="shared" si="121"/>
        <v>62923.280150640181</v>
      </c>
      <c r="S355" s="43">
        <f t="shared" si="121"/>
        <v>59118.616699671249</v>
      </c>
      <c r="T355" s="95">
        <f t="shared" si="121"/>
        <v>55544.002666667868</v>
      </c>
      <c r="V355" s="43">
        <f t="shared" si="123"/>
        <v>6092.5580133407047</v>
      </c>
      <c r="W355" s="43">
        <f t="shared" si="124"/>
        <v>6092.5580133407038</v>
      </c>
      <c r="X355" s="43">
        <f t="shared" si="125"/>
        <v>6092.5580133407038</v>
      </c>
      <c r="Y355" s="43">
        <f t="shared" si="126"/>
        <v>6092.5580133407038</v>
      </c>
      <c r="Z355" s="95">
        <f t="shared" si="127"/>
        <v>6092.5580133407038</v>
      </c>
      <c r="AB355" s="43">
        <f t="shared" si="128"/>
        <v>77375.486769426949</v>
      </c>
      <c r="AC355" s="43">
        <f t="shared" si="129"/>
        <v>73065.356193477535</v>
      </c>
      <c r="AD355" s="43">
        <f t="shared" si="130"/>
        <v>69015.838163980879</v>
      </c>
      <c r="AE355" s="43">
        <f t="shared" si="131"/>
        <v>65211.174713011955</v>
      </c>
      <c r="AF355" s="95">
        <f t="shared" si="132"/>
        <v>61636.560680008573</v>
      </c>
      <c r="AH355" s="43">
        <f t="shared" si="133"/>
        <v>1232524.4860988245</v>
      </c>
      <c r="AI355" s="43">
        <f t="shared" si="134"/>
        <v>1159459.129905347</v>
      </c>
      <c r="AJ355" s="43">
        <f t="shared" si="135"/>
        <v>1090443.291741366</v>
      </c>
      <c r="AK355" s="43">
        <f t="shared" si="136"/>
        <v>1025232.1170283541</v>
      </c>
      <c r="AL355" s="95">
        <f t="shared" si="137"/>
        <v>963595.55634834548</v>
      </c>
      <c r="AN355" s="47">
        <f t="shared" si="138"/>
        <v>127908.99069947876</v>
      </c>
      <c r="AO355" s="47">
        <f t="shared" si="139"/>
        <v>132197.77181865025</v>
      </c>
      <c r="AP355" s="47">
        <f t="shared" si="140"/>
        <v>124628.44604279054</v>
      </c>
      <c r="AQ355" s="47">
        <f t="shared" si="141"/>
        <v>104169.9951600894</v>
      </c>
      <c r="AR355" s="193">
        <f t="shared" si="142"/>
        <v>98253.191821245709</v>
      </c>
      <c r="AS355" s="122"/>
      <c r="AT355" s="122"/>
      <c r="AU355" s="122"/>
      <c r="AV355" s="122"/>
      <c r="AW355" s="122"/>
      <c r="AX355" s="122"/>
    </row>
    <row r="356" spans="1:50" s="90" customFormat="1">
      <c r="A356" s="229"/>
      <c r="B356" s="37">
        <f>'13. Desinvesteringen'!B640</f>
        <v>621</v>
      </c>
      <c r="C356" s="339"/>
      <c r="D356" s="339"/>
      <c r="E356" s="339"/>
      <c r="F356" s="42">
        <f>'5. Input GAW-waarde desinv.'!D316</f>
        <v>352279.26825206354</v>
      </c>
      <c r="G356" s="177">
        <f>'13. Desinvesteringen'!D640</f>
        <v>2014</v>
      </c>
      <c r="H356" s="177">
        <f>'13. Desinvesteringen'!G640</f>
        <v>2024</v>
      </c>
      <c r="I356" s="37" t="str">
        <f>'13. Desinvesteringen'!C640</f>
        <v>15 Compressorstations (TT-BT-AT)</v>
      </c>
      <c r="J356" s="166">
        <f>'13. Desinvesteringen'!F640</f>
        <v>0</v>
      </c>
      <c r="K356" s="38">
        <f>_xlfn.XLOOKUP(I356,'3. Input (des)investeringen '!$B$11:$B$81,'3. Input (des)investeringen '!$E$11:$E$81)</f>
        <v>1</v>
      </c>
      <c r="L356" s="339"/>
      <c r="M356" s="38">
        <f>_xlfn.XLOOKUP(I356,'3. Input (des)investeringen '!$B$11:$B$81,'3. Input (des)investeringen '!$D$11:$D$81,0)</f>
        <v>30</v>
      </c>
      <c r="N356" s="38">
        <f t="shared" si="122"/>
        <v>22.5</v>
      </c>
      <c r="P356" s="43">
        <f t="shared" si="121"/>
        <v>18318.521949107304</v>
      </c>
      <c r="Q356" s="43">
        <f t="shared" si="121"/>
        <v>17260.118458714438</v>
      </c>
      <c r="R356" s="43">
        <f t="shared" si="121"/>
        <v>16262.867169988718</v>
      </c>
      <c r="S356" s="43">
        <f t="shared" si="121"/>
        <v>15323.234844611594</v>
      </c>
      <c r="T356" s="95">
        <f t="shared" si="121"/>
        <v>14437.892386922922</v>
      </c>
      <c r="V356" s="43">
        <f t="shared" si="123"/>
        <v>1565.6856366758382</v>
      </c>
      <c r="W356" s="43">
        <f t="shared" si="124"/>
        <v>1565.6856366758382</v>
      </c>
      <c r="X356" s="43">
        <f t="shared" si="125"/>
        <v>1565.6856366758382</v>
      </c>
      <c r="Y356" s="43">
        <f t="shared" si="126"/>
        <v>1565.6856366758382</v>
      </c>
      <c r="Z356" s="95">
        <f t="shared" si="127"/>
        <v>1565.6856366758382</v>
      </c>
      <c r="AB356" s="43">
        <f t="shared" si="128"/>
        <v>19884.207585783141</v>
      </c>
      <c r="AC356" s="43">
        <f t="shared" si="129"/>
        <v>18825.804095390275</v>
      </c>
      <c r="AD356" s="43">
        <f t="shared" si="130"/>
        <v>17828.552806664557</v>
      </c>
      <c r="AE356" s="43">
        <f t="shared" si="131"/>
        <v>16888.92048128743</v>
      </c>
      <c r="AF356" s="95">
        <f t="shared" si="132"/>
        <v>16003.57802359876</v>
      </c>
      <c r="AH356" s="43">
        <f t="shared" si="133"/>
        <v>332395.06066628039</v>
      </c>
      <c r="AI356" s="43">
        <f t="shared" si="134"/>
        <v>313569.25657089014</v>
      </c>
      <c r="AJ356" s="43">
        <f t="shared" si="135"/>
        <v>295740.70376422559</v>
      </c>
      <c r="AK356" s="43">
        <f t="shared" si="136"/>
        <v>278851.78328293818</v>
      </c>
      <c r="AL356" s="95">
        <f t="shared" si="137"/>
        <v>262848.20525933942</v>
      </c>
      <c r="AN356" s="47">
        <f t="shared" si="138"/>
        <v>33512.405073100635</v>
      </c>
      <c r="AO356" s="47">
        <f t="shared" si="139"/>
        <v>34817.83618050567</v>
      </c>
      <c r="AP356" s="47">
        <f t="shared" si="140"/>
        <v>32911.328698640064</v>
      </c>
      <c r="AQ356" s="47">
        <f t="shared" si="141"/>
        <v>27485.288246039083</v>
      </c>
      <c r="AR356" s="193">
        <f t="shared" si="142"/>
        <v>25991.809823453659</v>
      </c>
      <c r="AS356" s="122"/>
      <c r="AT356" s="122"/>
      <c r="AU356" s="122"/>
      <c r="AV356" s="122"/>
      <c r="AW356" s="122"/>
      <c r="AX356" s="122"/>
    </row>
    <row r="357" spans="1:50" s="90" customFormat="1">
      <c r="A357" s="229"/>
      <c r="B357" s="37">
        <f>'13. Desinvesteringen'!B641</f>
        <v>622</v>
      </c>
      <c r="C357" s="339"/>
      <c r="D357" s="339"/>
      <c r="E357" s="339"/>
      <c r="F357" s="42">
        <f>'5. Input GAW-waarde desinv.'!D317</f>
        <v>8614670.2533826157</v>
      </c>
      <c r="G357" s="177">
        <f>'13. Desinvesteringen'!D641</f>
        <v>2015</v>
      </c>
      <c r="H357" s="177">
        <f>'13. Desinvesteringen'!G641</f>
        <v>2024</v>
      </c>
      <c r="I357" s="37" t="str">
        <f>'13. Desinvesteringen'!C641</f>
        <v>15 Compressorstations (TT-BT-AT)</v>
      </c>
      <c r="J357" s="166">
        <f>'13. Desinvesteringen'!F641</f>
        <v>0</v>
      </c>
      <c r="K357" s="38">
        <f>_xlfn.XLOOKUP(I357,'3. Input (des)investeringen '!$B$11:$B$81,'3. Input (des)investeringen '!$E$11:$E$81)</f>
        <v>1</v>
      </c>
      <c r="L357" s="339"/>
      <c r="M357" s="38">
        <f>_xlfn.XLOOKUP(I357,'3. Input (des)investeringen '!$B$11:$B$81,'3. Input (des)investeringen '!$D$11:$D$81,0)</f>
        <v>30</v>
      </c>
      <c r="N357" s="38">
        <f t="shared" si="122"/>
        <v>23.5</v>
      </c>
      <c r="P357" s="43">
        <f t="shared" si="121"/>
        <v>428900.60410458135</v>
      </c>
      <c r="Q357" s="43">
        <f t="shared" si="121"/>
        <v>405174.18770730664</v>
      </c>
      <c r="R357" s="43">
        <f t="shared" si="121"/>
        <v>382760.29647243436</v>
      </c>
      <c r="S357" s="43">
        <f t="shared" si="121"/>
        <v>361586.32262502308</v>
      </c>
      <c r="T357" s="95">
        <f t="shared" si="121"/>
        <v>341583.67499044735</v>
      </c>
      <c r="V357" s="43">
        <f t="shared" si="123"/>
        <v>36658.171290989856</v>
      </c>
      <c r="W357" s="43">
        <f t="shared" si="124"/>
        <v>36658.171290989856</v>
      </c>
      <c r="X357" s="43">
        <f t="shared" si="125"/>
        <v>36658.171290989856</v>
      </c>
      <c r="Y357" s="43">
        <f t="shared" si="126"/>
        <v>36658.171290989856</v>
      </c>
      <c r="Z357" s="95">
        <f t="shared" si="127"/>
        <v>36658.171290989856</v>
      </c>
      <c r="AB357" s="43">
        <f t="shared" si="128"/>
        <v>465558.7753955712</v>
      </c>
      <c r="AC357" s="43">
        <f t="shared" si="129"/>
        <v>441832.35899829649</v>
      </c>
      <c r="AD357" s="43">
        <f t="shared" si="130"/>
        <v>419418.46776342421</v>
      </c>
      <c r="AE357" s="43">
        <f t="shared" si="131"/>
        <v>398244.49391601293</v>
      </c>
      <c r="AF357" s="95">
        <f t="shared" si="132"/>
        <v>378241.8462814372</v>
      </c>
      <c r="AH357" s="43">
        <f t="shared" si="133"/>
        <v>8149111.4779870445</v>
      </c>
      <c r="AI357" s="43">
        <f t="shared" si="134"/>
        <v>7707279.1189887477</v>
      </c>
      <c r="AJ357" s="43">
        <f t="shared" si="135"/>
        <v>7287860.6512253238</v>
      </c>
      <c r="AK357" s="43">
        <f t="shared" si="136"/>
        <v>6889616.1573093105</v>
      </c>
      <c r="AL357" s="95">
        <f t="shared" si="137"/>
        <v>6511374.3110278733</v>
      </c>
      <c r="AN357" s="47">
        <f t="shared" si="138"/>
        <v>799672.34599304001</v>
      </c>
      <c r="AO357" s="47">
        <f t="shared" si="139"/>
        <v>834903.59406672255</v>
      </c>
      <c r="AP357" s="47">
        <f t="shared" si="140"/>
        <v>791099.36097591568</v>
      </c>
      <c r="AQ357" s="47">
        <f t="shared" si="141"/>
        <v>660049.90789376665</v>
      </c>
      <c r="AR357" s="193">
        <f t="shared" si="142"/>
        <v>625674.07010049641</v>
      </c>
      <c r="AS357" s="122"/>
      <c r="AT357" s="122"/>
      <c r="AU357" s="122"/>
      <c r="AV357" s="122"/>
      <c r="AW357" s="122"/>
      <c r="AX357" s="122"/>
    </row>
    <row r="358" spans="1:50" s="90" customFormat="1">
      <c r="A358" s="229"/>
      <c r="B358" s="37">
        <f>'13. Desinvesteringen'!B642</f>
        <v>623</v>
      </c>
      <c r="C358" s="339"/>
      <c r="D358" s="339"/>
      <c r="E358" s="339"/>
      <c r="F358" s="42">
        <f>'5. Input GAW-waarde desinv.'!D318</f>
        <v>205179.23220155045</v>
      </c>
      <c r="G358" s="177">
        <f>'13. Desinvesteringen'!D642</f>
        <v>2016</v>
      </c>
      <c r="H358" s="177">
        <f>'13. Desinvesteringen'!G642</f>
        <v>2024</v>
      </c>
      <c r="I358" s="37" t="str">
        <f>'13. Desinvesteringen'!C642</f>
        <v>15 Compressorstations (TT-BT-AT)</v>
      </c>
      <c r="J358" s="166">
        <f>'13. Desinvesteringen'!F642</f>
        <v>0</v>
      </c>
      <c r="K358" s="38">
        <f>_xlfn.XLOOKUP(I358,'3. Input (des)investeringen '!$B$11:$B$81,'3. Input (des)investeringen '!$E$11:$E$81)</f>
        <v>1</v>
      </c>
      <c r="L358" s="339"/>
      <c r="M358" s="38">
        <f>_xlfn.XLOOKUP(I358,'3. Input (des)investeringen '!$B$11:$B$81,'3. Input (des)investeringen '!$D$11:$D$81,0)</f>
        <v>30</v>
      </c>
      <c r="N358" s="38">
        <f t="shared" si="122"/>
        <v>24.5</v>
      </c>
      <c r="P358" s="43">
        <f t="shared" si="121"/>
        <v>9798.3551704413912</v>
      </c>
      <c r="Q358" s="43">
        <f t="shared" si="121"/>
        <v>9278.4424471118455</v>
      </c>
      <c r="R358" s="43">
        <f t="shared" si="121"/>
        <v>8786.1169295099935</v>
      </c>
      <c r="S358" s="43">
        <f t="shared" si="121"/>
        <v>8319.9148067196675</v>
      </c>
      <c r="T358" s="95">
        <f t="shared" si="121"/>
        <v>7878.4499394243367</v>
      </c>
      <c r="V358" s="43">
        <f t="shared" si="123"/>
        <v>837.46625388387929</v>
      </c>
      <c r="W358" s="43">
        <f t="shared" si="124"/>
        <v>837.46625388387929</v>
      </c>
      <c r="X358" s="43">
        <f t="shared" si="125"/>
        <v>837.46625388387929</v>
      </c>
      <c r="Y358" s="43">
        <f t="shared" si="126"/>
        <v>837.46625388387929</v>
      </c>
      <c r="Z358" s="95">
        <f t="shared" si="127"/>
        <v>837.46625388387929</v>
      </c>
      <c r="AB358" s="43">
        <f t="shared" si="128"/>
        <v>10635.82142432527</v>
      </c>
      <c r="AC358" s="43">
        <f t="shared" si="129"/>
        <v>10115.908700995726</v>
      </c>
      <c r="AD358" s="43">
        <f t="shared" si="130"/>
        <v>9623.5831833938719</v>
      </c>
      <c r="AE358" s="43">
        <f t="shared" si="131"/>
        <v>9157.3810606035477</v>
      </c>
      <c r="AF358" s="95">
        <f t="shared" si="132"/>
        <v>8715.916193308216</v>
      </c>
      <c r="AH358" s="43">
        <f t="shared" si="133"/>
        <v>194543.41077722519</v>
      </c>
      <c r="AI358" s="43">
        <f t="shared" si="134"/>
        <v>184427.50207622946</v>
      </c>
      <c r="AJ358" s="43">
        <f t="shared" si="135"/>
        <v>174803.91889283559</v>
      </c>
      <c r="AK358" s="43">
        <f t="shared" si="136"/>
        <v>165646.53783223205</v>
      </c>
      <c r="AL358" s="95">
        <f t="shared" si="137"/>
        <v>156930.62163892383</v>
      </c>
      <c r="AN358" s="47">
        <f t="shared" si="138"/>
        <v>18612.101266191501</v>
      </c>
      <c r="AO358" s="47">
        <f t="shared" si="139"/>
        <v>19521.71130688343</v>
      </c>
      <c r="AP358" s="47">
        <f t="shared" si="140"/>
        <v>18538.583046928485</v>
      </c>
      <c r="AQ358" s="47">
        <f t="shared" si="141"/>
        <v>15451.949498228365</v>
      </c>
      <c r="AR358" s="193">
        <f t="shared" si="142"/>
        <v>14679.279815587321</v>
      </c>
      <c r="AS358" s="122"/>
      <c r="AT358" s="122"/>
      <c r="AU358" s="122"/>
      <c r="AV358" s="122"/>
      <c r="AW358" s="122"/>
      <c r="AX358" s="122"/>
    </row>
    <row r="359" spans="1:50" s="90" customFormat="1">
      <c r="A359" s="229"/>
      <c r="B359" s="37">
        <f>'13. Desinvesteringen'!B643</f>
        <v>624</v>
      </c>
      <c r="C359" s="339"/>
      <c r="D359" s="339"/>
      <c r="E359" s="339"/>
      <c r="F359" s="42">
        <f>'5. Input GAW-waarde desinv.'!D319</f>
        <v>15286337.673415478</v>
      </c>
      <c r="G359" s="177">
        <f>'13. Desinvesteringen'!D643</f>
        <v>2017</v>
      </c>
      <c r="H359" s="177">
        <f>'13. Desinvesteringen'!G643</f>
        <v>2024</v>
      </c>
      <c r="I359" s="37" t="str">
        <f>'13. Desinvesteringen'!C643</f>
        <v>15 Compressorstations (TT-BT-AT)</v>
      </c>
      <c r="J359" s="166">
        <f>'13. Desinvesteringen'!F643</f>
        <v>0</v>
      </c>
      <c r="K359" s="38">
        <f>_xlfn.XLOOKUP(I359,'3. Input (des)investeringen '!$B$11:$B$81,'3. Input (des)investeringen '!$E$11:$E$81)</f>
        <v>1</v>
      </c>
      <c r="L359" s="339"/>
      <c r="M359" s="38">
        <f>_xlfn.XLOOKUP(I359,'3. Input (des)investeringen '!$B$11:$B$81,'3. Input (des)investeringen '!$D$11:$D$81,0)</f>
        <v>30</v>
      </c>
      <c r="N359" s="38">
        <f t="shared" si="122"/>
        <v>25.5</v>
      </c>
      <c r="P359" s="43">
        <f t="shared" si="121"/>
        <v>701373.14030965138</v>
      </c>
      <c r="Q359" s="43">
        <f t="shared" si="121"/>
        <v>665616.86256837507</v>
      </c>
      <c r="R359" s="43">
        <f t="shared" si="121"/>
        <v>631683.45388841862</v>
      </c>
      <c r="S359" s="43">
        <f t="shared" si="121"/>
        <v>599479.98369018547</v>
      </c>
      <c r="T359" s="95">
        <f t="shared" si="121"/>
        <v>568918.25903147017</v>
      </c>
      <c r="V359" s="43">
        <f t="shared" si="123"/>
        <v>59946.422248688155</v>
      </c>
      <c r="W359" s="43">
        <f t="shared" si="124"/>
        <v>59946.422248688155</v>
      </c>
      <c r="X359" s="43">
        <f t="shared" si="125"/>
        <v>59946.422248688155</v>
      </c>
      <c r="Y359" s="43">
        <f t="shared" si="126"/>
        <v>59946.422248688155</v>
      </c>
      <c r="Z359" s="95">
        <f t="shared" si="127"/>
        <v>59946.422248688155</v>
      </c>
      <c r="AB359" s="43">
        <f t="shared" si="128"/>
        <v>761319.56255833956</v>
      </c>
      <c r="AC359" s="43">
        <f t="shared" si="129"/>
        <v>725563.28481706325</v>
      </c>
      <c r="AD359" s="43">
        <f t="shared" si="130"/>
        <v>691629.8761371068</v>
      </c>
      <c r="AE359" s="43">
        <f t="shared" si="131"/>
        <v>659426.40593887365</v>
      </c>
      <c r="AF359" s="95">
        <f t="shared" si="132"/>
        <v>628864.68128015834</v>
      </c>
      <c r="AH359" s="43">
        <f t="shared" si="133"/>
        <v>14525018.110857138</v>
      </c>
      <c r="AI359" s="43">
        <f t="shared" si="134"/>
        <v>13799454.826040074</v>
      </c>
      <c r="AJ359" s="43">
        <f t="shared" si="135"/>
        <v>13107824.949902967</v>
      </c>
      <c r="AK359" s="43">
        <f t="shared" si="136"/>
        <v>12448398.543964094</v>
      </c>
      <c r="AL359" s="95">
        <f t="shared" si="137"/>
        <v>11819533.862683935</v>
      </c>
      <c r="AN359" s="47">
        <f t="shared" si="138"/>
        <v>1356845.3051034822</v>
      </c>
      <c r="AO359" s="47">
        <f t="shared" si="139"/>
        <v>1429335.4809451071</v>
      </c>
      <c r="AP359" s="47">
        <f t="shared" si="140"/>
        <v>1360128.948582158</v>
      </c>
      <c r="AQ359" s="47">
        <f t="shared" si="141"/>
        <v>1132465.5506095092</v>
      </c>
      <c r="AR359" s="193">
        <f t="shared" si="142"/>
        <v>1078006.968062148</v>
      </c>
      <c r="AS359" s="122"/>
      <c r="AT359" s="122"/>
      <c r="AU359" s="122"/>
      <c r="AV359" s="122"/>
      <c r="AW359" s="122"/>
      <c r="AX359" s="122"/>
    </row>
    <row r="360" spans="1:50" s="90" customFormat="1">
      <c r="A360" s="229"/>
      <c r="B360" s="37">
        <f>'13. Desinvesteringen'!B644</f>
        <v>625</v>
      </c>
      <c r="C360" s="339"/>
      <c r="D360" s="339"/>
      <c r="E360" s="339"/>
      <c r="F360" s="42">
        <f>'5. Input GAW-waarde desinv.'!D320</f>
        <v>132877.15359999999</v>
      </c>
      <c r="G360" s="177">
        <f>'13. Desinvesteringen'!D644</f>
        <v>2020</v>
      </c>
      <c r="H360" s="177">
        <f>'13. Desinvesteringen'!G644</f>
        <v>2024</v>
      </c>
      <c r="I360" s="37" t="str">
        <f>'13. Desinvesteringen'!C644</f>
        <v>15 Compressorstations (TT-BT-AT)</v>
      </c>
      <c r="J360" s="166">
        <f>'13. Desinvesteringen'!F644</f>
        <v>0</v>
      </c>
      <c r="K360" s="38">
        <f>_xlfn.XLOOKUP(I360,'3. Input (des)investeringen '!$B$11:$B$81,'3. Input (des)investeringen '!$E$11:$E$81)</f>
        <v>1</v>
      </c>
      <c r="L360" s="339"/>
      <c r="M360" s="38">
        <f>_xlfn.XLOOKUP(I360,'3. Input (des)investeringen '!$B$11:$B$81,'3. Input (des)investeringen '!$D$11:$D$81,0)</f>
        <v>30</v>
      </c>
      <c r="N360" s="38">
        <f t="shared" si="122"/>
        <v>28.5</v>
      </c>
      <c r="P360" s="43">
        <f t="shared" si="121"/>
        <v>5454.9568319999998</v>
      </c>
      <c r="Q360" s="43">
        <f t="shared" si="121"/>
        <v>5206.134239663158</v>
      </c>
      <c r="R360" s="43">
        <f t="shared" si="121"/>
        <v>4968.6614497837854</v>
      </c>
      <c r="S360" s="43">
        <f t="shared" si="121"/>
        <v>4742.0207520743497</v>
      </c>
      <c r="T360" s="95">
        <f t="shared" si="121"/>
        <v>4525.7180511025381</v>
      </c>
      <c r="V360" s="43">
        <f t="shared" si="123"/>
        <v>466.23562666666669</v>
      </c>
      <c r="W360" s="43">
        <f t="shared" si="124"/>
        <v>466.23562666666669</v>
      </c>
      <c r="X360" s="43">
        <f t="shared" si="125"/>
        <v>466.23562666666669</v>
      </c>
      <c r="Y360" s="43">
        <f t="shared" si="126"/>
        <v>466.23562666666669</v>
      </c>
      <c r="Z360" s="95">
        <f t="shared" si="127"/>
        <v>466.23562666666669</v>
      </c>
      <c r="AB360" s="43">
        <f t="shared" si="128"/>
        <v>5921.1924586666664</v>
      </c>
      <c r="AC360" s="43">
        <f t="shared" si="129"/>
        <v>5672.3698663298246</v>
      </c>
      <c r="AD360" s="43">
        <f t="shared" si="130"/>
        <v>5434.897076450452</v>
      </c>
      <c r="AE360" s="43">
        <f t="shared" si="131"/>
        <v>5208.2563787410163</v>
      </c>
      <c r="AF360" s="95">
        <f t="shared" si="132"/>
        <v>4991.9536777692047</v>
      </c>
      <c r="AH360" s="43">
        <f t="shared" si="133"/>
        <v>126955.96114133332</v>
      </c>
      <c r="AI360" s="43">
        <f t="shared" si="134"/>
        <v>121283.59127500349</v>
      </c>
      <c r="AJ360" s="43">
        <f t="shared" si="135"/>
        <v>115848.69419855304</v>
      </c>
      <c r="AK360" s="43">
        <f t="shared" si="136"/>
        <v>110640.43781981202</v>
      </c>
      <c r="AL360" s="95">
        <f t="shared" si="137"/>
        <v>105648.48414204281</v>
      </c>
      <c r="AN360" s="47">
        <f t="shared" si="138"/>
        <v>11126.386865461332</v>
      </c>
      <c r="AO360" s="47">
        <f t="shared" si="139"/>
        <v>11857.833021355003</v>
      </c>
      <c r="AP360" s="47">
        <f t="shared" si="140"/>
        <v>11343.180480576657</v>
      </c>
      <c r="AQ360" s="47">
        <f t="shared" si="141"/>
        <v>9412.5930158938736</v>
      </c>
      <c r="AR360" s="193">
        <f t="shared" si="142"/>
        <v>9006.5960751668317</v>
      </c>
      <c r="AS360" s="122"/>
      <c r="AT360" s="122"/>
      <c r="AU360" s="122"/>
      <c r="AV360" s="122"/>
      <c r="AW360" s="122"/>
      <c r="AX360" s="122"/>
    </row>
    <row r="361" spans="1:50" s="90" customFormat="1">
      <c r="A361" s="229"/>
      <c r="B361" s="37">
        <f>'13. Desinvesteringen'!B645</f>
        <v>626</v>
      </c>
      <c r="C361" s="339"/>
      <c r="D361" s="339"/>
      <c r="E361" s="339"/>
      <c r="F361" s="42">
        <f>'5. Input GAW-waarde desinv.'!D321</f>
        <v>0</v>
      </c>
      <c r="G361" s="177">
        <f>'13. Desinvesteringen'!D645</f>
        <v>1972</v>
      </c>
      <c r="H361" s="177">
        <f>'13. Desinvesteringen'!G645</f>
        <v>2024</v>
      </c>
      <c r="I361" s="37" t="str">
        <f>'13. Desinvesteringen'!C645</f>
        <v>17 Mengstations</v>
      </c>
      <c r="J361" s="166">
        <f>'13. Desinvesteringen'!F645</f>
        <v>0</v>
      </c>
      <c r="K361" s="38">
        <f>_xlfn.XLOOKUP(I361,'3. Input (des)investeringen '!$B$11:$B$81,'3. Input (des)investeringen '!$E$11:$E$81)</f>
        <v>0</v>
      </c>
      <c r="L361" s="339"/>
      <c r="M361" s="38">
        <f>_xlfn.XLOOKUP(I361,'3. Input (des)investeringen '!$B$11:$B$81,'3. Input (des)investeringen '!$D$11:$D$81,0)</f>
        <v>30</v>
      </c>
      <c r="N361" s="38">
        <f t="shared" si="122"/>
        <v>0</v>
      </c>
      <c r="P361" s="43">
        <f t="shared" si="121"/>
        <v>0</v>
      </c>
      <c r="Q361" s="43">
        <f t="shared" si="121"/>
        <v>0</v>
      </c>
      <c r="R361" s="43">
        <f t="shared" si="121"/>
        <v>0</v>
      </c>
      <c r="S361" s="43">
        <f t="shared" si="121"/>
        <v>0</v>
      </c>
      <c r="T361" s="95">
        <f t="shared" si="121"/>
        <v>0</v>
      </c>
      <c r="V361" s="43">
        <f t="shared" si="123"/>
        <v>0</v>
      </c>
      <c r="W361" s="43">
        <f t="shared" si="124"/>
        <v>0</v>
      </c>
      <c r="X361" s="43">
        <f t="shared" si="125"/>
        <v>0</v>
      </c>
      <c r="Y361" s="43">
        <f t="shared" si="126"/>
        <v>0</v>
      </c>
      <c r="Z361" s="95">
        <f t="shared" si="127"/>
        <v>0</v>
      </c>
      <c r="AB361" s="43">
        <f t="shared" si="128"/>
        <v>0</v>
      </c>
      <c r="AC361" s="43">
        <f t="shared" si="129"/>
        <v>0</v>
      </c>
      <c r="AD361" s="43">
        <f t="shared" si="130"/>
        <v>0</v>
      </c>
      <c r="AE361" s="43">
        <f t="shared" si="131"/>
        <v>0</v>
      </c>
      <c r="AF361" s="95">
        <f t="shared" si="132"/>
        <v>0</v>
      </c>
      <c r="AH361" s="43">
        <f t="shared" si="133"/>
        <v>0</v>
      </c>
      <c r="AI361" s="43">
        <f t="shared" si="134"/>
        <v>0</v>
      </c>
      <c r="AJ361" s="43">
        <f t="shared" si="135"/>
        <v>0</v>
      </c>
      <c r="AK361" s="43">
        <f t="shared" si="136"/>
        <v>0</v>
      </c>
      <c r="AL361" s="95">
        <f t="shared" si="137"/>
        <v>0</v>
      </c>
      <c r="AN361" s="47">
        <f t="shared" si="138"/>
        <v>0</v>
      </c>
      <c r="AO361" s="47">
        <f t="shared" si="139"/>
        <v>0</v>
      </c>
      <c r="AP361" s="47">
        <f t="shared" si="140"/>
        <v>0</v>
      </c>
      <c r="AQ361" s="47">
        <f t="shared" si="141"/>
        <v>0</v>
      </c>
      <c r="AR361" s="193">
        <f t="shared" si="142"/>
        <v>0</v>
      </c>
      <c r="AS361" s="122"/>
      <c r="AT361" s="122"/>
      <c r="AU361" s="122"/>
      <c r="AV361" s="122"/>
      <c r="AW361" s="122"/>
      <c r="AX361" s="122"/>
    </row>
    <row r="362" spans="1:50" s="90" customFormat="1">
      <c r="A362" s="229"/>
      <c r="B362" s="37">
        <f>'13. Desinvesteringen'!B646</f>
        <v>627</v>
      </c>
      <c r="C362" s="339"/>
      <c r="D362" s="339"/>
      <c r="E362" s="339"/>
      <c r="F362" s="42">
        <f>'5. Input GAW-waarde desinv.'!D322</f>
        <v>0</v>
      </c>
      <c r="G362" s="177">
        <f>'13. Desinvesteringen'!D646</f>
        <v>1979</v>
      </c>
      <c r="H362" s="177">
        <f>'13. Desinvesteringen'!G646</f>
        <v>2024</v>
      </c>
      <c r="I362" s="37" t="str">
        <f>'13. Desinvesteringen'!C646</f>
        <v>17 Mengstations</v>
      </c>
      <c r="J362" s="166">
        <f>'13. Desinvesteringen'!F646</f>
        <v>0</v>
      </c>
      <c r="K362" s="38">
        <f>_xlfn.XLOOKUP(I362,'3. Input (des)investeringen '!$B$11:$B$81,'3. Input (des)investeringen '!$E$11:$E$81)</f>
        <v>0</v>
      </c>
      <c r="L362" s="339"/>
      <c r="M362" s="38">
        <f>_xlfn.XLOOKUP(I362,'3. Input (des)investeringen '!$B$11:$B$81,'3. Input (des)investeringen '!$D$11:$D$81,0)</f>
        <v>30</v>
      </c>
      <c r="N362" s="38">
        <f t="shared" si="122"/>
        <v>0</v>
      </c>
      <c r="P362" s="43">
        <f t="shared" si="121"/>
        <v>0</v>
      </c>
      <c r="Q362" s="43">
        <f t="shared" si="121"/>
        <v>0</v>
      </c>
      <c r="R362" s="43">
        <f t="shared" si="121"/>
        <v>0</v>
      </c>
      <c r="S362" s="43">
        <f t="shared" si="121"/>
        <v>0</v>
      </c>
      <c r="T362" s="95">
        <f t="shared" si="121"/>
        <v>0</v>
      </c>
      <c r="V362" s="43">
        <f t="shared" si="123"/>
        <v>0</v>
      </c>
      <c r="W362" s="43">
        <f t="shared" si="124"/>
        <v>0</v>
      </c>
      <c r="X362" s="43">
        <f t="shared" si="125"/>
        <v>0</v>
      </c>
      <c r="Y362" s="43">
        <f t="shared" si="126"/>
        <v>0</v>
      </c>
      <c r="Z362" s="95">
        <f t="shared" si="127"/>
        <v>0</v>
      </c>
      <c r="AB362" s="43">
        <f t="shared" si="128"/>
        <v>0</v>
      </c>
      <c r="AC362" s="43">
        <f t="shared" si="129"/>
        <v>0</v>
      </c>
      <c r="AD362" s="43">
        <f t="shared" si="130"/>
        <v>0</v>
      </c>
      <c r="AE362" s="43">
        <f t="shared" si="131"/>
        <v>0</v>
      </c>
      <c r="AF362" s="95">
        <f t="shared" si="132"/>
        <v>0</v>
      </c>
      <c r="AH362" s="43">
        <f t="shared" si="133"/>
        <v>0</v>
      </c>
      <c r="AI362" s="43">
        <f t="shared" si="134"/>
        <v>0</v>
      </c>
      <c r="AJ362" s="43">
        <f t="shared" si="135"/>
        <v>0</v>
      </c>
      <c r="AK362" s="43">
        <f t="shared" si="136"/>
        <v>0</v>
      </c>
      <c r="AL362" s="95">
        <f t="shared" si="137"/>
        <v>0</v>
      </c>
      <c r="AN362" s="47">
        <f t="shared" si="138"/>
        <v>0</v>
      </c>
      <c r="AO362" s="47">
        <f t="shared" si="139"/>
        <v>0</v>
      </c>
      <c r="AP362" s="47">
        <f t="shared" si="140"/>
        <v>0</v>
      </c>
      <c r="AQ362" s="47">
        <f t="shared" si="141"/>
        <v>0</v>
      </c>
      <c r="AR362" s="193">
        <f t="shared" si="142"/>
        <v>0</v>
      </c>
      <c r="AS362" s="122"/>
      <c r="AT362" s="122"/>
      <c r="AU362" s="122"/>
      <c r="AV362" s="122"/>
      <c r="AW362" s="122"/>
      <c r="AX362" s="122"/>
    </row>
    <row r="363" spans="1:50" s="90" customFormat="1">
      <c r="A363" s="229"/>
      <c r="B363" s="37">
        <f>'13. Desinvesteringen'!B647</f>
        <v>628</v>
      </c>
      <c r="C363" s="339"/>
      <c r="D363" s="339"/>
      <c r="E363" s="339"/>
      <c r="F363" s="42">
        <f>'5. Input GAW-waarde desinv.'!D323</f>
        <v>1302.4440570578504</v>
      </c>
      <c r="G363" s="177">
        <f>'13. Desinvesteringen'!D647</f>
        <v>1993</v>
      </c>
      <c r="H363" s="177">
        <f>'13. Desinvesteringen'!G647</f>
        <v>2024</v>
      </c>
      <c r="I363" s="37" t="str">
        <f>'13. Desinvesteringen'!C647</f>
        <v>17 Mengstations</v>
      </c>
      <c r="J363" s="166">
        <f>'13. Desinvesteringen'!F647</f>
        <v>0</v>
      </c>
      <c r="K363" s="38">
        <f>_xlfn.XLOOKUP(I363,'3. Input (des)investeringen '!$B$11:$B$81,'3. Input (des)investeringen '!$E$11:$E$81)</f>
        <v>0</v>
      </c>
      <c r="L363" s="339"/>
      <c r="M363" s="38">
        <f>_xlfn.XLOOKUP(I363,'3. Input (des)investeringen '!$B$11:$B$81,'3. Input (des)investeringen '!$D$11:$D$81,0)</f>
        <v>30</v>
      </c>
      <c r="N363" s="38">
        <f t="shared" si="122"/>
        <v>1.5</v>
      </c>
      <c r="P363" s="43">
        <f t="shared" si="121"/>
        <v>1015.9063645051233</v>
      </c>
      <c r="Q363" s="43">
        <f t="shared" si="121"/>
        <v>156.29328684694204</v>
      </c>
      <c r="R363" s="43">
        <f t="shared" si="121"/>
        <v>0</v>
      </c>
      <c r="S363" s="43">
        <f t="shared" si="121"/>
        <v>0</v>
      </c>
      <c r="T363" s="95">
        <f t="shared" si="121"/>
        <v>0</v>
      </c>
      <c r="V363" s="43">
        <f t="shared" si="123"/>
        <v>86.829603803856699</v>
      </c>
      <c r="W363" s="43">
        <f t="shared" si="124"/>
        <v>43.41480190192835</v>
      </c>
      <c r="X363" s="43">
        <f t="shared" si="125"/>
        <v>0</v>
      </c>
      <c r="Y363" s="43">
        <f t="shared" si="126"/>
        <v>0</v>
      </c>
      <c r="Z363" s="95">
        <f t="shared" si="127"/>
        <v>0</v>
      </c>
      <c r="AB363" s="43">
        <f t="shared" si="128"/>
        <v>1102.7359683089801</v>
      </c>
      <c r="AC363" s="43">
        <f t="shared" si="129"/>
        <v>199.70808874887038</v>
      </c>
      <c r="AD363" s="43">
        <f t="shared" si="130"/>
        <v>0</v>
      </c>
      <c r="AE363" s="43">
        <f t="shared" si="131"/>
        <v>0</v>
      </c>
      <c r="AF363" s="95">
        <f t="shared" si="132"/>
        <v>0</v>
      </c>
      <c r="AH363" s="43">
        <f t="shared" si="133"/>
        <v>199.7080887488703</v>
      </c>
      <c r="AI363" s="43">
        <f t="shared" si="134"/>
        <v>0</v>
      </c>
      <c r="AJ363" s="43">
        <f t="shared" si="135"/>
        <v>0</v>
      </c>
      <c r="AK363" s="43">
        <f t="shared" si="136"/>
        <v>0</v>
      </c>
      <c r="AL363" s="95">
        <f t="shared" si="137"/>
        <v>0</v>
      </c>
      <c r="AN363" s="47">
        <f t="shared" si="138"/>
        <v>1110.9239999476838</v>
      </c>
      <c r="AO363" s="47">
        <f t="shared" si="139"/>
        <v>199.70808874887038</v>
      </c>
      <c r="AP363" s="47">
        <f t="shared" si="140"/>
        <v>0</v>
      </c>
      <c r="AQ363" s="47">
        <f t="shared" si="141"/>
        <v>0</v>
      </c>
      <c r="AR363" s="193">
        <f t="shared" si="142"/>
        <v>0</v>
      </c>
      <c r="AS363" s="122"/>
      <c r="AT363" s="122"/>
      <c r="AU363" s="122"/>
      <c r="AV363" s="122"/>
      <c r="AW363" s="122"/>
      <c r="AX363" s="122"/>
    </row>
    <row r="364" spans="1:50" s="90" customFormat="1">
      <c r="A364" s="229"/>
      <c r="B364" s="37">
        <f>'13. Desinvesteringen'!B648</f>
        <v>629</v>
      </c>
      <c r="C364" s="339"/>
      <c r="D364" s="339"/>
      <c r="E364" s="339"/>
      <c r="F364" s="42">
        <f>'5. Input GAW-waarde desinv.'!D324</f>
        <v>5160.0974238485833</v>
      </c>
      <c r="G364" s="177">
        <f>'13. Desinvesteringen'!D648</f>
        <v>1994</v>
      </c>
      <c r="H364" s="177">
        <f>'13. Desinvesteringen'!G648</f>
        <v>2024</v>
      </c>
      <c r="I364" s="37" t="str">
        <f>'13. Desinvesteringen'!C648</f>
        <v>17 Mengstations</v>
      </c>
      <c r="J364" s="166">
        <f>'13. Desinvesteringen'!F648</f>
        <v>0</v>
      </c>
      <c r="K364" s="38">
        <f>_xlfn.XLOOKUP(I364,'3. Input (des)investeringen '!$B$11:$B$81,'3. Input (des)investeringen '!$E$11:$E$81)</f>
        <v>0</v>
      </c>
      <c r="L364" s="339"/>
      <c r="M364" s="38">
        <f>_xlfn.XLOOKUP(I364,'3. Input (des)investeringen '!$B$11:$B$81,'3. Input (des)investeringen '!$D$11:$D$81,0)</f>
        <v>30</v>
      </c>
      <c r="N364" s="38">
        <f t="shared" si="122"/>
        <v>2.5</v>
      </c>
      <c r="P364" s="43">
        <f t="shared" si="121"/>
        <v>2414.925594361137</v>
      </c>
      <c r="Q364" s="43">
        <f t="shared" si="121"/>
        <v>1486.108058068392</v>
      </c>
      <c r="R364" s="43">
        <f t="shared" si="121"/>
        <v>743.05402903419599</v>
      </c>
      <c r="S364" s="43">
        <f t="shared" si="121"/>
        <v>0</v>
      </c>
      <c r="T364" s="95">
        <f t="shared" si="121"/>
        <v>0</v>
      </c>
      <c r="V364" s="43">
        <f t="shared" si="123"/>
        <v>206.40389695394333</v>
      </c>
      <c r="W364" s="43">
        <f t="shared" si="124"/>
        <v>206.40389695394333</v>
      </c>
      <c r="X364" s="43">
        <f t="shared" si="125"/>
        <v>103.20194847697167</v>
      </c>
      <c r="Y364" s="43">
        <f t="shared" si="126"/>
        <v>0</v>
      </c>
      <c r="Z364" s="95">
        <f t="shared" si="127"/>
        <v>0</v>
      </c>
      <c r="AB364" s="43">
        <f t="shared" si="128"/>
        <v>2621.3294913150803</v>
      </c>
      <c r="AC364" s="43">
        <f t="shared" si="129"/>
        <v>1692.5119550223353</v>
      </c>
      <c r="AD364" s="43">
        <f t="shared" si="130"/>
        <v>846.25597751116766</v>
      </c>
      <c r="AE364" s="43">
        <f t="shared" si="131"/>
        <v>0</v>
      </c>
      <c r="AF364" s="95">
        <f t="shared" si="132"/>
        <v>0</v>
      </c>
      <c r="AH364" s="43">
        <f t="shared" si="133"/>
        <v>2538.767932533503</v>
      </c>
      <c r="AI364" s="43">
        <f t="shared" si="134"/>
        <v>846.25597751116766</v>
      </c>
      <c r="AJ364" s="43">
        <f t="shared" si="135"/>
        <v>0</v>
      </c>
      <c r="AK364" s="43">
        <f t="shared" si="136"/>
        <v>0</v>
      </c>
      <c r="AL364" s="95">
        <f t="shared" si="137"/>
        <v>0</v>
      </c>
      <c r="AN364" s="47">
        <f t="shared" si="138"/>
        <v>2725.4189765489541</v>
      </c>
      <c r="AO364" s="47">
        <f t="shared" si="139"/>
        <v>1735.6710098754049</v>
      </c>
      <c r="AP364" s="47">
        <f t="shared" si="140"/>
        <v>846.25597751116766</v>
      </c>
      <c r="AQ364" s="47">
        <f t="shared" si="141"/>
        <v>0</v>
      </c>
      <c r="AR364" s="193">
        <f t="shared" si="142"/>
        <v>0</v>
      </c>
      <c r="AS364" s="122"/>
      <c r="AT364" s="122"/>
      <c r="AU364" s="122"/>
      <c r="AV364" s="122"/>
      <c r="AW364" s="122"/>
      <c r="AX364" s="122"/>
    </row>
    <row r="365" spans="1:50" s="90" customFormat="1">
      <c r="A365" s="229"/>
      <c r="B365" s="37">
        <f>'13. Desinvesteringen'!B649</f>
        <v>630</v>
      </c>
      <c r="C365" s="339"/>
      <c r="D365" s="339"/>
      <c r="E365" s="339"/>
      <c r="F365" s="42">
        <f>'5. Input GAW-waarde desinv.'!D325</f>
        <v>62368.739652133881</v>
      </c>
      <c r="G365" s="177">
        <f>'13. Desinvesteringen'!D649</f>
        <v>2001</v>
      </c>
      <c r="H365" s="177">
        <f>'13. Desinvesteringen'!G649</f>
        <v>2024</v>
      </c>
      <c r="I365" s="37" t="str">
        <f>'13. Desinvesteringen'!C649</f>
        <v>17 Mengstations</v>
      </c>
      <c r="J365" s="166">
        <f>'13. Desinvesteringen'!F649</f>
        <v>0</v>
      </c>
      <c r="K365" s="38">
        <f>_xlfn.XLOOKUP(I365,'3. Input (des)investeringen '!$B$11:$B$81,'3. Input (des)investeringen '!$E$11:$E$81)</f>
        <v>0</v>
      </c>
      <c r="L365" s="339"/>
      <c r="M365" s="38">
        <f>_xlfn.XLOOKUP(I365,'3. Input (des)investeringen '!$B$11:$B$81,'3. Input (des)investeringen '!$D$11:$D$81,0)</f>
        <v>30</v>
      </c>
      <c r="N365" s="38">
        <f t="shared" si="122"/>
        <v>9.5</v>
      </c>
      <c r="P365" s="43">
        <f t="shared" si="121"/>
        <v>7681.2026729470144</v>
      </c>
      <c r="Q365" s="43">
        <f t="shared" si="121"/>
        <v>6630.0907282279504</v>
      </c>
      <c r="R365" s="43">
        <f t="shared" si="121"/>
        <v>5722.8151548914939</v>
      </c>
      <c r="S365" s="43">
        <f t="shared" si="121"/>
        <v>5553.5010970544672</v>
      </c>
      <c r="T365" s="95">
        <f t="shared" si="121"/>
        <v>5553.5010970544672</v>
      </c>
      <c r="V365" s="43">
        <f t="shared" si="123"/>
        <v>656.51304896983038</v>
      </c>
      <c r="W365" s="43">
        <f t="shared" si="124"/>
        <v>656.51304896983038</v>
      </c>
      <c r="X365" s="43">
        <f t="shared" si="125"/>
        <v>656.51304896983038</v>
      </c>
      <c r="Y365" s="43">
        <f t="shared" si="126"/>
        <v>656.51304896983038</v>
      </c>
      <c r="Z365" s="95">
        <f t="shared" si="127"/>
        <v>656.51304896983038</v>
      </c>
      <c r="AB365" s="43">
        <f t="shared" si="128"/>
        <v>8337.7157219168439</v>
      </c>
      <c r="AC365" s="43">
        <f t="shared" si="129"/>
        <v>7286.6037771977808</v>
      </c>
      <c r="AD365" s="43">
        <f t="shared" si="130"/>
        <v>6379.3282038613243</v>
      </c>
      <c r="AE365" s="43">
        <f t="shared" si="131"/>
        <v>6210.0141460242976</v>
      </c>
      <c r="AF365" s="95">
        <f t="shared" si="132"/>
        <v>6210.0141460242976</v>
      </c>
      <c r="AH365" s="43">
        <f t="shared" si="133"/>
        <v>54031.023930217038</v>
      </c>
      <c r="AI365" s="43">
        <f t="shared" si="134"/>
        <v>46744.420153019259</v>
      </c>
      <c r="AJ365" s="43">
        <f t="shared" si="135"/>
        <v>40365.091949157933</v>
      </c>
      <c r="AK365" s="43">
        <f t="shared" si="136"/>
        <v>34155.077803133638</v>
      </c>
      <c r="AL365" s="95">
        <f t="shared" si="137"/>
        <v>27945.063657109342</v>
      </c>
      <c r="AN365" s="47">
        <f t="shared" si="138"/>
        <v>10552.987703055744</v>
      </c>
      <c r="AO365" s="47">
        <f t="shared" si="139"/>
        <v>9670.5692050017624</v>
      </c>
      <c r="AP365" s="47">
        <f t="shared" si="140"/>
        <v>8437.9478932683778</v>
      </c>
      <c r="AQ365" s="47">
        <f t="shared" si="141"/>
        <v>7507.9071025433759</v>
      </c>
      <c r="AR365" s="193">
        <f t="shared" si="142"/>
        <v>7271.9265649944527</v>
      </c>
      <c r="AS365" s="122"/>
      <c r="AT365" s="122"/>
      <c r="AU365" s="122"/>
      <c r="AV365" s="122"/>
      <c r="AW365" s="122"/>
      <c r="AX365" s="122"/>
    </row>
    <row r="366" spans="1:50" s="90" customFormat="1">
      <c r="A366" s="229"/>
      <c r="B366" s="37">
        <f>'13. Desinvesteringen'!B650</f>
        <v>631</v>
      </c>
      <c r="C366" s="339"/>
      <c r="D366" s="339"/>
      <c r="E366" s="339"/>
      <c r="F366" s="42">
        <f>'5. Input GAW-waarde desinv.'!D326</f>
        <v>30973.850514933041</v>
      </c>
      <c r="G366" s="177">
        <f>'13. Desinvesteringen'!D650</f>
        <v>2005</v>
      </c>
      <c r="H366" s="177">
        <f>'13. Desinvesteringen'!G650</f>
        <v>2024</v>
      </c>
      <c r="I366" s="37" t="str">
        <f>'13. Desinvesteringen'!C650</f>
        <v>17 Mengstations</v>
      </c>
      <c r="J366" s="166">
        <f>'13. Desinvesteringen'!F650</f>
        <v>0</v>
      </c>
      <c r="K366" s="38">
        <f>_xlfn.XLOOKUP(I366,'3. Input (des)investeringen '!$B$11:$B$81,'3. Input (des)investeringen '!$E$11:$E$81)</f>
        <v>0</v>
      </c>
      <c r="L366" s="339"/>
      <c r="M366" s="38">
        <f>_xlfn.XLOOKUP(I366,'3. Input (des)investeringen '!$B$11:$B$81,'3. Input (des)investeringen '!$D$11:$D$81,0)</f>
        <v>30</v>
      </c>
      <c r="N366" s="38">
        <f t="shared" si="122"/>
        <v>13.5</v>
      </c>
      <c r="P366" s="43">
        <f t="shared" si="121"/>
        <v>2684.4003779608634</v>
      </c>
      <c r="Q366" s="43">
        <f t="shared" si="121"/>
        <v>2425.9025637868544</v>
      </c>
      <c r="R366" s="43">
        <f t="shared" si="121"/>
        <v>2192.2971317184906</v>
      </c>
      <c r="S366" s="43">
        <f t="shared" si="121"/>
        <v>1981.1870375530063</v>
      </c>
      <c r="T366" s="95">
        <f t="shared" si="121"/>
        <v>1957.1240370968965</v>
      </c>
      <c r="V366" s="43">
        <f t="shared" si="123"/>
        <v>229.43592974024475</v>
      </c>
      <c r="W366" s="43">
        <f t="shared" si="124"/>
        <v>229.43592974024477</v>
      </c>
      <c r="X366" s="43">
        <f t="shared" si="125"/>
        <v>229.43592974024477</v>
      </c>
      <c r="Y366" s="43">
        <f t="shared" si="126"/>
        <v>229.43592974024477</v>
      </c>
      <c r="Z366" s="95">
        <f t="shared" si="127"/>
        <v>229.43592974024477</v>
      </c>
      <c r="AB366" s="43">
        <f t="shared" si="128"/>
        <v>2913.8363077011081</v>
      </c>
      <c r="AC366" s="43">
        <f t="shared" si="129"/>
        <v>2655.3384935270992</v>
      </c>
      <c r="AD366" s="43">
        <f t="shared" si="130"/>
        <v>2421.7330614587354</v>
      </c>
      <c r="AE366" s="43">
        <f t="shared" si="131"/>
        <v>2210.6229672932513</v>
      </c>
      <c r="AF366" s="95">
        <f t="shared" si="132"/>
        <v>2186.5599668371415</v>
      </c>
      <c r="AH366" s="43">
        <f t="shared" si="133"/>
        <v>28060.014207231932</v>
      </c>
      <c r="AI366" s="43">
        <f t="shared" si="134"/>
        <v>25404.675713704833</v>
      </c>
      <c r="AJ366" s="43">
        <f t="shared" si="135"/>
        <v>22982.9426522461</v>
      </c>
      <c r="AK366" s="43">
        <f t="shared" si="136"/>
        <v>20772.319684952847</v>
      </c>
      <c r="AL366" s="95">
        <f t="shared" si="137"/>
        <v>18585.759718115703</v>
      </c>
      <c r="AN366" s="47">
        <f t="shared" si="138"/>
        <v>4064.2968901976174</v>
      </c>
      <c r="AO366" s="47">
        <f t="shared" si="139"/>
        <v>3950.9769549260454</v>
      </c>
      <c r="AP366" s="47">
        <f t="shared" si="140"/>
        <v>3593.8631367232865</v>
      </c>
      <c r="AQ366" s="47">
        <f t="shared" si="141"/>
        <v>2999.9711153214594</v>
      </c>
      <c r="AR366" s="193">
        <f t="shared" si="142"/>
        <v>2892.8188361255379</v>
      </c>
      <c r="AS366" s="122"/>
      <c r="AT366" s="122"/>
      <c r="AU366" s="122"/>
      <c r="AV366" s="122"/>
      <c r="AW366" s="122"/>
      <c r="AX366" s="122"/>
    </row>
    <row r="367" spans="1:50" s="90" customFormat="1">
      <c r="A367" s="229"/>
      <c r="B367" s="37">
        <f>'13. Desinvesteringen'!B651</f>
        <v>632</v>
      </c>
      <c r="C367" s="339"/>
      <c r="D367" s="339"/>
      <c r="E367" s="339"/>
      <c r="F367" s="42">
        <f>'5. Input GAW-waarde desinv.'!D327</f>
        <v>66842.607864033591</v>
      </c>
      <c r="G367" s="177">
        <f>'13. Desinvesteringen'!D651</f>
        <v>2006</v>
      </c>
      <c r="H367" s="177">
        <f>'13. Desinvesteringen'!G651</f>
        <v>2024</v>
      </c>
      <c r="I367" s="37" t="str">
        <f>'13. Desinvesteringen'!C651</f>
        <v>17 Mengstations</v>
      </c>
      <c r="J367" s="166">
        <f>'13. Desinvesteringen'!F651</f>
        <v>0</v>
      </c>
      <c r="K367" s="38">
        <f>_xlfn.XLOOKUP(I367,'3. Input (des)investeringen '!$B$11:$B$81,'3. Input (des)investeringen '!$E$11:$E$81)</f>
        <v>0</v>
      </c>
      <c r="L367" s="339"/>
      <c r="M367" s="38">
        <f>_xlfn.XLOOKUP(I367,'3. Input (des)investeringen '!$B$11:$B$81,'3. Input (des)investeringen '!$D$11:$D$81,0)</f>
        <v>30</v>
      </c>
      <c r="N367" s="38">
        <f t="shared" si="122"/>
        <v>14.5</v>
      </c>
      <c r="P367" s="43">
        <f t="shared" si="121"/>
        <v>5393.5069793737457</v>
      </c>
      <c r="Q367" s="43">
        <f t="shared" si="121"/>
        <v>4909.9511812229957</v>
      </c>
      <c r="R367" s="43">
        <f t="shared" si="121"/>
        <v>4469.7486615271409</v>
      </c>
      <c r="S367" s="43">
        <f t="shared" si="121"/>
        <v>4069.0125746316039</v>
      </c>
      <c r="T367" s="95">
        <f t="shared" si="121"/>
        <v>3934.8693029404521</v>
      </c>
      <c r="V367" s="43">
        <f t="shared" si="123"/>
        <v>460.9835025105765</v>
      </c>
      <c r="W367" s="43">
        <f t="shared" si="124"/>
        <v>460.9835025105765</v>
      </c>
      <c r="X367" s="43">
        <f t="shared" si="125"/>
        <v>460.9835025105765</v>
      </c>
      <c r="Y367" s="43">
        <f t="shared" si="126"/>
        <v>460.9835025105765</v>
      </c>
      <c r="Z367" s="95">
        <f t="shared" si="127"/>
        <v>460.9835025105765</v>
      </c>
      <c r="AB367" s="43">
        <f t="shared" si="128"/>
        <v>5854.4904818843224</v>
      </c>
      <c r="AC367" s="43">
        <f t="shared" si="129"/>
        <v>5370.9346837335725</v>
      </c>
      <c r="AD367" s="43">
        <f t="shared" si="130"/>
        <v>4930.7321640377177</v>
      </c>
      <c r="AE367" s="43">
        <f t="shared" si="131"/>
        <v>4529.9960771421802</v>
      </c>
      <c r="AF367" s="95">
        <f t="shared" si="132"/>
        <v>4395.8528054510289</v>
      </c>
      <c r="AH367" s="43">
        <f t="shared" si="133"/>
        <v>60988.11738214927</v>
      </c>
      <c r="AI367" s="43">
        <f t="shared" si="134"/>
        <v>55617.182698415694</v>
      </c>
      <c r="AJ367" s="43">
        <f t="shared" si="135"/>
        <v>50686.450534377975</v>
      </c>
      <c r="AK367" s="43">
        <f t="shared" si="136"/>
        <v>46156.454457235792</v>
      </c>
      <c r="AL367" s="95">
        <f t="shared" si="137"/>
        <v>41760.60165178476</v>
      </c>
      <c r="AN367" s="47">
        <f t="shared" si="138"/>
        <v>8355.0032945524435</v>
      </c>
      <c r="AO367" s="47">
        <f t="shared" si="139"/>
        <v>8207.4110013527716</v>
      </c>
      <c r="AP367" s="47">
        <f t="shared" si="140"/>
        <v>7515.7411412909942</v>
      </c>
      <c r="AQ367" s="47">
        <f t="shared" si="141"/>
        <v>6283.9413465171401</v>
      </c>
      <c r="AR367" s="193">
        <f t="shared" si="142"/>
        <v>5982.7556682188497</v>
      </c>
      <c r="AS367" s="122"/>
      <c r="AT367" s="122"/>
      <c r="AU367" s="122"/>
      <c r="AV367" s="122"/>
      <c r="AW367" s="122"/>
      <c r="AX367" s="122"/>
    </row>
    <row r="368" spans="1:50" s="90" customFormat="1">
      <c r="A368" s="229"/>
      <c r="B368" s="37">
        <f>'13. Desinvesteringen'!B652</f>
        <v>633</v>
      </c>
      <c r="C368" s="339"/>
      <c r="D368" s="339"/>
      <c r="E368" s="339"/>
      <c r="F368" s="42">
        <f>'5. Input GAW-waarde desinv.'!D328</f>
        <v>93362.46843644914</v>
      </c>
      <c r="G368" s="177">
        <f>'13. Desinvesteringen'!D652</f>
        <v>2014</v>
      </c>
      <c r="H368" s="177">
        <f>'13. Desinvesteringen'!G652</f>
        <v>2024</v>
      </c>
      <c r="I368" s="37" t="str">
        <f>'13. Desinvesteringen'!C652</f>
        <v>17 Mengstations</v>
      </c>
      <c r="J368" s="166">
        <f>'13. Desinvesteringen'!F652</f>
        <v>0</v>
      </c>
      <c r="K368" s="38">
        <f>_xlfn.XLOOKUP(I368,'3. Input (des)investeringen '!$B$11:$B$81,'3. Input (des)investeringen '!$E$11:$E$81)</f>
        <v>0</v>
      </c>
      <c r="L368" s="339"/>
      <c r="M368" s="38">
        <f>_xlfn.XLOOKUP(I368,'3. Input (des)investeringen '!$B$11:$B$81,'3. Input (des)investeringen '!$D$11:$D$81,0)</f>
        <v>30</v>
      </c>
      <c r="N368" s="38">
        <f t="shared" si="122"/>
        <v>22.5</v>
      </c>
      <c r="P368" s="43">
        <f t="shared" si="121"/>
        <v>4854.8483586953553</v>
      </c>
      <c r="Q368" s="43">
        <f t="shared" si="121"/>
        <v>4574.3460090818462</v>
      </c>
      <c r="R368" s="43">
        <f t="shared" si="121"/>
        <v>4310.0504618904506</v>
      </c>
      <c r="S368" s="43">
        <f t="shared" si="121"/>
        <v>4061.0253240923353</v>
      </c>
      <c r="T368" s="95">
        <f t="shared" si="121"/>
        <v>3826.3883053670006</v>
      </c>
      <c r="V368" s="43">
        <f t="shared" si="123"/>
        <v>414.94430416199623</v>
      </c>
      <c r="W368" s="43">
        <f t="shared" si="124"/>
        <v>414.94430416199623</v>
      </c>
      <c r="X368" s="43">
        <f t="shared" si="125"/>
        <v>414.94430416199623</v>
      </c>
      <c r="Y368" s="43">
        <f t="shared" si="126"/>
        <v>414.94430416199623</v>
      </c>
      <c r="Z368" s="95">
        <f t="shared" si="127"/>
        <v>414.94430416199623</v>
      </c>
      <c r="AB368" s="43">
        <f t="shared" si="128"/>
        <v>5269.7926628573514</v>
      </c>
      <c r="AC368" s="43">
        <f t="shared" si="129"/>
        <v>4989.2903132438423</v>
      </c>
      <c r="AD368" s="43">
        <f t="shared" si="130"/>
        <v>4724.9947660524467</v>
      </c>
      <c r="AE368" s="43">
        <f t="shared" si="131"/>
        <v>4475.9696282543318</v>
      </c>
      <c r="AF368" s="95">
        <f t="shared" si="132"/>
        <v>4241.3326095289967</v>
      </c>
      <c r="AH368" s="43">
        <f t="shared" si="133"/>
        <v>88092.675773591793</v>
      </c>
      <c r="AI368" s="43">
        <f t="shared" si="134"/>
        <v>83103.385460347956</v>
      </c>
      <c r="AJ368" s="43">
        <f t="shared" si="135"/>
        <v>78378.390694295507</v>
      </c>
      <c r="AK368" s="43">
        <f t="shared" si="136"/>
        <v>73902.421066041177</v>
      </c>
      <c r="AL368" s="95">
        <f t="shared" si="137"/>
        <v>69661.088456512181</v>
      </c>
      <c r="AN368" s="47">
        <f t="shared" si="138"/>
        <v>8881.5923695746151</v>
      </c>
      <c r="AO368" s="47">
        <f t="shared" si="139"/>
        <v>9227.5629717215888</v>
      </c>
      <c r="AP368" s="47">
        <f t="shared" si="140"/>
        <v>8722.2926914615164</v>
      </c>
      <c r="AQ368" s="47">
        <f t="shared" si="141"/>
        <v>7284.2616287638966</v>
      </c>
      <c r="AR368" s="193">
        <f t="shared" si="142"/>
        <v>6888.4539708764596</v>
      </c>
      <c r="AS368" s="122"/>
      <c r="AT368" s="122"/>
      <c r="AU368" s="122"/>
      <c r="AV368" s="122"/>
      <c r="AW368" s="122"/>
      <c r="AX368" s="122"/>
    </row>
    <row r="369" spans="1:50" s="90" customFormat="1">
      <c r="A369" s="229"/>
      <c r="B369" s="37">
        <f>'13. Desinvesteringen'!B653</f>
        <v>634</v>
      </c>
      <c r="C369" s="339"/>
      <c r="D369" s="339"/>
      <c r="E369" s="339"/>
      <c r="F369" s="42">
        <f>'5. Input GAW-waarde desinv.'!D329</f>
        <v>0</v>
      </c>
      <c r="G369" s="177">
        <f>'13. Desinvesteringen'!D653</f>
        <v>1964</v>
      </c>
      <c r="H369" s="177">
        <f>'13. Desinvesteringen'!G653</f>
        <v>2024</v>
      </c>
      <c r="I369" s="37" t="str">
        <f>'13. Desinvesteringen'!C653</f>
        <v>21 Hoofdtransportleiding</v>
      </c>
      <c r="J369" s="166">
        <f>'13. Desinvesteringen'!F653</f>
        <v>0</v>
      </c>
      <c r="K369" s="38">
        <f>_xlfn.XLOOKUP(I369,'3. Input (des)investeringen '!$B$11:$B$81,'3. Input (des)investeringen '!$E$11:$E$81)</f>
        <v>1</v>
      </c>
      <c r="L369" s="339"/>
      <c r="M369" s="38">
        <f>_xlfn.XLOOKUP(I369,'3. Input (des)investeringen '!$B$11:$B$81,'3. Input (des)investeringen '!$D$11:$D$81,0)</f>
        <v>55</v>
      </c>
      <c r="N369" s="38">
        <f t="shared" si="122"/>
        <v>0</v>
      </c>
      <c r="P369" s="43">
        <f t="shared" si="121"/>
        <v>0</v>
      </c>
      <c r="Q369" s="43">
        <f t="shared" si="121"/>
        <v>0</v>
      </c>
      <c r="R369" s="43">
        <f t="shared" si="121"/>
        <v>0</v>
      </c>
      <c r="S369" s="43">
        <f t="shared" si="121"/>
        <v>0</v>
      </c>
      <c r="T369" s="95">
        <f t="shared" si="121"/>
        <v>0</v>
      </c>
      <c r="V369" s="43">
        <f t="shared" si="123"/>
        <v>0</v>
      </c>
      <c r="W369" s="43">
        <f t="shared" si="124"/>
        <v>0</v>
      </c>
      <c r="X369" s="43">
        <f t="shared" si="125"/>
        <v>0</v>
      </c>
      <c r="Y369" s="43">
        <f t="shared" si="126"/>
        <v>0</v>
      </c>
      <c r="Z369" s="95">
        <f t="shared" si="127"/>
        <v>0</v>
      </c>
      <c r="AB369" s="43">
        <f t="shared" si="128"/>
        <v>0</v>
      </c>
      <c r="AC369" s="43">
        <f t="shared" si="129"/>
        <v>0</v>
      </c>
      <c r="AD369" s="43">
        <f t="shared" si="130"/>
        <v>0</v>
      </c>
      <c r="AE369" s="43">
        <f t="shared" si="131"/>
        <v>0</v>
      </c>
      <c r="AF369" s="95">
        <f t="shared" si="132"/>
        <v>0</v>
      </c>
      <c r="AH369" s="43">
        <f t="shared" si="133"/>
        <v>0</v>
      </c>
      <c r="AI369" s="43">
        <f t="shared" si="134"/>
        <v>0</v>
      </c>
      <c r="AJ369" s="43">
        <f t="shared" si="135"/>
        <v>0</v>
      </c>
      <c r="AK369" s="43">
        <f t="shared" si="136"/>
        <v>0</v>
      </c>
      <c r="AL369" s="95">
        <f t="shared" si="137"/>
        <v>0</v>
      </c>
      <c r="AN369" s="47">
        <f t="shared" si="138"/>
        <v>0</v>
      </c>
      <c r="AO369" s="47">
        <f t="shared" si="139"/>
        <v>0</v>
      </c>
      <c r="AP369" s="47">
        <f t="shared" si="140"/>
        <v>0</v>
      </c>
      <c r="AQ369" s="47">
        <f t="shared" si="141"/>
        <v>0</v>
      </c>
      <c r="AR369" s="193">
        <f t="shared" si="142"/>
        <v>0</v>
      </c>
      <c r="AS369" s="122"/>
      <c r="AT369" s="122"/>
      <c r="AU369" s="122"/>
      <c r="AV369" s="122"/>
      <c r="AW369" s="122"/>
      <c r="AX369" s="122"/>
    </row>
    <row r="370" spans="1:50" s="90" customFormat="1">
      <c r="A370" s="229"/>
      <c r="B370" s="37">
        <f>'13. Desinvesteringen'!B654</f>
        <v>635</v>
      </c>
      <c r="C370" s="339"/>
      <c r="D370" s="339"/>
      <c r="E370" s="339"/>
      <c r="F370" s="42">
        <f>'5. Input GAW-waarde desinv.'!D330</f>
        <v>0</v>
      </c>
      <c r="G370" s="177">
        <f>'13. Desinvesteringen'!D654</f>
        <v>1966</v>
      </c>
      <c r="H370" s="177">
        <f>'13. Desinvesteringen'!G654</f>
        <v>2024</v>
      </c>
      <c r="I370" s="37" t="str">
        <f>'13. Desinvesteringen'!C654</f>
        <v>21 Hoofdtransportleiding</v>
      </c>
      <c r="J370" s="166">
        <f>'13. Desinvesteringen'!F654</f>
        <v>0</v>
      </c>
      <c r="K370" s="38">
        <f>_xlfn.XLOOKUP(I370,'3. Input (des)investeringen '!$B$11:$B$81,'3. Input (des)investeringen '!$E$11:$E$81)</f>
        <v>1</v>
      </c>
      <c r="L370" s="339"/>
      <c r="M370" s="38">
        <f>_xlfn.XLOOKUP(I370,'3. Input (des)investeringen '!$B$11:$B$81,'3. Input (des)investeringen '!$D$11:$D$81,0)</f>
        <v>55</v>
      </c>
      <c r="N370" s="38">
        <f t="shared" si="122"/>
        <v>0</v>
      </c>
      <c r="P370" s="43">
        <f t="shared" si="121"/>
        <v>0</v>
      </c>
      <c r="Q370" s="43">
        <f t="shared" si="121"/>
        <v>0</v>
      </c>
      <c r="R370" s="43">
        <f t="shared" si="121"/>
        <v>0</v>
      </c>
      <c r="S370" s="43">
        <f t="shared" si="121"/>
        <v>0</v>
      </c>
      <c r="T370" s="95">
        <f t="shared" si="121"/>
        <v>0</v>
      </c>
      <c r="V370" s="43">
        <f t="shared" si="123"/>
        <v>0</v>
      </c>
      <c r="W370" s="43">
        <f t="shared" si="124"/>
        <v>0</v>
      </c>
      <c r="X370" s="43">
        <f t="shared" si="125"/>
        <v>0</v>
      </c>
      <c r="Y370" s="43">
        <f t="shared" si="126"/>
        <v>0</v>
      </c>
      <c r="Z370" s="95">
        <f t="shared" si="127"/>
        <v>0</v>
      </c>
      <c r="AB370" s="43">
        <f t="shared" si="128"/>
        <v>0</v>
      </c>
      <c r="AC370" s="43">
        <f t="shared" si="129"/>
        <v>0</v>
      </c>
      <c r="AD370" s="43">
        <f t="shared" si="130"/>
        <v>0</v>
      </c>
      <c r="AE370" s="43">
        <f t="shared" si="131"/>
        <v>0</v>
      </c>
      <c r="AF370" s="95">
        <f t="shared" si="132"/>
        <v>0</v>
      </c>
      <c r="AH370" s="43">
        <f t="shared" si="133"/>
        <v>0</v>
      </c>
      <c r="AI370" s="43">
        <f t="shared" si="134"/>
        <v>0</v>
      </c>
      <c r="AJ370" s="43">
        <f t="shared" si="135"/>
        <v>0</v>
      </c>
      <c r="AK370" s="43">
        <f t="shared" si="136"/>
        <v>0</v>
      </c>
      <c r="AL370" s="95">
        <f t="shared" si="137"/>
        <v>0</v>
      </c>
      <c r="AN370" s="47">
        <f t="shared" si="138"/>
        <v>0</v>
      </c>
      <c r="AO370" s="47">
        <f t="shared" si="139"/>
        <v>0</v>
      </c>
      <c r="AP370" s="47">
        <f t="shared" si="140"/>
        <v>0</v>
      </c>
      <c r="AQ370" s="47">
        <f t="shared" si="141"/>
        <v>0</v>
      </c>
      <c r="AR370" s="193">
        <f t="shared" si="142"/>
        <v>0</v>
      </c>
      <c r="AS370" s="122"/>
      <c r="AT370" s="122"/>
      <c r="AU370" s="122"/>
      <c r="AV370" s="122"/>
      <c r="AW370" s="122"/>
      <c r="AX370" s="122"/>
    </row>
    <row r="371" spans="1:50" s="90" customFormat="1">
      <c r="A371" s="229"/>
      <c r="B371" s="37">
        <f>'13. Desinvesteringen'!B655</f>
        <v>636</v>
      </c>
      <c r="C371" s="339"/>
      <c r="D371" s="339"/>
      <c r="E371" s="339"/>
      <c r="F371" s="42">
        <f>'5. Input GAW-waarde desinv.'!D331</f>
        <v>3167.6844298719025</v>
      </c>
      <c r="G371" s="177">
        <f>'13. Desinvesteringen'!D655</f>
        <v>1968</v>
      </c>
      <c r="H371" s="177">
        <f>'13. Desinvesteringen'!G655</f>
        <v>2024</v>
      </c>
      <c r="I371" s="37" t="str">
        <f>'13. Desinvesteringen'!C655</f>
        <v>21 Hoofdtransportleiding</v>
      </c>
      <c r="J371" s="166">
        <f>'13. Desinvesteringen'!F655</f>
        <v>0</v>
      </c>
      <c r="K371" s="38">
        <f>_xlfn.XLOOKUP(I371,'3. Input (des)investeringen '!$B$11:$B$81,'3. Input (des)investeringen '!$E$11:$E$81)</f>
        <v>1</v>
      </c>
      <c r="L371" s="339"/>
      <c r="M371" s="38">
        <f>_xlfn.XLOOKUP(I371,'3. Input (des)investeringen '!$B$11:$B$81,'3. Input (des)investeringen '!$D$11:$D$81,0)</f>
        <v>55</v>
      </c>
      <c r="N371" s="38">
        <f t="shared" si="122"/>
        <v>1.5</v>
      </c>
      <c r="P371" s="43">
        <f t="shared" si="121"/>
        <v>2470.793855300084</v>
      </c>
      <c r="Q371" s="43">
        <f t="shared" si="121"/>
        <v>380.12213158462805</v>
      </c>
      <c r="R371" s="43">
        <f t="shared" si="121"/>
        <v>0</v>
      </c>
      <c r="S371" s="43">
        <f t="shared" si="121"/>
        <v>0</v>
      </c>
      <c r="T371" s="95">
        <f t="shared" si="121"/>
        <v>0</v>
      </c>
      <c r="V371" s="43">
        <f t="shared" si="123"/>
        <v>211.17896199146017</v>
      </c>
      <c r="W371" s="43">
        <f t="shared" si="124"/>
        <v>105.58948099573009</v>
      </c>
      <c r="X371" s="43">
        <f t="shared" si="125"/>
        <v>0</v>
      </c>
      <c r="Y371" s="43">
        <f t="shared" si="126"/>
        <v>0</v>
      </c>
      <c r="Z371" s="95">
        <f t="shared" si="127"/>
        <v>0</v>
      </c>
      <c r="AB371" s="43">
        <f t="shared" si="128"/>
        <v>2681.9728172915443</v>
      </c>
      <c r="AC371" s="43">
        <f t="shared" si="129"/>
        <v>485.71161258035812</v>
      </c>
      <c r="AD371" s="43">
        <f t="shared" si="130"/>
        <v>0</v>
      </c>
      <c r="AE371" s="43">
        <f t="shared" si="131"/>
        <v>0</v>
      </c>
      <c r="AF371" s="95">
        <f t="shared" si="132"/>
        <v>0</v>
      </c>
      <c r="AH371" s="43">
        <f t="shared" si="133"/>
        <v>485.71161258035818</v>
      </c>
      <c r="AI371" s="43">
        <f t="shared" si="134"/>
        <v>0</v>
      </c>
      <c r="AJ371" s="43">
        <f t="shared" si="135"/>
        <v>0</v>
      </c>
      <c r="AK371" s="43">
        <f t="shared" si="136"/>
        <v>0</v>
      </c>
      <c r="AL371" s="95">
        <f t="shared" si="137"/>
        <v>0</v>
      </c>
      <c r="AN371" s="47">
        <f t="shared" si="138"/>
        <v>2701.8869934073391</v>
      </c>
      <c r="AO371" s="47">
        <f t="shared" si="139"/>
        <v>485.71161258035812</v>
      </c>
      <c r="AP371" s="47">
        <f t="shared" si="140"/>
        <v>0</v>
      </c>
      <c r="AQ371" s="47">
        <f t="shared" si="141"/>
        <v>0</v>
      </c>
      <c r="AR371" s="193">
        <f t="shared" si="142"/>
        <v>0</v>
      </c>
      <c r="AS371" s="122"/>
      <c r="AT371" s="122"/>
      <c r="AU371" s="122"/>
      <c r="AV371" s="122"/>
      <c r="AW371" s="122"/>
      <c r="AX371" s="122"/>
    </row>
    <row r="372" spans="1:50" s="90" customFormat="1">
      <c r="A372" s="229"/>
      <c r="B372" s="37">
        <f>'13. Desinvesteringen'!B656</f>
        <v>637</v>
      </c>
      <c r="C372" s="339"/>
      <c r="D372" s="339"/>
      <c r="E372" s="339"/>
      <c r="F372" s="42">
        <f>'5. Input GAW-waarde desinv.'!D332</f>
        <v>8760.1489617965944</v>
      </c>
      <c r="G372" s="177">
        <f>'13. Desinvesteringen'!D656</f>
        <v>1970</v>
      </c>
      <c r="H372" s="177">
        <f>'13. Desinvesteringen'!G656</f>
        <v>2024</v>
      </c>
      <c r="I372" s="37" t="str">
        <f>'13. Desinvesteringen'!C656</f>
        <v>21 Hoofdtransportleiding</v>
      </c>
      <c r="J372" s="166">
        <f>'13. Desinvesteringen'!F656</f>
        <v>0</v>
      </c>
      <c r="K372" s="38">
        <f>_xlfn.XLOOKUP(I372,'3. Input (des)investeringen '!$B$11:$B$81,'3. Input (des)investeringen '!$E$11:$E$81)</f>
        <v>1</v>
      </c>
      <c r="L372" s="339"/>
      <c r="M372" s="38">
        <f>_xlfn.XLOOKUP(I372,'3. Input (des)investeringen '!$B$11:$B$81,'3. Input (des)investeringen '!$D$11:$D$81,0)</f>
        <v>55</v>
      </c>
      <c r="N372" s="38">
        <f t="shared" si="122"/>
        <v>3.5</v>
      </c>
      <c r="P372" s="43">
        <f t="shared" si="121"/>
        <v>2928.3926529434334</v>
      </c>
      <c r="Q372" s="43">
        <f t="shared" si="121"/>
        <v>1982.2965650694007</v>
      </c>
      <c r="R372" s="43">
        <f t="shared" si="121"/>
        <v>1982.2965650694007</v>
      </c>
      <c r="S372" s="43">
        <f t="shared" si="121"/>
        <v>991.14828253470034</v>
      </c>
      <c r="T372" s="95">
        <f t="shared" si="121"/>
        <v>0</v>
      </c>
      <c r="V372" s="43">
        <f t="shared" si="123"/>
        <v>250.28997033704556</v>
      </c>
      <c r="W372" s="43">
        <f t="shared" si="124"/>
        <v>250.28997033704556</v>
      </c>
      <c r="X372" s="43">
        <f t="shared" si="125"/>
        <v>250.28997033704556</v>
      </c>
      <c r="Y372" s="43">
        <f t="shared" si="126"/>
        <v>125.14498516852278</v>
      </c>
      <c r="Z372" s="95">
        <f t="shared" si="127"/>
        <v>0</v>
      </c>
      <c r="AB372" s="43">
        <f t="shared" si="128"/>
        <v>3178.6826232804788</v>
      </c>
      <c r="AC372" s="43">
        <f t="shared" si="129"/>
        <v>2232.5865354064463</v>
      </c>
      <c r="AD372" s="43">
        <f t="shared" si="130"/>
        <v>2232.5865354064463</v>
      </c>
      <c r="AE372" s="43">
        <f t="shared" si="131"/>
        <v>1116.2932677032231</v>
      </c>
      <c r="AF372" s="95">
        <f t="shared" si="132"/>
        <v>0</v>
      </c>
      <c r="AH372" s="43">
        <f t="shared" si="133"/>
        <v>5581.4663385161157</v>
      </c>
      <c r="AI372" s="43">
        <f t="shared" si="134"/>
        <v>3348.8798031096694</v>
      </c>
      <c r="AJ372" s="43">
        <f t="shared" si="135"/>
        <v>1116.2932677032231</v>
      </c>
      <c r="AK372" s="43">
        <f t="shared" si="136"/>
        <v>0</v>
      </c>
      <c r="AL372" s="95">
        <f t="shared" si="137"/>
        <v>0</v>
      </c>
      <c r="AN372" s="47">
        <f t="shared" si="138"/>
        <v>3407.5227431596395</v>
      </c>
      <c r="AO372" s="47">
        <f t="shared" si="139"/>
        <v>2403.3794053650395</v>
      </c>
      <c r="AP372" s="47">
        <f t="shared" si="140"/>
        <v>2289.5174920593108</v>
      </c>
      <c r="AQ372" s="47">
        <f t="shared" si="141"/>
        <v>1116.2932677032231</v>
      </c>
      <c r="AR372" s="193">
        <f t="shared" si="142"/>
        <v>0</v>
      </c>
      <c r="AS372" s="122"/>
      <c r="AT372" s="122"/>
      <c r="AU372" s="122"/>
      <c r="AV372" s="122"/>
      <c r="AW372" s="122"/>
      <c r="AX372" s="122"/>
    </row>
    <row r="373" spans="1:50" s="90" customFormat="1">
      <c r="A373" s="229"/>
      <c r="B373" s="37">
        <f>'13. Desinvesteringen'!B657</f>
        <v>638</v>
      </c>
      <c r="C373" s="339"/>
      <c r="D373" s="339"/>
      <c r="E373" s="339"/>
      <c r="F373" s="42">
        <f>'5. Input GAW-waarde desinv.'!D333</f>
        <v>3367.2299483855559</v>
      </c>
      <c r="G373" s="177">
        <f>'13. Desinvesteringen'!D657</f>
        <v>1971</v>
      </c>
      <c r="H373" s="177">
        <f>'13. Desinvesteringen'!G657</f>
        <v>2024</v>
      </c>
      <c r="I373" s="37" t="str">
        <f>'13. Desinvesteringen'!C657</f>
        <v>21 Hoofdtransportleiding</v>
      </c>
      <c r="J373" s="166">
        <f>'13. Desinvesteringen'!F657</f>
        <v>0</v>
      </c>
      <c r="K373" s="38">
        <f>_xlfn.XLOOKUP(I373,'3. Input (des)investeringen '!$B$11:$B$81,'3. Input (des)investeringen '!$E$11:$E$81)</f>
        <v>1</v>
      </c>
      <c r="L373" s="339"/>
      <c r="M373" s="38">
        <f>_xlfn.XLOOKUP(I373,'3. Input (des)investeringen '!$B$11:$B$81,'3. Input (des)investeringen '!$D$11:$D$81,0)</f>
        <v>55</v>
      </c>
      <c r="N373" s="38">
        <f t="shared" si="122"/>
        <v>4.5</v>
      </c>
      <c r="P373" s="43">
        <f t="shared" si="121"/>
        <v>875.47978658024465</v>
      </c>
      <c r="Q373" s="43">
        <f t="shared" si="121"/>
        <v>622.56340379039614</v>
      </c>
      <c r="R373" s="43">
        <f t="shared" si="121"/>
        <v>612.98550527054397</v>
      </c>
      <c r="S373" s="43">
        <f t="shared" si="121"/>
        <v>612.98550527054397</v>
      </c>
      <c r="T373" s="95">
        <f t="shared" si="121"/>
        <v>306.49275263527198</v>
      </c>
      <c r="V373" s="43">
        <f t="shared" si="123"/>
        <v>74.827332186345686</v>
      </c>
      <c r="W373" s="43">
        <f t="shared" si="124"/>
        <v>74.827332186345686</v>
      </c>
      <c r="X373" s="43">
        <f t="shared" si="125"/>
        <v>74.827332186345686</v>
      </c>
      <c r="Y373" s="43">
        <f t="shared" si="126"/>
        <v>74.827332186345686</v>
      </c>
      <c r="Z373" s="95">
        <f t="shared" si="127"/>
        <v>37.413666093172843</v>
      </c>
      <c r="AB373" s="43">
        <f t="shared" si="128"/>
        <v>950.30711876659029</v>
      </c>
      <c r="AC373" s="43">
        <f t="shared" si="129"/>
        <v>697.39073597674178</v>
      </c>
      <c r="AD373" s="43">
        <f t="shared" si="130"/>
        <v>687.81283745688961</v>
      </c>
      <c r="AE373" s="43">
        <f t="shared" si="131"/>
        <v>687.81283745688961</v>
      </c>
      <c r="AF373" s="95">
        <f t="shared" si="132"/>
        <v>343.90641872844481</v>
      </c>
      <c r="AH373" s="43">
        <f t="shared" si="133"/>
        <v>2416.9228296189658</v>
      </c>
      <c r="AI373" s="43">
        <f t="shared" si="134"/>
        <v>1719.532093642224</v>
      </c>
      <c r="AJ373" s="43">
        <f t="shared" si="135"/>
        <v>1031.7192561853344</v>
      </c>
      <c r="AK373" s="43">
        <f t="shared" si="136"/>
        <v>343.90641872844481</v>
      </c>
      <c r="AL373" s="95">
        <f t="shared" si="137"/>
        <v>0</v>
      </c>
      <c r="AN373" s="47">
        <f t="shared" si="138"/>
        <v>1049.4009547809678</v>
      </c>
      <c r="AO373" s="47">
        <f t="shared" si="139"/>
        <v>785.0868727524952</v>
      </c>
      <c r="AP373" s="47">
        <f t="shared" si="140"/>
        <v>740.43051952234168</v>
      </c>
      <c r="AQ373" s="47">
        <f t="shared" si="141"/>
        <v>700.88128136857051</v>
      </c>
      <c r="AR373" s="193">
        <f t="shared" si="142"/>
        <v>343.90641872844481</v>
      </c>
      <c r="AS373" s="122"/>
      <c r="AT373" s="122"/>
      <c r="AU373" s="122"/>
      <c r="AV373" s="122"/>
      <c r="AW373" s="122"/>
      <c r="AX373" s="122"/>
    </row>
    <row r="374" spans="1:50" s="90" customFormat="1">
      <c r="A374" s="229"/>
      <c r="B374" s="37">
        <f>'13. Desinvesteringen'!B658</f>
        <v>639</v>
      </c>
      <c r="C374" s="339"/>
      <c r="D374" s="339"/>
      <c r="E374" s="339"/>
      <c r="F374" s="42">
        <f>'5. Input GAW-waarde desinv.'!D334</f>
        <v>103376.24222389152</v>
      </c>
      <c r="G374" s="177">
        <f>'13. Desinvesteringen'!D658</f>
        <v>1992</v>
      </c>
      <c r="H374" s="177">
        <f>'13. Desinvesteringen'!G658</f>
        <v>2024</v>
      </c>
      <c r="I374" s="37" t="str">
        <f>'13. Desinvesteringen'!C658</f>
        <v>21 Hoofdtransportleiding</v>
      </c>
      <c r="J374" s="166">
        <f>'13. Desinvesteringen'!F658</f>
        <v>0</v>
      </c>
      <c r="K374" s="38">
        <f>_xlfn.XLOOKUP(I374,'3. Input (des)investeringen '!$B$11:$B$81,'3. Input (des)investeringen '!$E$11:$E$81)</f>
        <v>1</v>
      </c>
      <c r="L374" s="339"/>
      <c r="M374" s="38">
        <f>_xlfn.XLOOKUP(I374,'3. Input (des)investeringen '!$B$11:$B$81,'3. Input (des)investeringen '!$D$11:$D$81,0)</f>
        <v>55</v>
      </c>
      <c r="N374" s="38">
        <f t="shared" si="122"/>
        <v>25.5</v>
      </c>
      <c r="P374" s="43">
        <f t="shared" si="121"/>
        <v>4743.1452314491398</v>
      </c>
      <c r="Q374" s="43">
        <f t="shared" si="121"/>
        <v>4501.33782749291</v>
      </c>
      <c r="R374" s="43">
        <f t="shared" si="121"/>
        <v>4271.8578598168006</v>
      </c>
      <c r="S374" s="43">
        <f t="shared" si="121"/>
        <v>4054.0768708849628</v>
      </c>
      <c r="T374" s="95">
        <f t="shared" si="121"/>
        <v>3847.3984421731807</v>
      </c>
      <c r="V374" s="43">
        <f t="shared" si="123"/>
        <v>405.39702832898638</v>
      </c>
      <c r="W374" s="43">
        <f t="shared" si="124"/>
        <v>405.39702832898638</v>
      </c>
      <c r="X374" s="43">
        <f t="shared" si="125"/>
        <v>405.39702832898638</v>
      </c>
      <c r="Y374" s="43">
        <f t="shared" si="126"/>
        <v>405.39702832898638</v>
      </c>
      <c r="Z374" s="95">
        <f t="shared" si="127"/>
        <v>405.39702832898638</v>
      </c>
      <c r="AB374" s="43">
        <f t="shared" si="128"/>
        <v>5148.5422597781262</v>
      </c>
      <c r="AC374" s="43">
        <f t="shared" si="129"/>
        <v>4906.7348558218964</v>
      </c>
      <c r="AD374" s="43">
        <f t="shared" si="130"/>
        <v>4677.2548881457869</v>
      </c>
      <c r="AE374" s="43">
        <f t="shared" si="131"/>
        <v>4459.4738992139492</v>
      </c>
      <c r="AF374" s="95">
        <f t="shared" si="132"/>
        <v>4252.7954705021675</v>
      </c>
      <c r="AH374" s="43">
        <f t="shared" si="133"/>
        <v>98227.699964113388</v>
      </c>
      <c r="AI374" s="43">
        <f t="shared" si="134"/>
        <v>93320.965108291493</v>
      </c>
      <c r="AJ374" s="43">
        <f t="shared" si="135"/>
        <v>88643.710220145702</v>
      </c>
      <c r="AK374" s="43">
        <f t="shared" si="136"/>
        <v>84184.236320931755</v>
      </c>
      <c r="AL374" s="95">
        <f t="shared" si="137"/>
        <v>79931.440850429586</v>
      </c>
      <c r="AN374" s="47">
        <f t="shared" si="138"/>
        <v>9175.8779583067753</v>
      </c>
      <c r="AO374" s="47">
        <f t="shared" si="139"/>
        <v>9666.1040763447636</v>
      </c>
      <c r="AP374" s="47">
        <f t="shared" si="140"/>
        <v>9198.0841093732179</v>
      </c>
      <c r="AQ374" s="47">
        <f t="shared" si="141"/>
        <v>7658.4748794093557</v>
      </c>
      <c r="AR374" s="193">
        <f t="shared" si="142"/>
        <v>7290.1902228184917</v>
      </c>
      <c r="AS374" s="122"/>
      <c r="AT374" s="122"/>
      <c r="AU374" s="122"/>
      <c r="AV374" s="122"/>
      <c r="AW374" s="122"/>
      <c r="AX374" s="122"/>
    </row>
    <row r="375" spans="1:50" s="90" customFormat="1">
      <c r="A375" s="229"/>
      <c r="B375" s="37">
        <f>'13. Desinvesteringen'!B659</f>
        <v>640</v>
      </c>
      <c r="C375" s="339"/>
      <c r="D375" s="339"/>
      <c r="E375" s="339"/>
      <c r="F375" s="42">
        <f>'5. Input GAW-waarde desinv.'!D335</f>
        <v>46475.668533117961</v>
      </c>
      <c r="G375" s="177">
        <f>'13. Desinvesteringen'!D659</f>
        <v>2008</v>
      </c>
      <c r="H375" s="177">
        <f>'13. Desinvesteringen'!G659</f>
        <v>2024</v>
      </c>
      <c r="I375" s="37" t="str">
        <f>'13. Desinvesteringen'!C659</f>
        <v>21 Hoofdtransportleiding</v>
      </c>
      <c r="J375" s="166">
        <f>'13. Desinvesteringen'!F659</f>
        <v>0</v>
      </c>
      <c r="K375" s="38">
        <f>_xlfn.XLOOKUP(I375,'3. Input (des)investeringen '!$B$11:$B$81,'3. Input (des)investeringen '!$E$11:$E$81)</f>
        <v>1</v>
      </c>
      <c r="L375" s="339"/>
      <c r="M375" s="38">
        <f>_xlfn.XLOOKUP(I375,'3. Input (des)investeringen '!$B$11:$B$81,'3. Input (des)investeringen '!$D$11:$D$81,0)</f>
        <v>55</v>
      </c>
      <c r="N375" s="38">
        <f t="shared" si="122"/>
        <v>41.5</v>
      </c>
      <c r="P375" s="43">
        <f t="shared" si="121"/>
        <v>1310.2778839457353</v>
      </c>
      <c r="Q375" s="43">
        <f t="shared" si="121"/>
        <v>1269.2330345691221</v>
      </c>
      <c r="R375" s="43">
        <f t="shared" si="121"/>
        <v>1229.4739274621377</v>
      </c>
      <c r="S375" s="43">
        <f t="shared" si="121"/>
        <v>1190.9602863609141</v>
      </c>
      <c r="T375" s="95">
        <f t="shared" si="121"/>
        <v>1153.6530966676805</v>
      </c>
      <c r="V375" s="43">
        <f t="shared" si="123"/>
        <v>111.98956273040474</v>
      </c>
      <c r="W375" s="43">
        <f t="shared" si="124"/>
        <v>111.98956273040474</v>
      </c>
      <c r="X375" s="43">
        <f t="shared" si="125"/>
        <v>111.98956273040474</v>
      </c>
      <c r="Y375" s="43">
        <f t="shared" si="126"/>
        <v>111.98956273040474</v>
      </c>
      <c r="Z375" s="95">
        <f t="shared" si="127"/>
        <v>111.98956273040474</v>
      </c>
      <c r="AB375" s="43">
        <f t="shared" si="128"/>
        <v>1422.26744667614</v>
      </c>
      <c r="AC375" s="43">
        <f t="shared" si="129"/>
        <v>1381.2225972995268</v>
      </c>
      <c r="AD375" s="43">
        <f t="shared" si="130"/>
        <v>1341.4634901925424</v>
      </c>
      <c r="AE375" s="43">
        <f t="shared" si="131"/>
        <v>1302.9498490913188</v>
      </c>
      <c r="AF375" s="95">
        <f t="shared" si="132"/>
        <v>1265.6426593980852</v>
      </c>
      <c r="AH375" s="43">
        <f t="shared" si="133"/>
        <v>45053.401086441823</v>
      </c>
      <c r="AI375" s="43">
        <f t="shared" si="134"/>
        <v>43672.178489142294</v>
      </c>
      <c r="AJ375" s="43">
        <f t="shared" si="135"/>
        <v>42330.714998949748</v>
      </c>
      <c r="AK375" s="43">
        <f t="shared" si="136"/>
        <v>41027.765149858431</v>
      </c>
      <c r="AL375" s="95">
        <f t="shared" si="137"/>
        <v>39762.122490460344</v>
      </c>
      <c r="AN375" s="47">
        <f t="shared" si="138"/>
        <v>3269.4568912202549</v>
      </c>
      <c r="AO375" s="47">
        <f t="shared" si="139"/>
        <v>3608.5037002457839</v>
      </c>
      <c r="AP375" s="47">
        <f t="shared" si="140"/>
        <v>3500.3299551389796</v>
      </c>
      <c r="AQ375" s="47">
        <f t="shared" si="141"/>
        <v>2862.0049247859392</v>
      </c>
      <c r="AR375" s="193">
        <f t="shared" si="142"/>
        <v>2776.6033140355785</v>
      </c>
      <c r="AS375" s="122"/>
      <c r="AT375" s="122"/>
      <c r="AU375" s="122"/>
      <c r="AV375" s="122"/>
      <c r="AW375" s="122"/>
      <c r="AX375" s="122"/>
    </row>
    <row r="376" spans="1:50" s="90" customFormat="1">
      <c r="A376" s="229"/>
      <c r="B376" s="37">
        <f>'13. Desinvesteringen'!B660</f>
        <v>641</v>
      </c>
      <c r="C376" s="339"/>
      <c r="D376" s="339"/>
      <c r="E376" s="339"/>
      <c r="F376" s="42">
        <f>'5. Input GAW-waarde desinv.'!D336</f>
        <v>16985.961159910781</v>
      </c>
      <c r="G376" s="177">
        <f>'13. Desinvesteringen'!D660</f>
        <v>2010</v>
      </c>
      <c r="H376" s="177">
        <f>'13. Desinvesteringen'!G660</f>
        <v>2024</v>
      </c>
      <c r="I376" s="37" t="str">
        <f>'13. Desinvesteringen'!C660</f>
        <v>21 Hoofdtransportleiding</v>
      </c>
      <c r="J376" s="166">
        <f>'13. Desinvesteringen'!F660</f>
        <v>0</v>
      </c>
      <c r="K376" s="38">
        <f>_xlfn.XLOOKUP(I376,'3. Input (des)investeringen '!$B$11:$B$81,'3. Input (des)investeringen '!$E$11:$E$81)</f>
        <v>1</v>
      </c>
      <c r="L376" s="339"/>
      <c r="M376" s="38">
        <f>_xlfn.XLOOKUP(I376,'3. Input (des)investeringen '!$B$11:$B$81,'3. Input (des)investeringen '!$D$11:$D$81,0)</f>
        <v>55</v>
      </c>
      <c r="N376" s="38">
        <f t="shared" si="122"/>
        <v>43.5</v>
      </c>
      <c r="P376" s="43">
        <f t="shared" si="121"/>
        <v>456.86378292173822</v>
      </c>
      <c r="Q376" s="43">
        <f t="shared" si="121"/>
        <v>443.21038251258284</v>
      </c>
      <c r="R376" s="43">
        <f t="shared" si="121"/>
        <v>429.9650147593332</v>
      </c>
      <c r="S376" s="43">
        <f t="shared" si="121"/>
        <v>417.11548558261751</v>
      </c>
      <c r="T376" s="95">
        <f t="shared" si="121"/>
        <v>404.64996532382662</v>
      </c>
      <c r="V376" s="43">
        <f t="shared" si="123"/>
        <v>39.048186574507547</v>
      </c>
      <c r="W376" s="43">
        <f t="shared" si="124"/>
        <v>39.048186574507554</v>
      </c>
      <c r="X376" s="43">
        <f t="shared" si="125"/>
        <v>39.048186574507554</v>
      </c>
      <c r="Y376" s="43">
        <f t="shared" si="126"/>
        <v>39.048186574507554</v>
      </c>
      <c r="Z376" s="95">
        <f t="shared" si="127"/>
        <v>39.048186574507554</v>
      </c>
      <c r="AB376" s="43">
        <f t="shared" si="128"/>
        <v>495.91196949624577</v>
      </c>
      <c r="AC376" s="43">
        <f t="shared" si="129"/>
        <v>482.25856908709039</v>
      </c>
      <c r="AD376" s="43">
        <f t="shared" si="130"/>
        <v>469.01320133384075</v>
      </c>
      <c r="AE376" s="43">
        <f t="shared" si="131"/>
        <v>456.16367215712506</v>
      </c>
      <c r="AF376" s="95">
        <f t="shared" si="132"/>
        <v>443.69815189833417</v>
      </c>
      <c r="AH376" s="43">
        <f t="shared" si="133"/>
        <v>16490.049190414535</v>
      </c>
      <c r="AI376" s="43">
        <f t="shared" si="134"/>
        <v>16007.790621327444</v>
      </c>
      <c r="AJ376" s="43">
        <f t="shared" si="135"/>
        <v>15538.777419993603</v>
      </c>
      <c r="AK376" s="43">
        <f t="shared" si="136"/>
        <v>15082.613747836478</v>
      </c>
      <c r="AL376" s="95">
        <f t="shared" si="137"/>
        <v>14638.915595938144</v>
      </c>
      <c r="AN376" s="47">
        <f t="shared" si="138"/>
        <v>1172.0039863032416</v>
      </c>
      <c r="AO376" s="47">
        <f t="shared" si="139"/>
        <v>1298.6558907747899</v>
      </c>
      <c r="AP376" s="47">
        <f t="shared" si="140"/>
        <v>1261.4908497535146</v>
      </c>
      <c r="AQ376" s="47">
        <f t="shared" si="141"/>
        <v>1029.3029945749113</v>
      </c>
      <c r="AR376" s="193">
        <f t="shared" si="142"/>
        <v>999.97694454398356</v>
      </c>
      <c r="AS376" s="122"/>
      <c r="AT376" s="122"/>
      <c r="AU376" s="122"/>
      <c r="AV376" s="122"/>
      <c r="AW376" s="122"/>
      <c r="AX376" s="122"/>
    </row>
    <row r="377" spans="1:50" s="90" customFormat="1">
      <c r="A377" s="229"/>
      <c r="B377" s="37">
        <f>'13. Desinvesteringen'!B661</f>
        <v>642</v>
      </c>
      <c r="C377" s="339"/>
      <c r="D377" s="339"/>
      <c r="E377" s="339"/>
      <c r="F377" s="42">
        <f>'5. Input GAW-waarde desinv.'!D337</f>
        <v>26102.739490909091</v>
      </c>
      <c r="G377" s="177">
        <f>'13. Desinvesteringen'!D661</f>
        <v>2020</v>
      </c>
      <c r="H377" s="177">
        <f>'13. Desinvesteringen'!G661</f>
        <v>2024</v>
      </c>
      <c r="I377" s="37" t="str">
        <f>'13. Desinvesteringen'!C661</f>
        <v>21 Hoofdtransportleiding</v>
      </c>
      <c r="J377" s="166">
        <f>'13. Desinvesteringen'!F661</f>
        <v>0</v>
      </c>
      <c r="K377" s="38">
        <f>_xlfn.XLOOKUP(I377,'3. Input (des)investeringen '!$B$11:$B$81,'3. Input (des)investeringen '!$E$11:$E$81)</f>
        <v>1</v>
      </c>
      <c r="L377" s="339"/>
      <c r="M377" s="38">
        <f>_xlfn.XLOOKUP(I377,'3. Input (des)investeringen '!$B$11:$B$81,'3. Input (des)investeringen '!$D$11:$D$81,0)</f>
        <v>55</v>
      </c>
      <c r="N377" s="38">
        <f t="shared" si="122"/>
        <v>53.5</v>
      </c>
      <c r="P377" s="43">
        <f t="shared" si="121"/>
        <v>570.84495709090902</v>
      </c>
      <c r="Q377" s="43">
        <f t="shared" si="121"/>
        <v>556.9739581335599</v>
      </c>
      <c r="R377" s="43">
        <f t="shared" si="121"/>
        <v>543.44001148732389</v>
      </c>
      <c r="S377" s="43">
        <f t="shared" si="121"/>
        <v>530.23492709604307</v>
      </c>
      <c r="T377" s="95">
        <f t="shared" si="121"/>
        <v>517.35071391427005</v>
      </c>
      <c r="V377" s="43">
        <f t="shared" si="123"/>
        <v>48.790167272727274</v>
      </c>
      <c r="W377" s="43">
        <f t="shared" si="124"/>
        <v>48.790167272727274</v>
      </c>
      <c r="X377" s="43">
        <f t="shared" si="125"/>
        <v>48.790167272727274</v>
      </c>
      <c r="Y377" s="43">
        <f t="shared" si="126"/>
        <v>48.790167272727274</v>
      </c>
      <c r="Z377" s="95">
        <f t="shared" si="127"/>
        <v>48.790167272727274</v>
      </c>
      <c r="AB377" s="43">
        <f t="shared" si="128"/>
        <v>619.63512436363635</v>
      </c>
      <c r="AC377" s="43">
        <f t="shared" si="129"/>
        <v>605.76412540628712</v>
      </c>
      <c r="AD377" s="43">
        <f t="shared" si="130"/>
        <v>592.2301787600511</v>
      </c>
      <c r="AE377" s="43">
        <f t="shared" si="131"/>
        <v>579.0250943687704</v>
      </c>
      <c r="AF377" s="95">
        <f t="shared" si="132"/>
        <v>566.14088118699738</v>
      </c>
      <c r="AH377" s="43">
        <f t="shared" si="133"/>
        <v>25483.104366545456</v>
      </c>
      <c r="AI377" s="43">
        <f t="shared" si="134"/>
        <v>24877.340241139169</v>
      </c>
      <c r="AJ377" s="43">
        <f t="shared" si="135"/>
        <v>24285.110062379117</v>
      </c>
      <c r="AK377" s="43">
        <f t="shared" si="136"/>
        <v>23706.084968010346</v>
      </c>
      <c r="AL377" s="95">
        <f t="shared" si="137"/>
        <v>23139.944086823347</v>
      </c>
      <c r="AN377" s="47">
        <f t="shared" si="138"/>
        <v>1664.4424033920002</v>
      </c>
      <c r="AO377" s="47">
        <f t="shared" si="139"/>
        <v>1874.5084777043846</v>
      </c>
      <c r="AP377" s="47">
        <f t="shared" si="140"/>
        <v>1830.7707919413861</v>
      </c>
      <c r="AQ377" s="47">
        <f t="shared" si="141"/>
        <v>1479.8563231531634</v>
      </c>
      <c r="AR377" s="193">
        <f t="shared" si="142"/>
        <v>1445.4587564862845</v>
      </c>
      <c r="AS377" s="122"/>
      <c r="AT377" s="122"/>
      <c r="AU377" s="122"/>
      <c r="AV377" s="122"/>
      <c r="AW377" s="122"/>
      <c r="AX377" s="122"/>
    </row>
    <row r="378" spans="1:50" s="90" customFormat="1">
      <c r="A378" s="229"/>
      <c r="B378" s="37">
        <f>'13. Desinvesteringen'!B662</f>
        <v>643</v>
      </c>
      <c r="C378" s="339"/>
      <c r="D378" s="339"/>
      <c r="E378" s="339"/>
      <c r="F378" s="42">
        <f>'5. Input GAW-waarde desinv.'!D338</f>
        <v>0</v>
      </c>
      <c r="G378" s="177">
        <f>'13. Desinvesteringen'!D662</f>
        <v>2022</v>
      </c>
      <c r="H378" s="177">
        <f>'13. Desinvesteringen'!G662</f>
        <v>2024</v>
      </c>
      <c r="I378" s="37" t="str">
        <f>'13. Desinvesteringen'!C662</f>
        <v>21 Hoofdtransportleiding</v>
      </c>
      <c r="J378" s="166">
        <f>'13. Desinvesteringen'!F662</f>
        <v>274866</v>
      </c>
      <c r="K378" s="38">
        <f>_xlfn.XLOOKUP(I378,'3. Input (des)investeringen '!$B$11:$B$81,'3. Input (des)investeringen '!$E$11:$E$81)</f>
        <v>1</v>
      </c>
      <c r="L378" s="339"/>
      <c r="M378" s="38">
        <f>_xlfn.XLOOKUP(I378,'3. Input (des)investeringen '!$B$11:$B$81,'3. Input (des)investeringen '!$D$11:$D$81,0)</f>
        <v>55</v>
      </c>
      <c r="N378" s="38">
        <f t="shared" si="122"/>
        <v>55</v>
      </c>
      <c r="P378" s="43">
        <f t="shared" si="121"/>
        <v>0</v>
      </c>
      <c r="Q378" s="43">
        <f t="shared" si="121"/>
        <v>0</v>
      </c>
      <c r="R378" s="43">
        <f t="shared" si="121"/>
        <v>0</v>
      </c>
      <c r="S378" s="43">
        <f t="shared" si="121"/>
        <v>0</v>
      </c>
      <c r="T378" s="95">
        <f t="shared" si="121"/>
        <v>0</v>
      </c>
      <c r="V378" s="43">
        <f t="shared" si="123"/>
        <v>0</v>
      </c>
      <c r="W378" s="43">
        <f t="shared" si="124"/>
        <v>0</v>
      </c>
      <c r="X378" s="43">
        <f t="shared" si="125"/>
        <v>0</v>
      </c>
      <c r="Y378" s="43">
        <f t="shared" si="126"/>
        <v>0</v>
      </c>
      <c r="Z378" s="95">
        <f t="shared" si="127"/>
        <v>0</v>
      </c>
      <c r="AB378" s="43">
        <f t="shared" si="128"/>
        <v>0</v>
      </c>
      <c r="AC378" s="43">
        <f t="shared" si="129"/>
        <v>0</v>
      </c>
      <c r="AD378" s="43">
        <f t="shared" si="130"/>
        <v>0</v>
      </c>
      <c r="AE378" s="43">
        <f t="shared" si="131"/>
        <v>0</v>
      </c>
      <c r="AF378" s="95">
        <f t="shared" si="132"/>
        <v>0</v>
      </c>
      <c r="AH378" s="43">
        <f t="shared" si="133"/>
        <v>0</v>
      </c>
      <c r="AI378" s="43">
        <f t="shared" si="134"/>
        <v>0</v>
      </c>
      <c r="AJ378" s="43">
        <f t="shared" si="135"/>
        <v>0</v>
      </c>
      <c r="AK378" s="43">
        <f t="shared" si="136"/>
        <v>0</v>
      </c>
      <c r="AL378" s="95">
        <f t="shared" si="137"/>
        <v>0</v>
      </c>
      <c r="AN378" s="47">
        <f t="shared" si="138"/>
        <v>0</v>
      </c>
      <c r="AO378" s="47">
        <f t="shared" si="139"/>
        <v>0</v>
      </c>
      <c r="AP378" s="47">
        <f t="shared" si="140"/>
        <v>0</v>
      </c>
      <c r="AQ378" s="47">
        <f t="shared" si="141"/>
        <v>0</v>
      </c>
      <c r="AR378" s="193">
        <f t="shared" si="142"/>
        <v>0</v>
      </c>
      <c r="AS378" s="122"/>
      <c r="AT378" s="122"/>
      <c r="AU378" s="122"/>
      <c r="AV378" s="122"/>
      <c r="AW378" s="122"/>
      <c r="AX378" s="122"/>
    </row>
    <row r="379" spans="1:50" s="90" customFormat="1">
      <c r="A379" s="229"/>
      <c r="B379" s="37">
        <f>'13. Desinvesteringen'!B663</f>
        <v>644</v>
      </c>
      <c r="C379" s="339"/>
      <c r="D379" s="339"/>
      <c r="E379" s="339"/>
      <c r="F379" s="42">
        <f>'5. Input GAW-waarde desinv.'!D339</f>
        <v>0</v>
      </c>
      <c r="G379" s="177">
        <f>'13. Desinvesteringen'!D663</f>
        <v>1964</v>
      </c>
      <c r="H379" s="177">
        <f>'13. Desinvesteringen'!G663</f>
        <v>2024</v>
      </c>
      <c r="I379" s="37" t="str">
        <f>'13. Desinvesteringen'!C663</f>
        <v>32 M&amp;R stations</v>
      </c>
      <c r="J379" s="166">
        <f>'13. Desinvesteringen'!F663</f>
        <v>0</v>
      </c>
      <c r="K379" s="38">
        <f>_xlfn.XLOOKUP(I379,'3. Input (des)investeringen '!$B$11:$B$81,'3. Input (des)investeringen '!$E$11:$E$81)</f>
        <v>1</v>
      </c>
      <c r="L379" s="339"/>
      <c r="M379" s="38">
        <f>_xlfn.XLOOKUP(I379,'3. Input (des)investeringen '!$B$11:$B$81,'3. Input (des)investeringen '!$D$11:$D$81,0)</f>
        <v>30</v>
      </c>
      <c r="N379" s="38">
        <f t="shared" si="122"/>
        <v>0</v>
      </c>
      <c r="P379" s="43">
        <f t="shared" si="121"/>
        <v>0</v>
      </c>
      <c r="Q379" s="43">
        <f t="shared" si="121"/>
        <v>0</v>
      </c>
      <c r="R379" s="43">
        <f t="shared" si="121"/>
        <v>0</v>
      </c>
      <c r="S379" s="43">
        <f t="shared" si="121"/>
        <v>0</v>
      </c>
      <c r="T379" s="95">
        <f t="shared" si="121"/>
        <v>0</v>
      </c>
      <c r="V379" s="43">
        <f t="shared" si="123"/>
        <v>0</v>
      </c>
      <c r="W379" s="43">
        <f t="shared" si="124"/>
        <v>0</v>
      </c>
      <c r="X379" s="43">
        <f t="shared" si="125"/>
        <v>0</v>
      </c>
      <c r="Y379" s="43">
        <f t="shared" si="126"/>
        <v>0</v>
      </c>
      <c r="Z379" s="95">
        <f t="shared" si="127"/>
        <v>0</v>
      </c>
      <c r="AB379" s="43">
        <f t="shared" si="128"/>
        <v>0</v>
      </c>
      <c r="AC379" s="43">
        <f t="shared" si="129"/>
        <v>0</v>
      </c>
      <c r="AD379" s="43">
        <f t="shared" si="130"/>
        <v>0</v>
      </c>
      <c r="AE379" s="43">
        <f t="shared" si="131"/>
        <v>0</v>
      </c>
      <c r="AF379" s="95">
        <f t="shared" si="132"/>
        <v>0</v>
      </c>
      <c r="AH379" s="43">
        <f t="shared" si="133"/>
        <v>0</v>
      </c>
      <c r="AI379" s="43">
        <f t="shared" si="134"/>
        <v>0</v>
      </c>
      <c r="AJ379" s="43">
        <f t="shared" si="135"/>
        <v>0</v>
      </c>
      <c r="AK379" s="43">
        <f t="shared" si="136"/>
        <v>0</v>
      </c>
      <c r="AL379" s="95">
        <f t="shared" si="137"/>
        <v>0</v>
      </c>
      <c r="AN379" s="47">
        <f t="shared" si="138"/>
        <v>0</v>
      </c>
      <c r="AO379" s="47">
        <f t="shared" si="139"/>
        <v>0</v>
      </c>
      <c r="AP379" s="47">
        <f t="shared" si="140"/>
        <v>0</v>
      </c>
      <c r="AQ379" s="47">
        <f t="shared" si="141"/>
        <v>0</v>
      </c>
      <c r="AR379" s="193">
        <f t="shared" si="142"/>
        <v>0</v>
      </c>
      <c r="AS379" s="122"/>
      <c r="AT379" s="122"/>
      <c r="AU379" s="122"/>
      <c r="AV379" s="122"/>
      <c r="AW379" s="122"/>
      <c r="AX379" s="122"/>
    </row>
    <row r="380" spans="1:50" s="90" customFormat="1">
      <c r="A380" s="229"/>
      <c r="B380" s="37">
        <f>'13. Desinvesteringen'!B664</f>
        <v>645</v>
      </c>
      <c r="C380" s="339"/>
      <c r="D380" s="339"/>
      <c r="E380" s="339"/>
      <c r="F380" s="42">
        <f>'5. Input GAW-waarde desinv.'!D340</f>
        <v>0</v>
      </c>
      <c r="G380" s="177">
        <f>'13. Desinvesteringen'!D664</f>
        <v>1973</v>
      </c>
      <c r="H380" s="177">
        <f>'13. Desinvesteringen'!G664</f>
        <v>2024</v>
      </c>
      <c r="I380" s="37" t="str">
        <f>'13. Desinvesteringen'!C664</f>
        <v>34 Reduceerstations</v>
      </c>
      <c r="J380" s="166">
        <f>'13. Desinvesteringen'!F664</f>
        <v>0</v>
      </c>
      <c r="K380" s="38">
        <f>_xlfn.XLOOKUP(I380,'3. Input (des)investeringen '!$B$11:$B$81,'3. Input (des)investeringen '!$E$11:$E$81)</f>
        <v>1</v>
      </c>
      <c r="L380" s="339"/>
      <c r="M380" s="38">
        <f>_xlfn.XLOOKUP(I380,'3. Input (des)investeringen '!$B$11:$B$81,'3. Input (des)investeringen '!$D$11:$D$81,0)</f>
        <v>30</v>
      </c>
      <c r="N380" s="38">
        <f t="shared" si="122"/>
        <v>0</v>
      </c>
      <c r="P380" s="43">
        <f t="shared" ref="P380:T383" si="143">IF($M380&gt;0, IF(OR($G380&gt;P$49,$G380+$M380&lt;P$49),0,
VDB($F380,0,$N380,MAX(0,P$49-2022),MIN($N380,P$49-2021),$F$22,FALSE))*(1-$F$25), 0)</f>
        <v>0</v>
      </c>
      <c r="Q380" s="43">
        <f t="shared" si="143"/>
        <v>0</v>
      </c>
      <c r="R380" s="43">
        <f t="shared" si="143"/>
        <v>0</v>
      </c>
      <c r="S380" s="43">
        <f t="shared" si="143"/>
        <v>0</v>
      </c>
      <c r="T380" s="95">
        <f t="shared" si="143"/>
        <v>0</v>
      </c>
      <c r="V380" s="43">
        <f t="shared" si="123"/>
        <v>0</v>
      </c>
      <c r="W380" s="43">
        <f t="shared" si="124"/>
        <v>0</v>
      </c>
      <c r="X380" s="43">
        <f t="shared" si="125"/>
        <v>0</v>
      </c>
      <c r="Y380" s="43">
        <f t="shared" si="126"/>
        <v>0</v>
      </c>
      <c r="Z380" s="95">
        <f t="shared" si="127"/>
        <v>0</v>
      </c>
      <c r="AB380" s="43">
        <f t="shared" si="128"/>
        <v>0</v>
      </c>
      <c r="AC380" s="43">
        <f t="shared" si="129"/>
        <v>0</v>
      </c>
      <c r="AD380" s="43">
        <f t="shared" si="130"/>
        <v>0</v>
      </c>
      <c r="AE380" s="43">
        <f t="shared" si="131"/>
        <v>0</v>
      </c>
      <c r="AF380" s="95">
        <f t="shared" si="132"/>
        <v>0</v>
      </c>
      <c r="AH380" s="43">
        <f t="shared" si="133"/>
        <v>0</v>
      </c>
      <c r="AI380" s="43">
        <f t="shared" si="134"/>
        <v>0</v>
      </c>
      <c r="AJ380" s="43">
        <f t="shared" si="135"/>
        <v>0</v>
      </c>
      <c r="AK380" s="43">
        <f t="shared" si="136"/>
        <v>0</v>
      </c>
      <c r="AL380" s="95">
        <f t="shared" si="137"/>
        <v>0</v>
      </c>
      <c r="AN380" s="47">
        <f t="shared" si="138"/>
        <v>0</v>
      </c>
      <c r="AO380" s="47">
        <f t="shared" si="139"/>
        <v>0</v>
      </c>
      <c r="AP380" s="47">
        <f t="shared" si="140"/>
        <v>0</v>
      </c>
      <c r="AQ380" s="47">
        <f t="shared" si="141"/>
        <v>0</v>
      </c>
      <c r="AR380" s="193">
        <f t="shared" si="142"/>
        <v>0</v>
      </c>
      <c r="AS380" s="122"/>
      <c r="AT380" s="122"/>
      <c r="AU380" s="122"/>
      <c r="AV380" s="122"/>
      <c r="AW380" s="122"/>
      <c r="AX380" s="122"/>
    </row>
    <row r="381" spans="1:50" s="90" customFormat="1">
      <c r="A381" s="229"/>
      <c r="B381" s="37">
        <f>'13. Desinvesteringen'!B665</f>
        <v>646</v>
      </c>
      <c r="C381" s="339"/>
      <c r="D381" s="339"/>
      <c r="E381" s="339"/>
      <c r="F381" s="42">
        <f>'5. Input GAW-waarde desinv.'!D341</f>
        <v>0</v>
      </c>
      <c r="G381" s="177">
        <f>'13. Desinvesteringen'!D665</f>
        <v>1986</v>
      </c>
      <c r="H381" s="177">
        <f>'13. Desinvesteringen'!G665</f>
        <v>2024</v>
      </c>
      <c r="I381" s="37" t="str">
        <f>'13. Desinvesteringen'!C665</f>
        <v>34 Reduceerstations</v>
      </c>
      <c r="J381" s="166">
        <f>'13. Desinvesteringen'!F665</f>
        <v>0</v>
      </c>
      <c r="K381" s="38">
        <f>_xlfn.XLOOKUP(I381,'3. Input (des)investeringen '!$B$11:$B$81,'3. Input (des)investeringen '!$E$11:$E$81)</f>
        <v>1</v>
      </c>
      <c r="L381" s="339"/>
      <c r="M381" s="38">
        <f>_xlfn.XLOOKUP(I381,'3. Input (des)investeringen '!$B$11:$B$81,'3. Input (des)investeringen '!$D$11:$D$81,0)</f>
        <v>30</v>
      </c>
      <c r="N381" s="38">
        <f t="shared" si="122"/>
        <v>0</v>
      </c>
      <c r="P381" s="43">
        <f t="shared" si="143"/>
        <v>0</v>
      </c>
      <c r="Q381" s="43">
        <f t="shared" si="143"/>
        <v>0</v>
      </c>
      <c r="R381" s="43">
        <f t="shared" si="143"/>
        <v>0</v>
      </c>
      <c r="S381" s="43">
        <f t="shared" si="143"/>
        <v>0</v>
      </c>
      <c r="T381" s="95">
        <f t="shared" si="143"/>
        <v>0</v>
      </c>
      <c r="V381" s="43">
        <f t="shared" si="123"/>
        <v>0</v>
      </c>
      <c r="W381" s="43">
        <f t="shared" si="124"/>
        <v>0</v>
      </c>
      <c r="X381" s="43">
        <f t="shared" si="125"/>
        <v>0</v>
      </c>
      <c r="Y381" s="43">
        <f t="shared" si="126"/>
        <v>0</v>
      </c>
      <c r="Z381" s="95">
        <f t="shared" si="127"/>
        <v>0</v>
      </c>
      <c r="AB381" s="43">
        <f t="shared" si="128"/>
        <v>0</v>
      </c>
      <c r="AC381" s="43">
        <f t="shared" si="129"/>
        <v>0</v>
      </c>
      <c r="AD381" s="43">
        <f t="shared" si="130"/>
        <v>0</v>
      </c>
      <c r="AE381" s="43">
        <f t="shared" si="131"/>
        <v>0</v>
      </c>
      <c r="AF381" s="95">
        <f t="shared" si="132"/>
        <v>0</v>
      </c>
      <c r="AH381" s="43">
        <f t="shared" si="133"/>
        <v>0</v>
      </c>
      <c r="AI381" s="43">
        <f t="shared" si="134"/>
        <v>0</v>
      </c>
      <c r="AJ381" s="43">
        <f t="shared" si="135"/>
        <v>0</v>
      </c>
      <c r="AK381" s="43">
        <f t="shared" si="136"/>
        <v>0</v>
      </c>
      <c r="AL381" s="95">
        <f t="shared" si="137"/>
        <v>0</v>
      </c>
      <c r="AN381" s="47">
        <f t="shared" si="138"/>
        <v>0</v>
      </c>
      <c r="AO381" s="47">
        <f t="shared" si="139"/>
        <v>0</v>
      </c>
      <c r="AP381" s="47">
        <f t="shared" si="140"/>
        <v>0</v>
      </c>
      <c r="AQ381" s="47">
        <f t="shared" si="141"/>
        <v>0</v>
      </c>
      <c r="AR381" s="193">
        <f t="shared" si="142"/>
        <v>0</v>
      </c>
      <c r="AS381" s="122"/>
      <c r="AT381" s="122"/>
      <c r="AU381" s="122"/>
      <c r="AV381" s="122"/>
      <c r="AW381" s="122"/>
      <c r="AX381" s="122"/>
    </row>
    <row r="382" spans="1:50" s="90" customFormat="1">
      <c r="A382" s="229"/>
      <c r="B382" s="37">
        <f>'13. Desinvesteringen'!B666</f>
        <v>647</v>
      </c>
      <c r="C382" s="339"/>
      <c r="D382" s="339"/>
      <c r="E382" s="339"/>
      <c r="F382" s="42">
        <f>'5. Input GAW-waarde desinv.'!D342</f>
        <v>26595.363825908324</v>
      </c>
      <c r="G382" s="177">
        <f>'13. Desinvesteringen'!D666</f>
        <v>2011</v>
      </c>
      <c r="H382" s="177">
        <f>'13. Desinvesteringen'!G666</f>
        <v>2024</v>
      </c>
      <c r="I382" s="37" t="str">
        <f>'13. Desinvesteringen'!C666</f>
        <v>34 Reduceerstations</v>
      </c>
      <c r="J382" s="166">
        <f>'13. Desinvesteringen'!F666</f>
        <v>0</v>
      </c>
      <c r="K382" s="38">
        <f>_xlfn.XLOOKUP(I382,'3. Input (des)investeringen '!$B$11:$B$81,'3. Input (des)investeringen '!$E$11:$E$81)</f>
        <v>1</v>
      </c>
      <c r="L382" s="339"/>
      <c r="M382" s="38">
        <f>_xlfn.XLOOKUP(I382,'3. Input (des)investeringen '!$B$11:$B$81,'3. Input (des)investeringen '!$D$11:$D$81,0)</f>
        <v>30</v>
      </c>
      <c r="N382" s="38">
        <f t="shared" si="122"/>
        <v>19.5</v>
      </c>
      <c r="P382" s="43">
        <f t="shared" si="143"/>
        <v>1595.7218295544994</v>
      </c>
      <c r="Q382" s="43">
        <f t="shared" si="143"/>
        <v>1489.3403742508663</v>
      </c>
      <c r="R382" s="43">
        <f t="shared" si="143"/>
        <v>1390.051015967475</v>
      </c>
      <c r="S382" s="43">
        <f t="shared" si="143"/>
        <v>1297.3809482363101</v>
      </c>
      <c r="T382" s="95">
        <f t="shared" si="143"/>
        <v>1210.888885020556</v>
      </c>
      <c r="V382" s="43">
        <f t="shared" si="123"/>
        <v>136.38648115850421</v>
      </c>
      <c r="W382" s="43">
        <f t="shared" si="124"/>
        <v>136.38648115850424</v>
      </c>
      <c r="X382" s="43">
        <f t="shared" si="125"/>
        <v>136.38648115850424</v>
      </c>
      <c r="Y382" s="43">
        <f t="shared" si="126"/>
        <v>136.38648115850424</v>
      </c>
      <c r="Z382" s="95">
        <f t="shared" si="127"/>
        <v>136.38648115850424</v>
      </c>
      <c r="AB382" s="43">
        <f t="shared" si="128"/>
        <v>1732.1083107130037</v>
      </c>
      <c r="AC382" s="43">
        <f t="shared" si="129"/>
        <v>1625.7268554093705</v>
      </c>
      <c r="AD382" s="43">
        <f t="shared" si="130"/>
        <v>1526.4374971259792</v>
      </c>
      <c r="AE382" s="43">
        <f t="shared" si="131"/>
        <v>1433.7674293948144</v>
      </c>
      <c r="AF382" s="95">
        <f t="shared" si="132"/>
        <v>1347.2753661790603</v>
      </c>
      <c r="AH382" s="43">
        <f t="shared" si="133"/>
        <v>24863.25551519532</v>
      </c>
      <c r="AI382" s="43">
        <f t="shared" si="134"/>
        <v>23237.528659785949</v>
      </c>
      <c r="AJ382" s="43">
        <f t="shared" si="135"/>
        <v>21711.09116265997</v>
      </c>
      <c r="AK382" s="43">
        <f t="shared" si="136"/>
        <v>20277.323733265155</v>
      </c>
      <c r="AL382" s="95">
        <f t="shared" si="137"/>
        <v>18930.048367086096</v>
      </c>
      <c r="AN382" s="47">
        <f t="shared" si="138"/>
        <v>2751.5017868360119</v>
      </c>
      <c r="AO382" s="47">
        <f t="shared" si="139"/>
        <v>2810.8408170584535</v>
      </c>
      <c r="AP382" s="47">
        <f t="shared" si="140"/>
        <v>2633.7031464216379</v>
      </c>
      <c r="AQ382" s="47">
        <f t="shared" si="141"/>
        <v>2204.3057312588903</v>
      </c>
      <c r="AR382" s="193">
        <f t="shared" si="142"/>
        <v>2066.6172041283317</v>
      </c>
      <c r="AS382" s="122"/>
      <c r="AT382" s="122"/>
      <c r="AU382" s="122"/>
      <c r="AV382" s="122"/>
      <c r="AW382" s="122"/>
      <c r="AX382" s="122"/>
    </row>
    <row r="383" spans="1:50" s="90" customFormat="1">
      <c r="A383" s="229"/>
      <c r="B383" s="37">
        <f>'13. Desinvesteringen'!B667</f>
        <v>648</v>
      </c>
      <c r="C383" s="339"/>
      <c r="D383" s="339"/>
      <c r="E383" s="339"/>
      <c r="F383" s="42">
        <f>'5. Input GAW-waarde desinv.'!D343</f>
        <v>4399.4836460310435</v>
      </c>
      <c r="G383" s="177">
        <f>'13. Desinvesteringen'!D667</f>
        <v>1998</v>
      </c>
      <c r="H383" s="177">
        <f>'13. Desinvesteringen'!G667</f>
        <v>2024</v>
      </c>
      <c r="I383" s="37" t="str">
        <f>'13. Desinvesteringen'!C667</f>
        <v>35 Injectiestations</v>
      </c>
      <c r="J383" s="166">
        <f>'13. Desinvesteringen'!F667</f>
        <v>0</v>
      </c>
      <c r="K383" s="38">
        <f>_xlfn.XLOOKUP(I383,'3. Input (des)investeringen '!$B$11:$B$81,'3. Input (des)investeringen '!$E$11:$E$81)</f>
        <v>1</v>
      </c>
      <c r="L383" s="339"/>
      <c r="M383" s="38">
        <f>_xlfn.XLOOKUP(I383,'3. Input (des)investeringen '!$B$11:$B$81,'3. Input (des)investeringen '!$D$11:$D$81,0)</f>
        <v>30</v>
      </c>
      <c r="N383" s="38">
        <f t="shared" si="122"/>
        <v>6.5</v>
      </c>
      <c r="P383" s="43">
        <f t="shared" si="143"/>
        <v>791.90705628558794</v>
      </c>
      <c r="Q383" s="43">
        <f t="shared" si="143"/>
        <v>633.52564502847031</v>
      </c>
      <c r="R383" s="43">
        <f t="shared" si="143"/>
        <v>563.13390669197349</v>
      </c>
      <c r="S383" s="43">
        <f t="shared" si="143"/>
        <v>563.13390669197349</v>
      </c>
      <c r="T383" s="95">
        <f t="shared" si="143"/>
        <v>563.13390669197349</v>
      </c>
      <c r="V383" s="43">
        <f t="shared" si="123"/>
        <v>67.684363785092984</v>
      </c>
      <c r="W383" s="43">
        <f t="shared" si="124"/>
        <v>67.684363785092984</v>
      </c>
      <c r="X383" s="43">
        <f t="shared" si="125"/>
        <v>67.684363785092984</v>
      </c>
      <c r="Y383" s="43">
        <f t="shared" si="126"/>
        <v>67.684363785092984</v>
      </c>
      <c r="Z383" s="95">
        <f t="shared" si="127"/>
        <v>67.684363785092984</v>
      </c>
      <c r="AB383" s="43">
        <f t="shared" si="128"/>
        <v>859.5914200706809</v>
      </c>
      <c r="AC383" s="43">
        <f t="shared" si="129"/>
        <v>701.21000881356326</v>
      </c>
      <c r="AD383" s="43">
        <f t="shared" si="130"/>
        <v>630.81827047706645</v>
      </c>
      <c r="AE383" s="43">
        <f t="shared" si="131"/>
        <v>630.81827047706645</v>
      </c>
      <c r="AF383" s="95">
        <f t="shared" si="132"/>
        <v>630.81827047706645</v>
      </c>
      <c r="AH383" s="43">
        <f t="shared" si="133"/>
        <v>3539.8922259603623</v>
      </c>
      <c r="AI383" s="43">
        <f t="shared" si="134"/>
        <v>2838.6822171467993</v>
      </c>
      <c r="AJ383" s="43">
        <f t="shared" si="135"/>
        <v>2207.8639466697327</v>
      </c>
      <c r="AK383" s="43">
        <f t="shared" si="136"/>
        <v>1577.0456761926662</v>
      </c>
      <c r="AL383" s="95">
        <f t="shared" si="137"/>
        <v>946.22740571559973</v>
      </c>
      <c r="AN383" s="47">
        <f t="shared" si="138"/>
        <v>1004.7270013350558</v>
      </c>
      <c r="AO383" s="47">
        <f t="shared" si="139"/>
        <v>845.98280188805006</v>
      </c>
      <c r="AP383" s="47">
        <f t="shared" si="140"/>
        <v>743.41933175722284</v>
      </c>
      <c r="AQ383" s="47">
        <f t="shared" si="141"/>
        <v>690.74600617238775</v>
      </c>
      <c r="AR383" s="193">
        <f t="shared" si="142"/>
        <v>666.77491189425928</v>
      </c>
      <c r="AS383" s="122"/>
      <c r="AT383" s="122"/>
      <c r="AU383" s="122"/>
      <c r="AV383" s="122"/>
      <c r="AW383" s="122"/>
      <c r="AX383" s="122"/>
    </row>
    <row r="385" spans="1:12" s="33" customFormat="1">
      <c r="A385" s="98"/>
      <c r="B385" s="33" t="s">
        <v>932</v>
      </c>
    </row>
    <row r="386" spans="1:12" s="34" customFormat="1">
      <c r="A386" s="99"/>
      <c r="B386" s="34" t="s">
        <v>157</v>
      </c>
      <c r="D386" s="34" t="s">
        <v>199</v>
      </c>
      <c r="H386" s="101">
        <v>2022</v>
      </c>
      <c r="I386" s="101">
        <v>2023</v>
      </c>
      <c r="J386" s="101">
        <v>2024</v>
      </c>
      <c r="K386" s="101">
        <v>2025</v>
      </c>
      <c r="L386" s="101">
        <v>2026</v>
      </c>
    </row>
    <row r="388" spans="1:12">
      <c r="B388" s="3" t="s">
        <v>933</v>
      </c>
      <c r="D388" s="3" t="s">
        <v>209</v>
      </c>
      <c r="H388" s="10"/>
      <c r="I388" s="47">
        <f>SUMIF($H51:$H383,2022,AO51:AO383)</f>
        <v>408005.86717868451</v>
      </c>
      <c r="J388" s="47">
        <f>SUMIF($H51:$H383,2022,AP51:AP383)</f>
        <v>369237.18762282777</v>
      </c>
      <c r="K388" s="47">
        <f>SUMIF($H51:$H383,2022,AQ51:AQ383)</f>
        <v>313866.18202920549</v>
      </c>
      <c r="L388" s="47">
        <f>SUMIF($H51:$H383,2022,AR51:AR383)</f>
        <v>292409.21892977547</v>
      </c>
    </row>
    <row r="389" spans="1:12">
      <c r="B389" s="3" t="s">
        <v>934</v>
      </c>
      <c r="D389" s="3" t="s">
        <v>209</v>
      </c>
      <c r="H389" s="10"/>
      <c r="I389" s="97"/>
      <c r="J389" s="47">
        <f>SUMIF($H51:$H383,2023,AP51:AP383)</f>
        <v>2131747.5416087345</v>
      </c>
      <c r="K389" s="47">
        <f>SUMIF($H51:$H383,2023,AQ51:AQ383)</f>
        <v>1729626.2434251113</v>
      </c>
      <c r="L389" s="47">
        <f>SUMIF($H51:$H383,2023,AR51:AR383)</f>
        <v>1561981.9729548893</v>
      </c>
    </row>
    <row r="390" spans="1:12">
      <c r="B390" s="3" t="s">
        <v>935</v>
      </c>
      <c r="D390" s="3" t="s">
        <v>209</v>
      </c>
      <c r="H390" s="10"/>
      <c r="I390" s="97"/>
      <c r="J390" s="97"/>
      <c r="K390" s="47">
        <f>SUMIF($H51:$H383,2024,AQ51:AQ383)</f>
        <v>5381669.9492711388</v>
      </c>
      <c r="L390" s="47">
        <f>SUMIF($H51:$H383,2024,AR51:AR383)</f>
        <v>5098189.1184984418</v>
      </c>
    </row>
    <row r="391" spans="1:12">
      <c r="B391" s="3" t="s">
        <v>936</v>
      </c>
      <c r="D391" s="3" t="s">
        <v>209</v>
      </c>
      <c r="H391" s="43">
        <f>SUMIF($H51:$H383,H$386,AH$51:AH383)-SUMIF($H51:$H383,H$386,$J51:$J383)*$F$28</f>
        <v>2854373.1382739237</v>
      </c>
      <c r="I391" s="43">
        <f>SUMIF($H51:$H383,I$386,AI$51:AI383)-SUMIF($H51:$H383,I$386,$J51:$J383)*$F$28</f>
        <v>16950406.364588555</v>
      </c>
      <c r="J391" s="43">
        <f>SUMIF($H51:$H383,J$386,AJ$51:AJ383)-SUMIF($H51:$H383,J$386,$J51:$J383)*$F$28</f>
        <v>41534237.988847122</v>
      </c>
      <c r="K391" s="43">
        <f>SUMIF($H51:$H383,K$386,AK$51:AK383)-SUMIF($H51:$H383,K$386,$J51:$J383)*$F$28</f>
        <v>0</v>
      </c>
      <c r="L391" s="43">
        <f>SUMIF($H51:$H383,L$386,AL$51:AL383)-SUMIF($H51:$H383,L$386,$J51:$J383)*$F$28</f>
        <v>0</v>
      </c>
    </row>
    <row r="392" spans="1:12">
      <c r="B392" s="3" t="s">
        <v>937</v>
      </c>
      <c r="D392" s="3" t="s">
        <v>209</v>
      </c>
      <c r="H392" s="10"/>
      <c r="I392" s="10"/>
      <c r="J392" s="10"/>
      <c r="K392" s="97"/>
      <c r="L392" s="96">
        <f>J391*L36-K390*L37-SUM(L388:L390)</f>
        <v>34060382.623351946</v>
      </c>
    </row>
    <row r="393" spans="1:12">
      <c r="K393" s="230"/>
    </row>
  </sheetData>
  <mergeCells count="3">
    <mergeCell ref="B5:D5"/>
    <mergeCell ref="B7:D7"/>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FFFFCC"/>
  </sheetPr>
  <dimension ref="A1:XFC1410"/>
  <sheetViews>
    <sheetView showGridLines="0" zoomScale="85" zoomScaleNormal="85" workbookViewId="0">
      <pane ySplit="9" topLeftCell="A10" activePane="bottomLeft" state="frozen"/>
      <selection pane="bottomLeft"/>
    </sheetView>
  </sheetViews>
  <sheetFormatPr defaultRowHeight="12.75"/>
  <cols>
    <col min="1" max="1" width="2.5703125" customWidth="1"/>
    <col min="2" max="2" width="30.42578125" customWidth="1"/>
    <col min="3" max="3" width="3.85546875" customWidth="1"/>
    <col min="4" max="4" width="52" customWidth="1"/>
    <col min="5" max="5" width="33.5703125" bestFit="1" customWidth="1"/>
    <col min="6" max="6" width="37.140625" bestFit="1" customWidth="1"/>
    <col min="7" max="7" width="30" customWidth="1"/>
    <col min="8" max="10" width="13.5703125" customWidth="1"/>
    <col min="13" max="13" width="12.42578125" bestFit="1" customWidth="1"/>
  </cols>
  <sheetData>
    <row r="1" spans="1:1638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row>
    <row r="2" spans="1:16383" ht="18">
      <c r="A2" s="12"/>
      <c r="B2" s="12" t="s">
        <v>938</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c r="XEZ2" s="12"/>
      <c r="XFA2" s="12"/>
      <c r="XFB2" s="12"/>
      <c r="XFC2" s="12"/>
    </row>
    <row r="3" spans="1:1638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6383">
      <c r="A4" s="3"/>
      <c r="B4" s="2" t="s">
        <v>868</v>
      </c>
      <c r="C4" s="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row>
    <row r="5" spans="1:16383" ht="18" customHeight="1">
      <c r="A5" s="3"/>
      <c r="B5" s="346" t="s">
        <v>939</v>
      </c>
      <c r="C5" s="346"/>
      <c r="D5" s="346"/>
      <c r="E5" s="346"/>
      <c r="F5" s="346"/>
      <c r="G5" s="346"/>
      <c r="H5" s="346"/>
      <c r="I5" s="346"/>
      <c r="J5" s="346"/>
      <c r="K5" s="346"/>
      <c r="L5" s="346"/>
      <c r="M5" s="346"/>
      <c r="N5" s="346"/>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row>
    <row r="6" spans="1:16383">
      <c r="A6" s="3"/>
      <c r="B6" s="17" t="s">
        <v>153</v>
      </c>
      <c r="C6" s="3"/>
      <c r="D6" s="3"/>
      <c r="E6" s="1"/>
      <c r="F6" s="1"/>
      <c r="G6" s="1"/>
      <c r="H6" s="1"/>
      <c r="I6" s="1"/>
      <c r="J6" s="1"/>
      <c r="K6" s="1"/>
      <c r="L6" s="1"/>
      <c r="M6" s="1"/>
      <c r="N6" s="1"/>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16383">
      <c r="A7" s="3"/>
      <c r="B7" s="346" t="s">
        <v>940</v>
      </c>
      <c r="C7" s="346"/>
      <c r="D7" s="346"/>
      <c r="E7" s="1"/>
      <c r="F7" s="1"/>
      <c r="G7" s="1"/>
      <c r="H7" s="1"/>
      <c r="I7" s="1"/>
      <c r="J7" s="1"/>
      <c r="K7" s="1"/>
      <c r="L7" s="1"/>
      <c r="M7" s="1"/>
      <c r="N7" s="1"/>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row>
    <row r="8" spans="1:16383" s="3" customFormat="1"/>
    <row r="9" spans="1:16383" s="8" customFormat="1">
      <c r="B9" s="8" t="s">
        <v>157</v>
      </c>
      <c r="H9" s="53"/>
      <c r="I9" s="46"/>
      <c r="J9" s="53"/>
      <c r="K9" s="46"/>
      <c r="L9" s="53"/>
      <c r="M9" s="46"/>
      <c r="N9" s="46"/>
      <c r="O9" s="46"/>
      <c r="P9" s="46"/>
      <c r="Q9" s="46"/>
      <c r="R9" s="46"/>
    </row>
    <row r="10" spans="1:16383">
      <c r="A10" s="3"/>
      <c r="B10" s="3"/>
      <c r="D10" s="3"/>
      <c r="E10" s="3"/>
      <c r="F10" s="3"/>
      <c r="G10" s="3"/>
      <c r="H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6383">
      <c r="A11" s="8"/>
      <c r="B11" s="8" t="s">
        <v>941</v>
      </c>
      <c r="C11" s="8"/>
      <c r="D11" s="8" t="s">
        <v>199</v>
      </c>
      <c r="E11" s="112">
        <v>1946</v>
      </c>
      <c r="F11" s="112">
        <v>1947</v>
      </c>
      <c r="G11" s="112">
        <v>1948</v>
      </c>
      <c r="H11" s="112">
        <v>1949</v>
      </c>
      <c r="I11" s="112">
        <v>1950</v>
      </c>
      <c r="J11" s="112">
        <v>1951</v>
      </c>
      <c r="K11" s="112">
        <v>1952</v>
      </c>
      <c r="L11" s="112">
        <v>1953</v>
      </c>
      <c r="M11" s="112">
        <v>1954</v>
      </c>
      <c r="N11" s="112">
        <v>1955</v>
      </c>
      <c r="O11" s="112">
        <v>1956</v>
      </c>
      <c r="P11" s="112">
        <v>1957</v>
      </c>
      <c r="Q11" s="112">
        <v>1958</v>
      </c>
      <c r="R11" s="112">
        <v>1959</v>
      </c>
      <c r="S11" s="112">
        <v>1960</v>
      </c>
      <c r="T11" s="112">
        <v>1961</v>
      </c>
      <c r="U11" s="112">
        <v>1962</v>
      </c>
      <c r="V11" s="112">
        <v>1963</v>
      </c>
      <c r="W11" s="112">
        <v>1964</v>
      </c>
      <c r="X11" s="112">
        <v>1965</v>
      </c>
      <c r="Y11" s="112">
        <v>1966</v>
      </c>
      <c r="Z11" s="112">
        <v>1967</v>
      </c>
      <c r="AA11" s="112">
        <v>1968</v>
      </c>
      <c r="AB11" s="112">
        <v>1969</v>
      </c>
      <c r="AC11" s="112">
        <v>1970</v>
      </c>
      <c r="AD11" s="112">
        <v>1971</v>
      </c>
      <c r="AE11" s="112">
        <v>1972</v>
      </c>
      <c r="AF11" s="112">
        <v>1973</v>
      </c>
      <c r="AG11" s="112">
        <v>1974</v>
      </c>
      <c r="AH11" s="112">
        <v>1975</v>
      </c>
      <c r="AI11" s="112">
        <v>1976</v>
      </c>
      <c r="AJ11" s="112">
        <v>1977</v>
      </c>
      <c r="AK11" s="112">
        <v>1978</v>
      </c>
      <c r="AL11" s="112">
        <v>1979</v>
      </c>
      <c r="AM11" s="112">
        <v>1980</v>
      </c>
      <c r="AN11" s="112">
        <v>1981</v>
      </c>
      <c r="AO11" s="112">
        <v>1982</v>
      </c>
      <c r="AP11" s="112">
        <v>1983</v>
      </c>
      <c r="AQ11" s="112">
        <v>1984</v>
      </c>
      <c r="AR11" s="112">
        <v>1985</v>
      </c>
      <c r="AS11" s="112">
        <v>1986</v>
      </c>
      <c r="AT11" s="112">
        <v>1987</v>
      </c>
      <c r="AU11" s="112">
        <v>1988</v>
      </c>
      <c r="AV11" s="112">
        <v>1989</v>
      </c>
      <c r="AW11" s="112">
        <v>1990</v>
      </c>
      <c r="AX11" s="112">
        <v>1991</v>
      </c>
      <c r="AY11" s="112">
        <v>1992</v>
      </c>
      <c r="AZ11" s="112">
        <v>1993</v>
      </c>
      <c r="BA11" s="112">
        <v>1994</v>
      </c>
      <c r="BB11" s="112">
        <v>1995</v>
      </c>
      <c r="BC11" s="112">
        <v>1996</v>
      </c>
      <c r="BD11" s="112">
        <v>1997</v>
      </c>
      <c r="BE11" s="112">
        <v>1998</v>
      </c>
      <c r="BF11" s="112">
        <v>1999</v>
      </c>
      <c r="BG11" s="112">
        <v>2000</v>
      </c>
      <c r="BH11" s="112">
        <v>2001</v>
      </c>
      <c r="BI11" s="112">
        <v>2002</v>
      </c>
      <c r="BJ11" s="112">
        <v>2003</v>
      </c>
      <c r="BK11" s="112">
        <v>2004</v>
      </c>
      <c r="BL11" s="112">
        <v>2005</v>
      </c>
      <c r="BM11" s="112">
        <v>2006</v>
      </c>
      <c r="BN11" s="112">
        <v>2007</v>
      </c>
      <c r="BO11" s="112">
        <v>2008</v>
      </c>
      <c r="BP11" s="112">
        <v>2009</v>
      </c>
      <c r="BQ11" s="112">
        <v>2010</v>
      </c>
      <c r="BR11" s="112">
        <v>2011</v>
      </c>
      <c r="BS11" s="112">
        <v>2012</v>
      </c>
      <c r="BT11" s="112">
        <v>2013</v>
      </c>
      <c r="BU11" s="112">
        <v>2014</v>
      </c>
      <c r="BV11" s="112">
        <v>2015</v>
      </c>
      <c r="BW11" s="112">
        <v>2016</v>
      </c>
      <c r="BX11" s="112">
        <v>2017</v>
      </c>
      <c r="BY11" s="112">
        <v>2018</v>
      </c>
      <c r="BZ11" s="112">
        <v>2019</v>
      </c>
      <c r="CA11" s="112">
        <v>2020</v>
      </c>
      <c r="CB11" s="112">
        <v>2021</v>
      </c>
      <c r="CC11" s="112">
        <v>2022</v>
      </c>
      <c r="CD11" s="112">
        <v>2023</v>
      </c>
      <c r="CE11" s="112">
        <v>2024</v>
      </c>
      <c r="CF11" s="112">
        <v>2025</v>
      </c>
      <c r="CG11" s="112">
        <v>2026</v>
      </c>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c r="IW11" s="112"/>
      <c r="IX11" s="112"/>
      <c r="IY11" s="112"/>
      <c r="IZ11" s="112"/>
      <c r="JA11" s="112"/>
      <c r="JB11" s="112"/>
      <c r="JC11" s="112"/>
      <c r="JD11" s="112"/>
      <c r="JE11" s="112"/>
      <c r="JF11" s="112"/>
      <c r="JG11" s="112"/>
      <c r="JH11" s="112"/>
      <c r="JI11" s="112"/>
      <c r="JJ11" s="112"/>
      <c r="JK11" s="112"/>
      <c r="JL11" s="112"/>
      <c r="JM11" s="112"/>
      <c r="JN11" s="112"/>
      <c r="JO11" s="112"/>
      <c r="JP11" s="112"/>
      <c r="JQ11" s="112"/>
      <c r="JR11" s="112"/>
      <c r="JS11" s="112"/>
      <c r="JT11" s="112"/>
      <c r="JU11" s="112"/>
      <c r="JV11" s="112"/>
      <c r="JW11" s="112"/>
      <c r="JX11" s="112"/>
      <c r="JY11" s="112"/>
      <c r="JZ11" s="112"/>
      <c r="KA11" s="112"/>
      <c r="KB11" s="112"/>
      <c r="KC11" s="112"/>
      <c r="KD11" s="112"/>
      <c r="KE11" s="112"/>
      <c r="KF11" s="112"/>
      <c r="KG11" s="112"/>
      <c r="KH11" s="112"/>
      <c r="KI11" s="112"/>
      <c r="KJ11" s="112"/>
      <c r="KK11" s="112"/>
      <c r="KL11" s="112"/>
      <c r="KM11" s="112"/>
      <c r="KN11" s="112"/>
      <c r="KO11" s="112"/>
      <c r="KP11" s="112"/>
      <c r="KQ11" s="112"/>
      <c r="KR11" s="112"/>
      <c r="KS11" s="112"/>
      <c r="KT11" s="112"/>
      <c r="KU11" s="112"/>
      <c r="KV11" s="112"/>
      <c r="KW11" s="112"/>
      <c r="KX11" s="112"/>
      <c r="KY11" s="112"/>
      <c r="KZ11" s="112"/>
      <c r="LA11" s="112"/>
      <c r="LB11" s="112"/>
      <c r="LC11" s="112"/>
      <c r="LD11" s="112"/>
      <c r="LE11" s="112"/>
      <c r="LF11" s="112"/>
      <c r="LG11" s="112"/>
      <c r="LH11" s="112"/>
      <c r="LI11" s="112"/>
      <c r="LJ11" s="112"/>
      <c r="LK11" s="112"/>
      <c r="LL11" s="112"/>
      <c r="LM11" s="112"/>
      <c r="LN11" s="112"/>
      <c r="LO11" s="112"/>
      <c r="LP11" s="112"/>
      <c r="LQ11" s="112"/>
      <c r="LR11" s="112"/>
      <c r="LS11" s="112"/>
      <c r="LT11" s="112"/>
      <c r="LU11" s="112"/>
      <c r="LV11" s="112"/>
      <c r="LW11" s="112"/>
      <c r="LX11" s="112"/>
      <c r="LY11" s="112"/>
      <c r="LZ11" s="112"/>
      <c r="MA11" s="112"/>
      <c r="MB11" s="112"/>
      <c r="MC11" s="112"/>
      <c r="MD11" s="112"/>
      <c r="ME11" s="112"/>
      <c r="MF11" s="112"/>
      <c r="MG11" s="112"/>
      <c r="MH11" s="112"/>
      <c r="MI11" s="112"/>
      <c r="MJ11" s="112"/>
      <c r="MK11" s="112"/>
      <c r="ML11" s="112"/>
      <c r="MM11" s="112"/>
      <c r="MN11" s="112"/>
      <c r="MO11" s="112"/>
      <c r="MP11" s="112"/>
      <c r="MQ11" s="112"/>
      <c r="MR11" s="112"/>
      <c r="MS11" s="112"/>
      <c r="MT11" s="112"/>
      <c r="MU11" s="112"/>
      <c r="MV11" s="112"/>
      <c r="MW11" s="112"/>
      <c r="MX11" s="112"/>
      <c r="MY11" s="112"/>
      <c r="MZ11" s="112"/>
      <c r="NA11" s="112"/>
      <c r="NB11" s="112"/>
      <c r="NC11" s="112"/>
      <c r="ND11" s="112"/>
      <c r="NE11" s="112"/>
      <c r="NF11" s="112"/>
      <c r="NG11" s="112"/>
      <c r="NH11" s="112"/>
      <c r="NI11" s="112"/>
      <c r="NJ11" s="112"/>
      <c r="NK11" s="112"/>
      <c r="NL11" s="112"/>
      <c r="NM11" s="112"/>
      <c r="NN11" s="112"/>
      <c r="NO11" s="112"/>
      <c r="NP11" s="112"/>
      <c r="NQ11" s="112"/>
      <c r="NR11" s="112"/>
      <c r="NS11" s="112"/>
      <c r="NT11" s="112"/>
      <c r="NU11" s="112"/>
      <c r="NV11" s="112"/>
      <c r="NW11" s="112"/>
      <c r="NX11" s="112"/>
      <c r="NY11" s="112"/>
      <c r="NZ11" s="112"/>
      <c r="OA11" s="112"/>
      <c r="OB11" s="112"/>
      <c r="OC11" s="112"/>
      <c r="OD11" s="112"/>
      <c r="OE11" s="112"/>
      <c r="OF11" s="112"/>
      <c r="OG11" s="112"/>
      <c r="OH11" s="112"/>
      <c r="OI11" s="112"/>
      <c r="OJ11" s="112"/>
      <c r="OK11" s="112"/>
      <c r="OL11" s="112"/>
      <c r="OM11" s="112"/>
      <c r="ON11" s="112"/>
      <c r="OO11" s="112"/>
      <c r="OP11" s="112"/>
      <c r="OQ11" s="112"/>
      <c r="OR11" s="112"/>
      <c r="OS11" s="112"/>
      <c r="OT11" s="112"/>
      <c r="OU11" s="112"/>
      <c r="OV11" s="112"/>
      <c r="OW11" s="112"/>
      <c r="OX11" s="112"/>
      <c r="OY11" s="112"/>
      <c r="OZ11" s="112"/>
      <c r="PA11" s="112"/>
      <c r="PB11" s="112"/>
      <c r="PC11" s="112"/>
      <c r="PD11" s="112"/>
      <c r="PE11" s="112"/>
      <c r="PF11" s="112"/>
      <c r="PG11" s="112"/>
      <c r="PH11" s="112"/>
      <c r="PI11" s="112"/>
      <c r="PJ11" s="112"/>
      <c r="PK11" s="112"/>
      <c r="PL11" s="112"/>
      <c r="PM11" s="112"/>
      <c r="PN11" s="112"/>
      <c r="PO11" s="112"/>
      <c r="PP11" s="112"/>
      <c r="PQ11" s="112"/>
      <c r="PR11" s="112"/>
      <c r="PS11" s="112"/>
      <c r="PT11" s="112"/>
      <c r="PU11" s="112"/>
      <c r="PV11" s="112"/>
      <c r="PW11" s="112"/>
      <c r="PX11" s="112"/>
      <c r="PY11" s="112"/>
      <c r="PZ11" s="112"/>
      <c r="QA11" s="112"/>
      <c r="QB11" s="112"/>
      <c r="QC11" s="112"/>
      <c r="QD11" s="112"/>
      <c r="QE11" s="112"/>
      <c r="QF11" s="112"/>
      <c r="QG11" s="112"/>
      <c r="QH11" s="112"/>
      <c r="QI11" s="112"/>
      <c r="QJ11" s="112"/>
      <c r="QK11" s="112"/>
      <c r="QL11" s="112"/>
      <c r="QM11" s="112"/>
      <c r="QN11" s="112"/>
      <c r="QO11" s="112"/>
      <c r="QP11" s="112"/>
      <c r="QQ11" s="112"/>
      <c r="QR11" s="112"/>
      <c r="QS11" s="112"/>
      <c r="QT11" s="112"/>
      <c r="QU11" s="112"/>
      <c r="QV11" s="112"/>
      <c r="QW11" s="112"/>
      <c r="QX11" s="112"/>
      <c r="QY11" s="112"/>
      <c r="QZ11" s="112"/>
      <c r="RA11" s="112"/>
      <c r="RB11" s="112"/>
      <c r="RC11" s="112"/>
      <c r="RD11" s="112"/>
      <c r="RE11" s="112"/>
      <c r="RF11" s="112"/>
      <c r="RG11" s="112"/>
      <c r="RH11" s="112"/>
      <c r="RI11" s="112"/>
      <c r="RJ11" s="112"/>
      <c r="RK11" s="112"/>
      <c r="RL11" s="112"/>
      <c r="RM11" s="112"/>
      <c r="RN11" s="112"/>
      <c r="RO11" s="112"/>
      <c r="RP11" s="112"/>
      <c r="RQ11" s="112"/>
      <c r="RR11" s="112"/>
      <c r="RS11" s="112"/>
      <c r="RT11" s="112"/>
      <c r="RU11" s="112"/>
      <c r="RV11" s="112"/>
      <c r="RW11" s="112"/>
      <c r="RX11" s="112"/>
      <c r="RY11" s="112"/>
      <c r="RZ11" s="112"/>
      <c r="SA11" s="112"/>
      <c r="SB11" s="112"/>
      <c r="SC11" s="112"/>
      <c r="SD11" s="112"/>
      <c r="SE11" s="112"/>
      <c r="SF11" s="112"/>
      <c r="SG11" s="112"/>
      <c r="SH11" s="112"/>
      <c r="SI11" s="112"/>
      <c r="SJ11" s="112"/>
      <c r="SK11" s="112"/>
      <c r="SL11" s="112"/>
      <c r="SM11" s="112"/>
      <c r="SN11" s="112"/>
      <c r="SO11" s="112"/>
      <c r="SP11" s="112"/>
      <c r="SQ11" s="112"/>
      <c r="SR11" s="112"/>
      <c r="SS11" s="112"/>
      <c r="ST11" s="112"/>
      <c r="SU11" s="112"/>
      <c r="SV11" s="112"/>
      <c r="SW11" s="112"/>
      <c r="SX11" s="112"/>
      <c r="SY11" s="112"/>
      <c r="SZ11" s="112"/>
      <c r="TA11" s="112"/>
      <c r="TB11" s="112"/>
      <c r="TC11" s="112"/>
      <c r="TD11" s="112"/>
      <c r="TE11" s="112"/>
      <c r="TF11" s="112"/>
      <c r="TG11" s="112"/>
      <c r="TH11" s="112"/>
      <c r="TI11" s="112"/>
      <c r="TJ11" s="112"/>
      <c r="TK11" s="112"/>
      <c r="TL11" s="112"/>
      <c r="TM11" s="112"/>
      <c r="TN11" s="112"/>
      <c r="TO11" s="112"/>
      <c r="TP11" s="112"/>
      <c r="TQ11" s="112"/>
      <c r="TR11" s="112"/>
      <c r="TS11" s="112"/>
      <c r="TT11" s="112"/>
      <c r="TU11" s="112"/>
      <c r="TV11" s="112"/>
      <c r="TW11" s="112"/>
      <c r="TX11" s="112"/>
      <c r="TY11" s="112"/>
      <c r="TZ11" s="112"/>
      <c r="UA11" s="112"/>
      <c r="UB11" s="112"/>
      <c r="UC11" s="112"/>
      <c r="UD11" s="112"/>
      <c r="UE11" s="112"/>
      <c r="UF11" s="112"/>
      <c r="UG11" s="112"/>
      <c r="UH11" s="112"/>
      <c r="UI11" s="112"/>
      <c r="UJ11" s="112"/>
      <c r="UK11" s="112"/>
      <c r="UL11" s="112"/>
      <c r="UM11" s="112"/>
      <c r="UN11" s="112"/>
      <c r="UO11" s="112"/>
      <c r="UP11" s="112"/>
      <c r="UQ11" s="112"/>
      <c r="UR11" s="112"/>
      <c r="US11" s="112"/>
      <c r="UT11" s="112"/>
      <c r="UU11" s="112"/>
      <c r="UV11" s="112"/>
      <c r="UW11" s="112"/>
      <c r="UX11" s="112"/>
      <c r="UY11" s="112"/>
      <c r="UZ11" s="112"/>
      <c r="VA11" s="112"/>
      <c r="VB11" s="112"/>
      <c r="VC11" s="112"/>
      <c r="VD11" s="112"/>
      <c r="VE11" s="112"/>
      <c r="VF11" s="112"/>
      <c r="VG11" s="112"/>
      <c r="VH11" s="112"/>
      <c r="VI11" s="112"/>
      <c r="VJ11" s="112"/>
      <c r="VK11" s="112"/>
      <c r="VL11" s="112"/>
      <c r="VM11" s="112"/>
      <c r="VN11" s="112"/>
      <c r="VO11" s="112"/>
      <c r="VP11" s="112"/>
      <c r="VQ11" s="112"/>
      <c r="VR11" s="112"/>
      <c r="VS11" s="112"/>
      <c r="VT11" s="112"/>
      <c r="VU11" s="112"/>
      <c r="VV11" s="112"/>
      <c r="VW11" s="112"/>
      <c r="VX11" s="112"/>
      <c r="VY11" s="112"/>
      <c r="VZ11" s="112"/>
      <c r="WA11" s="112"/>
      <c r="WB11" s="112"/>
      <c r="WC11" s="112"/>
      <c r="WD11" s="112"/>
      <c r="WE11" s="112"/>
      <c r="WF11" s="112"/>
      <c r="WG11" s="112"/>
      <c r="WH11" s="112"/>
      <c r="WI11" s="112"/>
      <c r="WJ11" s="112"/>
      <c r="WK11" s="112"/>
      <c r="WL11" s="112"/>
      <c r="WM11" s="112"/>
      <c r="WN11" s="112"/>
      <c r="WO11" s="112"/>
      <c r="WP11" s="112"/>
      <c r="WQ11" s="112"/>
      <c r="WR11" s="112"/>
      <c r="WS11" s="112"/>
      <c r="WT11" s="112"/>
      <c r="WU11" s="112"/>
      <c r="WV11" s="112"/>
      <c r="WW11" s="112"/>
      <c r="WX11" s="112"/>
      <c r="WY11" s="112"/>
      <c r="WZ11" s="112"/>
      <c r="XA11" s="112"/>
      <c r="XB11" s="112"/>
      <c r="XC11" s="112"/>
      <c r="XD11" s="112"/>
      <c r="XE11" s="112"/>
      <c r="XF11" s="112"/>
      <c r="XG11" s="112"/>
      <c r="XH11" s="112"/>
      <c r="XI11" s="112"/>
      <c r="XJ11" s="112"/>
      <c r="XK11" s="112"/>
      <c r="XL11" s="112"/>
      <c r="XM11" s="112"/>
      <c r="XN11" s="112"/>
      <c r="XO11" s="112"/>
      <c r="XP11" s="112"/>
      <c r="XQ11" s="112"/>
      <c r="XR11" s="112"/>
      <c r="XS11" s="112"/>
      <c r="XT11" s="112"/>
      <c r="XU11" s="112"/>
      <c r="XV11" s="112"/>
      <c r="XW11" s="112"/>
      <c r="XX11" s="112"/>
      <c r="XY11" s="112"/>
      <c r="XZ11" s="112"/>
      <c r="YA11" s="112"/>
      <c r="YB11" s="112"/>
      <c r="YC11" s="112"/>
      <c r="YD11" s="112"/>
      <c r="YE11" s="112"/>
      <c r="YF11" s="112"/>
      <c r="YG11" s="112"/>
      <c r="YH11" s="112"/>
      <c r="YI11" s="112"/>
      <c r="YJ11" s="112"/>
      <c r="YK11" s="112"/>
      <c r="YL11" s="112"/>
      <c r="YM11" s="112"/>
      <c r="YN11" s="112"/>
      <c r="YO11" s="112"/>
      <c r="YP11" s="112"/>
      <c r="YQ11" s="112"/>
      <c r="YR11" s="112"/>
      <c r="YS11" s="112"/>
      <c r="YT11" s="112"/>
      <c r="YU11" s="112"/>
      <c r="YV11" s="112"/>
      <c r="YW11" s="112"/>
      <c r="YX11" s="112"/>
      <c r="YY11" s="112"/>
      <c r="YZ11" s="112"/>
      <c r="ZA11" s="112"/>
      <c r="ZB11" s="112"/>
      <c r="ZC11" s="112"/>
      <c r="ZD11" s="112"/>
      <c r="ZE11" s="112"/>
      <c r="ZF11" s="112"/>
      <c r="ZG11" s="112"/>
      <c r="ZH11" s="112"/>
      <c r="ZI11" s="112"/>
      <c r="ZJ11" s="112"/>
      <c r="ZK11" s="112"/>
      <c r="ZL11" s="112"/>
      <c r="ZM11" s="112"/>
      <c r="ZN11" s="112"/>
      <c r="ZO11" s="112"/>
      <c r="ZP11" s="112"/>
      <c r="ZQ11" s="112"/>
      <c r="ZR11" s="112"/>
      <c r="ZS11" s="112"/>
      <c r="ZT11" s="112"/>
      <c r="ZU11" s="112"/>
      <c r="ZV11" s="112"/>
      <c r="ZW11" s="112"/>
      <c r="ZX11" s="112"/>
      <c r="ZY11" s="112"/>
      <c r="ZZ11" s="112"/>
      <c r="AAA11" s="112"/>
      <c r="AAB11" s="112"/>
      <c r="AAC11" s="112"/>
      <c r="AAD11" s="112"/>
      <c r="AAE11" s="112"/>
      <c r="AAF11" s="112"/>
      <c r="AAG11" s="112"/>
      <c r="AAH11" s="112"/>
      <c r="AAI11" s="112"/>
      <c r="AAJ11" s="112"/>
      <c r="AAK11" s="112"/>
      <c r="AAL11" s="112"/>
      <c r="AAM11" s="112"/>
      <c r="AAN11" s="112"/>
      <c r="AAO11" s="112"/>
      <c r="AAP11" s="112"/>
      <c r="AAQ11" s="112"/>
      <c r="AAR11" s="112"/>
      <c r="AAS11" s="112"/>
      <c r="AAT11" s="112"/>
      <c r="AAU11" s="112"/>
      <c r="AAV11" s="112"/>
      <c r="AAW11" s="112"/>
      <c r="AAX11" s="112"/>
      <c r="AAY11" s="112"/>
      <c r="AAZ11" s="112"/>
      <c r="ABA11" s="112"/>
      <c r="ABB11" s="112"/>
      <c r="ABC11" s="112"/>
      <c r="ABD11" s="112"/>
      <c r="ABE11" s="112"/>
      <c r="ABF11" s="112"/>
      <c r="ABG11" s="112"/>
      <c r="ABH11" s="112"/>
      <c r="ABI11" s="112"/>
      <c r="ABJ11" s="112"/>
      <c r="ABK11" s="112"/>
      <c r="ABL11" s="112"/>
      <c r="ABM11" s="112"/>
      <c r="ABN11" s="112"/>
      <c r="ABO11" s="112"/>
      <c r="ABP11" s="112"/>
      <c r="ABQ11" s="112"/>
      <c r="ABR11" s="112"/>
      <c r="ABS11" s="112"/>
      <c r="ABT11" s="112"/>
      <c r="ABU11" s="112"/>
      <c r="ABV11" s="112"/>
      <c r="ABW11" s="112"/>
      <c r="ABX11" s="112"/>
      <c r="ABY11" s="112"/>
      <c r="ABZ11" s="112"/>
      <c r="ACA11" s="112"/>
      <c r="ACB11" s="112"/>
      <c r="ACC11" s="112"/>
      <c r="ACD11" s="112"/>
      <c r="ACE11" s="112"/>
      <c r="ACF11" s="112"/>
      <c r="ACG11" s="112"/>
      <c r="ACH11" s="112"/>
      <c r="ACI11" s="112"/>
      <c r="ACJ11" s="112"/>
      <c r="ACK11" s="112"/>
      <c r="ACL11" s="112"/>
      <c r="ACM11" s="112"/>
      <c r="ACN11" s="112"/>
      <c r="ACO11" s="112"/>
      <c r="ACP11" s="112"/>
      <c r="ACQ11" s="112"/>
      <c r="ACR11" s="112"/>
      <c r="ACS11" s="112"/>
      <c r="ACT11" s="112"/>
      <c r="ACU11" s="112"/>
      <c r="ACV11" s="112"/>
      <c r="ACW11" s="112"/>
      <c r="ACX11" s="112"/>
      <c r="ACY11" s="112"/>
      <c r="ACZ11" s="112"/>
      <c r="ADA11" s="112"/>
      <c r="ADB11" s="112"/>
      <c r="ADC11" s="112"/>
      <c r="ADD11" s="112"/>
      <c r="ADE11" s="112"/>
      <c r="ADF11" s="112"/>
      <c r="ADG11" s="112"/>
      <c r="ADH11" s="112"/>
      <c r="ADI11" s="112"/>
      <c r="ADJ11" s="112"/>
      <c r="ADK11" s="112"/>
      <c r="ADL11" s="112"/>
      <c r="ADM11" s="112"/>
      <c r="ADN11" s="112"/>
      <c r="ADO11" s="112"/>
      <c r="ADP11" s="112"/>
      <c r="ADQ11" s="112"/>
      <c r="ADR11" s="112"/>
      <c r="ADS11" s="112"/>
      <c r="ADT11" s="112"/>
      <c r="ADU11" s="112"/>
      <c r="ADV11" s="112"/>
      <c r="ADW11" s="112"/>
      <c r="ADX11" s="112"/>
      <c r="ADY11" s="112"/>
      <c r="ADZ11" s="112"/>
      <c r="AEA11" s="112"/>
      <c r="AEB11" s="112"/>
      <c r="AEC11" s="112"/>
      <c r="AED11" s="112"/>
      <c r="AEE11" s="112"/>
      <c r="AEF11" s="112"/>
      <c r="AEG11" s="112"/>
      <c r="AEH11" s="112"/>
      <c r="AEI11" s="112"/>
      <c r="AEJ11" s="112"/>
      <c r="AEK11" s="112"/>
      <c r="AEL11" s="112"/>
      <c r="AEM11" s="112"/>
      <c r="AEN11" s="112"/>
      <c r="AEO11" s="112"/>
      <c r="AEP11" s="112"/>
      <c r="AEQ11" s="112"/>
      <c r="AER11" s="112"/>
      <c r="AES11" s="112"/>
      <c r="AET11" s="112"/>
      <c r="AEU11" s="112"/>
      <c r="AEV11" s="112"/>
      <c r="AEW11" s="112"/>
      <c r="AEX11" s="112"/>
      <c r="AEY11" s="112"/>
      <c r="AEZ11" s="112"/>
      <c r="AFA11" s="112"/>
      <c r="AFB11" s="112"/>
      <c r="AFC11" s="112"/>
      <c r="AFD11" s="112"/>
      <c r="AFE11" s="112"/>
      <c r="AFF11" s="112"/>
      <c r="AFG11" s="112"/>
      <c r="AFH11" s="112"/>
      <c r="AFI11" s="112"/>
      <c r="AFJ11" s="112"/>
      <c r="AFK11" s="112"/>
      <c r="AFL11" s="112"/>
      <c r="AFM11" s="112"/>
      <c r="AFN11" s="112"/>
      <c r="AFO11" s="112"/>
      <c r="AFP11" s="112"/>
      <c r="AFQ11" s="112"/>
      <c r="AFR11" s="112"/>
      <c r="AFS11" s="112"/>
      <c r="AFT11" s="112"/>
      <c r="AFU11" s="112"/>
      <c r="AFV11" s="112"/>
      <c r="AFW11" s="112"/>
      <c r="AFX11" s="112"/>
      <c r="AFY11" s="112"/>
      <c r="AFZ11" s="112"/>
      <c r="AGA11" s="112"/>
      <c r="AGB11" s="112"/>
      <c r="AGC11" s="112"/>
      <c r="AGD11" s="112"/>
      <c r="AGE11" s="112"/>
      <c r="AGF11" s="112"/>
      <c r="AGG11" s="112"/>
      <c r="AGH11" s="112"/>
      <c r="AGI11" s="112"/>
      <c r="AGJ11" s="112"/>
      <c r="AGK11" s="112"/>
      <c r="AGL11" s="112"/>
      <c r="AGM11" s="112"/>
      <c r="AGN11" s="112"/>
      <c r="AGO11" s="112"/>
      <c r="AGP11" s="112"/>
      <c r="AGQ11" s="112"/>
      <c r="AGR11" s="112"/>
      <c r="AGS11" s="112"/>
      <c r="AGT11" s="112"/>
      <c r="AGU11" s="112"/>
      <c r="AGV11" s="112"/>
      <c r="AGW11" s="112"/>
      <c r="AGX11" s="112"/>
      <c r="AGY11" s="112"/>
      <c r="AGZ11" s="112"/>
      <c r="AHA11" s="112"/>
      <c r="AHB11" s="112"/>
      <c r="AHC11" s="112"/>
      <c r="AHD11" s="112"/>
      <c r="AHE11" s="112"/>
      <c r="AHF11" s="112"/>
      <c r="AHG11" s="112"/>
      <c r="AHH11" s="112"/>
      <c r="AHI11" s="112"/>
      <c r="AHJ11" s="112"/>
      <c r="AHK11" s="112"/>
      <c r="AHL11" s="112"/>
      <c r="AHM11" s="112"/>
      <c r="AHN11" s="112"/>
      <c r="AHO11" s="112"/>
      <c r="AHP11" s="112"/>
      <c r="AHQ11" s="112"/>
      <c r="AHR11" s="112"/>
      <c r="AHS11" s="112"/>
      <c r="AHT11" s="112"/>
      <c r="AHU11" s="112"/>
      <c r="AHV11" s="112"/>
      <c r="AHW11" s="112"/>
      <c r="AHX11" s="112"/>
      <c r="AHY11" s="112"/>
      <c r="AHZ11" s="112"/>
      <c r="AIA11" s="112"/>
      <c r="AIB11" s="112"/>
      <c r="AIC11" s="112"/>
      <c r="AID11" s="112"/>
      <c r="AIE11" s="112"/>
      <c r="AIF11" s="112"/>
      <c r="AIG11" s="112"/>
      <c r="AIH11" s="112"/>
      <c r="AII11" s="112"/>
      <c r="AIJ11" s="112"/>
      <c r="AIK11" s="112"/>
      <c r="AIL11" s="112"/>
      <c r="AIM11" s="112"/>
      <c r="AIN11" s="112"/>
      <c r="AIO11" s="112"/>
      <c r="AIP11" s="112"/>
      <c r="AIQ11" s="112"/>
      <c r="AIR11" s="112"/>
      <c r="AIS11" s="112"/>
      <c r="AIT11" s="112"/>
      <c r="AIU11" s="112"/>
      <c r="AIV11" s="112"/>
      <c r="AIW11" s="112"/>
      <c r="AIX11" s="112"/>
      <c r="AIY11" s="112"/>
      <c r="AIZ11" s="112"/>
      <c r="AJA11" s="112"/>
      <c r="AJB11" s="112"/>
      <c r="AJC11" s="112"/>
      <c r="AJD11" s="112"/>
      <c r="AJE11" s="112"/>
      <c r="AJF11" s="112"/>
      <c r="AJG11" s="112"/>
      <c r="AJH11" s="112"/>
      <c r="AJI11" s="112"/>
      <c r="AJJ11" s="112"/>
      <c r="AJK11" s="112"/>
      <c r="AJL11" s="112"/>
      <c r="AJM11" s="112"/>
      <c r="AJN11" s="112"/>
      <c r="AJO11" s="112"/>
      <c r="AJP11" s="112"/>
      <c r="AJQ11" s="112"/>
      <c r="AJR11" s="112"/>
      <c r="AJS11" s="112"/>
      <c r="AJT11" s="112"/>
      <c r="AJU11" s="112"/>
      <c r="AJV11" s="112"/>
      <c r="AJW11" s="112"/>
      <c r="AJX11" s="112"/>
      <c r="AJY11" s="112"/>
      <c r="AJZ11" s="112"/>
      <c r="AKA11" s="112"/>
      <c r="AKB11" s="112"/>
      <c r="AKC11" s="112"/>
      <c r="AKD11" s="112"/>
      <c r="AKE11" s="112"/>
      <c r="AKF11" s="112"/>
      <c r="AKG11" s="112"/>
      <c r="AKH11" s="112"/>
      <c r="AKI11" s="112"/>
      <c r="AKJ11" s="112"/>
      <c r="AKK11" s="112"/>
      <c r="AKL11" s="112"/>
      <c r="AKM11" s="112"/>
      <c r="AKN11" s="112"/>
      <c r="AKO11" s="112"/>
      <c r="AKP11" s="112"/>
      <c r="AKQ11" s="112"/>
      <c r="AKR11" s="112"/>
      <c r="AKS11" s="112"/>
      <c r="AKT11" s="112"/>
      <c r="AKU11" s="112"/>
      <c r="AKV11" s="112"/>
      <c r="AKW11" s="112"/>
      <c r="AKX11" s="112"/>
      <c r="AKY11" s="112"/>
      <c r="AKZ11" s="112"/>
      <c r="ALA11" s="112"/>
      <c r="ALB11" s="112"/>
      <c r="ALC11" s="112"/>
      <c r="ALD11" s="112"/>
      <c r="ALE11" s="112"/>
      <c r="ALF11" s="112"/>
      <c r="ALG11" s="112"/>
      <c r="ALH11" s="112"/>
      <c r="ALI11" s="112"/>
      <c r="ALJ11" s="112"/>
      <c r="ALK11" s="112"/>
      <c r="ALL11" s="112"/>
      <c r="ALM11" s="112"/>
      <c r="ALN11" s="112"/>
      <c r="ALO11" s="112"/>
      <c r="ALP11" s="112"/>
      <c r="ALQ11" s="112"/>
      <c r="ALR11" s="112"/>
      <c r="ALS11" s="112"/>
      <c r="ALT11" s="112"/>
      <c r="ALU11" s="112"/>
      <c r="ALV11" s="112"/>
      <c r="ALW11" s="112"/>
      <c r="ALX11" s="112"/>
      <c r="ALY11" s="112"/>
      <c r="ALZ11" s="112"/>
      <c r="AMA11" s="112"/>
      <c r="AMB11" s="112"/>
      <c r="AMC11" s="112"/>
      <c r="AMD11" s="112"/>
      <c r="AME11" s="112"/>
      <c r="AMF11" s="112"/>
      <c r="AMG11" s="112"/>
      <c r="AMH11" s="112"/>
      <c r="AMI11" s="112"/>
      <c r="AMJ11" s="112"/>
      <c r="AMK11" s="112"/>
      <c r="AML11" s="112"/>
      <c r="AMM11" s="112"/>
      <c r="AMN11" s="112"/>
      <c r="AMO11" s="112"/>
      <c r="AMP11" s="112"/>
      <c r="AMQ11" s="112"/>
      <c r="AMR11" s="112"/>
      <c r="AMS11" s="112"/>
      <c r="AMT11" s="112"/>
      <c r="AMU11" s="112"/>
      <c r="AMV11" s="112"/>
      <c r="AMW11" s="112"/>
      <c r="AMX11" s="112"/>
      <c r="AMY11" s="112"/>
      <c r="AMZ11" s="112"/>
      <c r="ANA11" s="112"/>
      <c r="ANB11" s="112"/>
      <c r="ANC11" s="112"/>
      <c r="AND11" s="112"/>
      <c r="ANE11" s="112"/>
      <c r="ANF11" s="112"/>
      <c r="ANG11" s="112"/>
      <c r="ANH11" s="112"/>
      <c r="ANI11" s="112"/>
      <c r="ANJ11" s="112"/>
      <c r="ANK11" s="112"/>
      <c r="ANL11" s="112"/>
      <c r="ANM11" s="112"/>
      <c r="ANN11" s="112"/>
      <c r="ANO11" s="112"/>
      <c r="ANP11" s="112"/>
      <c r="ANQ11" s="112"/>
      <c r="ANR11" s="112"/>
      <c r="ANS11" s="112"/>
      <c r="ANT11" s="112"/>
      <c r="ANU11" s="112"/>
      <c r="ANV11" s="112"/>
      <c r="ANW11" s="112"/>
      <c r="ANX11" s="112"/>
      <c r="ANY11" s="112"/>
      <c r="ANZ11" s="112"/>
      <c r="AOA11" s="112"/>
      <c r="AOB11" s="112"/>
      <c r="AOC11" s="112"/>
      <c r="AOD11" s="112"/>
      <c r="AOE11" s="112"/>
      <c r="AOF11" s="112"/>
      <c r="AOG11" s="112"/>
      <c r="AOH11" s="112"/>
      <c r="AOI11" s="112"/>
      <c r="AOJ11" s="112"/>
      <c r="AOK11" s="112"/>
      <c r="AOL11" s="112"/>
      <c r="AOM11" s="112"/>
      <c r="AON11" s="112"/>
      <c r="AOO11" s="112"/>
      <c r="AOP11" s="112"/>
      <c r="AOQ11" s="112"/>
      <c r="AOR11" s="112"/>
      <c r="AOS11" s="112"/>
      <c r="AOT11" s="112"/>
      <c r="AOU11" s="112"/>
      <c r="AOV11" s="112"/>
      <c r="AOW11" s="112"/>
      <c r="AOX11" s="112"/>
      <c r="AOY11" s="112"/>
      <c r="AOZ11" s="112"/>
      <c r="APA11" s="112"/>
      <c r="APB11" s="112"/>
      <c r="APC11" s="112"/>
      <c r="APD11" s="112"/>
      <c r="APE11" s="112"/>
      <c r="APF11" s="112"/>
      <c r="APG11" s="112"/>
      <c r="APH11" s="112"/>
      <c r="API11" s="112"/>
      <c r="APJ11" s="112"/>
      <c r="APK11" s="112"/>
      <c r="APL11" s="112"/>
      <c r="APM11" s="112"/>
      <c r="APN11" s="112"/>
      <c r="APO11" s="112"/>
      <c r="APP11" s="112"/>
      <c r="APQ11" s="112"/>
      <c r="APR11" s="112"/>
      <c r="APS11" s="112"/>
      <c r="APT11" s="112"/>
      <c r="APU11" s="112"/>
      <c r="APV11" s="112"/>
      <c r="APW11" s="112"/>
      <c r="APX11" s="112"/>
      <c r="APY11" s="112"/>
      <c r="APZ11" s="112"/>
      <c r="AQA11" s="112"/>
      <c r="AQB11" s="112"/>
      <c r="AQC11" s="112"/>
      <c r="AQD11" s="112"/>
      <c r="AQE11" s="112"/>
      <c r="AQF11" s="112"/>
      <c r="AQG11" s="112"/>
      <c r="AQH11" s="112"/>
      <c r="AQI11" s="112"/>
      <c r="AQJ11" s="112"/>
      <c r="AQK11" s="112"/>
      <c r="AQL11" s="112"/>
      <c r="AQM11" s="112"/>
      <c r="AQN11" s="112"/>
      <c r="AQO11" s="112"/>
      <c r="AQP11" s="112"/>
      <c r="AQQ11" s="112"/>
      <c r="AQR11" s="112"/>
      <c r="AQS11" s="112"/>
      <c r="AQT11" s="112"/>
      <c r="AQU11" s="112"/>
      <c r="AQV11" s="112"/>
      <c r="AQW11" s="112"/>
      <c r="AQX11" s="112"/>
      <c r="AQY11" s="112"/>
      <c r="AQZ11" s="112"/>
      <c r="ARA11" s="112"/>
      <c r="ARB11" s="112"/>
      <c r="ARC11" s="112"/>
      <c r="ARD11" s="112"/>
      <c r="ARE11" s="112"/>
      <c r="ARF11" s="112"/>
      <c r="ARG11" s="112"/>
      <c r="ARH11" s="112"/>
      <c r="ARI11" s="112"/>
      <c r="ARJ11" s="112"/>
      <c r="ARK11" s="112"/>
      <c r="ARL11" s="112"/>
      <c r="ARM11" s="112"/>
      <c r="ARN11" s="112"/>
      <c r="ARO11" s="112"/>
      <c r="ARP11" s="112"/>
      <c r="ARQ11" s="112"/>
      <c r="ARR11" s="112"/>
      <c r="ARS11" s="112"/>
      <c r="ART11" s="112"/>
      <c r="ARU11" s="112"/>
      <c r="ARV11" s="112"/>
      <c r="ARW11" s="112"/>
      <c r="ARX11" s="112"/>
      <c r="ARY11" s="112"/>
      <c r="ARZ11" s="112"/>
      <c r="ASA11" s="112"/>
      <c r="ASB11" s="112"/>
      <c r="ASC11" s="112"/>
      <c r="ASD11" s="112"/>
      <c r="ASE11" s="112"/>
      <c r="ASF11" s="112"/>
      <c r="ASG11" s="112"/>
      <c r="ASH11" s="112"/>
      <c r="ASI11" s="112"/>
      <c r="ASJ11" s="112"/>
      <c r="ASK11" s="112"/>
      <c r="ASL11" s="112"/>
      <c r="ASM11" s="112"/>
      <c r="ASN11" s="112"/>
      <c r="ASO11" s="112"/>
      <c r="ASP11" s="112"/>
      <c r="ASQ11" s="112"/>
      <c r="ASR11" s="112"/>
      <c r="ASS11" s="112"/>
      <c r="AST11" s="112"/>
      <c r="ASU11" s="112"/>
      <c r="ASV11" s="112"/>
      <c r="ASW11" s="112"/>
      <c r="ASX11" s="112"/>
      <c r="ASY11" s="112"/>
      <c r="ASZ11" s="112"/>
      <c r="ATA11" s="112"/>
      <c r="ATB11" s="112"/>
      <c r="ATC11" s="112"/>
      <c r="ATD11" s="112"/>
      <c r="ATE11" s="112"/>
      <c r="ATF11" s="112"/>
      <c r="ATG11" s="112"/>
      <c r="ATH11" s="112"/>
      <c r="ATI11" s="112"/>
      <c r="ATJ11" s="112"/>
      <c r="ATK11" s="112"/>
      <c r="ATL11" s="112"/>
      <c r="ATM11" s="112"/>
      <c r="ATN11" s="112"/>
      <c r="ATO11" s="112"/>
      <c r="ATP11" s="112"/>
      <c r="ATQ11" s="112"/>
      <c r="ATR11" s="112"/>
      <c r="ATS11" s="112"/>
      <c r="ATT11" s="112"/>
      <c r="ATU11" s="112"/>
      <c r="ATV11" s="112"/>
      <c r="ATW11" s="112"/>
      <c r="ATX11" s="112"/>
      <c r="ATY11" s="112"/>
      <c r="ATZ11" s="112"/>
      <c r="AUA11" s="112"/>
      <c r="AUB11" s="112"/>
      <c r="AUC11" s="112"/>
      <c r="AUD11" s="112"/>
      <c r="AUE11" s="112"/>
      <c r="AUF11" s="112"/>
      <c r="AUG11" s="112"/>
      <c r="AUH11" s="112"/>
      <c r="AUI11" s="112"/>
      <c r="AUJ11" s="112"/>
      <c r="AUK11" s="112"/>
      <c r="AUL11" s="112"/>
      <c r="AUM11" s="112"/>
      <c r="AUN11" s="112"/>
      <c r="AUO11" s="112"/>
      <c r="AUP11" s="112"/>
      <c r="AUQ11" s="112"/>
      <c r="AUR11" s="112"/>
      <c r="AUS11" s="112"/>
      <c r="AUT11" s="112"/>
      <c r="AUU11" s="112"/>
      <c r="AUV11" s="112"/>
      <c r="AUW11" s="112"/>
      <c r="AUX11" s="112"/>
      <c r="AUY11" s="112"/>
      <c r="AUZ11" s="112"/>
      <c r="AVA11" s="112"/>
      <c r="AVB11" s="112"/>
      <c r="AVC11" s="112"/>
      <c r="AVD11" s="112"/>
      <c r="AVE11" s="112"/>
      <c r="AVF11" s="112"/>
      <c r="AVG11" s="112"/>
      <c r="AVH11" s="112"/>
      <c r="AVI11" s="112"/>
      <c r="AVJ11" s="112"/>
      <c r="AVK11" s="112"/>
      <c r="AVL11" s="112"/>
      <c r="AVM11" s="112"/>
      <c r="AVN11" s="112"/>
      <c r="AVO11" s="112"/>
      <c r="AVP11" s="112"/>
      <c r="AVQ11" s="112"/>
      <c r="AVR11" s="112"/>
      <c r="AVS11" s="112"/>
      <c r="AVT11" s="112"/>
      <c r="AVU11" s="112"/>
      <c r="AVV11" s="112"/>
      <c r="AVW11" s="112"/>
      <c r="AVX11" s="112"/>
      <c r="AVY11" s="112"/>
      <c r="AVZ11" s="112"/>
      <c r="AWA11" s="112"/>
      <c r="AWB11" s="112"/>
      <c r="AWC11" s="112"/>
      <c r="AWD11" s="112"/>
      <c r="AWE11" s="112"/>
      <c r="AWF11" s="112"/>
      <c r="AWG11" s="112"/>
      <c r="AWH11" s="112"/>
      <c r="AWI11" s="112"/>
      <c r="AWJ11" s="112"/>
      <c r="AWK11" s="112"/>
      <c r="AWL11" s="112"/>
      <c r="AWM11" s="112"/>
      <c r="AWN11" s="112"/>
      <c r="AWO11" s="112"/>
      <c r="AWP11" s="112"/>
      <c r="AWQ11" s="112"/>
      <c r="AWR11" s="112"/>
      <c r="AWS11" s="112"/>
      <c r="AWT11" s="112"/>
      <c r="AWU11" s="112"/>
      <c r="AWV11" s="112"/>
      <c r="AWW11" s="112"/>
      <c r="AWX11" s="112"/>
      <c r="AWY11" s="112"/>
      <c r="AWZ11" s="112"/>
      <c r="AXA11" s="112"/>
      <c r="AXB11" s="112"/>
      <c r="AXC11" s="112"/>
      <c r="AXD11" s="112"/>
      <c r="AXE11" s="112"/>
      <c r="AXF11" s="112"/>
      <c r="AXG11" s="112"/>
      <c r="AXH11" s="112"/>
      <c r="AXI11" s="112"/>
      <c r="AXJ11" s="112"/>
      <c r="AXK11" s="112"/>
      <c r="AXL11" s="112"/>
      <c r="AXM11" s="112"/>
      <c r="AXN11" s="112"/>
      <c r="AXO11" s="112"/>
      <c r="AXP11" s="112"/>
      <c r="AXQ11" s="112"/>
      <c r="AXR11" s="112"/>
      <c r="AXS11" s="112"/>
      <c r="AXT11" s="112"/>
      <c r="AXU11" s="112"/>
      <c r="AXV11" s="112"/>
      <c r="AXW11" s="112"/>
      <c r="AXX11" s="112"/>
      <c r="AXY11" s="112"/>
      <c r="AXZ11" s="112"/>
      <c r="AYA11" s="112"/>
      <c r="AYB11" s="112"/>
      <c r="AYC11" s="112"/>
      <c r="AYD11" s="112"/>
      <c r="AYE11" s="112"/>
      <c r="AYF11" s="112"/>
      <c r="AYG11" s="112"/>
      <c r="AYH11" s="112"/>
      <c r="AYI11" s="112"/>
      <c r="AYJ11" s="112"/>
      <c r="AYK11" s="112"/>
      <c r="AYL11" s="112"/>
      <c r="AYM11" s="112"/>
      <c r="AYN11" s="112"/>
      <c r="AYO11" s="112"/>
      <c r="AYP11" s="112"/>
      <c r="AYQ11" s="112"/>
      <c r="AYR11" s="112"/>
      <c r="AYS11" s="112"/>
      <c r="AYT11" s="112"/>
      <c r="AYU11" s="112"/>
      <c r="AYV11" s="112"/>
      <c r="AYW11" s="112"/>
      <c r="AYX11" s="112"/>
      <c r="AYY11" s="112"/>
      <c r="AYZ11" s="112"/>
      <c r="AZA11" s="112"/>
      <c r="AZB11" s="112"/>
      <c r="AZC11" s="112"/>
      <c r="AZD11" s="112"/>
      <c r="AZE11" s="112"/>
      <c r="AZF11" s="112"/>
      <c r="AZG11" s="112"/>
      <c r="AZH11" s="112"/>
      <c r="AZI11" s="112"/>
      <c r="AZJ11" s="112"/>
      <c r="AZK11" s="112"/>
      <c r="AZL11" s="112"/>
      <c r="AZM11" s="112"/>
      <c r="AZN11" s="112"/>
      <c r="AZO11" s="112"/>
      <c r="AZP11" s="112"/>
      <c r="AZQ11" s="112"/>
      <c r="AZR11" s="112"/>
      <c r="AZS11" s="112"/>
      <c r="AZT11" s="112"/>
      <c r="AZU11" s="112"/>
      <c r="AZV11" s="112"/>
      <c r="AZW11" s="112"/>
      <c r="AZX11" s="112"/>
      <c r="AZY11" s="112"/>
      <c r="AZZ11" s="112"/>
      <c r="BAA11" s="112"/>
      <c r="BAB11" s="112"/>
      <c r="BAC11" s="112"/>
      <c r="BAD11" s="112"/>
      <c r="BAE11" s="112"/>
      <c r="BAF11" s="112"/>
      <c r="BAG11" s="112"/>
      <c r="BAH11" s="112"/>
      <c r="BAI11" s="112"/>
      <c r="BAJ11" s="112"/>
      <c r="BAK11" s="112"/>
      <c r="BAL11" s="112"/>
      <c r="BAM11" s="112"/>
      <c r="BAN11" s="112"/>
      <c r="BAO11" s="112"/>
      <c r="BAP11" s="112"/>
      <c r="BAQ11" s="112"/>
      <c r="BAR11" s="112"/>
      <c r="BAS11" s="112"/>
      <c r="BAT11" s="112"/>
      <c r="BAU11" s="112"/>
      <c r="BAV11" s="112"/>
      <c r="BAW11" s="112"/>
      <c r="BAX11" s="112"/>
      <c r="BAY11" s="112"/>
      <c r="BAZ11" s="112"/>
      <c r="BBA11" s="112"/>
      <c r="BBB11" s="112"/>
      <c r="BBC11" s="112"/>
      <c r="BBD11" s="112"/>
      <c r="BBE11" s="112"/>
      <c r="BBF11" s="112"/>
      <c r="BBG11" s="112"/>
      <c r="BBH11" s="112"/>
      <c r="BBI11" s="112"/>
      <c r="BBJ11" s="112"/>
      <c r="BBK11" s="112"/>
      <c r="BBL11" s="112"/>
      <c r="BBM11" s="112"/>
      <c r="BBN11" s="112"/>
      <c r="BBO11" s="112"/>
      <c r="BBP11" s="112"/>
      <c r="BBQ11" s="112"/>
      <c r="BBR11" s="112"/>
      <c r="BBS11" s="112"/>
      <c r="BBT11" s="112"/>
      <c r="BBU11" s="112"/>
      <c r="BBV11" s="112"/>
      <c r="BBW11" s="112"/>
      <c r="BBX11" s="112"/>
      <c r="BBY11" s="112"/>
      <c r="BBZ11" s="112"/>
      <c r="BCA11" s="112"/>
      <c r="BCB11" s="112"/>
      <c r="BCC11" s="112"/>
      <c r="BCD11" s="112"/>
      <c r="BCE11" s="112"/>
      <c r="BCF11" s="112"/>
      <c r="BCG11" s="112"/>
      <c r="BCH11" s="112"/>
      <c r="BCI11" s="112"/>
      <c r="BCJ11" s="112"/>
      <c r="BCK11" s="112"/>
      <c r="BCL11" s="112"/>
      <c r="BCM11" s="112"/>
      <c r="BCN11" s="112"/>
      <c r="BCO11" s="112"/>
      <c r="BCP11" s="112"/>
      <c r="BCQ11" s="112"/>
      <c r="BCR11" s="112"/>
      <c r="BCS11" s="112"/>
      <c r="BCT11" s="112"/>
      <c r="BCU11" s="112"/>
      <c r="BCV11" s="112"/>
      <c r="BCW11" s="112"/>
      <c r="BCX11" s="112"/>
      <c r="BCY11" s="112"/>
      <c r="BCZ11" s="112"/>
      <c r="BDA11" s="112"/>
      <c r="BDB11" s="112"/>
      <c r="BDC11" s="112"/>
      <c r="BDD11" s="112"/>
      <c r="BDE11" s="112"/>
      <c r="BDF11" s="112"/>
      <c r="BDG11" s="112"/>
      <c r="BDH11" s="112"/>
      <c r="BDI11" s="112"/>
      <c r="BDJ11" s="112"/>
      <c r="BDK11" s="112"/>
      <c r="BDL11" s="112"/>
      <c r="BDM11" s="112"/>
      <c r="BDN11" s="112"/>
      <c r="BDO11" s="112"/>
      <c r="BDP11" s="112"/>
      <c r="BDQ11" s="112"/>
      <c r="BDR11" s="112"/>
      <c r="BDS11" s="112"/>
      <c r="BDT11" s="112"/>
      <c r="BDU11" s="112"/>
      <c r="BDV11" s="112"/>
      <c r="BDW11" s="112"/>
      <c r="BDX11" s="112"/>
      <c r="BDY11" s="112"/>
      <c r="BDZ11" s="112"/>
      <c r="BEA11" s="112"/>
      <c r="BEB11" s="112"/>
      <c r="BEC11" s="112"/>
      <c r="BED11" s="112"/>
      <c r="BEE11" s="112"/>
      <c r="BEF11" s="112"/>
      <c r="BEG11" s="112"/>
      <c r="BEH11" s="112"/>
      <c r="BEI11" s="112"/>
      <c r="BEJ11" s="112"/>
      <c r="BEK11" s="112"/>
      <c r="BEL11" s="112"/>
      <c r="BEM11" s="112"/>
      <c r="BEN11" s="112"/>
      <c r="BEO11" s="112"/>
      <c r="BEP11" s="112"/>
      <c r="BEQ11" s="112"/>
      <c r="BER11" s="112"/>
      <c r="BES11" s="112"/>
      <c r="BET11" s="112"/>
      <c r="BEU11" s="112"/>
      <c r="BEV11" s="112"/>
      <c r="BEW11" s="112"/>
      <c r="BEX11" s="112"/>
      <c r="BEY11" s="112"/>
      <c r="BEZ11" s="112"/>
      <c r="BFA11" s="112"/>
      <c r="BFB11" s="112"/>
      <c r="BFC11" s="112"/>
      <c r="BFD11" s="112"/>
      <c r="BFE11" s="112"/>
      <c r="BFF11" s="112"/>
      <c r="BFG11" s="112"/>
      <c r="BFH11" s="112"/>
      <c r="BFI11" s="112"/>
      <c r="BFJ11" s="112"/>
      <c r="BFK11" s="112"/>
      <c r="BFL11" s="112"/>
      <c r="BFM11" s="112"/>
      <c r="BFN11" s="112"/>
      <c r="BFO11" s="112"/>
      <c r="BFP11" s="112"/>
      <c r="BFQ11" s="112"/>
      <c r="BFR11" s="112"/>
      <c r="BFS11" s="112"/>
      <c r="BFT11" s="112"/>
      <c r="BFU11" s="112"/>
      <c r="BFV11" s="112"/>
      <c r="BFW11" s="112"/>
      <c r="BFX11" s="112"/>
      <c r="BFY11" s="112"/>
      <c r="BFZ11" s="112"/>
      <c r="BGA11" s="112"/>
      <c r="BGB11" s="112"/>
      <c r="BGC11" s="112"/>
      <c r="BGD11" s="112"/>
      <c r="BGE11" s="112"/>
      <c r="BGF11" s="112"/>
      <c r="BGG11" s="112"/>
      <c r="BGH11" s="112"/>
      <c r="BGI11" s="112"/>
      <c r="BGJ11" s="112"/>
      <c r="BGK11" s="112"/>
      <c r="BGL11" s="112"/>
      <c r="BGM11" s="112"/>
      <c r="BGN11" s="112"/>
      <c r="BGO11" s="112"/>
      <c r="BGP11" s="112"/>
      <c r="BGQ11" s="112"/>
      <c r="BGR11" s="112"/>
      <c r="BGS11" s="112"/>
      <c r="BGT11" s="112"/>
      <c r="BGU11" s="112"/>
      <c r="BGV11" s="112"/>
      <c r="BGW11" s="112"/>
      <c r="BGX11" s="112"/>
      <c r="BGY11" s="112"/>
      <c r="BGZ11" s="112"/>
      <c r="BHA11" s="112"/>
      <c r="BHB11" s="112"/>
      <c r="BHC11" s="112"/>
      <c r="BHD11" s="112"/>
      <c r="BHE11" s="112"/>
      <c r="BHF11" s="112"/>
      <c r="BHG11" s="112"/>
      <c r="BHH11" s="112"/>
      <c r="BHI11" s="112"/>
      <c r="BHJ11" s="112"/>
      <c r="BHK11" s="112"/>
      <c r="BHL11" s="112"/>
      <c r="BHM11" s="112"/>
      <c r="BHN11" s="112"/>
      <c r="BHO11" s="112"/>
      <c r="BHP11" s="112"/>
      <c r="BHQ11" s="112"/>
      <c r="BHR11" s="112"/>
      <c r="BHS11" s="112"/>
      <c r="BHT11" s="112"/>
      <c r="BHU11" s="112"/>
      <c r="BHV11" s="112"/>
      <c r="BHW11" s="112"/>
      <c r="BHX11" s="112"/>
      <c r="BHY11" s="112"/>
      <c r="BHZ11" s="112"/>
      <c r="BIA11" s="112"/>
      <c r="BIB11" s="112"/>
      <c r="BIC11" s="112"/>
      <c r="BID11" s="112"/>
      <c r="BIE11" s="112"/>
      <c r="BIF11" s="112"/>
      <c r="BIG11" s="112"/>
      <c r="BIH11" s="112"/>
      <c r="BII11" s="112"/>
      <c r="BIJ11" s="112"/>
      <c r="BIK11" s="112"/>
      <c r="BIL11" s="112"/>
      <c r="BIM11" s="112"/>
      <c r="BIN11" s="112"/>
      <c r="BIO11" s="112"/>
      <c r="BIP11" s="112"/>
      <c r="BIQ11" s="112"/>
      <c r="BIR11" s="112"/>
      <c r="BIS11" s="112"/>
      <c r="BIT11" s="112"/>
      <c r="BIU11" s="112"/>
      <c r="BIV11" s="112"/>
      <c r="BIW11" s="112"/>
      <c r="BIX11" s="112"/>
      <c r="BIY11" s="112"/>
      <c r="BIZ11" s="112"/>
      <c r="BJA11" s="112"/>
      <c r="BJB11" s="112"/>
      <c r="BJC11" s="112"/>
      <c r="BJD11" s="112"/>
      <c r="BJE11" s="112"/>
      <c r="BJF11" s="112"/>
      <c r="BJG11" s="112"/>
      <c r="BJH11" s="112"/>
      <c r="BJI11" s="112"/>
      <c r="BJJ11" s="112"/>
      <c r="BJK11" s="112"/>
      <c r="BJL11" s="112"/>
      <c r="BJM11" s="112"/>
      <c r="BJN11" s="112"/>
      <c r="BJO11" s="112"/>
      <c r="BJP11" s="112"/>
      <c r="BJQ11" s="112"/>
      <c r="BJR11" s="112"/>
      <c r="BJS11" s="112"/>
      <c r="BJT11" s="112"/>
      <c r="BJU11" s="112"/>
      <c r="BJV11" s="112"/>
      <c r="BJW11" s="112"/>
      <c r="BJX11" s="112"/>
      <c r="BJY11" s="112"/>
      <c r="BJZ11" s="112"/>
      <c r="BKA11" s="112"/>
      <c r="BKB11" s="112"/>
      <c r="BKC11" s="112"/>
      <c r="BKD11" s="112"/>
      <c r="BKE11" s="112"/>
      <c r="BKF11" s="112"/>
      <c r="BKG11" s="112"/>
      <c r="BKH11" s="112"/>
      <c r="BKI11" s="112"/>
      <c r="BKJ11" s="112"/>
      <c r="BKK11" s="112"/>
      <c r="BKL11" s="112"/>
      <c r="BKM11" s="112"/>
      <c r="BKN11" s="112"/>
      <c r="BKO11" s="112"/>
      <c r="BKP11" s="112"/>
      <c r="BKQ11" s="112"/>
      <c r="BKR11" s="112"/>
      <c r="BKS11" s="112"/>
      <c r="BKT11" s="112"/>
      <c r="BKU11" s="112"/>
      <c r="BKV11" s="112"/>
      <c r="BKW11" s="112"/>
      <c r="BKX11" s="112"/>
      <c r="BKY11" s="112"/>
      <c r="BKZ11" s="112"/>
      <c r="BLA11" s="112"/>
      <c r="BLB11" s="112"/>
      <c r="BLC11" s="112"/>
      <c r="BLD11" s="112"/>
      <c r="BLE11" s="112"/>
      <c r="BLF11" s="112"/>
      <c r="BLG11" s="112"/>
      <c r="BLH11" s="112"/>
      <c r="BLI11" s="112"/>
      <c r="BLJ11" s="112"/>
      <c r="BLK11" s="112"/>
      <c r="BLL11" s="112"/>
      <c r="BLM11" s="112"/>
      <c r="BLN11" s="112"/>
      <c r="BLO11" s="112"/>
      <c r="BLP11" s="112"/>
      <c r="BLQ11" s="112"/>
      <c r="BLR11" s="112"/>
      <c r="BLS11" s="112"/>
      <c r="BLT11" s="112"/>
      <c r="BLU11" s="112"/>
      <c r="BLV11" s="112"/>
      <c r="BLW11" s="112"/>
      <c r="BLX11" s="112"/>
      <c r="BLY11" s="112"/>
      <c r="BLZ11" s="112"/>
      <c r="BMA11" s="112"/>
      <c r="BMB11" s="112"/>
      <c r="BMC11" s="112"/>
      <c r="BMD11" s="112"/>
      <c r="BME11" s="112"/>
      <c r="BMF11" s="112"/>
      <c r="BMG11" s="112"/>
      <c r="BMH11" s="112"/>
      <c r="BMI11" s="112"/>
      <c r="BMJ11" s="112"/>
      <c r="BMK11" s="112"/>
      <c r="BML11" s="112"/>
      <c r="BMM11" s="112"/>
      <c r="BMN11" s="112"/>
      <c r="BMO11" s="112"/>
      <c r="BMP11" s="112"/>
      <c r="BMQ11" s="112"/>
      <c r="BMR11" s="112"/>
      <c r="BMS11" s="112"/>
      <c r="BMT11" s="112"/>
      <c r="BMU11" s="112"/>
      <c r="BMV11" s="112"/>
      <c r="BMW11" s="112"/>
      <c r="BMX11" s="112"/>
      <c r="BMY11" s="112"/>
      <c r="BMZ11" s="112"/>
      <c r="BNA11" s="112"/>
      <c r="BNB11" s="112"/>
      <c r="BNC11" s="112"/>
      <c r="BND11" s="112"/>
      <c r="BNE11" s="112"/>
      <c r="BNF11" s="112"/>
      <c r="BNG11" s="112"/>
      <c r="BNH11" s="112"/>
      <c r="BNI11" s="112"/>
      <c r="BNJ11" s="112"/>
      <c r="BNK11" s="112"/>
      <c r="BNL11" s="112"/>
      <c r="BNM11" s="112"/>
      <c r="BNN11" s="112"/>
      <c r="BNO11" s="112"/>
      <c r="BNP11" s="112"/>
      <c r="BNQ11" s="112"/>
      <c r="BNR11" s="112"/>
      <c r="BNS11" s="112"/>
      <c r="BNT11" s="112"/>
      <c r="BNU11" s="112"/>
      <c r="BNV11" s="112"/>
      <c r="BNW11" s="112"/>
      <c r="BNX11" s="112"/>
      <c r="BNY11" s="112"/>
      <c r="BNZ11" s="112"/>
      <c r="BOA11" s="112"/>
      <c r="BOB11" s="112"/>
      <c r="BOC11" s="112"/>
      <c r="BOD11" s="112"/>
      <c r="BOE11" s="112"/>
      <c r="BOF11" s="112"/>
      <c r="BOG11" s="112"/>
      <c r="BOH11" s="112"/>
      <c r="BOI11" s="112"/>
      <c r="BOJ11" s="112"/>
      <c r="BOK11" s="112"/>
      <c r="BOL11" s="112"/>
      <c r="BOM11" s="112"/>
      <c r="BON11" s="112"/>
      <c r="BOO11" s="112"/>
      <c r="BOP11" s="112"/>
      <c r="BOQ11" s="112"/>
      <c r="BOR11" s="112"/>
      <c r="BOS11" s="112"/>
      <c r="BOT11" s="112"/>
      <c r="BOU11" s="112"/>
      <c r="BOV11" s="112"/>
      <c r="BOW11" s="112"/>
      <c r="BOX11" s="112"/>
      <c r="BOY11" s="112"/>
      <c r="BOZ11" s="112"/>
      <c r="BPA11" s="112"/>
      <c r="BPB11" s="112"/>
      <c r="BPC11" s="112"/>
      <c r="BPD11" s="112"/>
      <c r="BPE11" s="112"/>
      <c r="BPF11" s="112"/>
      <c r="BPG11" s="112"/>
      <c r="BPH11" s="112"/>
      <c r="BPI11" s="112"/>
      <c r="BPJ11" s="112"/>
      <c r="BPK11" s="112"/>
      <c r="BPL11" s="112"/>
      <c r="BPM11" s="112"/>
      <c r="BPN11" s="112"/>
      <c r="BPO11" s="112"/>
      <c r="BPP11" s="112"/>
      <c r="BPQ11" s="112"/>
      <c r="BPR11" s="112"/>
      <c r="BPS11" s="112"/>
      <c r="BPT11" s="112"/>
      <c r="BPU11" s="112"/>
      <c r="BPV11" s="112"/>
      <c r="BPW11" s="112"/>
      <c r="BPX11" s="112"/>
      <c r="BPY11" s="112"/>
      <c r="BPZ11" s="112"/>
      <c r="BQA11" s="112"/>
      <c r="BQB11" s="112"/>
      <c r="BQC11" s="112"/>
      <c r="BQD11" s="112"/>
      <c r="BQE11" s="112"/>
      <c r="BQF11" s="112"/>
      <c r="BQG11" s="112"/>
      <c r="BQH11" s="112"/>
      <c r="BQI11" s="112"/>
      <c r="BQJ11" s="112"/>
      <c r="BQK11" s="112"/>
      <c r="BQL11" s="112"/>
      <c r="BQM11" s="112"/>
      <c r="BQN11" s="112"/>
      <c r="BQO11" s="112"/>
      <c r="BQP11" s="112"/>
      <c r="BQQ11" s="112"/>
      <c r="BQR11" s="112"/>
      <c r="BQS11" s="112"/>
      <c r="BQT11" s="112"/>
      <c r="BQU11" s="112"/>
      <c r="BQV11" s="112"/>
      <c r="BQW11" s="112"/>
      <c r="BQX11" s="112"/>
      <c r="BQY11" s="112"/>
      <c r="BQZ11" s="112"/>
      <c r="BRA11" s="112"/>
      <c r="BRB11" s="112"/>
      <c r="BRC11" s="112"/>
      <c r="BRD11" s="112"/>
      <c r="BRE11" s="112"/>
      <c r="BRF11" s="112"/>
      <c r="BRG11" s="112"/>
      <c r="BRH11" s="112"/>
      <c r="BRI11" s="112"/>
      <c r="BRJ11" s="112"/>
      <c r="BRK11" s="112"/>
      <c r="BRL11" s="112"/>
      <c r="BRM11" s="112"/>
      <c r="BRN11" s="112"/>
      <c r="BRO11" s="112"/>
      <c r="BRP11" s="112"/>
      <c r="BRQ11" s="112"/>
      <c r="BRR11" s="112"/>
      <c r="BRS11" s="112"/>
      <c r="BRT11" s="112"/>
      <c r="BRU11" s="112"/>
      <c r="BRV11" s="112"/>
      <c r="BRW11" s="112"/>
      <c r="BRX11" s="112"/>
      <c r="BRY11" s="112"/>
      <c r="BRZ11" s="112"/>
      <c r="BSA11" s="112"/>
      <c r="BSB11" s="112"/>
      <c r="BSC11" s="112"/>
      <c r="BSD11" s="112"/>
      <c r="BSE11" s="112"/>
      <c r="BSF11" s="112"/>
      <c r="BSG11" s="112"/>
      <c r="BSH11" s="112"/>
      <c r="BSI11" s="112"/>
      <c r="BSJ11" s="112"/>
      <c r="BSK11" s="112"/>
      <c r="BSL11" s="112"/>
      <c r="BSM11" s="112"/>
      <c r="BSN11" s="112"/>
      <c r="BSO11" s="112"/>
      <c r="BSP11" s="112"/>
      <c r="BSQ11" s="112"/>
      <c r="BSR11" s="112"/>
      <c r="BSS11" s="112"/>
      <c r="BST11" s="112"/>
      <c r="BSU11" s="112"/>
      <c r="BSV11" s="112"/>
      <c r="BSW11" s="112"/>
      <c r="BSX11" s="112"/>
      <c r="BSY11" s="112"/>
      <c r="BSZ11" s="112"/>
      <c r="BTA11" s="112"/>
      <c r="BTB11" s="112"/>
      <c r="BTC11" s="112"/>
      <c r="BTD11" s="112"/>
      <c r="BTE11" s="112"/>
      <c r="BTF11" s="112"/>
      <c r="BTG11" s="112"/>
      <c r="BTH11" s="112"/>
      <c r="BTI11" s="112"/>
      <c r="BTJ11" s="112"/>
      <c r="BTK11" s="112"/>
      <c r="BTL11" s="112"/>
      <c r="BTM11" s="112"/>
      <c r="BTN11" s="112"/>
      <c r="BTO11" s="112"/>
      <c r="BTP11" s="112"/>
      <c r="BTQ11" s="112"/>
      <c r="BTR11" s="112"/>
      <c r="BTS11" s="112"/>
      <c r="BTT11" s="112"/>
      <c r="BTU11" s="112"/>
      <c r="BTV11" s="112"/>
      <c r="BTW11" s="112"/>
      <c r="BTX11" s="112"/>
      <c r="BTY11" s="112"/>
      <c r="BTZ11" s="112"/>
      <c r="BUA11" s="112"/>
      <c r="BUB11" s="112"/>
      <c r="BUC11" s="112"/>
      <c r="BUD11" s="112"/>
      <c r="BUE11" s="112"/>
      <c r="BUF11" s="112"/>
      <c r="BUG11" s="112"/>
      <c r="BUH11" s="112"/>
      <c r="BUI11" s="112"/>
      <c r="BUJ11" s="112"/>
      <c r="BUK11" s="112"/>
      <c r="BUL11" s="112"/>
      <c r="BUM11" s="112"/>
      <c r="BUN11" s="112"/>
      <c r="BUO11" s="112"/>
      <c r="BUP11" s="112"/>
      <c r="BUQ11" s="112"/>
      <c r="BUR11" s="112"/>
      <c r="BUS11" s="112"/>
      <c r="BUT11" s="112"/>
      <c r="BUU11" s="112"/>
      <c r="BUV11" s="112"/>
      <c r="BUW11" s="112"/>
      <c r="BUX11" s="112"/>
      <c r="BUY11" s="112"/>
      <c r="BUZ11" s="112"/>
      <c r="BVA11" s="112"/>
      <c r="BVB11" s="112"/>
      <c r="BVC11" s="112"/>
      <c r="BVD11" s="112"/>
      <c r="BVE11" s="112"/>
      <c r="BVF11" s="112"/>
      <c r="BVG11" s="112"/>
      <c r="BVH11" s="112"/>
      <c r="BVI11" s="112"/>
      <c r="BVJ11" s="112"/>
      <c r="BVK11" s="112"/>
      <c r="BVL11" s="112"/>
      <c r="BVM11" s="112"/>
      <c r="BVN11" s="112"/>
      <c r="BVO11" s="112"/>
      <c r="BVP11" s="112"/>
      <c r="BVQ11" s="112"/>
      <c r="BVR11" s="112"/>
      <c r="BVS11" s="112"/>
      <c r="BVT11" s="112"/>
      <c r="BVU11" s="112"/>
      <c r="BVV11" s="112"/>
      <c r="BVW11" s="112"/>
      <c r="BVX11" s="112"/>
      <c r="BVY11" s="112"/>
      <c r="BVZ11" s="112"/>
      <c r="BWA11" s="112"/>
      <c r="BWB11" s="112"/>
      <c r="BWC11" s="112"/>
      <c r="BWD11" s="112"/>
      <c r="BWE11" s="112"/>
      <c r="BWF11" s="112"/>
      <c r="BWG11" s="112"/>
      <c r="BWH11" s="112"/>
      <c r="BWI11" s="112"/>
      <c r="BWJ11" s="112"/>
      <c r="BWK11" s="112"/>
      <c r="BWL11" s="112"/>
      <c r="BWM11" s="112"/>
      <c r="BWN11" s="112"/>
      <c r="BWO11" s="112"/>
      <c r="BWP11" s="112"/>
      <c r="BWQ11" s="112"/>
      <c r="BWR11" s="112"/>
      <c r="BWS11" s="112"/>
      <c r="BWT11" s="112"/>
      <c r="BWU11" s="112"/>
      <c r="BWV11" s="112"/>
      <c r="BWW11" s="112"/>
      <c r="BWX11" s="112"/>
      <c r="BWY11" s="112"/>
      <c r="BWZ11" s="112"/>
      <c r="BXA11" s="112"/>
      <c r="BXB11" s="112"/>
      <c r="BXC11" s="112"/>
      <c r="BXD11" s="112"/>
      <c r="BXE11" s="112"/>
      <c r="BXF11" s="112"/>
      <c r="BXG11" s="112"/>
      <c r="BXH11" s="112"/>
      <c r="BXI11" s="112"/>
      <c r="BXJ11" s="112"/>
      <c r="BXK11" s="112"/>
      <c r="BXL11" s="112"/>
      <c r="BXM11" s="112"/>
      <c r="BXN11" s="112"/>
      <c r="BXO11" s="112"/>
      <c r="BXP11" s="112"/>
      <c r="BXQ11" s="112"/>
      <c r="BXR11" s="112"/>
      <c r="BXS11" s="112"/>
      <c r="BXT11" s="112"/>
      <c r="BXU11" s="112"/>
      <c r="BXV11" s="112"/>
      <c r="BXW11" s="112"/>
      <c r="BXX11" s="112"/>
      <c r="BXY11" s="112"/>
      <c r="BXZ11" s="112"/>
      <c r="BYA11" s="112"/>
      <c r="BYB11" s="112"/>
      <c r="BYC11" s="112"/>
      <c r="BYD11" s="112"/>
      <c r="BYE11" s="112"/>
      <c r="BYF11" s="112"/>
      <c r="BYG11" s="112"/>
      <c r="BYH11" s="112"/>
      <c r="BYI11" s="112"/>
      <c r="BYJ11" s="112"/>
      <c r="BYK11" s="112"/>
      <c r="BYL11" s="112"/>
      <c r="BYM11" s="112"/>
      <c r="BYN11" s="112"/>
      <c r="BYO11" s="112"/>
      <c r="BYP11" s="112"/>
      <c r="BYQ11" s="112"/>
      <c r="BYR11" s="112"/>
      <c r="BYS11" s="112"/>
      <c r="BYT11" s="112"/>
      <c r="BYU11" s="112"/>
      <c r="BYV11" s="112"/>
      <c r="BYW11" s="112"/>
      <c r="BYX11" s="112"/>
      <c r="BYY11" s="112"/>
      <c r="BYZ11" s="112"/>
      <c r="BZA11" s="112"/>
      <c r="BZB11" s="112"/>
      <c r="BZC11" s="112"/>
      <c r="BZD11" s="112"/>
      <c r="BZE11" s="112"/>
      <c r="BZF11" s="112"/>
      <c r="BZG11" s="112"/>
      <c r="BZH11" s="112"/>
      <c r="BZI11" s="112"/>
      <c r="BZJ11" s="112"/>
      <c r="BZK11" s="112"/>
      <c r="BZL11" s="112"/>
      <c r="BZM11" s="112"/>
      <c r="BZN11" s="112"/>
      <c r="BZO11" s="112"/>
      <c r="BZP11" s="112"/>
      <c r="BZQ11" s="112"/>
      <c r="BZR11" s="112"/>
      <c r="BZS11" s="112"/>
      <c r="BZT11" s="112"/>
      <c r="BZU11" s="112"/>
      <c r="BZV11" s="112"/>
      <c r="BZW11" s="112"/>
      <c r="BZX11" s="112"/>
      <c r="BZY11" s="112"/>
      <c r="BZZ11" s="112"/>
      <c r="CAA11" s="112"/>
      <c r="CAB11" s="112"/>
      <c r="CAC11" s="112"/>
      <c r="CAD11" s="112"/>
      <c r="CAE11" s="112"/>
      <c r="CAF11" s="112"/>
      <c r="CAG11" s="112"/>
      <c r="CAH11" s="112"/>
      <c r="CAI11" s="112"/>
      <c r="CAJ11" s="112"/>
      <c r="CAK11" s="112"/>
      <c r="CAL11" s="112"/>
      <c r="CAM11" s="112"/>
      <c r="CAN11" s="112"/>
      <c r="CAO11" s="112"/>
      <c r="CAP11" s="112"/>
      <c r="CAQ11" s="112"/>
      <c r="CAR11" s="112"/>
      <c r="CAS11" s="112"/>
      <c r="CAT11" s="112"/>
      <c r="CAU11" s="112"/>
      <c r="CAV11" s="112"/>
      <c r="CAW11" s="112"/>
      <c r="CAX11" s="112"/>
      <c r="CAY11" s="112"/>
      <c r="CAZ11" s="112"/>
      <c r="CBA11" s="112"/>
      <c r="CBB11" s="112"/>
      <c r="CBC11" s="112"/>
      <c r="CBD11" s="112"/>
      <c r="CBE11" s="112"/>
      <c r="CBF11" s="112"/>
      <c r="CBG11" s="112"/>
      <c r="CBH11" s="112"/>
      <c r="CBI11" s="112"/>
      <c r="CBJ11" s="112"/>
      <c r="CBK11" s="112"/>
      <c r="CBL11" s="112"/>
      <c r="CBM11" s="112"/>
      <c r="CBN11" s="112"/>
      <c r="CBO11" s="112"/>
      <c r="CBP11" s="112"/>
      <c r="CBQ11" s="112"/>
      <c r="CBR11" s="112"/>
      <c r="CBS11" s="112"/>
      <c r="CBT11" s="112"/>
      <c r="CBU11" s="112"/>
      <c r="CBV11" s="112"/>
      <c r="CBW11" s="112"/>
      <c r="CBX11" s="112"/>
      <c r="CBY11" s="112"/>
      <c r="CBZ11" s="112"/>
      <c r="CCA11" s="112"/>
      <c r="CCB11" s="112"/>
      <c r="CCC11" s="112"/>
      <c r="CCD11" s="112"/>
      <c r="CCE11" s="112"/>
      <c r="CCF11" s="112"/>
      <c r="CCG11" s="112"/>
      <c r="CCH11" s="112"/>
      <c r="CCI11" s="112"/>
      <c r="CCJ11" s="112"/>
      <c r="CCK11" s="112"/>
      <c r="CCL11" s="112"/>
      <c r="CCM11" s="112"/>
      <c r="CCN11" s="112"/>
      <c r="CCO11" s="112"/>
      <c r="CCP11" s="112"/>
      <c r="CCQ11" s="112"/>
      <c r="CCR11" s="112"/>
      <c r="CCS11" s="112"/>
      <c r="CCT11" s="112"/>
      <c r="CCU11" s="112"/>
      <c r="CCV11" s="112"/>
      <c r="CCW11" s="112"/>
      <c r="CCX11" s="112"/>
      <c r="CCY11" s="112"/>
      <c r="CCZ11" s="112"/>
      <c r="CDA11" s="112"/>
      <c r="CDB11" s="112"/>
      <c r="CDC11" s="112"/>
      <c r="CDD11" s="112"/>
      <c r="CDE11" s="112"/>
      <c r="CDF11" s="112"/>
      <c r="CDG11" s="112"/>
      <c r="CDH11" s="112"/>
      <c r="CDI11" s="112"/>
      <c r="CDJ11" s="112"/>
      <c r="CDK11" s="112"/>
      <c r="CDL11" s="112"/>
      <c r="CDM11" s="112"/>
      <c r="CDN11" s="112"/>
      <c r="CDO11" s="112"/>
      <c r="CDP11" s="112"/>
      <c r="CDQ11" s="112"/>
      <c r="CDR11" s="112"/>
      <c r="CDS11" s="112"/>
      <c r="CDT11" s="112"/>
      <c r="CDU11" s="112"/>
      <c r="CDV11" s="112"/>
      <c r="CDW11" s="112"/>
      <c r="CDX11" s="112"/>
      <c r="CDY11" s="112"/>
      <c r="CDZ11" s="112"/>
      <c r="CEA11" s="112"/>
      <c r="CEB11" s="112"/>
      <c r="CEC11" s="112"/>
      <c r="CED11" s="112"/>
      <c r="CEE11" s="112"/>
      <c r="CEF11" s="112"/>
      <c r="CEG11" s="112"/>
      <c r="CEH11" s="112"/>
      <c r="CEI11" s="112"/>
      <c r="CEJ11" s="112"/>
      <c r="CEK11" s="112"/>
      <c r="CEL11" s="112"/>
      <c r="CEM11" s="112"/>
      <c r="CEN11" s="112"/>
      <c r="CEO11" s="112"/>
      <c r="CEP11" s="112"/>
      <c r="CEQ11" s="112"/>
      <c r="CER11" s="112"/>
      <c r="CES11" s="112"/>
      <c r="CET11" s="112"/>
      <c r="CEU11" s="112"/>
      <c r="CEV11" s="112"/>
      <c r="CEW11" s="112"/>
      <c r="CEX11" s="112"/>
      <c r="CEY11" s="112"/>
      <c r="CEZ11" s="112"/>
      <c r="CFA11" s="112"/>
      <c r="CFB11" s="112"/>
      <c r="CFC11" s="112"/>
      <c r="CFD11" s="112"/>
      <c r="CFE11" s="112"/>
      <c r="CFF11" s="112"/>
      <c r="CFG11" s="112"/>
      <c r="CFH11" s="112"/>
      <c r="CFI11" s="112"/>
      <c r="CFJ11" s="112"/>
      <c r="CFK11" s="112"/>
      <c r="CFL11" s="112"/>
      <c r="CFM11" s="112"/>
      <c r="CFN11" s="112"/>
      <c r="CFO11" s="112"/>
      <c r="CFP11" s="112"/>
      <c r="CFQ11" s="112"/>
      <c r="CFR11" s="112"/>
      <c r="CFS11" s="112"/>
      <c r="CFT11" s="112"/>
      <c r="CFU11" s="112"/>
      <c r="CFV11" s="112"/>
      <c r="CFW11" s="112"/>
      <c r="CFX11" s="112"/>
      <c r="CFY11" s="112"/>
      <c r="CFZ11" s="112"/>
      <c r="CGA11" s="112"/>
      <c r="CGB11" s="112"/>
      <c r="CGC11" s="112"/>
      <c r="CGD11" s="112"/>
      <c r="CGE11" s="112"/>
      <c r="CGF11" s="112"/>
      <c r="CGG11" s="112"/>
      <c r="CGH11" s="112"/>
      <c r="CGI11" s="112"/>
      <c r="CGJ11" s="112"/>
      <c r="CGK11" s="112"/>
      <c r="CGL11" s="112"/>
      <c r="CGM11" s="112"/>
      <c r="CGN11" s="112"/>
      <c r="CGO11" s="112"/>
      <c r="CGP11" s="112"/>
      <c r="CGQ11" s="112"/>
      <c r="CGR11" s="112"/>
      <c r="CGS11" s="112"/>
      <c r="CGT11" s="112"/>
      <c r="CGU11" s="112"/>
      <c r="CGV11" s="112"/>
      <c r="CGW11" s="112"/>
      <c r="CGX11" s="112"/>
      <c r="CGY11" s="112"/>
      <c r="CGZ11" s="112"/>
      <c r="CHA11" s="112"/>
      <c r="CHB11" s="112"/>
      <c r="CHC11" s="112"/>
      <c r="CHD11" s="112"/>
      <c r="CHE11" s="112"/>
      <c r="CHF11" s="112"/>
      <c r="CHG11" s="112"/>
      <c r="CHH11" s="112"/>
      <c r="CHI11" s="112"/>
      <c r="CHJ11" s="112"/>
      <c r="CHK11" s="112"/>
      <c r="CHL11" s="112"/>
      <c r="CHM11" s="112"/>
      <c r="CHN11" s="112"/>
      <c r="CHO11" s="112"/>
      <c r="CHP11" s="112"/>
      <c r="CHQ11" s="112"/>
      <c r="CHR11" s="112"/>
      <c r="CHS11" s="112"/>
      <c r="CHT11" s="112"/>
      <c r="CHU11" s="112"/>
      <c r="CHV11" s="112"/>
      <c r="CHW11" s="112"/>
      <c r="CHX11" s="112"/>
      <c r="CHY11" s="112"/>
      <c r="CHZ11" s="112"/>
      <c r="CIA11" s="112"/>
      <c r="CIB11" s="112"/>
      <c r="CIC11" s="112"/>
      <c r="CID11" s="112"/>
      <c r="CIE11" s="112"/>
      <c r="CIF11" s="112"/>
      <c r="CIG11" s="112"/>
      <c r="CIH11" s="112"/>
      <c r="CII11" s="112"/>
      <c r="CIJ11" s="112"/>
      <c r="CIK11" s="112"/>
      <c r="CIL11" s="112"/>
      <c r="CIM11" s="112"/>
      <c r="CIN11" s="112"/>
      <c r="CIO11" s="112"/>
      <c r="CIP11" s="112"/>
      <c r="CIQ11" s="112"/>
      <c r="CIR11" s="112"/>
      <c r="CIS11" s="112"/>
      <c r="CIT11" s="112"/>
      <c r="CIU11" s="112"/>
      <c r="CIV11" s="112"/>
      <c r="CIW11" s="112"/>
      <c r="CIX11" s="112"/>
      <c r="CIY11" s="112"/>
      <c r="CIZ11" s="112"/>
      <c r="CJA11" s="112"/>
      <c r="CJB11" s="112"/>
      <c r="CJC11" s="112"/>
      <c r="CJD11" s="112"/>
      <c r="CJE11" s="112"/>
      <c r="CJF11" s="112"/>
      <c r="CJG11" s="112"/>
      <c r="CJH11" s="112"/>
      <c r="CJI11" s="112"/>
      <c r="CJJ11" s="112"/>
      <c r="CJK11" s="112"/>
      <c r="CJL11" s="112"/>
      <c r="CJM11" s="112"/>
      <c r="CJN11" s="112"/>
      <c r="CJO11" s="112"/>
      <c r="CJP11" s="112"/>
      <c r="CJQ11" s="112"/>
      <c r="CJR11" s="112"/>
      <c r="CJS11" s="112"/>
      <c r="CJT11" s="112"/>
      <c r="CJU11" s="112"/>
      <c r="CJV11" s="112"/>
      <c r="CJW11" s="112"/>
      <c r="CJX11" s="112"/>
      <c r="CJY11" s="112"/>
      <c r="CJZ11" s="112"/>
      <c r="CKA11" s="112"/>
      <c r="CKB11" s="112"/>
      <c r="CKC11" s="112"/>
      <c r="CKD11" s="112"/>
      <c r="CKE11" s="112"/>
      <c r="CKF11" s="112"/>
      <c r="CKG11" s="112"/>
      <c r="CKH11" s="112"/>
      <c r="CKI11" s="112"/>
      <c r="CKJ11" s="112"/>
      <c r="CKK11" s="112"/>
      <c r="CKL11" s="112"/>
      <c r="CKM11" s="112"/>
      <c r="CKN11" s="112"/>
      <c r="CKO11" s="112"/>
      <c r="CKP11" s="112"/>
      <c r="CKQ11" s="112"/>
      <c r="CKR11" s="112"/>
      <c r="CKS11" s="112"/>
      <c r="CKT11" s="112"/>
      <c r="CKU11" s="112"/>
      <c r="CKV11" s="112"/>
      <c r="CKW11" s="112"/>
      <c r="CKX11" s="112"/>
      <c r="CKY11" s="112"/>
      <c r="CKZ11" s="112"/>
      <c r="CLA11" s="112"/>
      <c r="CLB11" s="112"/>
      <c r="CLC11" s="112"/>
      <c r="CLD11" s="112"/>
      <c r="CLE11" s="112"/>
      <c r="CLF11" s="112"/>
      <c r="CLG11" s="112"/>
      <c r="CLH11" s="112"/>
      <c r="CLI11" s="112"/>
      <c r="CLJ11" s="112"/>
      <c r="CLK11" s="112"/>
      <c r="CLL11" s="112"/>
      <c r="CLM11" s="112"/>
      <c r="CLN11" s="112"/>
      <c r="CLO11" s="112"/>
      <c r="CLP11" s="112"/>
      <c r="CLQ11" s="112"/>
      <c r="CLR11" s="112"/>
      <c r="CLS11" s="112"/>
      <c r="CLT11" s="112"/>
      <c r="CLU11" s="112"/>
      <c r="CLV11" s="112"/>
      <c r="CLW11" s="112"/>
      <c r="CLX11" s="112"/>
      <c r="CLY11" s="112"/>
      <c r="CLZ11" s="112"/>
      <c r="CMA11" s="112"/>
      <c r="CMB11" s="112"/>
      <c r="CMC11" s="112"/>
      <c r="CMD11" s="112"/>
      <c r="CME11" s="112"/>
      <c r="CMF11" s="112"/>
      <c r="CMG11" s="112"/>
      <c r="CMH11" s="112"/>
      <c r="CMI11" s="112"/>
      <c r="CMJ11" s="112"/>
      <c r="CMK11" s="112"/>
      <c r="CML11" s="112"/>
      <c r="CMM11" s="112"/>
      <c r="CMN11" s="112"/>
      <c r="CMO11" s="112"/>
      <c r="CMP11" s="112"/>
      <c r="CMQ11" s="112"/>
      <c r="CMR11" s="112"/>
      <c r="CMS11" s="112"/>
      <c r="CMT11" s="112"/>
      <c r="CMU11" s="112"/>
      <c r="CMV11" s="112"/>
      <c r="CMW11" s="112"/>
      <c r="CMX11" s="112"/>
      <c r="CMY11" s="112"/>
      <c r="CMZ11" s="112"/>
      <c r="CNA11" s="112"/>
      <c r="CNB11" s="112"/>
      <c r="CNC11" s="112"/>
      <c r="CND11" s="112"/>
      <c r="CNE11" s="112"/>
      <c r="CNF11" s="112"/>
      <c r="CNG11" s="112"/>
      <c r="CNH11" s="112"/>
      <c r="CNI11" s="112"/>
      <c r="CNJ11" s="112"/>
      <c r="CNK11" s="112"/>
      <c r="CNL11" s="112"/>
      <c r="CNM11" s="112"/>
      <c r="CNN11" s="112"/>
      <c r="CNO11" s="112"/>
      <c r="CNP11" s="112"/>
      <c r="CNQ11" s="112"/>
      <c r="CNR11" s="112"/>
      <c r="CNS11" s="112"/>
      <c r="CNT11" s="112"/>
      <c r="CNU11" s="112"/>
      <c r="CNV11" s="112"/>
      <c r="CNW11" s="112"/>
      <c r="CNX11" s="112"/>
      <c r="CNY11" s="112"/>
      <c r="CNZ11" s="112"/>
      <c r="COA11" s="112"/>
      <c r="COB11" s="112"/>
      <c r="COC11" s="112"/>
      <c r="COD11" s="112"/>
      <c r="COE11" s="112"/>
      <c r="COF11" s="112"/>
      <c r="COG11" s="112"/>
      <c r="COH11" s="112"/>
      <c r="COI11" s="112"/>
      <c r="COJ11" s="112"/>
      <c r="COK11" s="112"/>
      <c r="COL11" s="112"/>
      <c r="COM11" s="112"/>
      <c r="CON11" s="112"/>
      <c r="COO11" s="112"/>
      <c r="COP11" s="112"/>
      <c r="COQ11" s="112"/>
      <c r="COR11" s="112"/>
      <c r="COS11" s="112"/>
      <c r="COT11" s="112"/>
      <c r="COU11" s="112"/>
      <c r="COV11" s="112"/>
      <c r="COW11" s="112"/>
      <c r="COX11" s="112"/>
      <c r="COY11" s="112"/>
      <c r="COZ11" s="112"/>
      <c r="CPA11" s="112"/>
      <c r="CPB11" s="112"/>
      <c r="CPC11" s="112"/>
      <c r="CPD11" s="112"/>
      <c r="CPE11" s="112"/>
      <c r="CPF11" s="112"/>
      <c r="CPG11" s="112"/>
      <c r="CPH11" s="112"/>
      <c r="CPI11" s="112"/>
      <c r="CPJ11" s="112"/>
      <c r="CPK11" s="112"/>
      <c r="CPL11" s="112"/>
      <c r="CPM11" s="112"/>
      <c r="CPN11" s="112"/>
      <c r="CPO11" s="112"/>
      <c r="CPP11" s="112"/>
      <c r="CPQ11" s="112"/>
      <c r="CPR11" s="112"/>
      <c r="CPS11" s="112"/>
      <c r="CPT11" s="112"/>
      <c r="CPU11" s="112"/>
      <c r="CPV11" s="112"/>
      <c r="CPW11" s="112"/>
      <c r="CPX11" s="112"/>
      <c r="CPY11" s="112"/>
      <c r="CPZ11" s="112"/>
      <c r="CQA11" s="112"/>
      <c r="CQB11" s="112"/>
      <c r="CQC11" s="112"/>
      <c r="CQD11" s="112"/>
      <c r="CQE11" s="112"/>
      <c r="CQF11" s="112"/>
      <c r="CQG11" s="112"/>
      <c r="CQH11" s="112"/>
      <c r="CQI11" s="112"/>
      <c r="CQJ11" s="112"/>
      <c r="CQK11" s="112"/>
      <c r="CQL11" s="112"/>
      <c r="CQM11" s="112"/>
      <c r="CQN11" s="112"/>
      <c r="CQO11" s="112"/>
      <c r="CQP11" s="112"/>
      <c r="CQQ11" s="112"/>
      <c r="CQR11" s="112"/>
      <c r="CQS11" s="112"/>
      <c r="CQT11" s="112"/>
      <c r="CQU11" s="112"/>
      <c r="CQV11" s="112"/>
      <c r="CQW11" s="112"/>
      <c r="CQX11" s="112"/>
      <c r="CQY11" s="112"/>
      <c r="CQZ11" s="112"/>
      <c r="CRA11" s="112"/>
      <c r="CRB11" s="112"/>
      <c r="CRC11" s="112"/>
      <c r="CRD11" s="112"/>
      <c r="CRE11" s="112"/>
      <c r="CRF11" s="112"/>
      <c r="CRG11" s="112"/>
      <c r="CRH11" s="112"/>
      <c r="CRI11" s="112"/>
      <c r="CRJ11" s="112"/>
      <c r="CRK11" s="112"/>
      <c r="CRL11" s="112"/>
      <c r="CRM11" s="112"/>
      <c r="CRN11" s="112"/>
      <c r="CRO11" s="112"/>
      <c r="CRP11" s="112"/>
      <c r="CRQ11" s="112"/>
      <c r="CRR11" s="112"/>
      <c r="CRS11" s="112"/>
      <c r="CRT11" s="112"/>
      <c r="CRU11" s="112"/>
      <c r="CRV11" s="112"/>
      <c r="CRW11" s="112"/>
      <c r="CRX11" s="112"/>
      <c r="CRY11" s="112"/>
      <c r="CRZ11" s="112"/>
      <c r="CSA11" s="112"/>
      <c r="CSB11" s="112"/>
      <c r="CSC11" s="112"/>
      <c r="CSD11" s="112"/>
      <c r="CSE11" s="112"/>
      <c r="CSF11" s="112"/>
      <c r="CSG11" s="112"/>
      <c r="CSH11" s="112"/>
      <c r="CSI11" s="112"/>
      <c r="CSJ11" s="112"/>
      <c r="CSK11" s="112"/>
      <c r="CSL11" s="112"/>
      <c r="CSM11" s="112"/>
      <c r="CSN11" s="112"/>
      <c r="CSO11" s="112"/>
      <c r="CSP11" s="112"/>
      <c r="CSQ11" s="112"/>
      <c r="CSR11" s="112"/>
      <c r="CSS11" s="112"/>
      <c r="CST11" s="112"/>
      <c r="CSU11" s="112"/>
      <c r="CSV11" s="112"/>
      <c r="CSW11" s="112"/>
      <c r="CSX11" s="112"/>
      <c r="CSY11" s="112"/>
      <c r="CSZ11" s="112"/>
      <c r="CTA11" s="112"/>
      <c r="CTB11" s="112"/>
      <c r="CTC11" s="112"/>
      <c r="CTD11" s="112"/>
      <c r="CTE11" s="112"/>
      <c r="CTF11" s="112"/>
      <c r="CTG11" s="112"/>
      <c r="CTH11" s="112"/>
      <c r="CTI11" s="112"/>
      <c r="CTJ11" s="112"/>
      <c r="CTK11" s="112"/>
      <c r="CTL11" s="112"/>
      <c r="CTM11" s="112"/>
      <c r="CTN11" s="112"/>
      <c r="CTO11" s="112"/>
      <c r="CTP11" s="112"/>
      <c r="CTQ11" s="112"/>
      <c r="CTR11" s="112"/>
      <c r="CTS11" s="112"/>
      <c r="CTT11" s="112"/>
      <c r="CTU11" s="112"/>
      <c r="CTV11" s="112"/>
      <c r="CTW11" s="112"/>
      <c r="CTX11" s="112"/>
      <c r="CTY11" s="112"/>
      <c r="CTZ11" s="112"/>
      <c r="CUA11" s="112"/>
      <c r="CUB11" s="112"/>
      <c r="CUC11" s="112"/>
      <c r="CUD11" s="112"/>
      <c r="CUE11" s="112"/>
      <c r="CUF11" s="112"/>
      <c r="CUG11" s="112"/>
      <c r="CUH11" s="112"/>
      <c r="CUI11" s="112"/>
      <c r="CUJ11" s="112"/>
      <c r="CUK11" s="112"/>
      <c r="CUL11" s="112"/>
      <c r="CUM11" s="112"/>
      <c r="CUN11" s="112"/>
      <c r="CUO11" s="112"/>
      <c r="CUP11" s="112"/>
      <c r="CUQ11" s="112"/>
      <c r="CUR11" s="112"/>
      <c r="CUS11" s="112"/>
      <c r="CUT11" s="112"/>
      <c r="CUU11" s="112"/>
      <c r="CUV11" s="112"/>
      <c r="CUW11" s="112"/>
      <c r="CUX11" s="112"/>
      <c r="CUY11" s="112"/>
      <c r="CUZ11" s="112"/>
      <c r="CVA11" s="112"/>
      <c r="CVB11" s="112"/>
      <c r="CVC11" s="112"/>
      <c r="CVD11" s="112"/>
      <c r="CVE11" s="112"/>
      <c r="CVF11" s="112"/>
      <c r="CVG11" s="112"/>
      <c r="CVH11" s="112"/>
      <c r="CVI11" s="112"/>
      <c r="CVJ11" s="112"/>
      <c r="CVK11" s="112"/>
      <c r="CVL11" s="112"/>
      <c r="CVM11" s="112"/>
      <c r="CVN11" s="112"/>
      <c r="CVO11" s="112"/>
      <c r="CVP11" s="112"/>
      <c r="CVQ11" s="112"/>
      <c r="CVR11" s="112"/>
      <c r="CVS11" s="112"/>
      <c r="CVT11" s="112"/>
      <c r="CVU11" s="112"/>
      <c r="CVV11" s="112"/>
      <c r="CVW11" s="112"/>
      <c r="CVX11" s="112"/>
      <c r="CVY11" s="112"/>
      <c r="CVZ11" s="112"/>
      <c r="CWA11" s="112"/>
      <c r="CWB11" s="112"/>
      <c r="CWC11" s="112"/>
      <c r="CWD11" s="112"/>
      <c r="CWE11" s="112"/>
      <c r="CWF11" s="112"/>
      <c r="CWG11" s="112"/>
      <c r="CWH11" s="112"/>
      <c r="CWI11" s="112"/>
      <c r="CWJ11" s="112"/>
      <c r="CWK11" s="112"/>
      <c r="CWL11" s="112"/>
      <c r="CWM11" s="112"/>
      <c r="CWN11" s="112"/>
      <c r="CWO11" s="112"/>
      <c r="CWP11" s="112"/>
      <c r="CWQ11" s="112"/>
      <c r="CWR11" s="112"/>
      <c r="CWS11" s="112"/>
      <c r="CWT11" s="112"/>
      <c r="CWU11" s="112"/>
      <c r="CWV11" s="112"/>
      <c r="CWW11" s="112"/>
      <c r="CWX11" s="112"/>
      <c r="CWY11" s="112"/>
      <c r="CWZ11" s="112"/>
      <c r="CXA11" s="112"/>
      <c r="CXB11" s="112"/>
      <c r="CXC11" s="112"/>
      <c r="CXD11" s="112"/>
      <c r="CXE11" s="112"/>
      <c r="CXF11" s="112"/>
      <c r="CXG11" s="112"/>
      <c r="CXH11" s="112"/>
      <c r="CXI11" s="112"/>
      <c r="CXJ11" s="112"/>
      <c r="CXK11" s="112"/>
      <c r="CXL11" s="112"/>
      <c r="CXM11" s="112"/>
      <c r="CXN11" s="112"/>
      <c r="CXO11" s="112"/>
      <c r="CXP11" s="112"/>
      <c r="CXQ11" s="112"/>
      <c r="CXR11" s="112"/>
      <c r="CXS11" s="112"/>
      <c r="CXT11" s="112"/>
      <c r="CXU11" s="112"/>
      <c r="CXV11" s="112"/>
      <c r="CXW11" s="112"/>
      <c r="CXX11" s="112"/>
      <c r="CXY11" s="112"/>
      <c r="CXZ11" s="112"/>
      <c r="CYA11" s="112"/>
      <c r="CYB11" s="112"/>
      <c r="CYC11" s="112"/>
      <c r="CYD11" s="112"/>
      <c r="CYE11" s="112"/>
      <c r="CYF11" s="112"/>
      <c r="CYG11" s="112"/>
      <c r="CYH11" s="112"/>
      <c r="CYI11" s="112"/>
      <c r="CYJ11" s="112"/>
      <c r="CYK11" s="112"/>
      <c r="CYL11" s="112"/>
      <c r="CYM11" s="112"/>
      <c r="CYN11" s="112"/>
      <c r="CYO11" s="112"/>
      <c r="CYP11" s="112"/>
      <c r="CYQ11" s="112"/>
      <c r="CYR11" s="112"/>
      <c r="CYS11" s="112"/>
      <c r="CYT11" s="112"/>
      <c r="CYU11" s="112"/>
      <c r="CYV11" s="112"/>
      <c r="CYW11" s="112"/>
      <c r="CYX11" s="112"/>
      <c r="CYY11" s="112"/>
      <c r="CYZ11" s="112"/>
      <c r="CZA11" s="112"/>
      <c r="CZB11" s="112"/>
      <c r="CZC11" s="112"/>
      <c r="CZD11" s="112"/>
      <c r="CZE11" s="112"/>
      <c r="CZF11" s="112"/>
      <c r="CZG11" s="112"/>
      <c r="CZH11" s="112"/>
      <c r="CZI11" s="112"/>
      <c r="CZJ11" s="112"/>
      <c r="CZK11" s="112"/>
      <c r="CZL11" s="112"/>
      <c r="CZM11" s="112"/>
      <c r="CZN11" s="112"/>
      <c r="CZO11" s="112"/>
      <c r="CZP11" s="112"/>
      <c r="CZQ11" s="112"/>
      <c r="CZR11" s="112"/>
      <c r="CZS11" s="112"/>
      <c r="CZT11" s="112"/>
      <c r="CZU11" s="112"/>
      <c r="CZV11" s="112"/>
      <c r="CZW11" s="112"/>
      <c r="CZX11" s="112"/>
      <c r="CZY11" s="112"/>
      <c r="CZZ11" s="112"/>
      <c r="DAA11" s="112"/>
      <c r="DAB11" s="112"/>
      <c r="DAC11" s="112"/>
      <c r="DAD11" s="112"/>
      <c r="DAE11" s="112"/>
      <c r="DAF11" s="112"/>
      <c r="DAG11" s="112"/>
      <c r="DAH11" s="112"/>
      <c r="DAI11" s="112"/>
      <c r="DAJ11" s="112"/>
      <c r="DAK11" s="112"/>
      <c r="DAL11" s="112"/>
      <c r="DAM11" s="112"/>
      <c r="DAN11" s="112"/>
      <c r="DAO11" s="112"/>
      <c r="DAP11" s="112"/>
      <c r="DAQ11" s="112"/>
      <c r="DAR11" s="112"/>
      <c r="DAS11" s="112"/>
      <c r="DAT11" s="112"/>
      <c r="DAU11" s="112"/>
      <c r="DAV11" s="112"/>
      <c r="DAW11" s="112"/>
      <c r="DAX11" s="112"/>
      <c r="DAY11" s="112"/>
      <c r="DAZ11" s="112"/>
      <c r="DBA11" s="112"/>
      <c r="DBB11" s="112"/>
      <c r="DBC11" s="112"/>
      <c r="DBD11" s="112"/>
      <c r="DBE11" s="112"/>
      <c r="DBF11" s="112"/>
      <c r="DBG11" s="112"/>
      <c r="DBH11" s="112"/>
      <c r="DBI11" s="112"/>
      <c r="DBJ11" s="112"/>
      <c r="DBK11" s="112"/>
      <c r="DBL11" s="112"/>
      <c r="DBM11" s="112"/>
      <c r="DBN11" s="112"/>
      <c r="DBO11" s="112"/>
      <c r="DBP11" s="112"/>
      <c r="DBQ11" s="112"/>
      <c r="DBR11" s="112"/>
      <c r="DBS11" s="112"/>
      <c r="DBT11" s="112"/>
      <c r="DBU11" s="112"/>
      <c r="DBV11" s="112"/>
      <c r="DBW11" s="112"/>
      <c r="DBX11" s="112"/>
      <c r="DBY11" s="112"/>
      <c r="DBZ11" s="112"/>
      <c r="DCA11" s="112"/>
      <c r="DCB11" s="112"/>
      <c r="DCC11" s="112"/>
      <c r="DCD11" s="112"/>
      <c r="DCE11" s="112"/>
      <c r="DCF11" s="112"/>
      <c r="DCG11" s="112"/>
      <c r="DCH11" s="112"/>
      <c r="DCI11" s="112"/>
      <c r="DCJ11" s="112"/>
      <c r="DCK11" s="112"/>
      <c r="DCL11" s="112"/>
      <c r="DCM11" s="112"/>
      <c r="DCN11" s="112"/>
      <c r="DCO11" s="112"/>
      <c r="DCP11" s="112"/>
      <c r="DCQ11" s="112"/>
      <c r="DCR11" s="112"/>
      <c r="DCS11" s="112"/>
      <c r="DCT11" s="112"/>
      <c r="DCU11" s="112"/>
      <c r="DCV11" s="112"/>
      <c r="DCW11" s="112"/>
      <c r="DCX11" s="112"/>
      <c r="DCY11" s="112"/>
      <c r="DCZ11" s="112"/>
      <c r="DDA11" s="112"/>
      <c r="DDB11" s="112"/>
      <c r="DDC11" s="112"/>
      <c r="DDD11" s="112"/>
      <c r="DDE11" s="112"/>
      <c r="DDF11" s="112"/>
      <c r="DDG11" s="112"/>
      <c r="DDH11" s="112"/>
      <c r="DDI11" s="112"/>
      <c r="DDJ11" s="112"/>
      <c r="DDK11" s="112"/>
      <c r="DDL11" s="112"/>
      <c r="DDM11" s="112"/>
      <c r="DDN11" s="112"/>
      <c r="DDO11" s="112"/>
      <c r="DDP11" s="112"/>
      <c r="DDQ11" s="112"/>
      <c r="DDR11" s="112"/>
      <c r="DDS11" s="112"/>
      <c r="DDT11" s="112"/>
      <c r="DDU11" s="112"/>
      <c r="DDV11" s="112"/>
      <c r="DDW11" s="112"/>
      <c r="DDX11" s="112"/>
      <c r="DDY11" s="112"/>
      <c r="DDZ11" s="112"/>
      <c r="DEA11" s="112"/>
      <c r="DEB11" s="112"/>
      <c r="DEC11" s="112"/>
      <c r="DED11" s="112"/>
      <c r="DEE11" s="112"/>
      <c r="DEF11" s="112"/>
      <c r="DEG11" s="112"/>
      <c r="DEH11" s="112"/>
      <c r="DEI11" s="112"/>
      <c r="DEJ11" s="112"/>
      <c r="DEK11" s="112"/>
      <c r="DEL11" s="112"/>
      <c r="DEM11" s="112"/>
      <c r="DEN11" s="112"/>
      <c r="DEO11" s="112"/>
      <c r="DEP11" s="112"/>
      <c r="DEQ11" s="112"/>
      <c r="DER11" s="112"/>
      <c r="DES11" s="112"/>
      <c r="DET11" s="112"/>
      <c r="DEU11" s="112"/>
      <c r="DEV11" s="112"/>
      <c r="DEW11" s="112"/>
      <c r="DEX11" s="112"/>
      <c r="DEY11" s="112"/>
      <c r="DEZ11" s="112"/>
      <c r="DFA11" s="112"/>
      <c r="DFB11" s="112"/>
      <c r="DFC11" s="112"/>
      <c r="DFD11" s="112"/>
      <c r="DFE11" s="112"/>
      <c r="DFF11" s="112"/>
      <c r="DFG11" s="112"/>
      <c r="DFH11" s="112"/>
      <c r="DFI11" s="112"/>
      <c r="DFJ11" s="112"/>
      <c r="DFK11" s="112"/>
      <c r="DFL11" s="112"/>
      <c r="DFM11" s="112"/>
      <c r="DFN11" s="112"/>
      <c r="DFO11" s="112"/>
      <c r="DFP11" s="112"/>
      <c r="DFQ11" s="112"/>
      <c r="DFR11" s="112"/>
      <c r="DFS11" s="112"/>
      <c r="DFT11" s="112"/>
      <c r="DFU11" s="112"/>
      <c r="DFV11" s="112"/>
      <c r="DFW11" s="112"/>
      <c r="DFX11" s="112"/>
      <c r="DFY11" s="112"/>
      <c r="DFZ11" s="112"/>
      <c r="DGA11" s="112"/>
      <c r="DGB11" s="112"/>
      <c r="DGC11" s="112"/>
      <c r="DGD11" s="112"/>
      <c r="DGE11" s="112"/>
      <c r="DGF11" s="112"/>
      <c r="DGG11" s="112"/>
      <c r="DGH11" s="112"/>
      <c r="DGI11" s="112"/>
      <c r="DGJ11" s="112"/>
      <c r="DGK11" s="112"/>
      <c r="DGL11" s="112"/>
      <c r="DGM11" s="112"/>
      <c r="DGN11" s="112"/>
      <c r="DGO11" s="112"/>
      <c r="DGP11" s="112"/>
      <c r="DGQ11" s="112"/>
      <c r="DGR11" s="112"/>
      <c r="DGS11" s="112"/>
      <c r="DGT11" s="112"/>
      <c r="DGU11" s="112"/>
      <c r="DGV11" s="112"/>
      <c r="DGW11" s="112"/>
      <c r="DGX11" s="112"/>
      <c r="DGY11" s="112"/>
      <c r="DGZ11" s="112"/>
      <c r="DHA11" s="112"/>
      <c r="DHB11" s="112"/>
      <c r="DHC11" s="112"/>
      <c r="DHD11" s="112"/>
      <c r="DHE11" s="112"/>
      <c r="DHF11" s="112"/>
      <c r="DHG11" s="112"/>
      <c r="DHH11" s="112"/>
      <c r="DHI11" s="112"/>
      <c r="DHJ11" s="112"/>
      <c r="DHK11" s="112"/>
      <c r="DHL11" s="112"/>
      <c r="DHM11" s="112"/>
      <c r="DHN11" s="112"/>
      <c r="DHO11" s="112"/>
      <c r="DHP11" s="112"/>
      <c r="DHQ11" s="112"/>
      <c r="DHR11" s="112"/>
      <c r="DHS11" s="112"/>
      <c r="DHT11" s="112"/>
      <c r="DHU11" s="112"/>
      <c r="DHV11" s="112"/>
      <c r="DHW11" s="112"/>
      <c r="DHX11" s="112"/>
      <c r="DHY11" s="112"/>
      <c r="DHZ11" s="112"/>
      <c r="DIA11" s="112"/>
      <c r="DIB11" s="112"/>
      <c r="DIC11" s="112"/>
      <c r="DID11" s="112"/>
      <c r="DIE11" s="112"/>
      <c r="DIF11" s="112"/>
      <c r="DIG11" s="112"/>
      <c r="DIH11" s="112"/>
      <c r="DII11" s="112"/>
      <c r="DIJ11" s="112"/>
      <c r="DIK11" s="112"/>
      <c r="DIL11" s="112"/>
      <c r="DIM11" s="112"/>
      <c r="DIN11" s="112"/>
      <c r="DIO11" s="112"/>
      <c r="DIP11" s="112"/>
      <c r="DIQ11" s="112"/>
      <c r="DIR11" s="112"/>
      <c r="DIS11" s="112"/>
      <c r="DIT11" s="112"/>
      <c r="DIU11" s="112"/>
      <c r="DIV11" s="112"/>
      <c r="DIW11" s="112"/>
      <c r="DIX11" s="112"/>
      <c r="DIY11" s="112"/>
      <c r="DIZ11" s="112"/>
      <c r="DJA11" s="112"/>
      <c r="DJB11" s="112"/>
      <c r="DJC11" s="112"/>
      <c r="DJD11" s="112"/>
      <c r="DJE11" s="112"/>
      <c r="DJF11" s="112"/>
      <c r="DJG11" s="112"/>
      <c r="DJH11" s="112"/>
      <c r="DJI11" s="112"/>
      <c r="DJJ11" s="112"/>
      <c r="DJK11" s="112"/>
      <c r="DJL11" s="112"/>
      <c r="DJM11" s="112"/>
      <c r="DJN11" s="112"/>
      <c r="DJO11" s="112"/>
      <c r="DJP11" s="112"/>
      <c r="DJQ11" s="112"/>
      <c r="DJR11" s="112"/>
      <c r="DJS11" s="112"/>
      <c r="DJT11" s="112"/>
      <c r="DJU11" s="112"/>
      <c r="DJV11" s="112"/>
      <c r="DJW11" s="112"/>
      <c r="DJX11" s="112"/>
      <c r="DJY11" s="112"/>
      <c r="DJZ11" s="112"/>
      <c r="DKA11" s="112"/>
      <c r="DKB11" s="112"/>
      <c r="DKC11" s="112"/>
      <c r="DKD11" s="112"/>
      <c r="DKE11" s="112"/>
      <c r="DKF11" s="112"/>
      <c r="DKG11" s="112"/>
      <c r="DKH11" s="112"/>
      <c r="DKI11" s="112"/>
      <c r="DKJ11" s="112"/>
      <c r="DKK11" s="112"/>
      <c r="DKL11" s="112"/>
      <c r="DKM11" s="112"/>
      <c r="DKN11" s="112"/>
      <c r="DKO11" s="112"/>
      <c r="DKP11" s="112"/>
      <c r="DKQ11" s="112"/>
      <c r="DKR11" s="112"/>
      <c r="DKS11" s="112"/>
      <c r="DKT11" s="112"/>
      <c r="DKU11" s="112"/>
      <c r="DKV11" s="112"/>
      <c r="DKW11" s="112"/>
      <c r="DKX11" s="112"/>
      <c r="DKY11" s="112"/>
      <c r="DKZ11" s="112"/>
      <c r="DLA11" s="112"/>
      <c r="DLB11" s="112"/>
      <c r="DLC11" s="112"/>
      <c r="DLD11" s="112"/>
      <c r="DLE11" s="112"/>
      <c r="DLF11" s="112"/>
      <c r="DLG11" s="112"/>
      <c r="DLH11" s="112"/>
      <c r="DLI11" s="112"/>
      <c r="DLJ11" s="112"/>
      <c r="DLK11" s="112"/>
      <c r="DLL11" s="112"/>
      <c r="DLM11" s="112"/>
      <c r="DLN11" s="112"/>
      <c r="DLO11" s="112"/>
      <c r="DLP11" s="112"/>
      <c r="DLQ11" s="112"/>
      <c r="DLR11" s="112"/>
      <c r="DLS11" s="112"/>
      <c r="DLT11" s="112"/>
      <c r="DLU11" s="112"/>
      <c r="DLV11" s="112"/>
      <c r="DLW11" s="112"/>
      <c r="DLX11" s="112"/>
      <c r="DLY11" s="112"/>
      <c r="DLZ11" s="112"/>
      <c r="DMA11" s="112"/>
      <c r="DMB11" s="112"/>
      <c r="DMC11" s="112"/>
      <c r="DMD11" s="112"/>
      <c r="DME11" s="112"/>
      <c r="DMF11" s="112"/>
      <c r="DMG11" s="112"/>
      <c r="DMH11" s="112"/>
      <c r="DMI11" s="112"/>
      <c r="DMJ11" s="112"/>
      <c r="DMK11" s="112"/>
      <c r="DML11" s="112"/>
      <c r="DMM11" s="112"/>
      <c r="DMN11" s="112"/>
      <c r="DMO11" s="112"/>
      <c r="DMP11" s="112"/>
      <c r="DMQ11" s="112"/>
      <c r="DMR11" s="112"/>
      <c r="DMS11" s="112"/>
      <c r="DMT11" s="112"/>
      <c r="DMU11" s="112"/>
      <c r="DMV11" s="112"/>
      <c r="DMW11" s="112"/>
      <c r="DMX11" s="112"/>
      <c r="DMY11" s="112"/>
      <c r="DMZ11" s="112"/>
      <c r="DNA11" s="112"/>
      <c r="DNB11" s="112"/>
      <c r="DNC11" s="112"/>
      <c r="DND11" s="112"/>
      <c r="DNE11" s="112"/>
      <c r="DNF11" s="112"/>
      <c r="DNG11" s="112"/>
      <c r="DNH11" s="112"/>
      <c r="DNI11" s="112"/>
      <c r="DNJ11" s="112"/>
      <c r="DNK11" s="112"/>
      <c r="DNL11" s="112"/>
      <c r="DNM11" s="112"/>
      <c r="DNN11" s="112"/>
      <c r="DNO11" s="112"/>
      <c r="DNP11" s="112"/>
      <c r="DNQ11" s="112"/>
      <c r="DNR11" s="112"/>
      <c r="DNS11" s="112"/>
      <c r="DNT11" s="112"/>
      <c r="DNU11" s="112"/>
      <c r="DNV11" s="112"/>
      <c r="DNW11" s="112"/>
      <c r="DNX11" s="112"/>
      <c r="DNY11" s="112"/>
      <c r="DNZ11" s="112"/>
      <c r="DOA11" s="112"/>
      <c r="DOB11" s="112"/>
      <c r="DOC11" s="112"/>
      <c r="DOD11" s="112"/>
      <c r="DOE11" s="112"/>
      <c r="DOF11" s="112"/>
      <c r="DOG11" s="112"/>
      <c r="DOH11" s="112"/>
      <c r="DOI11" s="112"/>
      <c r="DOJ11" s="112"/>
      <c r="DOK11" s="112"/>
      <c r="DOL11" s="112"/>
      <c r="DOM11" s="112"/>
      <c r="DON11" s="112"/>
      <c r="DOO11" s="112"/>
      <c r="DOP11" s="112"/>
      <c r="DOQ11" s="112"/>
      <c r="DOR11" s="112"/>
      <c r="DOS11" s="112"/>
      <c r="DOT11" s="112"/>
      <c r="DOU11" s="112"/>
      <c r="DOV11" s="112"/>
      <c r="DOW11" s="112"/>
      <c r="DOX11" s="112"/>
      <c r="DOY11" s="112"/>
      <c r="DOZ11" s="112"/>
      <c r="DPA11" s="112"/>
      <c r="DPB11" s="112"/>
      <c r="DPC11" s="112"/>
      <c r="DPD11" s="112"/>
      <c r="DPE11" s="112"/>
      <c r="DPF11" s="112"/>
      <c r="DPG11" s="112"/>
      <c r="DPH11" s="112"/>
      <c r="DPI11" s="112"/>
      <c r="DPJ11" s="112"/>
      <c r="DPK11" s="112"/>
      <c r="DPL11" s="112"/>
      <c r="DPM11" s="112"/>
      <c r="DPN11" s="112"/>
      <c r="DPO11" s="112"/>
      <c r="DPP11" s="112"/>
      <c r="DPQ11" s="112"/>
      <c r="DPR11" s="112"/>
      <c r="DPS11" s="112"/>
      <c r="DPT11" s="112"/>
      <c r="DPU11" s="112"/>
      <c r="DPV11" s="112"/>
      <c r="DPW11" s="112"/>
      <c r="DPX11" s="112"/>
      <c r="DPY11" s="112"/>
      <c r="DPZ11" s="112"/>
      <c r="DQA11" s="112"/>
      <c r="DQB11" s="112"/>
      <c r="DQC11" s="112"/>
      <c r="DQD11" s="112"/>
      <c r="DQE11" s="112"/>
      <c r="DQF11" s="112"/>
      <c r="DQG11" s="112"/>
      <c r="DQH11" s="112"/>
      <c r="DQI11" s="112"/>
      <c r="DQJ11" s="112"/>
      <c r="DQK11" s="112"/>
      <c r="DQL11" s="112"/>
      <c r="DQM11" s="112"/>
      <c r="DQN11" s="112"/>
      <c r="DQO11" s="112"/>
      <c r="DQP11" s="112"/>
      <c r="DQQ11" s="112"/>
      <c r="DQR11" s="112"/>
      <c r="DQS11" s="112"/>
      <c r="DQT11" s="112"/>
      <c r="DQU11" s="112"/>
      <c r="DQV11" s="112"/>
      <c r="DQW11" s="112"/>
      <c r="DQX11" s="112"/>
      <c r="DQY11" s="112"/>
      <c r="DQZ11" s="112"/>
      <c r="DRA11" s="112"/>
      <c r="DRB11" s="112"/>
      <c r="DRC11" s="112"/>
      <c r="DRD11" s="112"/>
      <c r="DRE11" s="112"/>
      <c r="DRF11" s="112"/>
      <c r="DRG11" s="112"/>
      <c r="DRH11" s="112"/>
      <c r="DRI11" s="112"/>
      <c r="DRJ11" s="112"/>
      <c r="DRK11" s="112"/>
      <c r="DRL11" s="112"/>
      <c r="DRM11" s="112"/>
      <c r="DRN11" s="112"/>
      <c r="DRO11" s="112"/>
      <c r="DRP11" s="112"/>
      <c r="DRQ11" s="112"/>
      <c r="DRR11" s="112"/>
      <c r="DRS11" s="112"/>
      <c r="DRT11" s="112"/>
      <c r="DRU11" s="112"/>
      <c r="DRV11" s="112"/>
      <c r="DRW11" s="112"/>
      <c r="DRX11" s="112"/>
      <c r="DRY11" s="112"/>
      <c r="DRZ11" s="112"/>
      <c r="DSA11" s="112"/>
      <c r="DSB11" s="112"/>
      <c r="DSC11" s="112"/>
      <c r="DSD11" s="112"/>
      <c r="DSE11" s="112"/>
      <c r="DSF11" s="112"/>
      <c r="DSG11" s="112"/>
      <c r="DSH11" s="112"/>
      <c r="DSI11" s="112"/>
      <c r="DSJ11" s="112"/>
      <c r="DSK11" s="112"/>
      <c r="DSL11" s="112"/>
      <c r="DSM11" s="112"/>
      <c r="DSN11" s="112"/>
      <c r="DSO11" s="112"/>
      <c r="DSP11" s="112"/>
      <c r="DSQ11" s="112"/>
      <c r="DSR11" s="112"/>
      <c r="DSS11" s="112"/>
      <c r="DST11" s="112"/>
      <c r="DSU11" s="112"/>
      <c r="DSV11" s="112"/>
      <c r="DSW11" s="112"/>
      <c r="DSX11" s="112"/>
      <c r="DSY11" s="112"/>
      <c r="DSZ11" s="112"/>
      <c r="DTA11" s="112"/>
      <c r="DTB11" s="112"/>
      <c r="DTC11" s="112"/>
      <c r="DTD11" s="112"/>
      <c r="DTE11" s="112"/>
      <c r="DTF11" s="112"/>
      <c r="DTG11" s="112"/>
      <c r="DTH11" s="112"/>
      <c r="DTI11" s="112"/>
      <c r="DTJ11" s="112"/>
      <c r="DTK11" s="112"/>
      <c r="DTL11" s="112"/>
      <c r="DTM11" s="112"/>
      <c r="DTN11" s="112"/>
      <c r="DTO11" s="112"/>
      <c r="DTP11" s="112"/>
      <c r="DTQ11" s="112"/>
      <c r="DTR11" s="112"/>
      <c r="DTS11" s="112"/>
      <c r="DTT11" s="112"/>
      <c r="DTU11" s="112"/>
      <c r="DTV11" s="112"/>
      <c r="DTW11" s="112"/>
      <c r="DTX11" s="112"/>
      <c r="DTY11" s="112"/>
      <c r="DTZ11" s="112"/>
      <c r="DUA11" s="112"/>
      <c r="DUB11" s="112"/>
      <c r="DUC11" s="112"/>
      <c r="DUD11" s="112"/>
      <c r="DUE11" s="112"/>
      <c r="DUF11" s="112"/>
      <c r="DUG11" s="112"/>
      <c r="DUH11" s="112"/>
      <c r="DUI11" s="112"/>
      <c r="DUJ11" s="112"/>
      <c r="DUK11" s="112"/>
      <c r="DUL11" s="112"/>
      <c r="DUM11" s="112"/>
      <c r="DUN11" s="112"/>
      <c r="DUO11" s="112"/>
      <c r="DUP11" s="112"/>
      <c r="DUQ11" s="112"/>
      <c r="DUR11" s="112"/>
      <c r="DUS11" s="112"/>
      <c r="DUT11" s="112"/>
      <c r="DUU11" s="112"/>
      <c r="DUV11" s="112"/>
      <c r="DUW11" s="112"/>
      <c r="DUX11" s="112"/>
      <c r="DUY11" s="112"/>
      <c r="DUZ11" s="112"/>
      <c r="DVA11" s="112"/>
      <c r="DVB11" s="112"/>
      <c r="DVC11" s="112"/>
      <c r="DVD11" s="112"/>
      <c r="DVE11" s="112"/>
      <c r="DVF11" s="112"/>
      <c r="DVG11" s="112"/>
      <c r="DVH11" s="112"/>
      <c r="DVI11" s="112"/>
      <c r="DVJ11" s="112"/>
      <c r="DVK11" s="112"/>
      <c r="DVL11" s="112"/>
      <c r="DVM11" s="112"/>
      <c r="DVN11" s="112"/>
      <c r="DVO11" s="112"/>
      <c r="DVP11" s="112"/>
      <c r="DVQ11" s="112"/>
      <c r="DVR11" s="112"/>
      <c r="DVS11" s="112"/>
      <c r="DVT11" s="112"/>
      <c r="DVU11" s="112"/>
      <c r="DVV11" s="112"/>
      <c r="DVW11" s="112"/>
      <c r="DVX11" s="112"/>
      <c r="DVY11" s="112"/>
      <c r="DVZ11" s="112"/>
      <c r="DWA11" s="112"/>
      <c r="DWB11" s="112"/>
      <c r="DWC11" s="112"/>
      <c r="DWD11" s="112"/>
      <c r="DWE11" s="112"/>
      <c r="DWF11" s="112"/>
      <c r="DWG11" s="112"/>
      <c r="DWH11" s="112"/>
      <c r="DWI11" s="112"/>
      <c r="DWJ11" s="112"/>
      <c r="DWK11" s="112"/>
      <c r="DWL11" s="112"/>
      <c r="DWM11" s="112"/>
      <c r="DWN11" s="112"/>
      <c r="DWO11" s="112"/>
      <c r="DWP11" s="112"/>
      <c r="DWQ11" s="112"/>
      <c r="DWR11" s="112"/>
      <c r="DWS11" s="112"/>
      <c r="DWT11" s="112"/>
      <c r="DWU11" s="112"/>
      <c r="DWV11" s="112"/>
      <c r="DWW11" s="112"/>
      <c r="DWX11" s="112"/>
      <c r="DWY11" s="112"/>
      <c r="DWZ11" s="112"/>
      <c r="DXA11" s="112"/>
      <c r="DXB11" s="112"/>
      <c r="DXC11" s="112"/>
      <c r="DXD11" s="112"/>
      <c r="DXE11" s="112"/>
      <c r="DXF11" s="112"/>
      <c r="DXG11" s="112"/>
      <c r="DXH11" s="112"/>
      <c r="DXI11" s="112"/>
      <c r="DXJ11" s="112"/>
      <c r="DXK11" s="112"/>
      <c r="DXL11" s="112"/>
      <c r="DXM11" s="112"/>
      <c r="DXN11" s="112"/>
      <c r="DXO11" s="112"/>
      <c r="DXP11" s="112"/>
      <c r="DXQ11" s="112"/>
      <c r="DXR11" s="112"/>
      <c r="DXS11" s="112"/>
      <c r="DXT11" s="112"/>
      <c r="DXU11" s="112"/>
      <c r="DXV11" s="112"/>
      <c r="DXW11" s="112"/>
      <c r="DXX11" s="112"/>
      <c r="DXY11" s="112"/>
      <c r="DXZ11" s="112"/>
      <c r="DYA11" s="112"/>
      <c r="DYB11" s="112"/>
      <c r="DYC11" s="112"/>
      <c r="DYD11" s="112"/>
      <c r="DYE11" s="112"/>
      <c r="DYF11" s="112"/>
      <c r="DYG11" s="112"/>
      <c r="DYH11" s="112"/>
      <c r="DYI11" s="112"/>
      <c r="DYJ11" s="112"/>
      <c r="DYK11" s="112"/>
      <c r="DYL11" s="112"/>
      <c r="DYM11" s="112"/>
      <c r="DYN11" s="112"/>
      <c r="DYO11" s="112"/>
      <c r="DYP11" s="112"/>
      <c r="DYQ11" s="112"/>
      <c r="DYR11" s="112"/>
      <c r="DYS11" s="112"/>
      <c r="DYT11" s="112"/>
      <c r="DYU11" s="112"/>
      <c r="DYV11" s="112"/>
      <c r="DYW11" s="112"/>
      <c r="DYX11" s="112"/>
      <c r="DYY11" s="112"/>
      <c r="DYZ11" s="112"/>
      <c r="DZA11" s="112"/>
      <c r="DZB11" s="112"/>
      <c r="DZC11" s="112"/>
      <c r="DZD11" s="112"/>
      <c r="DZE11" s="112"/>
      <c r="DZF11" s="112"/>
      <c r="DZG11" s="112"/>
      <c r="DZH11" s="112"/>
      <c r="DZI11" s="112"/>
      <c r="DZJ11" s="112"/>
      <c r="DZK11" s="112"/>
      <c r="DZL11" s="112"/>
      <c r="DZM11" s="112"/>
      <c r="DZN11" s="112"/>
      <c r="DZO11" s="112"/>
      <c r="DZP11" s="112"/>
      <c r="DZQ11" s="112"/>
      <c r="DZR11" s="112"/>
      <c r="DZS11" s="112"/>
      <c r="DZT11" s="112"/>
      <c r="DZU11" s="112"/>
      <c r="DZV11" s="112"/>
      <c r="DZW11" s="112"/>
      <c r="DZX11" s="112"/>
      <c r="DZY11" s="112"/>
      <c r="DZZ11" s="112"/>
      <c r="EAA11" s="112"/>
      <c r="EAB11" s="112"/>
      <c r="EAC11" s="112"/>
      <c r="EAD11" s="112"/>
      <c r="EAE11" s="112"/>
      <c r="EAF11" s="112"/>
      <c r="EAG11" s="112"/>
      <c r="EAH11" s="112"/>
      <c r="EAI11" s="112"/>
      <c r="EAJ11" s="112"/>
      <c r="EAK11" s="112"/>
      <c r="EAL11" s="112"/>
      <c r="EAM11" s="112"/>
      <c r="EAN11" s="112"/>
      <c r="EAO11" s="112"/>
      <c r="EAP11" s="112"/>
      <c r="EAQ11" s="112"/>
      <c r="EAR11" s="112"/>
      <c r="EAS11" s="112"/>
      <c r="EAT11" s="112"/>
      <c r="EAU11" s="112"/>
      <c r="EAV11" s="112"/>
      <c r="EAW11" s="112"/>
      <c r="EAX11" s="112"/>
      <c r="EAY11" s="112"/>
      <c r="EAZ11" s="112"/>
      <c r="EBA11" s="112"/>
      <c r="EBB11" s="112"/>
      <c r="EBC11" s="112"/>
      <c r="EBD11" s="112"/>
      <c r="EBE11" s="112"/>
      <c r="EBF11" s="112"/>
      <c r="EBG11" s="112"/>
      <c r="EBH11" s="112"/>
      <c r="EBI11" s="112"/>
      <c r="EBJ11" s="112"/>
      <c r="EBK11" s="112"/>
      <c r="EBL11" s="112"/>
      <c r="EBM11" s="112"/>
      <c r="EBN11" s="112"/>
      <c r="EBO11" s="112"/>
      <c r="EBP11" s="112"/>
      <c r="EBQ11" s="112"/>
      <c r="EBR11" s="112"/>
      <c r="EBS11" s="112"/>
      <c r="EBT11" s="112"/>
      <c r="EBU11" s="112"/>
      <c r="EBV11" s="112"/>
      <c r="EBW11" s="112"/>
      <c r="EBX11" s="112"/>
      <c r="EBY11" s="112"/>
      <c r="EBZ11" s="112"/>
      <c r="ECA11" s="112"/>
      <c r="ECB11" s="112"/>
      <c r="ECC11" s="112"/>
      <c r="ECD11" s="112"/>
      <c r="ECE11" s="112"/>
      <c r="ECF11" s="112"/>
      <c r="ECG11" s="112"/>
      <c r="ECH11" s="112"/>
      <c r="ECI11" s="112"/>
      <c r="ECJ11" s="112"/>
      <c r="ECK11" s="112"/>
      <c r="ECL11" s="112"/>
      <c r="ECM11" s="112"/>
      <c r="ECN11" s="112"/>
      <c r="ECO11" s="112"/>
      <c r="ECP11" s="112"/>
      <c r="ECQ11" s="112"/>
      <c r="ECR11" s="112"/>
      <c r="ECS11" s="112"/>
      <c r="ECT11" s="112"/>
      <c r="ECU11" s="112"/>
      <c r="ECV11" s="112"/>
      <c r="ECW11" s="112"/>
      <c r="ECX11" s="112"/>
      <c r="ECY11" s="112"/>
      <c r="ECZ11" s="112"/>
      <c r="EDA11" s="112"/>
      <c r="EDB11" s="112"/>
      <c r="EDC11" s="112"/>
      <c r="EDD11" s="112"/>
      <c r="EDE11" s="112"/>
      <c r="EDF11" s="112"/>
      <c r="EDG11" s="112"/>
      <c r="EDH11" s="112"/>
      <c r="EDI11" s="112"/>
      <c r="EDJ11" s="112"/>
      <c r="EDK11" s="112"/>
      <c r="EDL11" s="112"/>
      <c r="EDM11" s="112"/>
      <c r="EDN11" s="112"/>
      <c r="EDO11" s="112"/>
      <c r="EDP11" s="112"/>
      <c r="EDQ11" s="112"/>
      <c r="EDR11" s="112"/>
      <c r="EDS11" s="112"/>
      <c r="EDT11" s="112"/>
      <c r="EDU11" s="112"/>
      <c r="EDV11" s="112"/>
      <c r="EDW11" s="112"/>
      <c r="EDX11" s="112"/>
      <c r="EDY11" s="112"/>
      <c r="EDZ11" s="112"/>
      <c r="EEA11" s="112"/>
      <c r="EEB11" s="112"/>
      <c r="EEC11" s="112"/>
      <c r="EED11" s="112"/>
      <c r="EEE11" s="112"/>
      <c r="EEF11" s="112"/>
      <c r="EEG11" s="112"/>
      <c r="EEH11" s="112"/>
      <c r="EEI11" s="112"/>
      <c r="EEJ11" s="112"/>
      <c r="EEK11" s="112"/>
      <c r="EEL11" s="112"/>
      <c r="EEM11" s="112"/>
      <c r="EEN11" s="112"/>
      <c r="EEO11" s="112"/>
      <c r="EEP11" s="112"/>
      <c r="EEQ11" s="112"/>
      <c r="EER11" s="112"/>
      <c r="EES11" s="112"/>
      <c r="EET11" s="112"/>
      <c r="EEU11" s="112"/>
      <c r="EEV11" s="112"/>
      <c r="EEW11" s="112"/>
      <c r="EEX11" s="112"/>
      <c r="EEY11" s="112"/>
      <c r="EEZ11" s="112"/>
      <c r="EFA11" s="112"/>
      <c r="EFB11" s="112"/>
      <c r="EFC11" s="112"/>
      <c r="EFD11" s="112"/>
      <c r="EFE11" s="112"/>
      <c r="EFF11" s="112"/>
      <c r="EFG11" s="112"/>
      <c r="EFH11" s="112"/>
      <c r="EFI11" s="112"/>
      <c r="EFJ11" s="112"/>
      <c r="EFK11" s="112"/>
      <c r="EFL11" s="112"/>
      <c r="EFM11" s="112"/>
      <c r="EFN11" s="112"/>
      <c r="EFO11" s="112"/>
      <c r="EFP11" s="112"/>
      <c r="EFQ11" s="112"/>
      <c r="EFR11" s="112"/>
      <c r="EFS11" s="112"/>
      <c r="EFT11" s="112"/>
      <c r="EFU11" s="112"/>
      <c r="EFV11" s="112"/>
      <c r="EFW11" s="112"/>
      <c r="EFX11" s="112"/>
      <c r="EFY11" s="112"/>
      <c r="EFZ11" s="112"/>
      <c r="EGA11" s="112"/>
      <c r="EGB11" s="112"/>
      <c r="EGC11" s="112"/>
      <c r="EGD11" s="112"/>
      <c r="EGE11" s="112"/>
      <c r="EGF11" s="112"/>
      <c r="EGG11" s="112"/>
      <c r="EGH11" s="112"/>
      <c r="EGI11" s="112"/>
      <c r="EGJ11" s="112"/>
      <c r="EGK11" s="112"/>
      <c r="EGL11" s="112"/>
      <c r="EGM11" s="112"/>
      <c r="EGN11" s="112"/>
      <c r="EGO11" s="112"/>
      <c r="EGP11" s="112"/>
      <c r="EGQ11" s="112"/>
      <c r="EGR11" s="112"/>
      <c r="EGS11" s="112"/>
      <c r="EGT11" s="112"/>
      <c r="EGU11" s="112"/>
      <c r="EGV11" s="112"/>
      <c r="EGW11" s="112"/>
      <c r="EGX11" s="112"/>
      <c r="EGY11" s="112"/>
      <c r="EGZ11" s="112"/>
      <c r="EHA11" s="112"/>
      <c r="EHB11" s="112"/>
      <c r="EHC11" s="112"/>
      <c r="EHD11" s="112"/>
      <c r="EHE11" s="112"/>
      <c r="EHF11" s="112"/>
      <c r="EHG11" s="112"/>
      <c r="EHH11" s="112"/>
      <c r="EHI11" s="112"/>
      <c r="EHJ11" s="112"/>
      <c r="EHK11" s="112"/>
      <c r="EHL11" s="112"/>
      <c r="EHM11" s="112"/>
      <c r="EHN11" s="112"/>
      <c r="EHO11" s="112"/>
      <c r="EHP11" s="112"/>
      <c r="EHQ11" s="112"/>
      <c r="EHR11" s="112"/>
      <c r="EHS11" s="112"/>
      <c r="EHT11" s="112"/>
      <c r="EHU11" s="112"/>
      <c r="EHV11" s="112"/>
      <c r="EHW11" s="112"/>
      <c r="EHX11" s="112"/>
      <c r="EHY11" s="112"/>
      <c r="EHZ11" s="112"/>
      <c r="EIA11" s="112"/>
      <c r="EIB11" s="112"/>
      <c r="EIC11" s="112"/>
      <c r="EID11" s="112"/>
      <c r="EIE11" s="112"/>
      <c r="EIF11" s="112"/>
      <c r="EIG11" s="112"/>
      <c r="EIH11" s="112"/>
      <c r="EII11" s="112"/>
      <c r="EIJ11" s="112"/>
      <c r="EIK11" s="112"/>
      <c r="EIL11" s="112"/>
      <c r="EIM11" s="112"/>
      <c r="EIN11" s="112"/>
      <c r="EIO11" s="112"/>
      <c r="EIP11" s="112"/>
      <c r="EIQ11" s="112"/>
      <c r="EIR11" s="112"/>
      <c r="EIS11" s="112"/>
      <c r="EIT11" s="112"/>
      <c r="EIU11" s="112"/>
      <c r="EIV11" s="112"/>
      <c r="EIW11" s="112"/>
      <c r="EIX11" s="112"/>
      <c r="EIY11" s="112"/>
      <c r="EIZ11" s="112"/>
      <c r="EJA11" s="112"/>
      <c r="EJB11" s="112"/>
      <c r="EJC11" s="112"/>
      <c r="EJD11" s="112"/>
      <c r="EJE11" s="112"/>
      <c r="EJF11" s="112"/>
      <c r="EJG11" s="112"/>
      <c r="EJH11" s="112"/>
      <c r="EJI11" s="112"/>
      <c r="EJJ11" s="112"/>
      <c r="EJK11" s="112"/>
      <c r="EJL11" s="112"/>
      <c r="EJM11" s="112"/>
      <c r="EJN11" s="112"/>
      <c r="EJO11" s="112"/>
      <c r="EJP11" s="112"/>
      <c r="EJQ11" s="112"/>
      <c r="EJR11" s="112"/>
      <c r="EJS11" s="112"/>
      <c r="EJT11" s="112"/>
      <c r="EJU11" s="112"/>
      <c r="EJV11" s="112"/>
      <c r="EJW11" s="112"/>
      <c r="EJX11" s="112"/>
      <c r="EJY11" s="112"/>
      <c r="EJZ11" s="112"/>
      <c r="EKA11" s="112"/>
      <c r="EKB11" s="112"/>
      <c r="EKC11" s="112"/>
      <c r="EKD11" s="112"/>
      <c r="EKE11" s="112"/>
      <c r="EKF11" s="112"/>
      <c r="EKG11" s="112"/>
      <c r="EKH11" s="112"/>
      <c r="EKI11" s="112"/>
      <c r="EKJ11" s="112"/>
      <c r="EKK11" s="112"/>
      <c r="EKL11" s="112"/>
      <c r="EKM11" s="112"/>
      <c r="EKN11" s="112"/>
      <c r="EKO11" s="112"/>
      <c r="EKP11" s="112"/>
      <c r="EKQ11" s="112"/>
      <c r="EKR11" s="112"/>
      <c r="EKS11" s="112"/>
      <c r="EKT11" s="112"/>
      <c r="EKU11" s="112"/>
      <c r="EKV11" s="112"/>
      <c r="EKW11" s="112"/>
      <c r="EKX11" s="112"/>
      <c r="EKY11" s="112"/>
      <c r="EKZ11" s="112"/>
      <c r="ELA11" s="112"/>
      <c r="ELB11" s="112"/>
      <c r="ELC11" s="112"/>
      <c r="ELD11" s="112"/>
      <c r="ELE11" s="112"/>
      <c r="ELF11" s="112"/>
      <c r="ELG11" s="112"/>
      <c r="ELH11" s="112"/>
      <c r="ELI11" s="112"/>
      <c r="ELJ11" s="112"/>
      <c r="ELK11" s="112"/>
      <c r="ELL11" s="112"/>
      <c r="ELM11" s="112"/>
      <c r="ELN11" s="112"/>
      <c r="ELO11" s="112"/>
      <c r="ELP11" s="112"/>
      <c r="ELQ11" s="112"/>
      <c r="ELR11" s="112"/>
      <c r="ELS11" s="112"/>
      <c r="ELT11" s="112"/>
      <c r="ELU11" s="112"/>
      <c r="ELV11" s="112"/>
      <c r="ELW11" s="112"/>
      <c r="ELX11" s="112"/>
      <c r="ELY11" s="112"/>
      <c r="ELZ11" s="112"/>
      <c r="EMA11" s="112"/>
      <c r="EMB11" s="112"/>
      <c r="EMC11" s="112"/>
      <c r="EMD11" s="112"/>
      <c r="EME11" s="112"/>
      <c r="EMF11" s="112"/>
      <c r="EMG11" s="112"/>
      <c r="EMH11" s="112"/>
      <c r="EMI11" s="112"/>
      <c r="EMJ11" s="112"/>
      <c r="EMK11" s="112"/>
      <c r="EML11" s="112"/>
      <c r="EMM11" s="112"/>
      <c r="EMN11" s="112"/>
      <c r="EMO11" s="112"/>
      <c r="EMP11" s="112"/>
      <c r="EMQ11" s="112"/>
      <c r="EMR11" s="112"/>
      <c r="EMS11" s="112"/>
      <c r="EMT11" s="112"/>
      <c r="EMU11" s="112"/>
      <c r="EMV11" s="112"/>
      <c r="EMW11" s="112"/>
      <c r="EMX11" s="112"/>
      <c r="EMY11" s="112"/>
      <c r="EMZ11" s="112"/>
      <c r="ENA11" s="112"/>
      <c r="ENB11" s="112"/>
      <c r="ENC11" s="112"/>
      <c r="END11" s="112"/>
      <c r="ENE11" s="112"/>
      <c r="ENF11" s="112"/>
      <c r="ENG11" s="112"/>
      <c r="ENH11" s="112"/>
      <c r="ENI11" s="112"/>
      <c r="ENJ11" s="112"/>
      <c r="ENK11" s="112"/>
      <c r="ENL11" s="112"/>
      <c r="ENM11" s="112"/>
      <c r="ENN11" s="112"/>
      <c r="ENO11" s="112"/>
      <c r="ENP11" s="112"/>
      <c r="ENQ11" s="112"/>
      <c r="ENR11" s="112"/>
      <c r="ENS11" s="112"/>
      <c r="ENT11" s="112"/>
      <c r="ENU11" s="112"/>
      <c r="ENV11" s="112"/>
      <c r="ENW11" s="112"/>
      <c r="ENX11" s="112"/>
      <c r="ENY11" s="112"/>
      <c r="ENZ11" s="112"/>
      <c r="EOA11" s="112"/>
      <c r="EOB11" s="112"/>
      <c r="EOC11" s="112"/>
      <c r="EOD11" s="112"/>
      <c r="EOE11" s="112"/>
      <c r="EOF11" s="112"/>
      <c r="EOG11" s="112"/>
      <c r="EOH11" s="112"/>
      <c r="EOI11" s="112"/>
      <c r="EOJ11" s="112"/>
      <c r="EOK11" s="112"/>
      <c r="EOL11" s="112"/>
      <c r="EOM11" s="112"/>
      <c r="EON11" s="112"/>
      <c r="EOO11" s="112"/>
      <c r="EOP11" s="112"/>
      <c r="EOQ11" s="112"/>
      <c r="EOR11" s="112"/>
      <c r="EOS11" s="112"/>
      <c r="EOT11" s="112"/>
      <c r="EOU11" s="112"/>
      <c r="EOV11" s="112"/>
      <c r="EOW11" s="112"/>
      <c r="EOX11" s="112"/>
      <c r="EOY11" s="112"/>
      <c r="EOZ11" s="112"/>
      <c r="EPA11" s="112"/>
      <c r="EPB11" s="112"/>
      <c r="EPC11" s="112"/>
      <c r="EPD11" s="112"/>
      <c r="EPE11" s="112"/>
      <c r="EPF11" s="112"/>
      <c r="EPG11" s="112"/>
      <c r="EPH11" s="112"/>
      <c r="EPI11" s="112"/>
      <c r="EPJ11" s="112"/>
      <c r="EPK11" s="112"/>
      <c r="EPL11" s="112"/>
      <c r="EPM11" s="112"/>
      <c r="EPN11" s="112"/>
      <c r="EPO11" s="112"/>
      <c r="EPP11" s="112"/>
      <c r="EPQ11" s="112"/>
      <c r="EPR11" s="112"/>
      <c r="EPS11" s="112"/>
      <c r="EPT11" s="112"/>
      <c r="EPU11" s="112"/>
      <c r="EPV11" s="112"/>
      <c r="EPW11" s="112"/>
      <c r="EPX11" s="112"/>
      <c r="EPY11" s="112"/>
      <c r="EPZ11" s="112"/>
      <c r="EQA11" s="112"/>
      <c r="EQB11" s="112"/>
      <c r="EQC11" s="112"/>
      <c r="EQD11" s="112"/>
      <c r="EQE11" s="112"/>
      <c r="EQF11" s="112"/>
      <c r="EQG11" s="112"/>
      <c r="EQH11" s="112"/>
      <c r="EQI11" s="112"/>
      <c r="EQJ11" s="112"/>
      <c r="EQK11" s="112"/>
      <c r="EQL11" s="112"/>
      <c r="EQM11" s="112"/>
      <c r="EQN11" s="112"/>
      <c r="EQO11" s="112"/>
      <c r="EQP11" s="112"/>
      <c r="EQQ11" s="112"/>
      <c r="EQR11" s="112"/>
      <c r="EQS11" s="112"/>
      <c r="EQT11" s="112"/>
      <c r="EQU11" s="112"/>
      <c r="EQV11" s="112"/>
      <c r="EQW11" s="112"/>
      <c r="EQX11" s="112"/>
      <c r="EQY11" s="112"/>
      <c r="EQZ11" s="112"/>
      <c r="ERA11" s="112"/>
      <c r="ERB11" s="112"/>
      <c r="ERC11" s="112"/>
      <c r="ERD11" s="112"/>
      <c r="ERE11" s="112"/>
      <c r="ERF11" s="112"/>
      <c r="ERG11" s="112"/>
      <c r="ERH11" s="112"/>
      <c r="ERI11" s="112"/>
      <c r="ERJ11" s="112"/>
      <c r="ERK11" s="112"/>
      <c r="ERL11" s="112"/>
      <c r="ERM11" s="112"/>
      <c r="ERN11" s="112"/>
      <c r="ERO11" s="112"/>
      <c r="ERP11" s="112"/>
      <c r="ERQ11" s="112"/>
      <c r="ERR11" s="112"/>
      <c r="ERS11" s="112"/>
      <c r="ERT11" s="112"/>
      <c r="ERU11" s="112"/>
      <c r="ERV11" s="112"/>
      <c r="ERW11" s="112"/>
      <c r="ERX11" s="112"/>
      <c r="ERY11" s="112"/>
      <c r="ERZ11" s="112"/>
      <c r="ESA11" s="112"/>
      <c r="ESB11" s="112"/>
      <c r="ESC11" s="112"/>
      <c r="ESD11" s="112"/>
      <c r="ESE11" s="112"/>
      <c r="ESF11" s="112"/>
      <c r="ESG11" s="112"/>
      <c r="ESH11" s="112"/>
      <c r="ESI11" s="112"/>
      <c r="ESJ11" s="112"/>
      <c r="ESK11" s="112"/>
      <c r="ESL11" s="112"/>
      <c r="ESM11" s="112"/>
      <c r="ESN11" s="112"/>
      <c r="ESO11" s="112"/>
      <c r="ESP11" s="112"/>
      <c r="ESQ11" s="112"/>
      <c r="ESR11" s="112"/>
      <c r="ESS11" s="112"/>
      <c r="EST11" s="112"/>
      <c r="ESU11" s="112"/>
      <c r="ESV11" s="112"/>
      <c r="ESW11" s="112"/>
      <c r="ESX11" s="112"/>
      <c r="ESY11" s="112"/>
      <c r="ESZ11" s="112"/>
      <c r="ETA11" s="112"/>
      <c r="ETB11" s="112"/>
      <c r="ETC11" s="112"/>
      <c r="ETD11" s="112"/>
      <c r="ETE11" s="112"/>
      <c r="ETF11" s="112"/>
      <c r="ETG11" s="112"/>
      <c r="ETH11" s="112"/>
      <c r="ETI11" s="112"/>
      <c r="ETJ11" s="112"/>
      <c r="ETK11" s="112"/>
      <c r="ETL11" s="112"/>
      <c r="ETM11" s="112"/>
      <c r="ETN11" s="112"/>
      <c r="ETO11" s="112"/>
      <c r="ETP11" s="112"/>
      <c r="ETQ11" s="112"/>
      <c r="ETR11" s="112"/>
      <c r="ETS11" s="112"/>
      <c r="ETT11" s="112"/>
      <c r="ETU11" s="112"/>
      <c r="ETV11" s="112"/>
      <c r="ETW11" s="112"/>
      <c r="ETX11" s="112"/>
      <c r="ETY11" s="112"/>
      <c r="ETZ11" s="112"/>
      <c r="EUA11" s="112"/>
      <c r="EUB11" s="112"/>
      <c r="EUC11" s="112"/>
      <c r="EUD11" s="112"/>
      <c r="EUE11" s="112"/>
      <c r="EUF11" s="112"/>
      <c r="EUG11" s="112"/>
      <c r="EUH11" s="112"/>
      <c r="EUI11" s="112"/>
      <c r="EUJ11" s="112"/>
      <c r="EUK11" s="112"/>
      <c r="EUL11" s="112"/>
      <c r="EUM11" s="112"/>
      <c r="EUN11" s="112"/>
      <c r="EUO11" s="112"/>
      <c r="EUP11" s="112"/>
      <c r="EUQ11" s="112"/>
      <c r="EUR11" s="112"/>
      <c r="EUS11" s="112"/>
      <c r="EUT11" s="112"/>
      <c r="EUU11" s="112"/>
      <c r="EUV11" s="112"/>
      <c r="EUW11" s="112"/>
      <c r="EUX11" s="112"/>
      <c r="EUY11" s="112"/>
      <c r="EUZ11" s="112"/>
      <c r="EVA11" s="112"/>
      <c r="EVB11" s="112"/>
      <c r="EVC11" s="112"/>
      <c r="EVD11" s="112"/>
      <c r="EVE11" s="112"/>
      <c r="EVF11" s="112"/>
      <c r="EVG11" s="112"/>
      <c r="EVH11" s="112"/>
      <c r="EVI11" s="112"/>
      <c r="EVJ11" s="112"/>
      <c r="EVK11" s="112"/>
      <c r="EVL11" s="112"/>
      <c r="EVM11" s="112"/>
      <c r="EVN11" s="112"/>
      <c r="EVO11" s="112"/>
      <c r="EVP11" s="112"/>
      <c r="EVQ11" s="112"/>
      <c r="EVR11" s="112"/>
      <c r="EVS11" s="112"/>
      <c r="EVT11" s="112"/>
      <c r="EVU11" s="112"/>
      <c r="EVV11" s="112"/>
      <c r="EVW11" s="112"/>
      <c r="EVX11" s="112"/>
      <c r="EVY11" s="112"/>
      <c r="EVZ11" s="112"/>
      <c r="EWA11" s="112"/>
      <c r="EWB11" s="112"/>
      <c r="EWC11" s="112"/>
      <c r="EWD11" s="112"/>
      <c r="EWE11" s="112"/>
      <c r="EWF11" s="112"/>
      <c r="EWG11" s="112"/>
      <c r="EWH11" s="112"/>
      <c r="EWI11" s="112"/>
      <c r="EWJ11" s="112"/>
      <c r="EWK11" s="112"/>
      <c r="EWL11" s="112"/>
      <c r="EWM11" s="112"/>
      <c r="EWN11" s="112"/>
      <c r="EWO11" s="112"/>
      <c r="EWP11" s="112"/>
      <c r="EWQ11" s="112"/>
      <c r="EWR11" s="112"/>
      <c r="EWS11" s="112"/>
      <c r="EWT11" s="112"/>
      <c r="EWU11" s="112"/>
      <c r="EWV11" s="112"/>
      <c r="EWW11" s="112"/>
      <c r="EWX11" s="112"/>
      <c r="EWY11" s="112"/>
      <c r="EWZ11" s="112"/>
      <c r="EXA11" s="112"/>
      <c r="EXB11" s="112"/>
      <c r="EXC11" s="112"/>
      <c r="EXD11" s="112"/>
      <c r="EXE11" s="112"/>
      <c r="EXF11" s="112"/>
      <c r="EXG11" s="112"/>
      <c r="EXH11" s="112"/>
      <c r="EXI11" s="112"/>
      <c r="EXJ11" s="112"/>
      <c r="EXK11" s="112"/>
      <c r="EXL11" s="112"/>
      <c r="EXM11" s="112"/>
      <c r="EXN11" s="112"/>
      <c r="EXO11" s="112"/>
      <c r="EXP11" s="112"/>
      <c r="EXQ11" s="112"/>
      <c r="EXR11" s="112"/>
      <c r="EXS11" s="112"/>
      <c r="EXT11" s="112"/>
      <c r="EXU11" s="112"/>
      <c r="EXV11" s="112"/>
      <c r="EXW11" s="112"/>
      <c r="EXX11" s="112"/>
      <c r="EXY11" s="112"/>
      <c r="EXZ11" s="112"/>
      <c r="EYA11" s="112"/>
      <c r="EYB11" s="112"/>
      <c r="EYC11" s="112"/>
      <c r="EYD11" s="112"/>
      <c r="EYE11" s="112"/>
      <c r="EYF11" s="112"/>
      <c r="EYG11" s="112"/>
      <c r="EYH11" s="112"/>
      <c r="EYI11" s="112"/>
      <c r="EYJ11" s="112"/>
      <c r="EYK11" s="112"/>
      <c r="EYL11" s="112"/>
      <c r="EYM11" s="112"/>
      <c r="EYN11" s="112"/>
      <c r="EYO11" s="112"/>
      <c r="EYP11" s="112"/>
      <c r="EYQ11" s="112"/>
      <c r="EYR11" s="112"/>
      <c r="EYS11" s="112"/>
      <c r="EYT11" s="112"/>
      <c r="EYU11" s="112"/>
      <c r="EYV11" s="112"/>
      <c r="EYW11" s="112"/>
      <c r="EYX11" s="112"/>
      <c r="EYY11" s="112"/>
      <c r="EYZ11" s="112"/>
      <c r="EZA11" s="112"/>
      <c r="EZB11" s="112"/>
      <c r="EZC11" s="112"/>
      <c r="EZD11" s="112"/>
      <c r="EZE11" s="112"/>
      <c r="EZF11" s="112"/>
      <c r="EZG11" s="112"/>
      <c r="EZH11" s="112"/>
      <c r="EZI11" s="112"/>
      <c r="EZJ11" s="112"/>
      <c r="EZK11" s="112"/>
      <c r="EZL11" s="112"/>
      <c r="EZM11" s="112"/>
      <c r="EZN11" s="112"/>
      <c r="EZO11" s="112"/>
      <c r="EZP11" s="112"/>
      <c r="EZQ11" s="112"/>
      <c r="EZR11" s="112"/>
      <c r="EZS11" s="112"/>
      <c r="EZT11" s="112"/>
      <c r="EZU11" s="112"/>
      <c r="EZV11" s="112"/>
      <c r="EZW11" s="112"/>
      <c r="EZX11" s="112"/>
      <c r="EZY11" s="112"/>
      <c r="EZZ11" s="112"/>
      <c r="FAA11" s="112"/>
      <c r="FAB11" s="112"/>
      <c r="FAC11" s="112"/>
      <c r="FAD11" s="112"/>
      <c r="FAE11" s="112"/>
      <c r="FAF11" s="112"/>
      <c r="FAG11" s="112"/>
      <c r="FAH11" s="112"/>
      <c r="FAI11" s="112"/>
      <c r="FAJ11" s="112"/>
      <c r="FAK11" s="112"/>
      <c r="FAL11" s="112"/>
      <c r="FAM11" s="112"/>
      <c r="FAN11" s="112"/>
      <c r="FAO11" s="112"/>
      <c r="FAP11" s="112"/>
      <c r="FAQ11" s="112"/>
      <c r="FAR11" s="112"/>
      <c r="FAS11" s="112"/>
      <c r="FAT11" s="112"/>
      <c r="FAU11" s="112"/>
      <c r="FAV11" s="112"/>
      <c r="FAW11" s="112"/>
      <c r="FAX11" s="112"/>
      <c r="FAY11" s="112"/>
      <c r="FAZ11" s="112"/>
      <c r="FBA11" s="112"/>
      <c r="FBB11" s="112"/>
      <c r="FBC11" s="112"/>
      <c r="FBD11" s="112"/>
      <c r="FBE11" s="112"/>
      <c r="FBF11" s="112"/>
      <c r="FBG11" s="112"/>
      <c r="FBH11" s="112"/>
      <c r="FBI11" s="112"/>
      <c r="FBJ11" s="112"/>
      <c r="FBK11" s="112"/>
      <c r="FBL11" s="112"/>
      <c r="FBM11" s="112"/>
      <c r="FBN11" s="112"/>
      <c r="FBO11" s="112"/>
      <c r="FBP11" s="112"/>
      <c r="FBQ11" s="112"/>
      <c r="FBR11" s="112"/>
      <c r="FBS11" s="112"/>
      <c r="FBT11" s="112"/>
      <c r="FBU11" s="112"/>
      <c r="FBV11" s="112"/>
      <c r="FBW11" s="112"/>
      <c r="FBX11" s="112"/>
      <c r="FBY11" s="112"/>
      <c r="FBZ11" s="112"/>
      <c r="FCA11" s="112"/>
      <c r="FCB11" s="112"/>
      <c r="FCC11" s="112"/>
      <c r="FCD11" s="112"/>
      <c r="FCE11" s="112"/>
      <c r="FCF11" s="112"/>
      <c r="FCG11" s="112"/>
      <c r="FCH11" s="112"/>
      <c r="FCI11" s="112"/>
      <c r="FCJ11" s="112"/>
      <c r="FCK11" s="112"/>
      <c r="FCL11" s="112"/>
      <c r="FCM11" s="112"/>
      <c r="FCN11" s="112"/>
      <c r="FCO11" s="112"/>
      <c r="FCP11" s="112"/>
      <c r="FCQ11" s="112"/>
      <c r="FCR11" s="112"/>
      <c r="FCS11" s="112"/>
      <c r="FCT11" s="112"/>
      <c r="FCU11" s="112"/>
      <c r="FCV11" s="112"/>
      <c r="FCW11" s="112"/>
      <c r="FCX11" s="112"/>
      <c r="FCY11" s="112"/>
      <c r="FCZ11" s="112"/>
      <c r="FDA11" s="112"/>
      <c r="FDB11" s="112"/>
      <c r="FDC11" s="112"/>
      <c r="FDD11" s="112"/>
      <c r="FDE11" s="112"/>
      <c r="FDF11" s="112"/>
      <c r="FDG11" s="112"/>
      <c r="FDH11" s="112"/>
      <c r="FDI11" s="112"/>
      <c r="FDJ11" s="112"/>
      <c r="FDK11" s="112"/>
      <c r="FDL11" s="112"/>
      <c r="FDM11" s="112"/>
      <c r="FDN11" s="112"/>
      <c r="FDO11" s="112"/>
      <c r="FDP11" s="112"/>
      <c r="FDQ11" s="112"/>
      <c r="FDR11" s="112"/>
      <c r="FDS11" s="112"/>
      <c r="FDT11" s="112"/>
      <c r="FDU11" s="112"/>
      <c r="FDV11" s="112"/>
      <c r="FDW11" s="112"/>
      <c r="FDX11" s="112"/>
      <c r="FDY11" s="112"/>
      <c r="FDZ11" s="112"/>
      <c r="FEA11" s="112"/>
      <c r="FEB11" s="112"/>
      <c r="FEC11" s="112"/>
      <c r="FED11" s="112"/>
      <c r="FEE11" s="112"/>
      <c r="FEF11" s="112"/>
      <c r="FEG11" s="112"/>
      <c r="FEH11" s="112"/>
      <c r="FEI11" s="112"/>
      <c r="FEJ11" s="112"/>
      <c r="FEK11" s="112"/>
      <c r="FEL11" s="112"/>
      <c r="FEM11" s="112"/>
      <c r="FEN11" s="112"/>
      <c r="FEO11" s="112"/>
      <c r="FEP11" s="112"/>
      <c r="FEQ11" s="112"/>
      <c r="FER11" s="112"/>
      <c r="FES11" s="112"/>
      <c r="FET11" s="112"/>
      <c r="FEU11" s="112"/>
      <c r="FEV11" s="112"/>
      <c r="FEW11" s="112"/>
      <c r="FEX11" s="112"/>
      <c r="FEY11" s="112"/>
      <c r="FEZ11" s="112"/>
      <c r="FFA11" s="112"/>
      <c r="FFB11" s="112"/>
      <c r="FFC11" s="112"/>
      <c r="FFD11" s="112"/>
      <c r="FFE11" s="112"/>
      <c r="FFF11" s="112"/>
      <c r="FFG11" s="112"/>
      <c r="FFH11" s="112"/>
      <c r="FFI11" s="112"/>
      <c r="FFJ11" s="112"/>
      <c r="FFK11" s="112"/>
      <c r="FFL11" s="112"/>
      <c r="FFM11" s="112"/>
      <c r="FFN11" s="112"/>
      <c r="FFO11" s="112"/>
      <c r="FFP11" s="112"/>
      <c r="FFQ11" s="112"/>
      <c r="FFR11" s="112"/>
      <c r="FFS11" s="112"/>
      <c r="FFT11" s="112"/>
      <c r="FFU11" s="112"/>
      <c r="FFV11" s="112"/>
      <c r="FFW11" s="112"/>
      <c r="FFX11" s="112"/>
      <c r="FFY11" s="112"/>
      <c r="FFZ11" s="112"/>
      <c r="FGA11" s="112"/>
      <c r="FGB11" s="112"/>
      <c r="FGC11" s="112"/>
      <c r="FGD11" s="112"/>
      <c r="FGE11" s="112"/>
      <c r="FGF11" s="112"/>
      <c r="FGG11" s="112"/>
      <c r="FGH11" s="112"/>
      <c r="FGI11" s="112"/>
      <c r="FGJ11" s="112"/>
      <c r="FGK11" s="112"/>
      <c r="FGL11" s="112"/>
      <c r="FGM11" s="112"/>
      <c r="FGN11" s="112"/>
      <c r="FGO11" s="112"/>
      <c r="FGP11" s="112"/>
      <c r="FGQ11" s="112"/>
      <c r="FGR11" s="112"/>
      <c r="FGS11" s="112"/>
      <c r="FGT11" s="112"/>
      <c r="FGU11" s="112"/>
      <c r="FGV11" s="112"/>
      <c r="FGW11" s="112"/>
      <c r="FGX11" s="112"/>
      <c r="FGY11" s="112"/>
      <c r="FGZ11" s="112"/>
      <c r="FHA11" s="112"/>
      <c r="FHB11" s="112"/>
      <c r="FHC11" s="112"/>
      <c r="FHD11" s="112"/>
      <c r="FHE11" s="112"/>
      <c r="FHF11" s="112"/>
      <c r="FHG11" s="112"/>
      <c r="FHH11" s="112"/>
      <c r="FHI11" s="112"/>
      <c r="FHJ11" s="112"/>
      <c r="FHK11" s="112"/>
      <c r="FHL11" s="112"/>
      <c r="FHM11" s="112"/>
      <c r="FHN11" s="112"/>
      <c r="FHO11" s="112"/>
      <c r="FHP11" s="112"/>
      <c r="FHQ11" s="112"/>
      <c r="FHR11" s="112"/>
      <c r="FHS11" s="112"/>
      <c r="FHT11" s="112"/>
      <c r="FHU11" s="112"/>
      <c r="FHV11" s="112"/>
      <c r="FHW11" s="112"/>
      <c r="FHX11" s="112"/>
      <c r="FHY11" s="112"/>
      <c r="FHZ11" s="112"/>
      <c r="FIA11" s="112"/>
      <c r="FIB11" s="112"/>
      <c r="FIC11" s="112"/>
      <c r="FID11" s="112"/>
      <c r="FIE11" s="112"/>
      <c r="FIF11" s="112"/>
      <c r="FIG11" s="112"/>
      <c r="FIH11" s="112"/>
      <c r="FII11" s="112"/>
      <c r="FIJ11" s="112"/>
      <c r="FIK11" s="112"/>
      <c r="FIL11" s="112"/>
      <c r="FIM11" s="112"/>
      <c r="FIN11" s="112"/>
      <c r="FIO11" s="112"/>
      <c r="FIP11" s="112"/>
      <c r="FIQ11" s="112"/>
      <c r="FIR11" s="112"/>
      <c r="FIS11" s="112"/>
      <c r="FIT11" s="112"/>
      <c r="FIU11" s="112"/>
      <c r="FIV11" s="112"/>
      <c r="FIW11" s="112"/>
      <c r="FIX11" s="112"/>
      <c r="FIY11" s="112"/>
      <c r="FIZ11" s="112"/>
      <c r="FJA11" s="112"/>
      <c r="FJB11" s="112"/>
      <c r="FJC11" s="112"/>
      <c r="FJD11" s="112"/>
      <c r="FJE11" s="112"/>
      <c r="FJF11" s="112"/>
      <c r="FJG11" s="112"/>
      <c r="FJH11" s="112"/>
      <c r="FJI11" s="112"/>
      <c r="FJJ11" s="112"/>
      <c r="FJK11" s="112"/>
      <c r="FJL11" s="112"/>
      <c r="FJM11" s="112"/>
      <c r="FJN11" s="112"/>
      <c r="FJO11" s="112"/>
      <c r="FJP11" s="112"/>
      <c r="FJQ11" s="112"/>
      <c r="FJR11" s="112"/>
      <c r="FJS11" s="112"/>
      <c r="FJT11" s="112"/>
      <c r="FJU11" s="112"/>
      <c r="FJV11" s="112"/>
      <c r="FJW11" s="112"/>
      <c r="FJX11" s="112"/>
      <c r="FJY11" s="112"/>
      <c r="FJZ11" s="112"/>
      <c r="FKA11" s="112"/>
      <c r="FKB11" s="112"/>
      <c r="FKC11" s="112"/>
      <c r="FKD11" s="112"/>
      <c r="FKE11" s="112"/>
      <c r="FKF11" s="112"/>
      <c r="FKG11" s="112"/>
      <c r="FKH11" s="112"/>
      <c r="FKI11" s="112"/>
      <c r="FKJ11" s="112"/>
      <c r="FKK11" s="112"/>
      <c r="FKL11" s="112"/>
      <c r="FKM11" s="112"/>
      <c r="FKN11" s="112"/>
      <c r="FKO11" s="112"/>
      <c r="FKP11" s="112"/>
      <c r="FKQ11" s="112"/>
      <c r="FKR11" s="112"/>
      <c r="FKS11" s="112"/>
      <c r="FKT11" s="112"/>
      <c r="FKU11" s="112"/>
      <c r="FKV11" s="112"/>
      <c r="FKW11" s="112"/>
      <c r="FKX11" s="112"/>
      <c r="FKY11" s="112"/>
      <c r="FKZ11" s="112"/>
      <c r="FLA11" s="112"/>
      <c r="FLB11" s="112"/>
      <c r="FLC11" s="112"/>
      <c r="FLD11" s="112"/>
      <c r="FLE11" s="112"/>
      <c r="FLF11" s="112"/>
      <c r="FLG11" s="112"/>
      <c r="FLH11" s="112"/>
      <c r="FLI11" s="112"/>
      <c r="FLJ11" s="112"/>
      <c r="FLK11" s="112"/>
      <c r="FLL11" s="112"/>
      <c r="FLM11" s="112"/>
      <c r="FLN11" s="112"/>
      <c r="FLO11" s="112"/>
      <c r="FLP11" s="112"/>
      <c r="FLQ11" s="112"/>
      <c r="FLR11" s="112"/>
      <c r="FLS11" s="112"/>
      <c r="FLT11" s="112"/>
      <c r="FLU11" s="112"/>
      <c r="FLV11" s="112"/>
      <c r="FLW11" s="112"/>
      <c r="FLX11" s="112"/>
      <c r="FLY11" s="112"/>
      <c r="FLZ11" s="112"/>
      <c r="FMA11" s="112"/>
      <c r="FMB11" s="112"/>
      <c r="FMC11" s="112"/>
      <c r="FMD11" s="112"/>
      <c r="FME11" s="112"/>
      <c r="FMF11" s="112"/>
      <c r="FMG11" s="112"/>
      <c r="FMH11" s="112"/>
      <c r="FMI11" s="112"/>
      <c r="FMJ11" s="112"/>
      <c r="FMK11" s="112"/>
      <c r="FML11" s="112"/>
      <c r="FMM11" s="112"/>
      <c r="FMN11" s="112"/>
      <c r="FMO11" s="112"/>
      <c r="FMP11" s="112"/>
      <c r="FMQ11" s="112"/>
      <c r="FMR11" s="112"/>
      <c r="FMS11" s="112"/>
      <c r="FMT11" s="112"/>
      <c r="FMU11" s="112"/>
      <c r="FMV11" s="112"/>
      <c r="FMW11" s="112"/>
      <c r="FMX11" s="112"/>
      <c r="FMY11" s="112"/>
      <c r="FMZ11" s="112"/>
      <c r="FNA11" s="112"/>
      <c r="FNB11" s="112"/>
      <c r="FNC11" s="112"/>
      <c r="FND11" s="112"/>
      <c r="FNE11" s="112"/>
      <c r="FNF11" s="112"/>
      <c r="FNG11" s="112"/>
      <c r="FNH11" s="112"/>
      <c r="FNI11" s="112"/>
      <c r="FNJ11" s="112"/>
      <c r="FNK11" s="112"/>
      <c r="FNL11" s="112"/>
      <c r="FNM11" s="112"/>
      <c r="FNN11" s="112"/>
      <c r="FNO11" s="112"/>
      <c r="FNP11" s="112"/>
      <c r="FNQ11" s="112"/>
      <c r="FNR11" s="112"/>
      <c r="FNS11" s="112"/>
      <c r="FNT11" s="112"/>
      <c r="FNU11" s="112"/>
      <c r="FNV11" s="112"/>
      <c r="FNW11" s="112"/>
      <c r="FNX11" s="112"/>
      <c r="FNY11" s="112"/>
      <c r="FNZ11" s="112"/>
      <c r="FOA11" s="112"/>
      <c r="FOB11" s="112"/>
      <c r="FOC11" s="112"/>
      <c r="FOD11" s="112"/>
      <c r="FOE11" s="112"/>
      <c r="FOF11" s="112"/>
      <c r="FOG11" s="112"/>
      <c r="FOH11" s="112"/>
      <c r="FOI11" s="112"/>
      <c r="FOJ11" s="112"/>
      <c r="FOK11" s="112"/>
      <c r="FOL11" s="112"/>
      <c r="FOM11" s="112"/>
      <c r="FON11" s="112"/>
      <c r="FOO11" s="112"/>
      <c r="FOP11" s="112"/>
      <c r="FOQ11" s="112"/>
      <c r="FOR11" s="112"/>
      <c r="FOS11" s="112"/>
      <c r="FOT11" s="112"/>
      <c r="FOU11" s="112"/>
      <c r="FOV11" s="112"/>
      <c r="FOW11" s="112"/>
      <c r="FOX11" s="112"/>
      <c r="FOY11" s="112"/>
      <c r="FOZ11" s="112"/>
      <c r="FPA11" s="112"/>
      <c r="FPB11" s="112"/>
      <c r="FPC11" s="112"/>
      <c r="FPD11" s="112"/>
      <c r="FPE11" s="112"/>
      <c r="FPF11" s="112"/>
      <c r="FPG11" s="112"/>
      <c r="FPH11" s="112"/>
      <c r="FPI11" s="112"/>
      <c r="FPJ11" s="112"/>
      <c r="FPK11" s="112"/>
      <c r="FPL11" s="112"/>
      <c r="FPM11" s="112"/>
      <c r="FPN11" s="112"/>
      <c r="FPO11" s="112"/>
      <c r="FPP11" s="112"/>
      <c r="FPQ11" s="112"/>
      <c r="FPR11" s="112"/>
      <c r="FPS11" s="112"/>
      <c r="FPT11" s="112"/>
      <c r="FPU11" s="112"/>
      <c r="FPV11" s="112"/>
      <c r="FPW11" s="112"/>
      <c r="FPX11" s="112"/>
      <c r="FPY11" s="112"/>
      <c r="FPZ11" s="112"/>
      <c r="FQA11" s="112"/>
      <c r="FQB11" s="112"/>
      <c r="FQC11" s="112"/>
      <c r="FQD11" s="112"/>
      <c r="FQE11" s="112"/>
      <c r="FQF11" s="112"/>
      <c r="FQG11" s="112"/>
      <c r="FQH11" s="112"/>
      <c r="FQI11" s="112"/>
      <c r="FQJ11" s="112"/>
      <c r="FQK11" s="112"/>
      <c r="FQL11" s="112"/>
      <c r="FQM11" s="112"/>
      <c r="FQN11" s="112"/>
      <c r="FQO11" s="112"/>
      <c r="FQP11" s="112"/>
      <c r="FQQ11" s="112"/>
      <c r="FQR11" s="112"/>
      <c r="FQS11" s="112"/>
      <c r="FQT11" s="112"/>
      <c r="FQU11" s="112"/>
      <c r="FQV11" s="112"/>
      <c r="FQW11" s="112"/>
      <c r="FQX11" s="112"/>
      <c r="FQY11" s="112"/>
      <c r="FQZ11" s="112"/>
      <c r="FRA11" s="112"/>
      <c r="FRB11" s="112"/>
      <c r="FRC11" s="112"/>
      <c r="FRD11" s="112"/>
      <c r="FRE11" s="112"/>
      <c r="FRF11" s="112"/>
      <c r="FRG11" s="112"/>
      <c r="FRH11" s="112"/>
      <c r="FRI11" s="112"/>
      <c r="FRJ11" s="112"/>
      <c r="FRK11" s="112"/>
      <c r="FRL11" s="112"/>
      <c r="FRM11" s="112"/>
      <c r="FRN11" s="112"/>
      <c r="FRO11" s="112"/>
      <c r="FRP11" s="112"/>
      <c r="FRQ11" s="112"/>
      <c r="FRR11" s="112"/>
      <c r="FRS11" s="112"/>
      <c r="FRT11" s="112"/>
      <c r="FRU11" s="112"/>
      <c r="FRV11" s="112"/>
      <c r="FRW11" s="112"/>
      <c r="FRX11" s="112"/>
      <c r="FRY11" s="112"/>
      <c r="FRZ11" s="112"/>
      <c r="FSA11" s="112"/>
      <c r="FSB11" s="112"/>
      <c r="FSC11" s="112"/>
      <c r="FSD11" s="112"/>
      <c r="FSE11" s="112"/>
      <c r="FSF11" s="112"/>
      <c r="FSG11" s="112"/>
      <c r="FSH11" s="112"/>
      <c r="FSI11" s="112"/>
      <c r="FSJ11" s="112"/>
      <c r="FSK11" s="112"/>
      <c r="FSL11" s="112"/>
      <c r="FSM11" s="112"/>
      <c r="FSN11" s="112"/>
      <c r="FSO11" s="112"/>
      <c r="FSP11" s="112"/>
      <c r="FSQ11" s="112"/>
      <c r="FSR11" s="112"/>
      <c r="FSS11" s="112"/>
      <c r="FST11" s="112"/>
      <c r="FSU11" s="112"/>
      <c r="FSV11" s="112"/>
      <c r="FSW11" s="112"/>
      <c r="FSX11" s="112"/>
      <c r="FSY11" s="112"/>
      <c r="FSZ11" s="112"/>
      <c r="FTA11" s="112"/>
      <c r="FTB11" s="112"/>
      <c r="FTC11" s="112"/>
      <c r="FTD11" s="112"/>
      <c r="FTE11" s="112"/>
      <c r="FTF11" s="112"/>
      <c r="FTG11" s="112"/>
      <c r="FTH11" s="112"/>
      <c r="FTI11" s="112"/>
      <c r="FTJ11" s="112"/>
      <c r="FTK11" s="112"/>
      <c r="FTL11" s="112"/>
      <c r="FTM11" s="112"/>
      <c r="FTN11" s="112"/>
      <c r="FTO11" s="112"/>
      <c r="FTP11" s="112"/>
      <c r="FTQ11" s="112"/>
      <c r="FTR11" s="112"/>
      <c r="FTS11" s="112"/>
      <c r="FTT11" s="112"/>
      <c r="FTU11" s="112"/>
      <c r="FTV11" s="112"/>
      <c r="FTW11" s="112"/>
      <c r="FTX11" s="112"/>
      <c r="FTY11" s="112"/>
      <c r="FTZ11" s="112"/>
      <c r="FUA11" s="112"/>
      <c r="FUB11" s="112"/>
      <c r="FUC11" s="112"/>
      <c r="FUD11" s="112"/>
      <c r="FUE11" s="112"/>
      <c r="FUF11" s="112"/>
      <c r="FUG11" s="112"/>
      <c r="FUH11" s="112"/>
      <c r="FUI11" s="112"/>
      <c r="FUJ11" s="112"/>
      <c r="FUK11" s="112"/>
      <c r="FUL11" s="112"/>
      <c r="FUM11" s="112"/>
      <c r="FUN11" s="112"/>
      <c r="FUO11" s="112"/>
      <c r="FUP11" s="112"/>
      <c r="FUQ11" s="112"/>
      <c r="FUR11" s="112"/>
      <c r="FUS11" s="112"/>
      <c r="FUT11" s="112"/>
      <c r="FUU11" s="112"/>
      <c r="FUV11" s="112"/>
      <c r="FUW11" s="112"/>
      <c r="FUX11" s="112"/>
      <c r="FUY11" s="112"/>
      <c r="FUZ11" s="112"/>
      <c r="FVA11" s="112"/>
      <c r="FVB11" s="112"/>
      <c r="FVC11" s="112"/>
      <c r="FVD11" s="112"/>
      <c r="FVE11" s="112"/>
      <c r="FVF11" s="112"/>
      <c r="FVG11" s="112"/>
      <c r="FVH11" s="112"/>
      <c r="FVI11" s="112"/>
      <c r="FVJ11" s="112"/>
      <c r="FVK11" s="112"/>
      <c r="FVL11" s="112"/>
      <c r="FVM11" s="112"/>
      <c r="FVN11" s="112"/>
      <c r="FVO11" s="112"/>
      <c r="FVP11" s="112"/>
      <c r="FVQ11" s="112"/>
      <c r="FVR11" s="112"/>
      <c r="FVS11" s="112"/>
      <c r="FVT11" s="112"/>
      <c r="FVU11" s="112"/>
      <c r="FVV11" s="112"/>
      <c r="FVW11" s="112"/>
      <c r="FVX11" s="112"/>
      <c r="FVY11" s="112"/>
      <c r="FVZ11" s="112"/>
      <c r="FWA11" s="112"/>
      <c r="FWB11" s="112"/>
      <c r="FWC11" s="112"/>
      <c r="FWD11" s="112"/>
      <c r="FWE11" s="112"/>
      <c r="FWF11" s="112"/>
      <c r="FWG11" s="112"/>
      <c r="FWH11" s="112"/>
      <c r="FWI11" s="112"/>
      <c r="FWJ11" s="112"/>
      <c r="FWK11" s="112"/>
      <c r="FWL11" s="112"/>
      <c r="FWM11" s="112"/>
      <c r="FWN11" s="112"/>
      <c r="FWO11" s="112"/>
      <c r="FWP11" s="112"/>
      <c r="FWQ11" s="112"/>
      <c r="FWR11" s="112"/>
      <c r="FWS11" s="112"/>
      <c r="FWT11" s="112"/>
      <c r="FWU11" s="112"/>
      <c r="FWV11" s="112"/>
      <c r="FWW11" s="112"/>
      <c r="FWX11" s="112"/>
      <c r="FWY11" s="112"/>
      <c r="FWZ11" s="112"/>
      <c r="FXA11" s="112"/>
      <c r="FXB11" s="112"/>
      <c r="FXC11" s="112"/>
      <c r="FXD11" s="112"/>
      <c r="FXE11" s="112"/>
      <c r="FXF11" s="112"/>
      <c r="FXG11" s="112"/>
      <c r="FXH11" s="112"/>
      <c r="FXI11" s="112"/>
      <c r="FXJ11" s="112"/>
      <c r="FXK11" s="112"/>
      <c r="FXL11" s="112"/>
      <c r="FXM11" s="112"/>
      <c r="FXN11" s="112"/>
      <c r="FXO11" s="112"/>
      <c r="FXP11" s="112"/>
      <c r="FXQ11" s="112"/>
      <c r="FXR11" s="112"/>
      <c r="FXS11" s="112"/>
      <c r="FXT11" s="112"/>
      <c r="FXU11" s="112"/>
      <c r="FXV11" s="112"/>
      <c r="FXW11" s="112"/>
      <c r="FXX11" s="112"/>
      <c r="FXY11" s="112"/>
      <c r="FXZ11" s="112"/>
      <c r="FYA11" s="112"/>
      <c r="FYB11" s="112"/>
      <c r="FYC11" s="112"/>
      <c r="FYD11" s="112"/>
      <c r="FYE11" s="112"/>
      <c r="FYF11" s="112"/>
      <c r="FYG11" s="112"/>
      <c r="FYH11" s="112"/>
      <c r="FYI11" s="112"/>
      <c r="FYJ11" s="112"/>
      <c r="FYK11" s="112"/>
      <c r="FYL11" s="112"/>
      <c r="FYM11" s="112"/>
      <c r="FYN11" s="112"/>
      <c r="FYO11" s="112"/>
      <c r="FYP11" s="112"/>
      <c r="FYQ11" s="112"/>
      <c r="FYR11" s="112"/>
      <c r="FYS11" s="112"/>
      <c r="FYT11" s="112"/>
      <c r="FYU11" s="112"/>
      <c r="FYV11" s="112"/>
      <c r="FYW11" s="112"/>
      <c r="FYX11" s="112"/>
      <c r="FYY11" s="112"/>
      <c r="FYZ11" s="112"/>
      <c r="FZA11" s="112"/>
      <c r="FZB11" s="112"/>
      <c r="FZC11" s="112"/>
      <c r="FZD11" s="112"/>
      <c r="FZE11" s="112"/>
      <c r="FZF11" s="112"/>
      <c r="FZG11" s="112"/>
      <c r="FZH11" s="112"/>
      <c r="FZI11" s="112"/>
      <c r="FZJ11" s="112"/>
      <c r="FZK11" s="112"/>
      <c r="FZL11" s="112"/>
      <c r="FZM11" s="112"/>
      <c r="FZN11" s="112"/>
      <c r="FZO11" s="112"/>
      <c r="FZP11" s="112"/>
      <c r="FZQ11" s="112"/>
      <c r="FZR11" s="112"/>
      <c r="FZS11" s="112"/>
      <c r="FZT11" s="112"/>
      <c r="FZU11" s="112"/>
      <c r="FZV11" s="112"/>
      <c r="FZW11" s="112"/>
      <c r="FZX11" s="112"/>
      <c r="FZY11" s="112"/>
      <c r="FZZ11" s="112"/>
      <c r="GAA11" s="112"/>
      <c r="GAB11" s="112"/>
      <c r="GAC11" s="112"/>
      <c r="GAD11" s="112"/>
      <c r="GAE11" s="112"/>
      <c r="GAF11" s="112"/>
      <c r="GAG11" s="112"/>
      <c r="GAH11" s="112"/>
      <c r="GAI11" s="112"/>
      <c r="GAJ11" s="112"/>
      <c r="GAK11" s="112"/>
      <c r="GAL11" s="112"/>
      <c r="GAM11" s="112"/>
      <c r="GAN11" s="112"/>
      <c r="GAO11" s="112"/>
      <c r="GAP11" s="112"/>
      <c r="GAQ11" s="112"/>
      <c r="GAR11" s="112"/>
      <c r="GAS11" s="112"/>
      <c r="GAT11" s="112"/>
      <c r="GAU11" s="112"/>
      <c r="GAV11" s="112"/>
      <c r="GAW11" s="112"/>
      <c r="GAX11" s="112"/>
      <c r="GAY11" s="112"/>
      <c r="GAZ11" s="112"/>
      <c r="GBA11" s="112"/>
      <c r="GBB11" s="112"/>
      <c r="GBC11" s="112"/>
      <c r="GBD11" s="112"/>
      <c r="GBE11" s="112"/>
      <c r="GBF11" s="112"/>
      <c r="GBG11" s="112"/>
      <c r="GBH11" s="112"/>
      <c r="GBI11" s="112"/>
      <c r="GBJ11" s="112"/>
      <c r="GBK11" s="112"/>
      <c r="GBL11" s="112"/>
      <c r="GBM11" s="112"/>
      <c r="GBN11" s="112"/>
      <c r="GBO11" s="112"/>
      <c r="GBP11" s="112"/>
      <c r="GBQ11" s="112"/>
      <c r="GBR11" s="112"/>
      <c r="GBS11" s="112"/>
      <c r="GBT11" s="112"/>
      <c r="GBU11" s="112"/>
      <c r="GBV11" s="112"/>
      <c r="GBW11" s="112"/>
      <c r="GBX11" s="112"/>
      <c r="GBY11" s="112"/>
      <c r="GBZ11" s="112"/>
      <c r="GCA11" s="112"/>
      <c r="GCB11" s="112"/>
      <c r="GCC11" s="112"/>
      <c r="GCD11" s="112"/>
      <c r="GCE11" s="112"/>
      <c r="GCF11" s="112"/>
      <c r="GCG11" s="112"/>
      <c r="GCH11" s="112"/>
      <c r="GCI11" s="112"/>
      <c r="GCJ11" s="112"/>
      <c r="GCK11" s="112"/>
      <c r="GCL11" s="112"/>
      <c r="GCM11" s="112"/>
      <c r="GCN11" s="112"/>
      <c r="GCO11" s="112"/>
      <c r="GCP11" s="112"/>
      <c r="GCQ11" s="112"/>
      <c r="GCR11" s="112"/>
      <c r="GCS11" s="112"/>
      <c r="GCT11" s="112"/>
      <c r="GCU11" s="112"/>
      <c r="GCV11" s="112"/>
      <c r="GCW11" s="112"/>
      <c r="GCX11" s="112"/>
      <c r="GCY11" s="112"/>
      <c r="GCZ11" s="112"/>
      <c r="GDA11" s="112"/>
      <c r="GDB11" s="112"/>
      <c r="GDC11" s="112"/>
      <c r="GDD11" s="112"/>
      <c r="GDE11" s="112"/>
      <c r="GDF11" s="112"/>
      <c r="GDG11" s="112"/>
      <c r="GDH11" s="112"/>
      <c r="GDI11" s="112"/>
      <c r="GDJ11" s="112"/>
      <c r="GDK11" s="112"/>
      <c r="GDL11" s="112"/>
      <c r="GDM11" s="112"/>
      <c r="GDN11" s="112"/>
      <c r="GDO11" s="112"/>
      <c r="GDP11" s="112"/>
      <c r="GDQ11" s="112"/>
      <c r="GDR11" s="112"/>
      <c r="GDS11" s="112"/>
      <c r="GDT11" s="112"/>
      <c r="GDU11" s="112"/>
      <c r="GDV11" s="112"/>
      <c r="GDW11" s="112"/>
      <c r="GDX11" s="112"/>
      <c r="GDY11" s="112"/>
      <c r="GDZ11" s="112"/>
      <c r="GEA11" s="112"/>
      <c r="GEB11" s="112"/>
      <c r="GEC11" s="112"/>
      <c r="GED11" s="112"/>
      <c r="GEE11" s="112"/>
      <c r="GEF11" s="112"/>
      <c r="GEG11" s="112"/>
      <c r="GEH11" s="112"/>
      <c r="GEI11" s="112"/>
      <c r="GEJ11" s="112"/>
      <c r="GEK11" s="112"/>
      <c r="GEL11" s="112"/>
      <c r="GEM11" s="112"/>
      <c r="GEN11" s="112"/>
      <c r="GEO11" s="112"/>
      <c r="GEP11" s="112"/>
      <c r="GEQ11" s="112"/>
      <c r="GER11" s="112"/>
      <c r="GES11" s="112"/>
      <c r="GET11" s="112"/>
      <c r="GEU11" s="112"/>
      <c r="GEV11" s="112"/>
      <c r="GEW11" s="112"/>
      <c r="GEX11" s="112"/>
      <c r="GEY11" s="112"/>
      <c r="GEZ11" s="112"/>
      <c r="GFA11" s="112"/>
      <c r="GFB11" s="112"/>
      <c r="GFC11" s="112"/>
      <c r="GFD11" s="112"/>
      <c r="GFE11" s="112"/>
      <c r="GFF11" s="112"/>
      <c r="GFG11" s="112"/>
      <c r="GFH11" s="112"/>
      <c r="GFI11" s="112"/>
      <c r="GFJ11" s="112"/>
      <c r="GFK11" s="112"/>
      <c r="GFL11" s="112"/>
      <c r="GFM11" s="112"/>
      <c r="GFN11" s="112"/>
      <c r="GFO11" s="112"/>
      <c r="GFP11" s="112"/>
      <c r="GFQ11" s="112"/>
      <c r="GFR11" s="112"/>
      <c r="GFS11" s="112"/>
      <c r="GFT11" s="112"/>
      <c r="GFU11" s="112"/>
      <c r="GFV11" s="112"/>
      <c r="GFW11" s="112"/>
      <c r="GFX11" s="112"/>
      <c r="GFY11" s="112"/>
      <c r="GFZ11" s="112"/>
      <c r="GGA11" s="112"/>
      <c r="GGB11" s="112"/>
      <c r="GGC11" s="112"/>
      <c r="GGD11" s="112"/>
      <c r="GGE11" s="112"/>
      <c r="GGF11" s="112"/>
      <c r="GGG11" s="112"/>
      <c r="GGH11" s="112"/>
      <c r="GGI11" s="112"/>
      <c r="GGJ11" s="112"/>
      <c r="GGK11" s="112"/>
      <c r="GGL11" s="112"/>
      <c r="GGM11" s="112"/>
      <c r="GGN11" s="112"/>
      <c r="GGO11" s="112"/>
      <c r="GGP11" s="112"/>
      <c r="GGQ11" s="112"/>
      <c r="GGR11" s="112"/>
      <c r="GGS11" s="112"/>
      <c r="GGT11" s="112"/>
      <c r="GGU11" s="112"/>
      <c r="GGV11" s="112"/>
      <c r="GGW11" s="112"/>
      <c r="GGX11" s="112"/>
      <c r="GGY11" s="112"/>
      <c r="GGZ11" s="112"/>
      <c r="GHA11" s="112"/>
      <c r="GHB11" s="112"/>
      <c r="GHC11" s="112"/>
      <c r="GHD11" s="112"/>
      <c r="GHE11" s="112"/>
      <c r="GHF11" s="112"/>
      <c r="GHG11" s="112"/>
      <c r="GHH11" s="112"/>
      <c r="GHI11" s="112"/>
      <c r="GHJ11" s="112"/>
      <c r="GHK11" s="112"/>
      <c r="GHL11" s="112"/>
      <c r="GHM11" s="112"/>
      <c r="GHN11" s="112"/>
      <c r="GHO11" s="112"/>
      <c r="GHP11" s="112"/>
      <c r="GHQ11" s="112"/>
      <c r="GHR11" s="112"/>
      <c r="GHS11" s="112"/>
      <c r="GHT11" s="112"/>
      <c r="GHU11" s="112"/>
      <c r="GHV11" s="112"/>
      <c r="GHW11" s="112"/>
      <c r="GHX11" s="112"/>
      <c r="GHY11" s="112"/>
      <c r="GHZ11" s="112"/>
      <c r="GIA11" s="112"/>
      <c r="GIB11" s="112"/>
      <c r="GIC11" s="112"/>
      <c r="GID11" s="112"/>
      <c r="GIE11" s="112"/>
      <c r="GIF11" s="112"/>
      <c r="GIG11" s="112"/>
      <c r="GIH11" s="112"/>
      <c r="GII11" s="112"/>
      <c r="GIJ11" s="112"/>
      <c r="GIK11" s="112"/>
      <c r="GIL11" s="112"/>
      <c r="GIM11" s="112"/>
      <c r="GIN11" s="112"/>
      <c r="GIO11" s="112"/>
      <c r="GIP11" s="112"/>
      <c r="GIQ11" s="112"/>
      <c r="GIR11" s="112"/>
      <c r="GIS11" s="112"/>
      <c r="GIT11" s="112"/>
      <c r="GIU11" s="112"/>
      <c r="GIV11" s="112"/>
      <c r="GIW11" s="112"/>
      <c r="GIX11" s="112"/>
      <c r="GIY11" s="112"/>
      <c r="GIZ11" s="112"/>
      <c r="GJA11" s="112"/>
      <c r="GJB11" s="112"/>
      <c r="GJC11" s="112"/>
      <c r="GJD11" s="112"/>
      <c r="GJE11" s="112"/>
      <c r="GJF11" s="112"/>
      <c r="GJG11" s="112"/>
      <c r="GJH11" s="112"/>
      <c r="GJI11" s="112"/>
      <c r="GJJ11" s="112"/>
      <c r="GJK11" s="112"/>
      <c r="GJL11" s="112"/>
      <c r="GJM11" s="112"/>
      <c r="GJN11" s="112"/>
      <c r="GJO11" s="112"/>
      <c r="GJP11" s="112"/>
      <c r="GJQ11" s="112"/>
      <c r="GJR11" s="112"/>
      <c r="GJS11" s="112"/>
      <c r="GJT11" s="112"/>
      <c r="GJU11" s="112"/>
      <c r="GJV11" s="112"/>
      <c r="GJW11" s="112"/>
      <c r="GJX11" s="112"/>
      <c r="GJY11" s="112"/>
      <c r="GJZ11" s="112"/>
      <c r="GKA11" s="112"/>
      <c r="GKB11" s="112"/>
      <c r="GKC11" s="112"/>
      <c r="GKD11" s="112"/>
      <c r="GKE11" s="112"/>
      <c r="GKF11" s="112"/>
      <c r="GKG11" s="112"/>
      <c r="GKH11" s="112"/>
      <c r="GKI11" s="112"/>
      <c r="GKJ11" s="112"/>
      <c r="GKK11" s="112"/>
      <c r="GKL11" s="112"/>
      <c r="GKM11" s="112"/>
      <c r="GKN11" s="112"/>
      <c r="GKO11" s="112"/>
      <c r="GKP11" s="112"/>
      <c r="GKQ11" s="112"/>
      <c r="GKR11" s="112"/>
      <c r="GKS11" s="112"/>
      <c r="GKT11" s="112"/>
      <c r="GKU11" s="112"/>
      <c r="GKV11" s="112"/>
      <c r="GKW11" s="112"/>
      <c r="GKX11" s="112"/>
      <c r="GKY11" s="112"/>
      <c r="GKZ11" s="112"/>
      <c r="GLA11" s="112"/>
      <c r="GLB11" s="112"/>
      <c r="GLC11" s="112"/>
      <c r="GLD11" s="112"/>
      <c r="GLE11" s="112"/>
      <c r="GLF11" s="112"/>
      <c r="GLG11" s="112"/>
      <c r="GLH11" s="112"/>
      <c r="GLI11" s="112"/>
      <c r="GLJ11" s="112"/>
      <c r="GLK11" s="112"/>
      <c r="GLL11" s="112"/>
      <c r="GLM11" s="112"/>
      <c r="GLN11" s="112"/>
      <c r="GLO11" s="112"/>
      <c r="GLP11" s="112"/>
      <c r="GLQ11" s="112"/>
      <c r="GLR11" s="112"/>
      <c r="GLS11" s="112"/>
      <c r="GLT11" s="112"/>
      <c r="GLU11" s="112"/>
      <c r="GLV11" s="112"/>
      <c r="GLW11" s="112"/>
      <c r="GLX11" s="112"/>
      <c r="GLY11" s="112"/>
      <c r="GLZ11" s="112"/>
      <c r="GMA11" s="112"/>
      <c r="GMB11" s="112"/>
      <c r="GMC11" s="112"/>
      <c r="GMD11" s="112"/>
      <c r="GME11" s="112"/>
      <c r="GMF11" s="112"/>
      <c r="GMG11" s="112"/>
      <c r="GMH11" s="112"/>
      <c r="GMI11" s="112"/>
      <c r="GMJ11" s="112"/>
      <c r="GMK11" s="112"/>
      <c r="GML11" s="112"/>
      <c r="GMM11" s="112"/>
      <c r="GMN11" s="112"/>
      <c r="GMO11" s="112"/>
      <c r="GMP11" s="112"/>
      <c r="GMQ11" s="112"/>
      <c r="GMR11" s="112"/>
      <c r="GMS11" s="112"/>
      <c r="GMT11" s="112"/>
      <c r="GMU11" s="112"/>
      <c r="GMV11" s="112"/>
      <c r="GMW11" s="112"/>
      <c r="GMX11" s="112"/>
      <c r="GMY11" s="112"/>
      <c r="GMZ11" s="112"/>
      <c r="GNA11" s="112"/>
      <c r="GNB11" s="112"/>
      <c r="GNC11" s="112"/>
      <c r="GND11" s="112"/>
      <c r="GNE11" s="112"/>
      <c r="GNF11" s="112"/>
      <c r="GNG11" s="112"/>
      <c r="GNH11" s="112"/>
      <c r="GNI11" s="112"/>
      <c r="GNJ11" s="112"/>
      <c r="GNK11" s="112"/>
      <c r="GNL11" s="112"/>
      <c r="GNM11" s="112"/>
      <c r="GNN11" s="112"/>
      <c r="GNO11" s="112"/>
      <c r="GNP11" s="112"/>
      <c r="GNQ11" s="112"/>
      <c r="GNR11" s="112"/>
      <c r="GNS11" s="112"/>
      <c r="GNT11" s="112"/>
      <c r="GNU11" s="112"/>
      <c r="GNV11" s="112"/>
      <c r="GNW11" s="112"/>
      <c r="GNX11" s="112"/>
      <c r="GNY11" s="112"/>
      <c r="GNZ11" s="112"/>
      <c r="GOA11" s="112"/>
      <c r="GOB11" s="112"/>
      <c r="GOC11" s="112"/>
      <c r="GOD11" s="112"/>
      <c r="GOE11" s="112"/>
      <c r="GOF11" s="112"/>
      <c r="GOG11" s="112"/>
      <c r="GOH11" s="112"/>
      <c r="GOI11" s="112"/>
      <c r="GOJ11" s="112"/>
      <c r="GOK11" s="112"/>
      <c r="GOL11" s="112"/>
      <c r="GOM11" s="112"/>
      <c r="GON11" s="112"/>
      <c r="GOO11" s="112"/>
      <c r="GOP11" s="112"/>
      <c r="GOQ11" s="112"/>
      <c r="GOR11" s="112"/>
      <c r="GOS11" s="112"/>
      <c r="GOT11" s="112"/>
      <c r="GOU11" s="112"/>
      <c r="GOV11" s="112"/>
      <c r="GOW11" s="112"/>
      <c r="GOX11" s="112"/>
      <c r="GOY11" s="112"/>
      <c r="GOZ11" s="112"/>
      <c r="GPA11" s="112"/>
      <c r="GPB11" s="112"/>
      <c r="GPC11" s="112"/>
      <c r="GPD11" s="112"/>
      <c r="GPE11" s="112"/>
      <c r="GPF11" s="112"/>
      <c r="GPG11" s="112"/>
      <c r="GPH11" s="112"/>
      <c r="GPI11" s="112"/>
      <c r="GPJ11" s="112"/>
      <c r="GPK11" s="112"/>
      <c r="GPL11" s="112"/>
      <c r="GPM11" s="112"/>
      <c r="GPN11" s="112"/>
      <c r="GPO11" s="112"/>
      <c r="GPP11" s="112"/>
      <c r="GPQ11" s="112"/>
      <c r="GPR11" s="112"/>
      <c r="GPS11" s="112"/>
      <c r="GPT11" s="112"/>
      <c r="GPU11" s="112"/>
      <c r="GPV11" s="112"/>
      <c r="GPW11" s="112"/>
      <c r="GPX11" s="112"/>
      <c r="GPY11" s="112"/>
      <c r="GPZ11" s="112"/>
      <c r="GQA11" s="112"/>
      <c r="GQB11" s="112"/>
      <c r="GQC11" s="112"/>
      <c r="GQD11" s="112"/>
      <c r="GQE11" s="112"/>
      <c r="GQF11" s="112"/>
      <c r="GQG11" s="112"/>
      <c r="GQH11" s="112"/>
      <c r="GQI11" s="112"/>
      <c r="GQJ11" s="112"/>
      <c r="GQK11" s="112"/>
      <c r="GQL11" s="112"/>
      <c r="GQM11" s="112"/>
      <c r="GQN11" s="112"/>
      <c r="GQO11" s="112"/>
      <c r="GQP11" s="112"/>
      <c r="GQQ11" s="112"/>
      <c r="GQR11" s="112"/>
      <c r="GQS11" s="112"/>
      <c r="GQT11" s="112"/>
      <c r="GQU11" s="112"/>
      <c r="GQV11" s="112"/>
      <c r="GQW11" s="112"/>
      <c r="GQX11" s="112"/>
      <c r="GQY11" s="112"/>
      <c r="GQZ11" s="112"/>
      <c r="GRA11" s="112"/>
      <c r="GRB11" s="112"/>
      <c r="GRC11" s="112"/>
      <c r="GRD11" s="112"/>
      <c r="GRE11" s="112"/>
      <c r="GRF11" s="112"/>
      <c r="GRG11" s="112"/>
      <c r="GRH11" s="112"/>
      <c r="GRI11" s="112"/>
      <c r="GRJ11" s="112"/>
      <c r="GRK11" s="112"/>
      <c r="GRL11" s="112"/>
      <c r="GRM11" s="112"/>
      <c r="GRN11" s="112"/>
      <c r="GRO11" s="112"/>
      <c r="GRP11" s="112"/>
      <c r="GRQ11" s="112"/>
      <c r="GRR11" s="112"/>
      <c r="GRS11" s="112"/>
      <c r="GRT11" s="112"/>
      <c r="GRU11" s="112"/>
      <c r="GRV11" s="112"/>
      <c r="GRW11" s="112"/>
      <c r="GRX11" s="112"/>
      <c r="GRY11" s="112"/>
      <c r="GRZ11" s="112"/>
      <c r="GSA11" s="112"/>
      <c r="GSB11" s="112"/>
      <c r="GSC11" s="112"/>
      <c r="GSD11" s="112"/>
      <c r="GSE11" s="112"/>
      <c r="GSF11" s="112"/>
      <c r="GSG11" s="112"/>
      <c r="GSH11" s="112"/>
      <c r="GSI11" s="112"/>
      <c r="GSJ11" s="112"/>
      <c r="GSK11" s="112"/>
      <c r="GSL11" s="112"/>
      <c r="GSM11" s="112"/>
      <c r="GSN11" s="112"/>
      <c r="GSO11" s="112"/>
      <c r="GSP11" s="112"/>
      <c r="GSQ11" s="112"/>
      <c r="GSR11" s="112"/>
      <c r="GSS11" s="112"/>
      <c r="GST11" s="112"/>
      <c r="GSU11" s="112"/>
      <c r="GSV11" s="112"/>
      <c r="GSW11" s="112"/>
      <c r="GSX11" s="112"/>
      <c r="GSY11" s="112"/>
      <c r="GSZ11" s="112"/>
      <c r="GTA11" s="112"/>
      <c r="GTB11" s="112"/>
      <c r="GTC11" s="112"/>
      <c r="GTD11" s="112"/>
      <c r="GTE11" s="112"/>
      <c r="GTF11" s="112"/>
      <c r="GTG11" s="112"/>
      <c r="GTH11" s="112"/>
      <c r="GTI11" s="112"/>
      <c r="GTJ11" s="112"/>
      <c r="GTK11" s="112"/>
      <c r="GTL11" s="112"/>
      <c r="GTM11" s="112"/>
      <c r="GTN11" s="112"/>
      <c r="GTO11" s="112"/>
      <c r="GTP11" s="112"/>
      <c r="GTQ11" s="112"/>
      <c r="GTR11" s="112"/>
      <c r="GTS11" s="112"/>
      <c r="GTT11" s="112"/>
      <c r="GTU11" s="112"/>
      <c r="GTV11" s="112"/>
      <c r="GTW11" s="112"/>
      <c r="GTX11" s="112"/>
      <c r="GTY11" s="112"/>
      <c r="GTZ11" s="112"/>
      <c r="GUA11" s="112"/>
      <c r="GUB11" s="112"/>
      <c r="GUC11" s="112"/>
      <c r="GUD11" s="112"/>
      <c r="GUE11" s="112"/>
      <c r="GUF11" s="112"/>
      <c r="GUG11" s="112"/>
      <c r="GUH11" s="112"/>
      <c r="GUI11" s="112"/>
      <c r="GUJ11" s="112"/>
      <c r="GUK11" s="112"/>
      <c r="GUL11" s="112"/>
      <c r="GUM11" s="112"/>
      <c r="GUN11" s="112"/>
      <c r="GUO11" s="112"/>
      <c r="GUP11" s="112"/>
      <c r="GUQ11" s="112"/>
      <c r="GUR11" s="112"/>
      <c r="GUS11" s="112"/>
      <c r="GUT11" s="112"/>
      <c r="GUU11" s="112"/>
      <c r="GUV11" s="112"/>
      <c r="GUW11" s="112"/>
      <c r="GUX11" s="112"/>
      <c r="GUY11" s="112"/>
      <c r="GUZ11" s="112"/>
      <c r="GVA11" s="112"/>
      <c r="GVB11" s="112"/>
      <c r="GVC11" s="112"/>
      <c r="GVD11" s="112"/>
      <c r="GVE11" s="112"/>
      <c r="GVF11" s="112"/>
      <c r="GVG11" s="112"/>
      <c r="GVH11" s="112"/>
      <c r="GVI11" s="112"/>
      <c r="GVJ11" s="112"/>
      <c r="GVK11" s="112"/>
      <c r="GVL11" s="112"/>
      <c r="GVM11" s="112"/>
      <c r="GVN11" s="112"/>
      <c r="GVO11" s="112"/>
      <c r="GVP11" s="112"/>
      <c r="GVQ11" s="112"/>
      <c r="GVR11" s="112"/>
      <c r="GVS11" s="112"/>
      <c r="GVT11" s="112"/>
      <c r="GVU11" s="112"/>
      <c r="GVV11" s="112"/>
      <c r="GVW11" s="112"/>
      <c r="GVX11" s="112"/>
      <c r="GVY11" s="112"/>
      <c r="GVZ11" s="112"/>
      <c r="GWA11" s="112"/>
      <c r="GWB11" s="112"/>
      <c r="GWC11" s="112"/>
      <c r="GWD11" s="112"/>
      <c r="GWE11" s="112"/>
      <c r="GWF11" s="112"/>
      <c r="GWG11" s="112"/>
      <c r="GWH11" s="112"/>
      <c r="GWI11" s="112"/>
      <c r="GWJ11" s="112"/>
      <c r="GWK11" s="112"/>
      <c r="GWL11" s="112"/>
      <c r="GWM11" s="112"/>
      <c r="GWN11" s="112"/>
      <c r="GWO11" s="112"/>
      <c r="GWP11" s="112"/>
      <c r="GWQ11" s="112"/>
      <c r="GWR11" s="112"/>
      <c r="GWS11" s="112"/>
      <c r="GWT11" s="112"/>
      <c r="GWU11" s="112"/>
      <c r="GWV11" s="112"/>
      <c r="GWW11" s="112"/>
      <c r="GWX11" s="112"/>
      <c r="GWY11" s="112"/>
      <c r="GWZ11" s="112"/>
      <c r="GXA11" s="112"/>
      <c r="GXB11" s="112"/>
      <c r="GXC11" s="112"/>
      <c r="GXD11" s="112"/>
      <c r="GXE11" s="112"/>
      <c r="GXF11" s="112"/>
      <c r="GXG11" s="112"/>
      <c r="GXH11" s="112"/>
      <c r="GXI11" s="112"/>
      <c r="GXJ11" s="112"/>
      <c r="GXK11" s="112"/>
      <c r="GXL11" s="112"/>
      <c r="GXM11" s="112"/>
      <c r="GXN11" s="112"/>
      <c r="GXO11" s="112"/>
      <c r="GXP11" s="112"/>
      <c r="GXQ11" s="112"/>
      <c r="GXR11" s="112"/>
      <c r="GXS11" s="112"/>
      <c r="GXT11" s="112"/>
      <c r="GXU11" s="112"/>
      <c r="GXV11" s="112"/>
      <c r="GXW11" s="112"/>
      <c r="GXX11" s="112"/>
      <c r="GXY11" s="112"/>
      <c r="GXZ11" s="112"/>
      <c r="GYA11" s="112"/>
      <c r="GYB11" s="112"/>
      <c r="GYC11" s="112"/>
      <c r="GYD11" s="112"/>
      <c r="GYE11" s="112"/>
      <c r="GYF11" s="112"/>
      <c r="GYG11" s="112"/>
      <c r="GYH11" s="112"/>
      <c r="GYI11" s="112"/>
      <c r="GYJ11" s="112"/>
      <c r="GYK11" s="112"/>
      <c r="GYL11" s="112"/>
      <c r="GYM11" s="112"/>
      <c r="GYN11" s="112"/>
      <c r="GYO11" s="112"/>
      <c r="GYP11" s="112"/>
      <c r="GYQ11" s="112"/>
      <c r="GYR11" s="112"/>
      <c r="GYS11" s="112"/>
      <c r="GYT11" s="112"/>
      <c r="GYU11" s="112"/>
      <c r="GYV11" s="112"/>
      <c r="GYW11" s="112"/>
      <c r="GYX11" s="112"/>
      <c r="GYY11" s="112"/>
      <c r="GYZ11" s="112"/>
      <c r="GZA11" s="112"/>
      <c r="GZB11" s="112"/>
      <c r="GZC11" s="112"/>
      <c r="GZD11" s="112"/>
      <c r="GZE11" s="112"/>
      <c r="GZF11" s="112"/>
      <c r="GZG11" s="112"/>
      <c r="GZH11" s="112"/>
      <c r="GZI11" s="112"/>
      <c r="GZJ11" s="112"/>
      <c r="GZK11" s="112"/>
      <c r="GZL11" s="112"/>
      <c r="GZM11" s="112"/>
      <c r="GZN11" s="112"/>
      <c r="GZO11" s="112"/>
      <c r="GZP11" s="112"/>
      <c r="GZQ11" s="112"/>
      <c r="GZR11" s="112"/>
      <c r="GZS11" s="112"/>
      <c r="GZT11" s="112"/>
      <c r="GZU11" s="112"/>
      <c r="GZV11" s="112"/>
      <c r="GZW11" s="112"/>
      <c r="GZX11" s="112"/>
      <c r="GZY11" s="112"/>
      <c r="GZZ11" s="112"/>
      <c r="HAA11" s="112"/>
      <c r="HAB11" s="112"/>
      <c r="HAC11" s="112"/>
      <c r="HAD11" s="112"/>
      <c r="HAE11" s="112"/>
      <c r="HAF11" s="112"/>
      <c r="HAG11" s="112"/>
      <c r="HAH11" s="112"/>
      <c r="HAI11" s="112"/>
      <c r="HAJ11" s="112"/>
      <c r="HAK11" s="112"/>
      <c r="HAL11" s="112"/>
      <c r="HAM11" s="112"/>
      <c r="HAN11" s="112"/>
      <c r="HAO11" s="112"/>
      <c r="HAP11" s="112"/>
      <c r="HAQ11" s="112"/>
      <c r="HAR11" s="112"/>
      <c r="HAS11" s="112"/>
      <c r="HAT11" s="112"/>
      <c r="HAU11" s="112"/>
      <c r="HAV11" s="112"/>
      <c r="HAW11" s="112"/>
      <c r="HAX11" s="112"/>
      <c r="HAY11" s="112"/>
      <c r="HAZ11" s="112"/>
      <c r="HBA11" s="112"/>
      <c r="HBB11" s="112"/>
      <c r="HBC11" s="112"/>
      <c r="HBD11" s="112"/>
      <c r="HBE11" s="112"/>
      <c r="HBF11" s="112"/>
      <c r="HBG11" s="112"/>
      <c r="HBH11" s="112"/>
      <c r="HBI11" s="112"/>
      <c r="HBJ11" s="112"/>
      <c r="HBK11" s="112"/>
      <c r="HBL11" s="112"/>
      <c r="HBM11" s="112"/>
      <c r="HBN11" s="112"/>
      <c r="HBO11" s="112"/>
      <c r="HBP11" s="112"/>
      <c r="HBQ11" s="112"/>
      <c r="HBR11" s="112"/>
      <c r="HBS11" s="112"/>
      <c r="HBT11" s="112"/>
      <c r="HBU11" s="112"/>
      <c r="HBV11" s="112"/>
      <c r="HBW11" s="112"/>
      <c r="HBX11" s="112"/>
      <c r="HBY11" s="112"/>
      <c r="HBZ11" s="112"/>
      <c r="HCA11" s="112"/>
      <c r="HCB11" s="112"/>
      <c r="HCC11" s="112"/>
      <c r="HCD11" s="112"/>
      <c r="HCE11" s="112"/>
      <c r="HCF11" s="112"/>
      <c r="HCG11" s="112"/>
      <c r="HCH11" s="112"/>
      <c r="HCI11" s="112"/>
      <c r="HCJ11" s="112"/>
      <c r="HCK11" s="112"/>
      <c r="HCL11" s="112"/>
      <c r="HCM11" s="112"/>
      <c r="HCN11" s="112"/>
      <c r="HCO11" s="112"/>
      <c r="HCP11" s="112"/>
      <c r="HCQ11" s="112"/>
      <c r="HCR11" s="112"/>
      <c r="HCS11" s="112"/>
      <c r="HCT11" s="112"/>
      <c r="HCU11" s="112"/>
      <c r="HCV11" s="112"/>
      <c r="HCW11" s="112"/>
      <c r="HCX11" s="112"/>
      <c r="HCY11" s="112"/>
      <c r="HCZ11" s="112"/>
      <c r="HDA11" s="112"/>
      <c r="HDB11" s="112"/>
      <c r="HDC11" s="112"/>
      <c r="HDD11" s="112"/>
      <c r="HDE11" s="112"/>
      <c r="HDF11" s="112"/>
      <c r="HDG11" s="112"/>
      <c r="HDH11" s="112"/>
      <c r="HDI11" s="112"/>
      <c r="HDJ11" s="112"/>
      <c r="HDK11" s="112"/>
      <c r="HDL11" s="112"/>
      <c r="HDM11" s="112"/>
      <c r="HDN11" s="112"/>
      <c r="HDO11" s="112"/>
      <c r="HDP11" s="112"/>
      <c r="HDQ11" s="112"/>
      <c r="HDR11" s="112"/>
      <c r="HDS11" s="112"/>
      <c r="HDT11" s="112"/>
      <c r="HDU11" s="112"/>
      <c r="HDV11" s="112"/>
      <c r="HDW11" s="112"/>
      <c r="HDX11" s="112"/>
      <c r="HDY11" s="112"/>
      <c r="HDZ11" s="112"/>
      <c r="HEA11" s="112"/>
      <c r="HEB11" s="112"/>
      <c r="HEC11" s="112"/>
      <c r="HED11" s="112"/>
      <c r="HEE11" s="112"/>
      <c r="HEF11" s="112"/>
      <c r="HEG11" s="112"/>
      <c r="HEH11" s="112"/>
      <c r="HEI11" s="112"/>
      <c r="HEJ11" s="112"/>
      <c r="HEK11" s="112"/>
      <c r="HEL11" s="112"/>
      <c r="HEM11" s="112"/>
      <c r="HEN11" s="112"/>
      <c r="HEO11" s="112"/>
      <c r="HEP11" s="112"/>
      <c r="HEQ11" s="112"/>
      <c r="HER11" s="112"/>
      <c r="HES11" s="112"/>
      <c r="HET11" s="112"/>
      <c r="HEU11" s="112"/>
      <c r="HEV11" s="112"/>
      <c r="HEW11" s="112"/>
      <c r="HEX11" s="112"/>
      <c r="HEY11" s="112"/>
      <c r="HEZ11" s="112"/>
      <c r="HFA11" s="112"/>
      <c r="HFB11" s="112"/>
      <c r="HFC11" s="112"/>
      <c r="HFD11" s="112"/>
      <c r="HFE11" s="112"/>
      <c r="HFF11" s="112"/>
      <c r="HFG11" s="112"/>
      <c r="HFH11" s="112"/>
      <c r="HFI11" s="112"/>
      <c r="HFJ11" s="112"/>
      <c r="HFK11" s="112"/>
      <c r="HFL11" s="112"/>
      <c r="HFM11" s="112"/>
      <c r="HFN11" s="112"/>
      <c r="HFO11" s="112"/>
      <c r="HFP11" s="112"/>
      <c r="HFQ11" s="112"/>
      <c r="HFR11" s="112"/>
      <c r="HFS11" s="112"/>
      <c r="HFT11" s="112"/>
      <c r="HFU11" s="112"/>
      <c r="HFV11" s="112"/>
      <c r="HFW11" s="112"/>
      <c r="HFX11" s="112"/>
      <c r="HFY11" s="112"/>
      <c r="HFZ11" s="112"/>
      <c r="HGA11" s="112"/>
      <c r="HGB11" s="112"/>
      <c r="HGC11" s="112"/>
      <c r="HGD11" s="112"/>
      <c r="HGE11" s="112"/>
      <c r="HGF11" s="112"/>
      <c r="HGG11" s="112"/>
      <c r="HGH11" s="112"/>
      <c r="HGI11" s="112"/>
      <c r="HGJ11" s="112"/>
      <c r="HGK11" s="112"/>
      <c r="HGL11" s="112"/>
      <c r="HGM11" s="112"/>
      <c r="HGN11" s="112"/>
      <c r="HGO11" s="112"/>
      <c r="HGP11" s="112"/>
      <c r="HGQ11" s="112"/>
      <c r="HGR11" s="112"/>
      <c r="HGS11" s="112"/>
      <c r="HGT11" s="112"/>
      <c r="HGU11" s="112"/>
      <c r="HGV11" s="112"/>
      <c r="HGW11" s="112"/>
      <c r="HGX11" s="112"/>
      <c r="HGY11" s="112"/>
      <c r="HGZ11" s="112"/>
      <c r="HHA11" s="112"/>
      <c r="HHB11" s="112"/>
      <c r="HHC11" s="112"/>
      <c r="HHD11" s="112"/>
      <c r="HHE11" s="112"/>
      <c r="HHF11" s="112"/>
      <c r="HHG11" s="112"/>
      <c r="HHH11" s="112"/>
      <c r="HHI11" s="112"/>
      <c r="HHJ11" s="112"/>
      <c r="HHK11" s="112"/>
      <c r="HHL11" s="112"/>
      <c r="HHM11" s="112"/>
      <c r="HHN11" s="112"/>
      <c r="HHO11" s="112"/>
      <c r="HHP11" s="112"/>
      <c r="HHQ11" s="112"/>
      <c r="HHR11" s="112"/>
      <c r="HHS11" s="112"/>
      <c r="HHT11" s="112"/>
      <c r="HHU11" s="112"/>
      <c r="HHV11" s="112"/>
      <c r="HHW11" s="112"/>
      <c r="HHX11" s="112"/>
      <c r="HHY11" s="112"/>
      <c r="HHZ11" s="112"/>
      <c r="HIA11" s="112"/>
      <c r="HIB11" s="112"/>
      <c r="HIC11" s="112"/>
      <c r="HID11" s="112"/>
      <c r="HIE11" s="112"/>
      <c r="HIF11" s="112"/>
      <c r="HIG11" s="112"/>
      <c r="HIH11" s="112"/>
      <c r="HII11" s="112"/>
      <c r="HIJ11" s="112"/>
      <c r="HIK11" s="112"/>
      <c r="HIL11" s="112"/>
      <c r="HIM11" s="112"/>
      <c r="HIN11" s="112"/>
      <c r="HIO11" s="112"/>
      <c r="HIP11" s="112"/>
      <c r="HIQ11" s="112"/>
      <c r="HIR11" s="112"/>
      <c r="HIS11" s="112"/>
      <c r="HIT11" s="112"/>
      <c r="HIU11" s="112"/>
      <c r="HIV11" s="112"/>
      <c r="HIW11" s="112"/>
      <c r="HIX11" s="112"/>
      <c r="HIY11" s="112"/>
      <c r="HIZ11" s="112"/>
      <c r="HJA11" s="112"/>
      <c r="HJB11" s="112"/>
      <c r="HJC11" s="112"/>
      <c r="HJD11" s="112"/>
      <c r="HJE11" s="112"/>
      <c r="HJF11" s="112"/>
      <c r="HJG11" s="112"/>
      <c r="HJH11" s="112"/>
      <c r="HJI11" s="112"/>
      <c r="HJJ11" s="112"/>
      <c r="HJK11" s="112"/>
      <c r="HJL11" s="112"/>
      <c r="HJM11" s="112"/>
      <c r="HJN11" s="112"/>
      <c r="HJO11" s="112"/>
      <c r="HJP11" s="112"/>
      <c r="HJQ11" s="112"/>
      <c r="HJR11" s="112"/>
      <c r="HJS11" s="112"/>
      <c r="HJT11" s="112"/>
      <c r="HJU11" s="112"/>
      <c r="HJV11" s="112"/>
      <c r="HJW11" s="112"/>
      <c r="HJX11" s="112"/>
      <c r="HJY11" s="112"/>
      <c r="HJZ11" s="112"/>
      <c r="HKA11" s="112"/>
      <c r="HKB11" s="112"/>
      <c r="HKC11" s="112"/>
      <c r="HKD11" s="112"/>
      <c r="HKE11" s="112"/>
      <c r="HKF11" s="112"/>
      <c r="HKG11" s="112"/>
      <c r="HKH11" s="112"/>
      <c r="HKI11" s="112"/>
      <c r="HKJ11" s="112"/>
      <c r="HKK11" s="112"/>
      <c r="HKL11" s="112"/>
      <c r="HKM11" s="112"/>
      <c r="HKN11" s="112"/>
      <c r="HKO11" s="112"/>
      <c r="HKP11" s="112"/>
      <c r="HKQ11" s="112"/>
      <c r="HKR11" s="112"/>
      <c r="HKS11" s="112"/>
      <c r="HKT11" s="112"/>
      <c r="HKU11" s="112"/>
      <c r="HKV11" s="112"/>
      <c r="HKW11" s="112"/>
      <c r="HKX11" s="112"/>
      <c r="HKY11" s="112"/>
      <c r="HKZ11" s="112"/>
      <c r="HLA11" s="112"/>
      <c r="HLB11" s="112"/>
      <c r="HLC11" s="112"/>
      <c r="HLD11" s="112"/>
      <c r="HLE11" s="112"/>
      <c r="HLF11" s="112"/>
      <c r="HLG11" s="112"/>
      <c r="HLH11" s="112"/>
      <c r="HLI11" s="112"/>
      <c r="HLJ11" s="112"/>
      <c r="HLK11" s="112"/>
      <c r="HLL11" s="112"/>
      <c r="HLM11" s="112"/>
      <c r="HLN11" s="112"/>
      <c r="HLO11" s="112"/>
      <c r="HLP11" s="112"/>
      <c r="HLQ11" s="112"/>
      <c r="HLR11" s="112"/>
      <c r="HLS11" s="112"/>
      <c r="HLT11" s="112"/>
      <c r="HLU11" s="112"/>
      <c r="HLV11" s="112"/>
      <c r="HLW11" s="112"/>
      <c r="HLX11" s="112"/>
      <c r="HLY11" s="112"/>
      <c r="HLZ11" s="112"/>
      <c r="HMA11" s="112"/>
      <c r="HMB11" s="112"/>
      <c r="HMC11" s="112"/>
      <c r="HMD11" s="112"/>
      <c r="HME11" s="112"/>
      <c r="HMF11" s="112"/>
      <c r="HMG11" s="112"/>
      <c r="HMH11" s="112"/>
      <c r="HMI11" s="112"/>
      <c r="HMJ11" s="112"/>
      <c r="HMK11" s="112"/>
      <c r="HML11" s="112"/>
      <c r="HMM11" s="112"/>
      <c r="HMN11" s="112"/>
      <c r="HMO11" s="112"/>
      <c r="HMP11" s="112"/>
      <c r="HMQ11" s="112"/>
      <c r="HMR11" s="112"/>
      <c r="HMS11" s="112"/>
      <c r="HMT11" s="112"/>
      <c r="HMU11" s="112"/>
      <c r="HMV11" s="112"/>
      <c r="HMW11" s="112"/>
      <c r="HMX11" s="112"/>
      <c r="HMY11" s="112"/>
      <c r="HMZ11" s="112"/>
      <c r="HNA11" s="112"/>
      <c r="HNB11" s="112"/>
      <c r="HNC11" s="112"/>
      <c r="HND11" s="112"/>
      <c r="HNE11" s="112"/>
      <c r="HNF11" s="112"/>
      <c r="HNG11" s="112"/>
      <c r="HNH11" s="112"/>
      <c r="HNI11" s="112"/>
      <c r="HNJ11" s="112"/>
      <c r="HNK11" s="112"/>
      <c r="HNL11" s="112"/>
      <c r="HNM11" s="112"/>
      <c r="HNN11" s="112"/>
      <c r="HNO11" s="112"/>
      <c r="HNP11" s="112"/>
      <c r="HNQ11" s="112"/>
      <c r="HNR11" s="112"/>
      <c r="HNS11" s="112"/>
      <c r="HNT11" s="112"/>
      <c r="HNU11" s="112"/>
      <c r="HNV11" s="112"/>
      <c r="HNW11" s="112"/>
      <c r="HNX11" s="112"/>
      <c r="HNY11" s="112"/>
      <c r="HNZ11" s="112"/>
      <c r="HOA11" s="112"/>
      <c r="HOB11" s="112"/>
      <c r="HOC11" s="112"/>
      <c r="HOD11" s="112"/>
      <c r="HOE11" s="112"/>
      <c r="HOF11" s="112"/>
      <c r="HOG11" s="112"/>
      <c r="HOH11" s="112"/>
      <c r="HOI11" s="112"/>
      <c r="HOJ11" s="112"/>
      <c r="HOK11" s="112"/>
      <c r="HOL11" s="112"/>
      <c r="HOM11" s="112"/>
      <c r="HON11" s="112"/>
      <c r="HOO11" s="112"/>
      <c r="HOP11" s="112"/>
      <c r="HOQ11" s="112"/>
      <c r="HOR11" s="112"/>
      <c r="HOS11" s="112"/>
      <c r="HOT11" s="112"/>
      <c r="HOU11" s="112"/>
      <c r="HOV11" s="112"/>
      <c r="HOW11" s="112"/>
      <c r="HOX11" s="112"/>
      <c r="HOY11" s="112"/>
      <c r="HOZ11" s="112"/>
      <c r="HPA11" s="112"/>
      <c r="HPB11" s="112"/>
      <c r="HPC11" s="112"/>
      <c r="HPD11" s="112"/>
      <c r="HPE11" s="112"/>
      <c r="HPF11" s="112"/>
      <c r="HPG11" s="112"/>
      <c r="HPH11" s="112"/>
      <c r="HPI11" s="112"/>
      <c r="HPJ11" s="112"/>
      <c r="HPK11" s="112"/>
      <c r="HPL11" s="112"/>
      <c r="HPM11" s="112"/>
      <c r="HPN11" s="112"/>
      <c r="HPO11" s="112"/>
      <c r="HPP11" s="112"/>
      <c r="HPQ11" s="112"/>
      <c r="HPR11" s="112"/>
      <c r="HPS11" s="112"/>
      <c r="HPT11" s="112"/>
      <c r="HPU11" s="112"/>
      <c r="HPV11" s="112"/>
      <c r="HPW11" s="112"/>
      <c r="HPX11" s="112"/>
      <c r="HPY11" s="112"/>
      <c r="HPZ11" s="112"/>
      <c r="HQA11" s="112"/>
      <c r="HQB11" s="112"/>
      <c r="HQC11" s="112"/>
      <c r="HQD11" s="112"/>
      <c r="HQE11" s="112"/>
      <c r="HQF11" s="112"/>
      <c r="HQG11" s="112"/>
      <c r="HQH11" s="112"/>
      <c r="HQI11" s="112"/>
      <c r="HQJ11" s="112"/>
      <c r="HQK11" s="112"/>
      <c r="HQL11" s="112"/>
      <c r="HQM11" s="112"/>
      <c r="HQN11" s="112"/>
      <c r="HQO11" s="112"/>
      <c r="HQP11" s="112"/>
      <c r="HQQ11" s="112"/>
      <c r="HQR11" s="112"/>
      <c r="HQS11" s="112"/>
      <c r="HQT11" s="112"/>
      <c r="HQU11" s="112"/>
      <c r="HQV11" s="112"/>
      <c r="HQW11" s="112"/>
      <c r="HQX11" s="112"/>
      <c r="HQY11" s="112"/>
      <c r="HQZ11" s="112"/>
      <c r="HRA11" s="112"/>
      <c r="HRB11" s="112"/>
      <c r="HRC11" s="112"/>
      <c r="HRD11" s="112"/>
      <c r="HRE11" s="112"/>
      <c r="HRF11" s="112"/>
      <c r="HRG11" s="112"/>
      <c r="HRH11" s="112"/>
      <c r="HRI11" s="112"/>
      <c r="HRJ11" s="112"/>
      <c r="HRK11" s="112"/>
      <c r="HRL11" s="112"/>
      <c r="HRM11" s="112"/>
      <c r="HRN11" s="112"/>
      <c r="HRO11" s="112"/>
      <c r="HRP11" s="112"/>
      <c r="HRQ11" s="112"/>
      <c r="HRR11" s="112"/>
      <c r="HRS11" s="112"/>
      <c r="HRT11" s="112"/>
      <c r="HRU11" s="112"/>
      <c r="HRV11" s="112"/>
      <c r="HRW11" s="112"/>
      <c r="HRX11" s="112"/>
      <c r="HRY11" s="112"/>
      <c r="HRZ11" s="112"/>
      <c r="HSA11" s="112"/>
      <c r="HSB11" s="112"/>
      <c r="HSC11" s="112"/>
      <c r="HSD11" s="112"/>
      <c r="HSE11" s="112"/>
      <c r="HSF11" s="112"/>
      <c r="HSG11" s="112"/>
      <c r="HSH11" s="112"/>
      <c r="HSI11" s="112"/>
      <c r="HSJ11" s="112"/>
      <c r="HSK11" s="112"/>
      <c r="HSL11" s="112"/>
      <c r="HSM11" s="112"/>
      <c r="HSN11" s="112"/>
      <c r="HSO11" s="112"/>
      <c r="HSP11" s="112"/>
      <c r="HSQ11" s="112"/>
      <c r="HSR11" s="112"/>
      <c r="HSS11" s="112"/>
      <c r="HST11" s="112"/>
      <c r="HSU11" s="112"/>
      <c r="HSV11" s="112"/>
      <c r="HSW11" s="112"/>
      <c r="HSX11" s="112"/>
      <c r="HSY11" s="112"/>
      <c r="HSZ11" s="112"/>
      <c r="HTA11" s="112"/>
      <c r="HTB11" s="112"/>
      <c r="HTC11" s="112"/>
      <c r="HTD11" s="112"/>
      <c r="HTE11" s="112"/>
      <c r="HTF11" s="112"/>
      <c r="HTG11" s="112"/>
      <c r="HTH11" s="112"/>
      <c r="HTI11" s="112"/>
      <c r="HTJ11" s="112"/>
      <c r="HTK11" s="112"/>
      <c r="HTL11" s="112"/>
      <c r="HTM11" s="112"/>
      <c r="HTN11" s="112"/>
      <c r="HTO11" s="112"/>
      <c r="HTP11" s="112"/>
      <c r="HTQ11" s="112"/>
      <c r="HTR11" s="112"/>
      <c r="HTS11" s="112"/>
      <c r="HTT11" s="112"/>
      <c r="HTU11" s="112"/>
      <c r="HTV11" s="112"/>
      <c r="HTW11" s="112"/>
      <c r="HTX11" s="112"/>
      <c r="HTY11" s="112"/>
      <c r="HTZ11" s="112"/>
      <c r="HUA11" s="112"/>
      <c r="HUB11" s="112"/>
      <c r="HUC11" s="112"/>
      <c r="HUD11" s="112"/>
      <c r="HUE11" s="112"/>
      <c r="HUF11" s="112"/>
      <c r="HUG11" s="112"/>
      <c r="HUH11" s="112"/>
      <c r="HUI11" s="112"/>
      <c r="HUJ11" s="112"/>
      <c r="HUK11" s="112"/>
      <c r="HUL11" s="112"/>
      <c r="HUM11" s="112"/>
      <c r="HUN11" s="112"/>
      <c r="HUO11" s="112"/>
      <c r="HUP11" s="112"/>
      <c r="HUQ11" s="112"/>
      <c r="HUR11" s="112"/>
      <c r="HUS11" s="112"/>
      <c r="HUT11" s="112"/>
      <c r="HUU11" s="112"/>
      <c r="HUV11" s="112"/>
      <c r="HUW11" s="112"/>
      <c r="HUX11" s="112"/>
      <c r="HUY11" s="112"/>
      <c r="HUZ11" s="112"/>
      <c r="HVA11" s="112"/>
      <c r="HVB11" s="112"/>
      <c r="HVC11" s="112"/>
      <c r="HVD11" s="112"/>
      <c r="HVE11" s="112"/>
      <c r="HVF11" s="112"/>
      <c r="HVG11" s="112"/>
      <c r="HVH11" s="112"/>
      <c r="HVI11" s="112"/>
      <c r="HVJ11" s="112"/>
      <c r="HVK11" s="112"/>
      <c r="HVL11" s="112"/>
      <c r="HVM11" s="112"/>
      <c r="HVN11" s="112"/>
      <c r="HVO11" s="112"/>
      <c r="HVP11" s="112"/>
      <c r="HVQ11" s="112"/>
      <c r="HVR11" s="112"/>
      <c r="HVS11" s="112"/>
      <c r="HVT11" s="112"/>
      <c r="HVU11" s="112"/>
      <c r="HVV11" s="112"/>
      <c r="HVW11" s="112"/>
      <c r="HVX11" s="112"/>
      <c r="HVY11" s="112"/>
      <c r="HVZ11" s="112"/>
      <c r="HWA11" s="112"/>
      <c r="HWB11" s="112"/>
      <c r="HWC11" s="112"/>
      <c r="HWD11" s="112"/>
      <c r="HWE11" s="112"/>
      <c r="HWF11" s="112"/>
      <c r="HWG11" s="112"/>
      <c r="HWH11" s="112"/>
      <c r="HWI11" s="112"/>
      <c r="HWJ11" s="112"/>
      <c r="HWK11" s="112"/>
      <c r="HWL11" s="112"/>
      <c r="HWM11" s="112"/>
      <c r="HWN11" s="112"/>
      <c r="HWO11" s="112"/>
      <c r="HWP11" s="112"/>
      <c r="HWQ11" s="112"/>
      <c r="HWR11" s="112"/>
      <c r="HWS11" s="112"/>
      <c r="HWT11" s="112"/>
      <c r="HWU11" s="112"/>
      <c r="HWV11" s="112"/>
      <c r="HWW11" s="112"/>
      <c r="HWX11" s="112"/>
      <c r="HWY11" s="112"/>
      <c r="HWZ11" s="112"/>
      <c r="HXA11" s="112"/>
      <c r="HXB11" s="112"/>
      <c r="HXC11" s="112"/>
      <c r="HXD11" s="112"/>
      <c r="HXE11" s="112"/>
      <c r="HXF11" s="112"/>
      <c r="HXG11" s="112"/>
      <c r="HXH11" s="112"/>
      <c r="HXI11" s="112"/>
      <c r="HXJ11" s="112"/>
      <c r="HXK11" s="112"/>
      <c r="HXL11" s="112"/>
      <c r="HXM11" s="112"/>
      <c r="HXN11" s="112"/>
      <c r="HXO11" s="112"/>
      <c r="HXP11" s="112"/>
      <c r="HXQ11" s="112"/>
      <c r="HXR11" s="112"/>
      <c r="HXS11" s="112"/>
      <c r="HXT11" s="112"/>
      <c r="HXU11" s="112"/>
      <c r="HXV11" s="112"/>
      <c r="HXW11" s="112"/>
      <c r="HXX11" s="112"/>
      <c r="HXY11" s="112"/>
      <c r="HXZ11" s="112"/>
      <c r="HYA11" s="112"/>
      <c r="HYB11" s="112"/>
      <c r="HYC11" s="112"/>
      <c r="HYD11" s="112"/>
      <c r="HYE11" s="112"/>
      <c r="HYF11" s="112"/>
      <c r="HYG11" s="112"/>
      <c r="HYH11" s="112"/>
      <c r="HYI11" s="112"/>
      <c r="HYJ11" s="112"/>
      <c r="HYK11" s="112"/>
      <c r="HYL11" s="112"/>
      <c r="HYM11" s="112"/>
      <c r="HYN11" s="112"/>
      <c r="HYO11" s="112"/>
      <c r="HYP11" s="112"/>
      <c r="HYQ11" s="112"/>
      <c r="HYR11" s="112"/>
      <c r="HYS11" s="112"/>
      <c r="HYT11" s="112"/>
      <c r="HYU11" s="112"/>
      <c r="HYV11" s="112"/>
      <c r="HYW11" s="112"/>
      <c r="HYX11" s="112"/>
      <c r="HYY11" s="112"/>
      <c r="HYZ11" s="112"/>
      <c r="HZA11" s="112"/>
      <c r="HZB11" s="112"/>
      <c r="HZC11" s="112"/>
      <c r="HZD11" s="112"/>
      <c r="HZE11" s="112"/>
      <c r="HZF11" s="112"/>
      <c r="HZG11" s="112"/>
      <c r="HZH11" s="112"/>
      <c r="HZI11" s="112"/>
      <c r="HZJ11" s="112"/>
      <c r="HZK11" s="112"/>
      <c r="HZL11" s="112"/>
      <c r="HZM11" s="112"/>
      <c r="HZN11" s="112"/>
      <c r="HZO11" s="112"/>
      <c r="HZP11" s="112"/>
      <c r="HZQ11" s="112"/>
      <c r="HZR11" s="112"/>
      <c r="HZS11" s="112"/>
      <c r="HZT11" s="112"/>
      <c r="HZU11" s="112"/>
      <c r="HZV11" s="112"/>
      <c r="HZW11" s="112"/>
      <c r="HZX11" s="112"/>
      <c r="HZY11" s="112"/>
      <c r="HZZ11" s="112"/>
      <c r="IAA11" s="112"/>
      <c r="IAB11" s="112"/>
      <c r="IAC11" s="112"/>
      <c r="IAD11" s="112"/>
      <c r="IAE11" s="112"/>
      <c r="IAF11" s="112"/>
      <c r="IAG11" s="112"/>
      <c r="IAH11" s="112"/>
      <c r="IAI11" s="112"/>
      <c r="IAJ11" s="112"/>
      <c r="IAK11" s="112"/>
      <c r="IAL11" s="112"/>
      <c r="IAM11" s="112"/>
      <c r="IAN11" s="112"/>
      <c r="IAO11" s="112"/>
      <c r="IAP11" s="112"/>
      <c r="IAQ11" s="112"/>
      <c r="IAR11" s="112"/>
      <c r="IAS11" s="112"/>
      <c r="IAT11" s="112"/>
      <c r="IAU11" s="112"/>
      <c r="IAV11" s="112"/>
      <c r="IAW11" s="112"/>
      <c r="IAX11" s="112"/>
      <c r="IAY11" s="112"/>
      <c r="IAZ11" s="112"/>
      <c r="IBA11" s="112"/>
      <c r="IBB11" s="112"/>
      <c r="IBC11" s="112"/>
      <c r="IBD11" s="112"/>
      <c r="IBE11" s="112"/>
      <c r="IBF11" s="112"/>
      <c r="IBG11" s="112"/>
      <c r="IBH11" s="112"/>
      <c r="IBI11" s="112"/>
      <c r="IBJ11" s="112"/>
      <c r="IBK11" s="112"/>
      <c r="IBL11" s="112"/>
      <c r="IBM11" s="112"/>
      <c r="IBN11" s="112"/>
      <c r="IBO11" s="112"/>
      <c r="IBP11" s="112"/>
      <c r="IBQ11" s="112"/>
      <c r="IBR11" s="112"/>
      <c r="IBS11" s="112"/>
      <c r="IBT11" s="112"/>
      <c r="IBU11" s="112"/>
      <c r="IBV11" s="112"/>
      <c r="IBW11" s="112"/>
      <c r="IBX11" s="112"/>
      <c r="IBY11" s="112"/>
      <c r="IBZ11" s="112"/>
      <c r="ICA11" s="112"/>
      <c r="ICB11" s="112"/>
      <c r="ICC11" s="112"/>
      <c r="ICD11" s="112"/>
      <c r="ICE11" s="112"/>
      <c r="ICF11" s="112"/>
      <c r="ICG11" s="112"/>
      <c r="ICH11" s="112"/>
      <c r="ICI11" s="112"/>
      <c r="ICJ11" s="112"/>
      <c r="ICK11" s="112"/>
      <c r="ICL11" s="112"/>
      <c r="ICM11" s="112"/>
      <c r="ICN11" s="112"/>
      <c r="ICO11" s="112"/>
      <c r="ICP11" s="112"/>
      <c r="ICQ11" s="112"/>
      <c r="ICR11" s="112"/>
      <c r="ICS11" s="112"/>
      <c r="ICT11" s="112"/>
      <c r="ICU11" s="112"/>
      <c r="ICV11" s="112"/>
      <c r="ICW11" s="112"/>
      <c r="ICX11" s="112"/>
      <c r="ICY11" s="112"/>
      <c r="ICZ11" s="112"/>
      <c r="IDA11" s="112"/>
      <c r="IDB11" s="112"/>
      <c r="IDC11" s="112"/>
      <c r="IDD11" s="112"/>
      <c r="IDE11" s="112"/>
      <c r="IDF11" s="112"/>
      <c r="IDG11" s="112"/>
      <c r="IDH11" s="112"/>
      <c r="IDI11" s="112"/>
      <c r="IDJ11" s="112"/>
      <c r="IDK11" s="112"/>
      <c r="IDL11" s="112"/>
      <c r="IDM11" s="112"/>
      <c r="IDN11" s="112"/>
      <c r="IDO11" s="112"/>
      <c r="IDP11" s="112"/>
      <c r="IDQ11" s="112"/>
      <c r="IDR11" s="112"/>
      <c r="IDS11" s="112"/>
      <c r="IDT11" s="112"/>
      <c r="IDU11" s="112"/>
      <c r="IDV11" s="112"/>
      <c r="IDW11" s="112"/>
      <c r="IDX11" s="112"/>
      <c r="IDY11" s="112"/>
      <c r="IDZ11" s="112"/>
      <c r="IEA11" s="112"/>
      <c r="IEB11" s="112"/>
      <c r="IEC11" s="112"/>
      <c r="IED11" s="112"/>
      <c r="IEE11" s="112"/>
      <c r="IEF11" s="112"/>
      <c r="IEG11" s="112"/>
      <c r="IEH11" s="112"/>
      <c r="IEI11" s="112"/>
      <c r="IEJ11" s="112"/>
      <c r="IEK11" s="112"/>
      <c r="IEL11" s="112"/>
      <c r="IEM11" s="112"/>
      <c r="IEN11" s="112"/>
      <c r="IEO11" s="112"/>
      <c r="IEP11" s="112"/>
      <c r="IEQ11" s="112"/>
      <c r="IER11" s="112"/>
      <c r="IES11" s="112"/>
      <c r="IET11" s="112"/>
      <c r="IEU11" s="112"/>
      <c r="IEV11" s="112"/>
      <c r="IEW11" s="112"/>
      <c r="IEX11" s="112"/>
      <c r="IEY11" s="112"/>
      <c r="IEZ11" s="112"/>
      <c r="IFA11" s="112"/>
      <c r="IFB11" s="112"/>
      <c r="IFC11" s="112"/>
      <c r="IFD11" s="112"/>
      <c r="IFE11" s="112"/>
      <c r="IFF11" s="112"/>
      <c r="IFG11" s="112"/>
      <c r="IFH11" s="112"/>
      <c r="IFI11" s="112"/>
      <c r="IFJ11" s="112"/>
      <c r="IFK11" s="112"/>
      <c r="IFL11" s="112"/>
      <c r="IFM11" s="112"/>
      <c r="IFN11" s="112"/>
      <c r="IFO11" s="112"/>
      <c r="IFP11" s="112"/>
      <c r="IFQ11" s="112"/>
      <c r="IFR11" s="112"/>
      <c r="IFS11" s="112"/>
      <c r="IFT11" s="112"/>
      <c r="IFU11" s="112"/>
      <c r="IFV11" s="112"/>
      <c r="IFW11" s="112"/>
      <c r="IFX11" s="112"/>
      <c r="IFY11" s="112"/>
      <c r="IFZ11" s="112"/>
      <c r="IGA11" s="112"/>
      <c r="IGB11" s="112"/>
      <c r="IGC11" s="112"/>
      <c r="IGD11" s="112"/>
      <c r="IGE11" s="112"/>
      <c r="IGF11" s="112"/>
      <c r="IGG11" s="112"/>
      <c r="IGH11" s="112"/>
      <c r="IGI11" s="112"/>
      <c r="IGJ11" s="112"/>
      <c r="IGK11" s="112"/>
      <c r="IGL11" s="112"/>
      <c r="IGM11" s="112"/>
      <c r="IGN11" s="112"/>
      <c r="IGO11" s="112"/>
      <c r="IGP11" s="112"/>
      <c r="IGQ11" s="112"/>
      <c r="IGR11" s="112"/>
      <c r="IGS11" s="112"/>
      <c r="IGT11" s="112"/>
      <c r="IGU11" s="112"/>
      <c r="IGV11" s="112"/>
      <c r="IGW11" s="112"/>
      <c r="IGX11" s="112"/>
      <c r="IGY11" s="112"/>
      <c r="IGZ11" s="112"/>
      <c r="IHA11" s="112"/>
      <c r="IHB11" s="112"/>
      <c r="IHC11" s="112"/>
      <c r="IHD11" s="112"/>
      <c r="IHE11" s="112"/>
      <c r="IHF11" s="112"/>
      <c r="IHG11" s="112"/>
      <c r="IHH11" s="112"/>
      <c r="IHI11" s="112"/>
      <c r="IHJ11" s="112"/>
      <c r="IHK11" s="112"/>
      <c r="IHL11" s="112"/>
      <c r="IHM11" s="112"/>
      <c r="IHN11" s="112"/>
      <c r="IHO11" s="112"/>
      <c r="IHP11" s="112"/>
      <c r="IHQ11" s="112"/>
      <c r="IHR11" s="112"/>
      <c r="IHS11" s="112"/>
      <c r="IHT11" s="112"/>
      <c r="IHU11" s="112"/>
      <c r="IHV11" s="112"/>
      <c r="IHW11" s="112"/>
      <c r="IHX11" s="112"/>
      <c r="IHY11" s="112"/>
      <c r="IHZ11" s="112"/>
      <c r="IIA11" s="112"/>
      <c r="IIB11" s="112"/>
      <c r="IIC11" s="112"/>
      <c r="IID11" s="112"/>
      <c r="IIE11" s="112"/>
      <c r="IIF11" s="112"/>
      <c r="IIG11" s="112"/>
      <c r="IIH11" s="112"/>
      <c r="III11" s="112"/>
      <c r="IIJ11" s="112"/>
      <c r="IIK11" s="112"/>
      <c r="IIL11" s="112"/>
      <c r="IIM11" s="112"/>
      <c r="IIN11" s="112"/>
      <c r="IIO11" s="112"/>
      <c r="IIP11" s="112"/>
      <c r="IIQ11" s="112"/>
      <c r="IIR11" s="112"/>
      <c r="IIS11" s="112"/>
      <c r="IIT11" s="112"/>
      <c r="IIU11" s="112"/>
      <c r="IIV11" s="112"/>
      <c r="IIW11" s="112"/>
      <c r="IIX11" s="112"/>
      <c r="IIY11" s="112"/>
      <c r="IIZ11" s="112"/>
      <c r="IJA11" s="112"/>
      <c r="IJB11" s="112"/>
      <c r="IJC11" s="112"/>
      <c r="IJD11" s="112"/>
      <c r="IJE11" s="112"/>
      <c r="IJF11" s="112"/>
      <c r="IJG11" s="112"/>
      <c r="IJH11" s="112"/>
      <c r="IJI11" s="112"/>
      <c r="IJJ11" s="112"/>
      <c r="IJK11" s="112"/>
      <c r="IJL11" s="112"/>
      <c r="IJM11" s="112"/>
      <c r="IJN11" s="112"/>
      <c r="IJO11" s="112"/>
      <c r="IJP11" s="112"/>
      <c r="IJQ11" s="112"/>
      <c r="IJR11" s="112"/>
      <c r="IJS11" s="112"/>
      <c r="IJT11" s="112"/>
      <c r="IJU11" s="112"/>
      <c r="IJV11" s="112"/>
      <c r="IJW11" s="112"/>
      <c r="IJX11" s="112"/>
      <c r="IJY11" s="112"/>
      <c r="IJZ11" s="112"/>
      <c r="IKA11" s="112"/>
      <c r="IKB11" s="112"/>
      <c r="IKC11" s="112"/>
      <c r="IKD11" s="112"/>
      <c r="IKE11" s="112"/>
      <c r="IKF11" s="112"/>
      <c r="IKG11" s="112"/>
      <c r="IKH11" s="112"/>
      <c r="IKI11" s="112"/>
      <c r="IKJ11" s="112"/>
      <c r="IKK11" s="112"/>
      <c r="IKL11" s="112"/>
      <c r="IKM11" s="112"/>
      <c r="IKN11" s="112"/>
      <c r="IKO11" s="112"/>
      <c r="IKP11" s="112"/>
      <c r="IKQ11" s="112"/>
      <c r="IKR11" s="112"/>
      <c r="IKS11" s="112"/>
      <c r="IKT11" s="112"/>
      <c r="IKU11" s="112"/>
      <c r="IKV11" s="112"/>
      <c r="IKW11" s="112"/>
      <c r="IKX11" s="112"/>
      <c r="IKY11" s="112"/>
      <c r="IKZ11" s="112"/>
      <c r="ILA11" s="112"/>
      <c r="ILB11" s="112"/>
      <c r="ILC11" s="112"/>
      <c r="ILD11" s="112"/>
      <c r="ILE11" s="112"/>
      <c r="ILF11" s="112"/>
      <c r="ILG11" s="112"/>
      <c r="ILH11" s="112"/>
      <c r="ILI11" s="112"/>
      <c r="ILJ11" s="112"/>
      <c r="ILK11" s="112"/>
      <c r="ILL11" s="112"/>
      <c r="ILM11" s="112"/>
      <c r="ILN11" s="112"/>
      <c r="ILO11" s="112"/>
      <c r="ILP11" s="112"/>
      <c r="ILQ11" s="112"/>
      <c r="ILR11" s="112"/>
      <c r="ILS11" s="112"/>
      <c r="ILT11" s="112"/>
      <c r="ILU11" s="112"/>
      <c r="ILV11" s="112"/>
      <c r="ILW11" s="112"/>
      <c r="ILX11" s="112"/>
      <c r="ILY11" s="112"/>
      <c r="ILZ11" s="112"/>
      <c r="IMA11" s="112"/>
      <c r="IMB11" s="112"/>
      <c r="IMC11" s="112"/>
      <c r="IMD11" s="112"/>
      <c r="IME11" s="112"/>
      <c r="IMF11" s="112"/>
      <c r="IMG11" s="112"/>
      <c r="IMH11" s="112"/>
      <c r="IMI11" s="112"/>
      <c r="IMJ11" s="112"/>
      <c r="IMK11" s="112"/>
      <c r="IML11" s="112"/>
      <c r="IMM11" s="112"/>
      <c r="IMN11" s="112"/>
      <c r="IMO11" s="112"/>
      <c r="IMP11" s="112"/>
      <c r="IMQ11" s="112"/>
      <c r="IMR11" s="112"/>
      <c r="IMS11" s="112"/>
      <c r="IMT11" s="112"/>
      <c r="IMU11" s="112"/>
      <c r="IMV11" s="112"/>
      <c r="IMW11" s="112"/>
      <c r="IMX11" s="112"/>
      <c r="IMY11" s="112"/>
      <c r="IMZ11" s="112"/>
      <c r="INA11" s="112"/>
      <c r="INB11" s="112"/>
      <c r="INC11" s="112"/>
      <c r="IND11" s="112"/>
      <c r="INE11" s="112"/>
      <c r="INF11" s="112"/>
      <c r="ING11" s="112"/>
      <c r="INH11" s="112"/>
      <c r="INI11" s="112"/>
      <c r="INJ11" s="112"/>
      <c r="INK11" s="112"/>
      <c r="INL11" s="112"/>
      <c r="INM11" s="112"/>
      <c r="INN11" s="112"/>
      <c r="INO11" s="112"/>
      <c r="INP11" s="112"/>
      <c r="INQ11" s="112"/>
      <c r="INR11" s="112"/>
      <c r="INS11" s="112"/>
      <c r="INT11" s="112"/>
      <c r="INU11" s="112"/>
      <c r="INV11" s="112"/>
      <c r="INW11" s="112"/>
      <c r="INX11" s="112"/>
      <c r="INY11" s="112"/>
      <c r="INZ11" s="112"/>
      <c r="IOA11" s="112"/>
      <c r="IOB11" s="112"/>
      <c r="IOC11" s="112"/>
      <c r="IOD11" s="112"/>
      <c r="IOE11" s="112"/>
      <c r="IOF11" s="112"/>
      <c r="IOG11" s="112"/>
      <c r="IOH11" s="112"/>
      <c r="IOI11" s="112"/>
      <c r="IOJ11" s="112"/>
      <c r="IOK11" s="112"/>
      <c r="IOL11" s="112"/>
      <c r="IOM11" s="112"/>
      <c r="ION11" s="112"/>
      <c r="IOO11" s="112"/>
      <c r="IOP11" s="112"/>
      <c r="IOQ11" s="112"/>
      <c r="IOR11" s="112"/>
      <c r="IOS11" s="112"/>
      <c r="IOT11" s="112"/>
      <c r="IOU11" s="112"/>
      <c r="IOV11" s="112"/>
      <c r="IOW11" s="112"/>
      <c r="IOX11" s="112"/>
      <c r="IOY11" s="112"/>
      <c r="IOZ11" s="112"/>
      <c r="IPA11" s="112"/>
      <c r="IPB11" s="112"/>
      <c r="IPC11" s="112"/>
      <c r="IPD11" s="112"/>
      <c r="IPE11" s="112"/>
      <c r="IPF11" s="112"/>
      <c r="IPG11" s="112"/>
      <c r="IPH11" s="112"/>
      <c r="IPI11" s="112"/>
      <c r="IPJ11" s="112"/>
      <c r="IPK11" s="112"/>
      <c r="IPL11" s="112"/>
      <c r="IPM11" s="112"/>
      <c r="IPN11" s="112"/>
      <c r="IPO11" s="112"/>
      <c r="IPP11" s="112"/>
      <c r="IPQ11" s="112"/>
      <c r="IPR11" s="112"/>
      <c r="IPS11" s="112"/>
      <c r="IPT11" s="112"/>
      <c r="IPU11" s="112"/>
      <c r="IPV11" s="112"/>
      <c r="IPW11" s="112"/>
      <c r="IPX11" s="112"/>
      <c r="IPY11" s="112"/>
      <c r="IPZ11" s="112"/>
      <c r="IQA11" s="112"/>
      <c r="IQB11" s="112"/>
      <c r="IQC11" s="112"/>
      <c r="IQD11" s="112"/>
      <c r="IQE11" s="112"/>
      <c r="IQF11" s="112"/>
      <c r="IQG11" s="112"/>
      <c r="IQH11" s="112"/>
      <c r="IQI11" s="112"/>
      <c r="IQJ11" s="112"/>
      <c r="IQK11" s="112"/>
      <c r="IQL11" s="112"/>
      <c r="IQM11" s="112"/>
      <c r="IQN11" s="112"/>
      <c r="IQO11" s="112"/>
      <c r="IQP11" s="112"/>
      <c r="IQQ11" s="112"/>
      <c r="IQR11" s="112"/>
      <c r="IQS11" s="112"/>
      <c r="IQT11" s="112"/>
      <c r="IQU11" s="112"/>
      <c r="IQV11" s="112"/>
      <c r="IQW11" s="112"/>
      <c r="IQX11" s="112"/>
      <c r="IQY11" s="112"/>
      <c r="IQZ11" s="112"/>
      <c r="IRA11" s="112"/>
      <c r="IRB11" s="112"/>
      <c r="IRC11" s="112"/>
      <c r="IRD11" s="112"/>
      <c r="IRE11" s="112"/>
      <c r="IRF11" s="112"/>
      <c r="IRG11" s="112"/>
      <c r="IRH11" s="112"/>
      <c r="IRI11" s="112"/>
      <c r="IRJ11" s="112"/>
      <c r="IRK11" s="112"/>
      <c r="IRL11" s="112"/>
      <c r="IRM11" s="112"/>
      <c r="IRN11" s="112"/>
      <c r="IRO11" s="112"/>
      <c r="IRP11" s="112"/>
      <c r="IRQ11" s="112"/>
      <c r="IRR11" s="112"/>
      <c r="IRS11" s="112"/>
      <c r="IRT11" s="112"/>
      <c r="IRU11" s="112"/>
      <c r="IRV11" s="112"/>
      <c r="IRW11" s="112"/>
      <c r="IRX11" s="112"/>
      <c r="IRY11" s="112"/>
      <c r="IRZ11" s="112"/>
      <c r="ISA11" s="112"/>
      <c r="ISB11" s="112"/>
      <c r="ISC11" s="112"/>
      <c r="ISD11" s="112"/>
      <c r="ISE11" s="112"/>
      <c r="ISF11" s="112"/>
      <c r="ISG11" s="112"/>
      <c r="ISH11" s="112"/>
      <c r="ISI11" s="112"/>
      <c r="ISJ11" s="112"/>
      <c r="ISK11" s="112"/>
      <c r="ISL11" s="112"/>
      <c r="ISM11" s="112"/>
      <c r="ISN11" s="112"/>
      <c r="ISO11" s="112"/>
      <c r="ISP11" s="112"/>
      <c r="ISQ11" s="112"/>
      <c r="ISR11" s="112"/>
      <c r="ISS11" s="112"/>
      <c r="IST11" s="112"/>
      <c r="ISU11" s="112"/>
      <c r="ISV11" s="112"/>
      <c r="ISW11" s="112"/>
      <c r="ISX11" s="112"/>
      <c r="ISY11" s="112"/>
      <c r="ISZ11" s="112"/>
      <c r="ITA11" s="112"/>
      <c r="ITB11" s="112"/>
      <c r="ITC11" s="112"/>
      <c r="ITD11" s="112"/>
      <c r="ITE11" s="112"/>
      <c r="ITF11" s="112"/>
      <c r="ITG11" s="112"/>
      <c r="ITH11" s="112"/>
      <c r="ITI11" s="112"/>
      <c r="ITJ11" s="112"/>
      <c r="ITK11" s="112"/>
      <c r="ITL11" s="112"/>
      <c r="ITM11" s="112"/>
      <c r="ITN11" s="112"/>
      <c r="ITO11" s="112"/>
      <c r="ITP11" s="112"/>
      <c r="ITQ11" s="112"/>
      <c r="ITR11" s="112"/>
      <c r="ITS11" s="112"/>
      <c r="ITT11" s="112"/>
      <c r="ITU11" s="112"/>
      <c r="ITV11" s="112"/>
      <c r="ITW11" s="112"/>
      <c r="ITX11" s="112"/>
      <c r="ITY11" s="112"/>
      <c r="ITZ11" s="112"/>
      <c r="IUA11" s="112"/>
      <c r="IUB11" s="112"/>
      <c r="IUC11" s="112"/>
      <c r="IUD11" s="112"/>
      <c r="IUE11" s="112"/>
      <c r="IUF11" s="112"/>
      <c r="IUG11" s="112"/>
      <c r="IUH11" s="112"/>
      <c r="IUI11" s="112"/>
      <c r="IUJ11" s="112"/>
      <c r="IUK11" s="112"/>
      <c r="IUL11" s="112"/>
      <c r="IUM11" s="112"/>
      <c r="IUN11" s="112"/>
      <c r="IUO11" s="112"/>
      <c r="IUP11" s="112"/>
      <c r="IUQ11" s="112"/>
      <c r="IUR11" s="112"/>
      <c r="IUS11" s="112"/>
      <c r="IUT11" s="112"/>
      <c r="IUU11" s="112"/>
      <c r="IUV11" s="112"/>
      <c r="IUW11" s="112"/>
      <c r="IUX11" s="112"/>
      <c r="IUY11" s="112"/>
      <c r="IUZ11" s="112"/>
      <c r="IVA11" s="112"/>
      <c r="IVB11" s="112"/>
      <c r="IVC11" s="112"/>
      <c r="IVD11" s="112"/>
      <c r="IVE11" s="112"/>
      <c r="IVF11" s="112"/>
      <c r="IVG11" s="112"/>
      <c r="IVH11" s="112"/>
      <c r="IVI11" s="112"/>
      <c r="IVJ11" s="112"/>
      <c r="IVK11" s="112"/>
      <c r="IVL11" s="112"/>
      <c r="IVM11" s="112"/>
      <c r="IVN11" s="112"/>
      <c r="IVO11" s="112"/>
      <c r="IVP11" s="112"/>
      <c r="IVQ11" s="112"/>
      <c r="IVR11" s="112"/>
      <c r="IVS11" s="112"/>
      <c r="IVT11" s="112"/>
      <c r="IVU11" s="112"/>
      <c r="IVV11" s="112"/>
      <c r="IVW11" s="112"/>
      <c r="IVX11" s="112"/>
      <c r="IVY11" s="112"/>
      <c r="IVZ11" s="112"/>
      <c r="IWA11" s="112"/>
      <c r="IWB11" s="112"/>
      <c r="IWC11" s="112"/>
      <c r="IWD11" s="112"/>
      <c r="IWE11" s="112"/>
      <c r="IWF11" s="112"/>
      <c r="IWG11" s="112"/>
      <c r="IWH11" s="112"/>
      <c r="IWI11" s="112"/>
      <c r="IWJ11" s="112"/>
      <c r="IWK11" s="112"/>
      <c r="IWL11" s="112"/>
      <c r="IWM11" s="112"/>
      <c r="IWN11" s="112"/>
      <c r="IWO11" s="112"/>
      <c r="IWP11" s="112"/>
      <c r="IWQ11" s="112"/>
      <c r="IWR11" s="112"/>
      <c r="IWS11" s="112"/>
      <c r="IWT11" s="112"/>
      <c r="IWU11" s="112"/>
      <c r="IWV11" s="112"/>
      <c r="IWW11" s="112"/>
      <c r="IWX11" s="112"/>
      <c r="IWY11" s="112"/>
      <c r="IWZ11" s="112"/>
      <c r="IXA11" s="112"/>
      <c r="IXB11" s="112"/>
      <c r="IXC11" s="112"/>
      <c r="IXD11" s="112"/>
      <c r="IXE11" s="112"/>
      <c r="IXF11" s="112"/>
      <c r="IXG11" s="112"/>
      <c r="IXH11" s="112"/>
      <c r="IXI11" s="112"/>
      <c r="IXJ11" s="112"/>
      <c r="IXK11" s="112"/>
      <c r="IXL11" s="112"/>
      <c r="IXM11" s="112"/>
      <c r="IXN11" s="112"/>
      <c r="IXO11" s="112"/>
      <c r="IXP11" s="112"/>
      <c r="IXQ11" s="112"/>
      <c r="IXR11" s="112"/>
      <c r="IXS11" s="112"/>
      <c r="IXT11" s="112"/>
      <c r="IXU11" s="112"/>
      <c r="IXV11" s="112"/>
      <c r="IXW11" s="112"/>
      <c r="IXX11" s="112"/>
      <c r="IXY11" s="112"/>
      <c r="IXZ11" s="112"/>
      <c r="IYA11" s="112"/>
      <c r="IYB11" s="112"/>
      <c r="IYC11" s="112"/>
      <c r="IYD11" s="112"/>
      <c r="IYE11" s="112"/>
      <c r="IYF11" s="112"/>
      <c r="IYG11" s="112"/>
      <c r="IYH11" s="112"/>
      <c r="IYI11" s="112"/>
      <c r="IYJ11" s="112"/>
      <c r="IYK11" s="112"/>
      <c r="IYL11" s="112"/>
      <c r="IYM11" s="112"/>
      <c r="IYN11" s="112"/>
      <c r="IYO11" s="112"/>
      <c r="IYP11" s="112"/>
      <c r="IYQ11" s="112"/>
      <c r="IYR11" s="112"/>
      <c r="IYS11" s="112"/>
      <c r="IYT11" s="112"/>
      <c r="IYU11" s="112"/>
      <c r="IYV11" s="112"/>
      <c r="IYW11" s="112"/>
      <c r="IYX11" s="112"/>
      <c r="IYY11" s="112"/>
      <c r="IYZ11" s="112"/>
      <c r="IZA11" s="112"/>
      <c r="IZB11" s="112"/>
      <c r="IZC11" s="112"/>
      <c r="IZD11" s="112"/>
      <c r="IZE11" s="112"/>
      <c r="IZF11" s="112"/>
      <c r="IZG11" s="112"/>
      <c r="IZH11" s="112"/>
      <c r="IZI11" s="112"/>
      <c r="IZJ11" s="112"/>
      <c r="IZK11" s="112"/>
      <c r="IZL11" s="112"/>
      <c r="IZM11" s="112"/>
      <c r="IZN11" s="112"/>
      <c r="IZO11" s="112"/>
      <c r="IZP11" s="112"/>
      <c r="IZQ11" s="112"/>
      <c r="IZR11" s="112"/>
      <c r="IZS11" s="112"/>
      <c r="IZT11" s="112"/>
      <c r="IZU11" s="112"/>
      <c r="IZV11" s="112"/>
      <c r="IZW11" s="112"/>
      <c r="IZX11" s="112"/>
      <c r="IZY11" s="112"/>
      <c r="IZZ11" s="112"/>
      <c r="JAA11" s="112"/>
      <c r="JAB11" s="112"/>
      <c r="JAC11" s="112"/>
      <c r="JAD11" s="112"/>
      <c r="JAE11" s="112"/>
      <c r="JAF11" s="112"/>
      <c r="JAG11" s="112"/>
      <c r="JAH11" s="112"/>
      <c r="JAI11" s="112"/>
      <c r="JAJ11" s="112"/>
      <c r="JAK11" s="112"/>
      <c r="JAL11" s="112"/>
      <c r="JAM11" s="112"/>
      <c r="JAN11" s="112"/>
      <c r="JAO11" s="112"/>
      <c r="JAP11" s="112"/>
      <c r="JAQ11" s="112"/>
      <c r="JAR11" s="112"/>
      <c r="JAS11" s="112"/>
      <c r="JAT11" s="112"/>
      <c r="JAU11" s="112"/>
      <c r="JAV11" s="112"/>
      <c r="JAW11" s="112"/>
      <c r="JAX11" s="112"/>
      <c r="JAY11" s="112"/>
      <c r="JAZ11" s="112"/>
      <c r="JBA11" s="112"/>
      <c r="JBB11" s="112"/>
      <c r="JBC11" s="112"/>
      <c r="JBD11" s="112"/>
      <c r="JBE11" s="112"/>
      <c r="JBF11" s="112"/>
      <c r="JBG11" s="112"/>
      <c r="JBH11" s="112"/>
      <c r="JBI11" s="112"/>
      <c r="JBJ11" s="112"/>
      <c r="JBK11" s="112"/>
      <c r="JBL11" s="112"/>
      <c r="JBM11" s="112"/>
      <c r="JBN11" s="112"/>
      <c r="JBO11" s="112"/>
      <c r="JBP11" s="112"/>
      <c r="JBQ11" s="112"/>
      <c r="JBR11" s="112"/>
      <c r="JBS11" s="112"/>
      <c r="JBT11" s="112"/>
      <c r="JBU11" s="112"/>
      <c r="JBV11" s="112"/>
      <c r="JBW11" s="112"/>
      <c r="JBX11" s="112"/>
      <c r="JBY11" s="112"/>
      <c r="JBZ11" s="112"/>
      <c r="JCA11" s="112"/>
      <c r="JCB11" s="112"/>
      <c r="JCC11" s="112"/>
      <c r="JCD11" s="112"/>
      <c r="JCE11" s="112"/>
      <c r="JCF11" s="112"/>
      <c r="JCG11" s="112"/>
      <c r="JCH11" s="112"/>
      <c r="JCI11" s="112"/>
      <c r="JCJ11" s="112"/>
      <c r="JCK11" s="112"/>
      <c r="JCL11" s="112"/>
      <c r="JCM11" s="112"/>
      <c r="JCN11" s="112"/>
      <c r="JCO11" s="112"/>
      <c r="JCP11" s="112"/>
      <c r="JCQ11" s="112"/>
      <c r="JCR11" s="112"/>
      <c r="JCS11" s="112"/>
      <c r="JCT11" s="112"/>
      <c r="JCU11" s="112"/>
      <c r="JCV11" s="112"/>
      <c r="JCW11" s="112"/>
      <c r="JCX11" s="112"/>
      <c r="JCY11" s="112"/>
      <c r="JCZ11" s="112"/>
      <c r="JDA11" s="112"/>
      <c r="JDB11" s="112"/>
      <c r="JDC11" s="112"/>
      <c r="JDD11" s="112"/>
      <c r="JDE11" s="112"/>
      <c r="JDF11" s="112"/>
      <c r="JDG11" s="112"/>
      <c r="JDH11" s="112"/>
      <c r="JDI11" s="112"/>
      <c r="JDJ11" s="112"/>
      <c r="JDK11" s="112"/>
      <c r="JDL11" s="112"/>
      <c r="JDM11" s="112"/>
      <c r="JDN11" s="112"/>
      <c r="JDO11" s="112"/>
      <c r="JDP11" s="112"/>
      <c r="JDQ11" s="112"/>
      <c r="JDR11" s="112"/>
      <c r="JDS11" s="112"/>
      <c r="JDT11" s="112"/>
      <c r="JDU11" s="112"/>
      <c r="JDV11" s="112"/>
      <c r="JDW11" s="112"/>
      <c r="JDX11" s="112"/>
      <c r="JDY11" s="112"/>
      <c r="JDZ11" s="112"/>
      <c r="JEA11" s="112"/>
      <c r="JEB11" s="112"/>
      <c r="JEC11" s="112"/>
      <c r="JED11" s="112"/>
      <c r="JEE11" s="112"/>
      <c r="JEF11" s="112"/>
      <c r="JEG11" s="112"/>
      <c r="JEH11" s="112"/>
      <c r="JEI11" s="112"/>
      <c r="JEJ11" s="112"/>
      <c r="JEK11" s="112"/>
      <c r="JEL11" s="112"/>
      <c r="JEM11" s="112"/>
      <c r="JEN11" s="112"/>
      <c r="JEO11" s="112"/>
      <c r="JEP11" s="112"/>
      <c r="JEQ11" s="112"/>
      <c r="JER11" s="112"/>
      <c r="JES11" s="112"/>
      <c r="JET11" s="112"/>
      <c r="JEU11" s="112"/>
      <c r="JEV11" s="112"/>
      <c r="JEW11" s="112"/>
      <c r="JEX11" s="112"/>
      <c r="JEY11" s="112"/>
      <c r="JEZ11" s="112"/>
      <c r="JFA11" s="112"/>
      <c r="JFB11" s="112"/>
      <c r="JFC11" s="112"/>
      <c r="JFD11" s="112"/>
      <c r="JFE11" s="112"/>
      <c r="JFF11" s="112"/>
      <c r="JFG11" s="112"/>
      <c r="JFH11" s="112"/>
      <c r="JFI11" s="112"/>
      <c r="JFJ11" s="112"/>
      <c r="JFK11" s="112"/>
      <c r="JFL11" s="112"/>
      <c r="JFM11" s="112"/>
      <c r="JFN11" s="112"/>
      <c r="JFO11" s="112"/>
      <c r="JFP11" s="112"/>
      <c r="JFQ11" s="112"/>
      <c r="JFR11" s="112"/>
      <c r="JFS11" s="112"/>
      <c r="JFT11" s="112"/>
      <c r="JFU11" s="112"/>
      <c r="JFV11" s="112"/>
      <c r="JFW11" s="112"/>
      <c r="JFX11" s="112"/>
      <c r="JFY11" s="112"/>
      <c r="JFZ11" s="112"/>
      <c r="JGA11" s="112"/>
      <c r="JGB11" s="112"/>
      <c r="JGC11" s="112"/>
      <c r="JGD11" s="112"/>
      <c r="JGE11" s="112"/>
      <c r="JGF11" s="112"/>
      <c r="JGG11" s="112"/>
      <c r="JGH11" s="112"/>
      <c r="JGI11" s="112"/>
      <c r="JGJ11" s="112"/>
      <c r="JGK11" s="112"/>
      <c r="JGL11" s="112"/>
      <c r="JGM11" s="112"/>
      <c r="JGN11" s="112"/>
      <c r="JGO11" s="112"/>
      <c r="JGP11" s="112"/>
      <c r="JGQ11" s="112"/>
      <c r="JGR11" s="112"/>
      <c r="JGS11" s="112"/>
      <c r="JGT11" s="112"/>
      <c r="JGU11" s="112"/>
      <c r="JGV11" s="112"/>
      <c r="JGW11" s="112"/>
      <c r="JGX11" s="112"/>
      <c r="JGY11" s="112"/>
      <c r="JGZ11" s="112"/>
      <c r="JHA11" s="112"/>
      <c r="JHB11" s="112"/>
      <c r="JHC11" s="112"/>
      <c r="JHD11" s="112"/>
      <c r="JHE11" s="112"/>
      <c r="JHF11" s="112"/>
      <c r="JHG11" s="112"/>
      <c r="JHH11" s="112"/>
      <c r="JHI11" s="112"/>
      <c r="JHJ11" s="112"/>
      <c r="JHK11" s="112"/>
      <c r="JHL11" s="112"/>
      <c r="JHM11" s="112"/>
      <c r="JHN11" s="112"/>
      <c r="JHO11" s="112"/>
      <c r="JHP11" s="112"/>
      <c r="JHQ11" s="112"/>
      <c r="JHR11" s="112"/>
      <c r="JHS11" s="112"/>
      <c r="JHT11" s="112"/>
      <c r="JHU11" s="112"/>
      <c r="JHV11" s="112"/>
      <c r="JHW11" s="112"/>
      <c r="JHX11" s="112"/>
      <c r="JHY11" s="112"/>
      <c r="JHZ11" s="112"/>
      <c r="JIA11" s="112"/>
      <c r="JIB11" s="112"/>
      <c r="JIC11" s="112"/>
      <c r="JID11" s="112"/>
      <c r="JIE11" s="112"/>
      <c r="JIF11" s="112"/>
      <c r="JIG11" s="112"/>
      <c r="JIH11" s="112"/>
      <c r="JII11" s="112"/>
      <c r="JIJ11" s="112"/>
      <c r="JIK11" s="112"/>
      <c r="JIL11" s="112"/>
      <c r="JIM11" s="112"/>
      <c r="JIN11" s="112"/>
      <c r="JIO11" s="112"/>
      <c r="JIP11" s="112"/>
      <c r="JIQ11" s="112"/>
      <c r="JIR11" s="112"/>
      <c r="JIS11" s="112"/>
      <c r="JIT11" s="112"/>
      <c r="JIU11" s="112"/>
      <c r="JIV11" s="112"/>
      <c r="JIW11" s="112"/>
      <c r="JIX11" s="112"/>
      <c r="JIY11" s="112"/>
      <c r="JIZ11" s="112"/>
      <c r="JJA11" s="112"/>
      <c r="JJB11" s="112"/>
      <c r="JJC11" s="112"/>
      <c r="JJD11" s="112"/>
      <c r="JJE11" s="112"/>
      <c r="JJF11" s="112"/>
      <c r="JJG11" s="112"/>
      <c r="JJH11" s="112"/>
      <c r="JJI11" s="112"/>
      <c r="JJJ11" s="112"/>
      <c r="JJK11" s="112"/>
      <c r="JJL11" s="112"/>
      <c r="JJM11" s="112"/>
      <c r="JJN11" s="112"/>
      <c r="JJO11" s="112"/>
      <c r="JJP11" s="112"/>
      <c r="JJQ11" s="112"/>
      <c r="JJR11" s="112"/>
      <c r="JJS11" s="112"/>
      <c r="JJT11" s="112"/>
      <c r="JJU11" s="112"/>
      <c r="JJV11" s="112"/>
      <c r="JJW11" s="112"/>
      <c r="JJX11" s="112"/>
      <c r="JJY11" s="112"/>
      <c r="JJZ11" s="112"/>
      <c r="JKA11" s="112"/>
      <c r="JKB11" s="112"/>
      <c r="JKC11" s="112"/>
      <c r="JKD11" s="112"/>
      <c r="JKE11" s="112"/>
      <c r="JKF11" s="112"/>
      <c r="JKG11" s="112"/>
      <c r="JKH11" s="112"/>
      <c r="JKI11" s="112"/>
      <c r="JKJ11" s="112"/>
      <c r="JKK11" s="112"/>
      <c r="JKL11" s="112"/>
      <c r="JKM11" s="112"/>
      <c r="JKN11" s="112"/>
      <c r="JKO11" s="112"/>
      <c r="JKP11" s="112"/>
      <c r="JKQ11" s="112"/>
      <c r="JKR11" s="112"/>
      <c r="JKS11" s="112"/>
      <c r="JKT11" s="112"/>
      <c r="JKU11" s="112"/>
      <c r="JKV11" s="112"/>
      <c r="JKW11" s="112"/>
      <c r="JKX11" s="112"/>
      <c r="JKY11" s="112"/>
      <c r="JKZ11" s="112"/>
      <c r="JLA11" s="112"/>
      <c r="JLB11" s="112"/>
      <c r="JLC11" s="112"/>
      <c r="JLD11" s="112"/>
      <c r="JLE11" s="112"/>
      <c r="JLF11" s="112"/>
      <c r="JLG11" s="112"/>
      <c r="JLH11" s="112"/>
      <c r="JLI11" s="112"/>
      <c r="JLJ11" s="112"/>
      <c r="JLK11" s="112"/>
      <c r="JLL11" s="112"/>
      <c r="JLM11" s="112"/>
      <c r="JLN11" s="112"/>
      <c r="JLO11" s="112"/>
      <c r="JLP11" s="112"/>
      <c r="JLQ11" s="112"/>
      <c r="JLR11" s="112"/>
      <c r="JLS11" s="112"/>
      <c r="JLT11" s="112"/>
      <c r="JLU11" s="112"/>
      <c r="JLV11" s="112"/>
      <c r="JLW11" s="112"/>
      <c r="JLX11" s="112"/>
      <c r="JLY11" s="112"/>
      <c r="JLZ11" s="112"/>
      <c r="JMA11" s="112"/>
      <c r="JMB11" s="112"/>
      <c r="JMC11" s="112"/>
      <c r="JMD11" s="112"/>
      <c r="JME11" s="112"/>
      <c r="JMF11" s="112"/>
      <c r="JMG11" s="112"/>
      <c r="JMH11" s="112"/>
      <c r="JMI11" s="112"/>
      <c r="JMJ11" s="112"/>
      <c r="JMK11" s="112"/>
      <c r="JML11" s="112"/>
      <c r="JMM11" s="112"/>
      <c r="JMN11" s="112"/>
      <c r="JMO11" s="112"/>
      <c r="JMP11" s="112"/>
      <c r="JMQ11" s="112"/>
      <c r="JMR11" s="112"/>
      <c r="JMS11" s="112"/>
      <c r="JMT11" s="112"/>
      <c r="JMU11" s="112"/>
      <c r="JMV11" s="112"/>
      <c r="JMW11" s="112"/>
      <c r="JMX11" s="112"/>
      <c r="JMY11" s="112"/>
      <c r="JMZ11" s="112"/>
      <c r="JNA11" s="112"/>
      <c r="JNB11" s="112"/>
      <c r="JNC11" s="112"/>
      <c r="JND11" s="112"/>
      <c r="JNE11" s="112"/>
      <c r="JNF11" s="112"/>
      <c r="JNG11" s="112"/>
      <c r="JNH11" s="112"/>
      <c r="JNI11" s="112"/>
      <c r="JNJ11" s="112"/>
      <c r="JNK11" s="112"/>
      <c r="JNL11" s="112"/>
      <c r="JNM11" s="112"/>
      <c r="JNN11" s="112"/>
      <c r="JNO11" s="112"/>
      <c r="JNP11" s="112"/>
      <c r="JNQ11" s="112"/>
      <c r="JNR11" s="112"/>
      <c r="JNS11" s="112"/>
      <c r="JNT11" s="112"/>
      <c r="JNU11" s="112"/>
      <c r="JNV11" s="112"/>
      <c r="JNW11" s="112"/>
      <c r="JNX11" s="112"/>
      <c r="JNY11" s="112"/>
      <c r="JNZ11" s="112"/>
      <c r="JOA11" s="112"/>
      <c r="JOB11" s="112"/>
      <c r="JOC11" s="112"/>
      <c r="JOD11" s="112"/>
      <c r="JOE11" s="112"/>
      <c r="JOF11" s="112"/>
      <c r="JOG11" s="112"/>
      <c r="JOH11" s="112"/>
      <c r="JOI11" s="112"/>
      <c r="JOJ11" s="112"/>
      <c r="JOK11" s="112"/>
      <c r="JOL11" s="112"/>
      <c r="JOM11" s="112"/>
      <c r="JON11" s="112"/>
      <c r="JOO11" s="112"/>
      <c r="JOP11" s="112"/>
      <c r="JOQ11" s="112"/>
      <c r="JOR11" s="112"/>
      <c r="JOS11" s="112"/>
      <c r="JOT11" s="112"/>
      <c r="JOU11" s="112"/>
      <c r="JOV11" s="112"/>
      <c r="JOW11" s="112"/>
      <c r="JOX11" s="112"/>
      <c r="JOY11" s="112"/>
      <c r="JOZ11" s="112"/>
      <c r="JPA11" s="112"/>
      <c r="JPB11" s="112"/>
      <c r="JPC11" s="112"/>
      <c r="JPD11" s="112"/>
      <c r="JPE11" s="112"/>
      <c r="JPF11" s="112"/>
      <c r="JPG11" s="112"/>
      <c r="JPH11" s="112"/>
      <c r="JPI11" s="112"/>
      <c r="JPJ11" s="112"/>
      <c r="JPK11" s="112"/>
      <c r="JPL11" s="112"/>
      <c r="JPM11" s="112"/>
      <c r="JPN11" s="112"/>
      <c r="JPO11" s="112"/>
      <c r="JPP11" s="112"/>
      <c r="JPQ11" s="112"/>
      <c r="JPR11" s="112"/>
      <c r="JPS11" s="112"/>
      <c r="JPT11" s="112"/>
      <c r="JPU11" s="112"/>
      <c r="JPV11" s="112"/>
      <c r="JPW11" s="112"/>
      <c r="JPX11" s="112"/>
      <c r="JPY11" s="112"/>
      <c r="JPZ11" s="112"/>
      <c r="JQA11" s="112"/>
      <c r="JQB11" s="112"/>
      <c r="JQC11" s="112"/>
      <c r="JQD11" s="112"/>
      <c r="JQE11" s="112"/>
      <c r="JQF11" s="112"/>
      <c r="JQG11" s="112"/>
      <c r="JQH11" s="112"/>
      <c r="JQI11" s="112"/>
      <c r="JQJ11" s="112"/>
      <c r="JQK11" s="112"/>
      <c r="JQL11" s="112"/>
      <c r="JQM11" s="112"/>
      <c r="JQN11" s="112"/>
      <c r="JQO11" s="112"/>
      <c r="JQP11" s="112"/>
      <c r="JQQ11" s="112"/>
      <c r="JQR11" s="112"/>
      <c r="JQS11" s="112"/>
      <c r="JQT11" s="112"/>
      <c r="JQU11" s="112"/>
      <c r="JQV11" s="112"/>
      <c r="JQW11" s="112"/>
      <c r="JQX11" s="112"/>
      <c r="JQY11" s="112"/>
      <c r="JQZ11" s="112"/>
      <c r="JRA11" s="112"/>
      <c r="JRB11" s="112"/>
      <c r="JRC11" s="112"/>
      <c r="JRD11" s="112"/>
      <c r="JRE11" s="112"/>
      <c r="JRF11" s="112"/>
      <c r="JRG11" s="112"/>
      <c r="JRH11" s="112"/>
      <c r="JRI11" s="112"/>
      <c r="JRJ11" s="112"/>
      <c r="JRK11" s="112"/>
      <c r="JRL11" s="112"/>
      <c r="JRM11" s="112"/>
      <c r="JRN11" s="112"/>
      <c r="JRO11" s="112"/>
      <c r="JRP11" s="112"/>
      <c r="JRQ11" s="112"/>
      <c r="JRR11" s="112"/>
      <c r="JRS11" s="112"/>
      <c r="JRT11" s="112"/>
      <c r="JRU11" s="112"/>
      <c r="JRV11" s="112"/>
      <c r="JRW11" s="112"/>
      <c r="JRX11" s="112"/>
      <c r="JRY11" s="112"/>
      <c r="JRZ11" s="112"/>
      <c r="JSA11" s="112"/>
      <c r="JSB11" s="112"/>
      <c r="JSC11" s="112"/>
      <c r="JSD11" s="112"/>
      <c r="JSE11" s="112"/>
      <c r="JSF11" s="112"/>
      <c r="JSG11" s="112"/>
      <c r="JSH11" s="112"/>
      <c r="JSI11" s="112"/>
      <c r="JSJ11" s="112"/>
      <c r="JSK11" s="112"/>
      <c r="JSL11" s="112"/>
      <c r="JSM11" s="112"/>
      <c r="JSN11" s="112"/>
      <c r="JSO11" s="112"/>
      <c r="JSP11" s="112"/>
      <c r="JSQ11" s="112"/>
      <c r="JSR11" s="112"/>
      <c r="JSS11" s="112"/>
      <c r="JST11" s="112"/>
      <c r="JSU11" s="112"/>
      <c r="JSV11" s="112"/>
      <c r="JSW11" s="112"/>
      <c r="JSX11" s="112"/>
      <c r="JSY11" s="112"/>
      <c r="JSZ11" s="112"/>
      <c r="JTA11" s="112"/>
      <c r="JTB11" s="112"/>
      <c r="JTC11" s="112"/>
      <c r="JTD11" s="112"/>
      <c r="JTE11" s="112"/>
      <c r="JTF11" s="112"/>
      <c r="JTG11" s="112"/>
      <c r="JTH11" s="112"/>
      <c r="JTI11" s="112"/>
      <c r="JTJ11" s="112"/>
      <c r="JTK11" s="112"/>
      <c r="JTL11" s="112"/>
      <c r="JTM11" s="112"/>
      <c r="JTN11" s="112"/>
      <c r="JTO11" s="112"/>
      <c r="JTP11" s="112"/>
      <c r="JTQ11" s="112"/>
      <c r="JTR11" s="112"/>
      <c r="JTS11" s="112"/>
      <c r="JTT11" s="112"/>
      <c r="JTU11" s="112"/>
      <c r="JTV11" s="112"/>
      <c r="JTW11" s="112"/>
      <c r="JTX11" s="112"/>
      <c r="JTY11" s="112"/>
      <c r="JTZ11" s="112"/>
      <c r="JUA11" s="112"/>
      <c r="JUB11" s="112"/>
      <c r="JUC11" s="112"/>
      <c r="JUD11" s="112"/>
      <c r="JUE11" s="112"/>
      <c r="JUF11" s="112"/>
      <c r="JUG11" s="112"/>
      <c r="JUH11" s="112"/>
      <c r="JUI11" s="112"/>
      <c r="JUJ11" s="112"/>
      <c r="JUK11" s="112"/>
      <c r="JUL11" s="112"/>
      <c r="JUM11" s="112"/>
      <c r="JUN11" s="112"/>
      <c r="JUO11" s="112"/>
      <c r="JUP11" s="112"/>
      <c r="JUQ11" s="112"/>
      <c r="JUR11" s="112"/>
      <c r="JUS11" s="112"/>
      <c r="JUT11" s="112"/>
      <c r="JUU11" s="112"/>
      <c r="JUV11" s="112"/>
      <c r="JUW11" s="112"/>
      <c r="JUX11" s="112"/>
      <c r="JUY11" s="112"/>
      <c r="JUZ11" s="112"/>
      <c r="JVA11" s="112"/>
      <c r="JVB11" s="112"/>
      <c r="JVC11" s="112"/>
      <c r="JVD11" s="112"/>
      <c r="JVE11" s="112"/>
      <c r="JVF11" s="112"/>
      <c r="JVG11" s="112"/>
      <c r="JVH11" s="112"/>
      <c r="JVI11" s="112"/>
      <c r="JVJ11" s="112"/>
      <c r="JVK11" s="112"/>
      <c r="JVL11" s="112"/>
      <c r="JVM11" s="112"/>
      <c r="JVN11" s="112"/>
      <c r="JVO11" s="112"/>
      <c r="JVP11" s="112"/>
      <c r="JVQ11" s="112"/>
      <c r="JVR11" s="112"/>
      <c r="JVS11" s="112"/>
      <c r="JVT11" s="112"/>
      <c r="JVU11" s="112"/>
      <c r="JVV11" s="112"/>
      <c r="JVW11" s="112"/>
      <c r="JVX11" s="112"/>
      <c r="JVY11" s="112"/>
      <c r="JVZ11" s="112"/>
      <c r="JWA11" s="112"/>
      <c r="JWB11" s="112"/>
      <c r="JWC11" s="112"/>
      <c r="JWD11" s="112"/>
      <c r="JWE11" s="112"/>
      <c r="JWF11" s="112"/>
      <c r="JWG11" s="112"/>
      <c r="JWH11" s="112"/>
      <c r="JWI11" s="112"/>
      <c r="JWJ11" s="112"/>
      <c r="JWK11" s="112"/>
      <c r="JWL11" s="112"/>
      <c r="JWM11" s="112"/>
      <c r="JWN11" s="112"/>
      <c r="JWO11" s="112"/>
      <c r="JWP11" s="112"/>
      <c r="JWQ11" s="112"/>
      <c r="JWR11" s="112"/>
      <c r="JWS11" s="112"/>
      <c r="JWT11" s="112"/>
      <c r="JWU11" s="112"/>
      <c r="JWV11" s="112"/>
      <c r="JWW11" s="112"/>
      <c r="JWX11" s="112"/>
      <c r="JWY11" s="112"/>
      <c r="JWZ11" s="112"/>
      <c r="JXA11" s="112"/>
      <c r="JXB11" s="112"/>
      <c r="JXC11" s="112"/>
      <c r="JXD11" s="112"/>
      <c r="JXE11" s="112"/>
      <c r="JXF11" s="112"/>
      <c r="JXG11" s="112"/>
      <c r="JXH11" s="112"/>
      <c r="JXI11" s="112"/>
      <c r="JXJ11" s="112"/>
      <c r="JXK11" s="112"/>
      <c r="JXL11" s="112"/>
      <c r="JXM11" s="112"/>
      <c r="JXN11" s="112"/>
      <c r="JXO11" s="112"/>
      <c r="JXP11" s="112"/>
      <c r="JXQ11" s="112"/>
      <c r="JXR11" s="112"/>
      <c r="JXS11" s="112"/>
      <c r="JXT11" s="112"/>
      <c r="JXU11" s="112"/>
      <c r="JXV11" s="112"/>
      <c r="JXW11" s="112"/>
      <c r="JXX11" s="112"/>
      <c r="JXY11" s="112"/>
      <c r="JXZ11" s="112"/>
      <c r="JYA11" s="112"/>
      <c r="JYB11" s="112"/>
      <c r="JYC11" s="112"/>
      <c r="JYD11" s="112"/>
      <c r="JYE11" s="112"/>
      <c r="JYF11" s="112"/>
      <c r="JYG11" s="112"/>
      <c r="JYH11" s="112"/>
      <c r="JYI11" s="112"/>
      <c r="JYJ11" s="112"/>
      <c r="JYK11" s="112"/>
      <c r="JYL11" s="112"/>
      <c r="JYM11" s="112"/>
      <c r="JYN11" s="112"/>
      <c r="JYO11" s="112"/>
      <c r="JYP11" s="112"/>
      <c r="JYQ11" s="112"/>
      <c r="JYR11" s="112"/>
      <c r="JYS11" s="112"/>
      <c r="JYT11" s="112"/>
      <c r="JYU11" s="112"/>
      <c r="JYV11" s="112"/>
      <c r="JYW11" s="112"/>
      <c r="JYX11" s="112"/>
      <c r="JYY11" s="112"/>
      <c r="JYZ11" s="112"/>
      <c r="JZA11" s="112"/>
      <c r="JZB11" s="112"/>
      <c r="JZC11" s="112"/>
      <c r="JZD11" s="112"/>
      <c r="JZE11" s="112"/>
      <c r="JZF11" s="112"/>
      <c r="JZG11" s="112"/>
      <c r="JZH11" s="112"/>
      <c r="JZI11" s="112"/>
      <c r="JZJ11" s="112"/>
      <c r="JZK11" s="112"/>
      <c r="JZL11" s="112"/>
      <c r="JZM11" s="112"/>
      <c r="JZN11" s="112"/>
      <c r="JZO11" s="112"/>
      <c r="JZP11" s="112"/>
      <c r="JZQ11" s="112"/>
      <c r="JZR11" s="112"/>
      <c r="JZS11" s="112"/>
      <c r="JZT11" s="112"/>
      <c r="JZU11" s="112"/>
      <c r="JZV11" s="112"/>
      <c r="JZW11" s="112"/>
      <c r="JZX11" s="112"/>
      <c r="JZY11" s="112"/>
      <c r="JZZ11" s="112"/>
      <c r="KAA11" s="112"/>
      <c r="KAB11" s="112"/>
      <c r="KAC11" s="112"/>
      <c r="KAD11" s="112"/>
      <c r="KAE11" s="112"/>
      <c r="KAF11" s="112"/>
      <c r="KAG11" s="112"/>
      <c r="KAH11" s="112"/>
      <c r="KAI11" s="112"/>
      <c r="KAJ11" s="112"/>
      <c r="KAK11" s="112"/>
      <c r="KAL11" s="112"/>
      <c r="KAM11" s="112"/>
      <c r="KAN11" s="112"/>
      <c r="KAO11" s="112"/>
      <c r="KAP11" s="112"/>
      <c r="KAQ11" s="112"/>
      <c r="KAR11" s="112"/>
      <c r="KAS11" s="112"/>
      <c r="KAT11" s="112"/>
      <c r="KAU11" s="112"/>
      <c r="KAV11" s="112"/>
      <c r="KAW11" s="112"/>
      <c r="KAX11" s="112"/>
      <c r="KAY11" s="112"/>
      <c r="KAZ11" s="112"/>
      <c r="KBA11" s="112"/>
      <c r="KBB11" s="112"/>
      <c r="KBC11" s="112"/>
      <c r="KBD11" s="112"/>
      <c r="KBE11" s="112"/>
      <c r="KBF11" s="112"/>
      <c r="KBG11" s="112"/>
      <c r="KBH11" s="112"/>
      <c r="KBI11" s="112"/>
      <c r="KBJ11" s="112"/>
      <c r="KBK11" s="112"/>
      <c r="KBL11" s="112"/>
      <c r="KBM11" s="112"/>
      <c r="KBN11" s="112"/>
      <c r="KBO11" s="112"/>
      <c r="KBP11" s="112"/>
      <c r="KBQ11" s="112"/>
      <c r="KBR11" s="112"/>
      <c r="KBS11" s="112"/>
      <c r="KBT11" s="112"/>
      <c r="KBU11" s="112"/>
      <c r="KBV11" s="112"/>
      <c r="KBW11" s="112"/>
      <c r="KBX11" s="112"/>
      <c r="KBY11" s="112"/>
      <c r="KBZ11" s="112"/>
      <c r="KCA11" s="112"/>
      <c r="KCB11" s="112"/>
      <c r="KCC11" s="112"/>
      <c r="KCD11" s="112"/>
      <c r="KCE11" s="112"/>
      <c r="KCF11" s="112"/>
      <c r="KCG11" s="112"/>
      <c r="KCH11" s="112"/>
      <c r="KCI11" s="112"/>
      <c r="KCJ11" s="112"/>
      <c r="KCK11" s="112"/>
      <c r="KCL11" s="112"/>
      <c r="KCM11" s="112"/>
      <c r="KCN11" s="112"/>
      <c r="KCO11" s="112"/>
      <c r="KCP11" s="112"/>
      <c r="KCQ11" s="112"/>
      <c r="KCR11" s="112"/>
      <c r="KCS11" s="112"/>
      <c r="KCT11" s="112"/>
      <c r="KCU11" s="112"/>
      <c r="KCV11" s="112"/>
      <c r="KCW11" s="112"/>
      <c r="KCX11" s="112"/>
      <c r="KCY11" s="112"/>
      <c r="KCZ11" s="112"/>
      <c r="KDA11" s="112"/>
      <c r="KDB11" s="112"/>
      <c r="KDC11" s="112"/>
      <c r="KDD11" s="112"/>
      <c r="KDE11" s="112"/>
      <c r="KDF11" s="112"/>
      <c r="KDG11" s="112"/>
      <c r="KDH11" s="112"/>
      <c r="KDI11" s="112"/>
      <c r="KDJ11" s="112"/>
      <c r="KDK11" s="112"/>
      <c r="KDL11" s="112"/>
      <c r="KDM11" s="112"/>
      <c r="KDN11" s="112"/>
      <c r="KDO11" s="112"/>
      <c r="KDP11" s="112"/>
      <c r="KDQ11" s="112"/>
      <c r="KDR11" s="112"/>
      <c r="KDS11" s="112"/>
      <c r="KDT11" s="112"/>
      <c r="KDU11" s="112"/>
      <c r="KDV11" s="112"/>
      <c r="KDW11" s="112"/>
      <c r="KDX11" s="112"/>
      <c r="KDY11" s="112"/>
      <c r="KDZ11" s="112"/>
      <c r="KEA11" s="112"/>
      <c r="KEB11" s="112"/>
      <c r="KEC11" s="112"/>
      <c r="KED11" s="112"/>
      <c r="KEE11" s="112"/>
      <c r="KEF11" s="112"/>
      <c r="KEG11" s="112"/>
      <c r="KEH11" s="112"/>
      <c r="KEI11" s="112"/>
      <c r="KEJ11" s="112"/>
      <c r="KEK11" s="112"/>
      <c r="KEL11" s="112"/>
      <c r="KEM11" s="112"/>
      <c r="KEN11" s="112"/>
      <c r="KEO11" s="112"/>
      <c r="KEP11" s="112"/>
      <c r="KEQ11" s="112"/>
      <c r="KER11" s="112"/>
      <c r="KES11" s="112"/>
      <c r="KET11" s="112"/>
      <c r="KEU11" s="112"/>
      <c r="KEV11" s="112"/>
      <c r="KEW11" s="112"/>
      <c r="KEX11" s="112"/>
      <c r="KEY11" s="112"/>
      <c r="KEZ11" s="112"/>
      <c r="KFA11" s="112"/>
      <c r="KFB11" s="112"/>
      <c r="KFC11" s="112"/>
      <c r="KFD11" s="112"/>
      <c r="KFE11" s="112"/>
      <c r="KFF11" s="112"/>
      <c r="KFG11" s="112"/>
      <c r="KFH11" s="112"/>
      <c r="KFI11" s="112"/>
      <c r="KFJ11" s="112"/>
      <c r="KFK11" s="112"/>
      <c r="KFL11" s="112"/>
      <c r="KFM11" s="112"/>
      <c r="KFN11" s="112"/>
      <c r="KFO11" s="112"/>
      <c r="KFP11" s="112"/>
      <c r="KFQ11" s="112"/>
      <c r="KFR11" s="112"/>
      <c r="KFS11" s="112"/>
      <c r="KFT11" s="112"/>
      <c r="KFU11" s="112"/>
      <c r="KFV11" s="112"/>
      <c r="KFW11" s="112"/>
      <c r="KFX11" s="112"/>
      <c r="KFY11" s="112"/>
      <c r="KFZ11" s="112"/>
      <c r="KGA11" s="112"/>
      <c r="KGB11" s="112"/>
      <c r="KGC11" s="112"/>
      <c r="KGD11" s="112"/>
      <c r="KGE11" s="112"/>
      <c r="KGF11" s="112"/>
      <c r="KGG11" s="112"/>
      <c r="KGH11" s="112"/>
      <c r="KGI11" s="112"/>
      <c r="KGJ11" s="112"/>
      <c r="KGK11" s="112"/>
      <c r="KGL11" s="112"/>
      <c r="KGM11" s="112"/>
      <c r="KGN11" s="112"/>
      <c r="KGO11" s="112"/>
      <c r="KGP11" s="112"/>
      <c r="KGQ11" s="112"/>
      <c r="KGR11" s="112"/>
      <c r="KGS11" s="112"/>
      <c r="KGT11" s="112"/>
      <c r="KGU11" s="112"/>
      <c r="KGV11" s="112"/>
      <c r="KGW11" s="112"/>
      <c r="KGX11" s="112"/>
      <c r="KGY11" s="112"/>
      <c r="KGZ11" s="112"/>
      <c r="KHA11" s="112"/>
      <c r="KHB11" s="112"/>
      <c r="KHC11" s="112"/>
      <c r="KHD11" s="112"/>
      <c r="KHE11" s="112"/>
      <c r="KHF11" s="112"/>
      <c r="KHG11" s="112"/>
      <c r="KHH11" s="112"/>
      <c r="KHI11" s="112"/>
      <c r="KHJ11" s="112"/>
      <c r="KHK11" s="112"/>
      <c r="KHL11" s="112"/>
      <c r="KHM11" s="112"/>
      <c r="KHN11" s="112"/>
      <c r="KHO11" s="112"/>
      <c r="KHP11" s="112"/>
      <c r="KHQ11" s="112"/>
      <c r="KHR11" s="112"/>
      <c r="KHS11" s="112"/>
      <c r="KHT11" s="112"/>
      <c r="KHU11" s="112"/>
      <c r="KHV11" s="112"/>
      <c r="KHW11" s="112"/>
      <c r="KHX11" s="112"/>
      <c r="KHY11" s="112"/>
      <c r="KHZ11" s="112"/>
      <c r="KIA11" s="112"/>
      <c r="KIB11" s="112"/>
      <c r="KIC11" s="112"/>
      <c r="KID11" s="112"/>
      <c r="KIE11" s="112"/>
      <c r="KIF11" s="112"/>
      <c r="KIG11" s="112"/>
      <c r="KIH11" s="112"/>
      <c r="KII11" s="112"/>
      <c r="KIJ11" s="112"/>
      <c r="KIK11" s="112"/>
      <c r="KIL11" s="112"/>
      <c r="KIM11" s="112"/>
      <c r="KIN11" s="112"/>
      <c r="KIO11" s="112"/>
      <c r="KIP11" s="112"/>
      <c r="KIQ11" s="112"/>
      <c r="KIR11" s="112"/>
      <c r="KIS11" s="112"/>
      <c r="KIT11" s="112"/>
      <c r="KIU11" s="112"/>
      <c r="KIV11" s="112"/>
      <c r="KIW11" s="112"/>
      <c r="KIX11" s="112"/>
      <c r="KIY11" s="112"/>
      <c r="KIZ11" s="112"/>
      <c r="KJA11" s="112"/>
      <c r="KJB11" s="112"/>
      <c r="KJC11" s="112"/>
      <c r="KJD11" s="112"/>
      <c r="KJE11" s="112"/>
      <c r="KJF11" s="112"/>
      <c r="KJG11" s="112"/>
      <c r="KJH11" s="112"/>
      <c r="KJI11" s="112"/>
      <c r="KJJ11" s="112"/>
      <c r="KJK11" s="112"/>
      <c r="KJL11" s="112"/>
      <c r="KJM11" s="112"/>
      <c r="KJN11" s="112"/>
      <c r="KJO11" s="112"/>
      <c r="KJP11" s="112"/>
      <c r="KJQ11" s="112"/>
      <c r="KJR11" s="112"/>
      <c r="KJS11" s="112"/>
      <c r="KJT11" s="112"/>
      <c r="KJU11" s="112"/>
      <c r="KJV11" s="112"/>
      <c r="KJW11" s="112"/>
      <c r="KJX11" s="112"/>
      <c r="KJY11" s="112"/>
      <c r="KJZ11" s="112"/>
      <c r="KKA11" s="112"/>
      <c r="KKB11" s="112"/>
      <c r="KKC11" s="112"/>
      <c r="KKD11" s="112"/>
      <c r="KKE11" s="112"/>
      <c r="KKF11" s="112"/>
      <c r="KKG11" s="112"/>
      <c r="KKH11" s="112"/>
      <c r="KKI11" s="112"/>
      <c r="KKJ11" s="112"/>
      <c r="KKK11" s="112"/>
      <c r="KKL11" s="112"/>
      <c r="KKM11" s="112"/>
      <c r="KKN11" s="112"/>
      <c r="KKO11" s="112"/>
      <c r="KKP11" s="112"/>
      <c r="KKQ11" s="112"/>
      <c r="KKR11" s="112"/>
      <c r="KKS11" s="112"/>
      <c r="KKT11" s="112"/>
      <c r="KKU11" s="112"/>
      <c r="KKV11" s="112"/>
      <c r="KKW11" s="112"/>
      <c r="KKX11" s="112"/>
      <c r="KKY11" s="112"/>
      <c r="KKZ11" s="112"/>
      <c r="KLA11" s="112"/>
      <c r="KLB11" s="112"/>
      <c r="KLC11" s="112"/>
      <c r="KLD11" s="112"/>
      <c r="KLE11" s="112"/>
      <c r="KLF11" s="112"/>
      <c r="KLG11" s="112"/>
      <c r="KLH11" s="112"/>
      <c r="KLI11" s="112"/>
      <c r="KLJ11" s="112"/>
      <c r="KLK11" s="112"/>
      <c r="KLL11" s="112"/>
      <c r="KLM11" s="112"/>
      <c r="KLN11" s="112"/>
      <c r="KLO11" s="112"/>
      <c r="KLP11" s="112"/>
      <c r="KLQ11" s="112"/>
      <c r="KLR11" s="112"/>
      <c r="KLS11" s="112"/>
      <c r="KLT11" s="112"/>
      <c r="KLU11" s="112"/>
      <c r="KLV11" s="112"/>
      <c r="KLW11" s="112"/>
      <c r="KLX11" s="112"/>
      <c r="KLY11" s="112"/>
      <c r="KLZ11" s="112"/>
      <c r="KMA11" s="112"/>
      <c r="KMB11" s="112"/>
      <c r="KMC11" s="112"/>
      <c r="KMD11" s="112"/>
      <c r="KME11" s="112"/>
      <c r="KMF11" s="112"/>
      <c r="KMG11" s="112"/>
      <c r="KMH11" s="112"/>
      <c r="KMI11" s="112"/>
      <c r="KMJ11" s="112"/>
      <c r="KMK11" s="112"/>
      <c r="KML11" s="112"/>
      <c r="KMM11" s="112"/>
      <c r="KMN11" s="112"/>
      <c r="KMO11" s="112"/>
      <c r="KMP11" s="112"/>
      <c r="KMQ11" s="112"/>
      <c r="KMR11" s="112"/>
      <c r="KMS11" s="112"/>
      <c r="KMT11" s="112"/>
      <c r="KMU11" s="112"/>
      <c r="KMV11" s="112"/>
      <c r="KMW11" s="112"/>
      <c r="KMX11" s="112"/>
      <c r="KMY11" s="112"/>
      <c r="KMZ11" s="112"/>
      <c r="KNA11" s="112"/>
      <c r="KNB11" s="112"/>
      <c r="KNC11" s="112"/>
      <c r="KND11" s="112"/>
      <c r="KNE11" s="112"/>
      <c r="KNF11" s="112"/>
      <c r="KNG11" s="112"/>
      <c r="KNH11" s="112"/>
      <c r="KNI11" s="112"/>
      <c r="KNJ11" s="112"/>
      <c r="KNK11" s="112"/>
      <c r="KNL11" s="112"/>
      <c r="KNM11" s="112"/>
      <c r="KNN11" s="112"/>
      <c r="KNO11" s="112"/>
      <c r="KNP11" s="112"/>
      <c r="KNQ11" s="112"/>
      <c r="KNR11" s="112"/>
      <c r="KNS11" s="112"/>
      <c r="KNT11" s="112"/>
      <c r="KNU11" s="112"/>
      <c r="KNV11" s="112"/>
      <c r="KNW11" s="112"/>
      <c r="KNX11" s="112"/>
      <c r="KNY11" s="112"/>
      <c r="KNZ11" s="112"/>
      <c r="KOA11" s="112"/>
      <c r="KOB11" s="112"/>
      <c r="KOC11" s="112"/>
      <c r="KOD11" s="112"/>
      <c r="KOE11" s="112"/>
      <c r="KOF11" s="112"/>
      <c r="KOG11" s="112"/>
      <c r="KOH11" s="112"/>
      <c r="KOI11" s="112"/>
      <c r="KOJ11" s="112"/>
      <c r="KOK11" s="112"/>
      <c r="KOL11" s="112"/>
      <c r="KOM11" s="112"/>
      <c r="KON11" s="112"/>
      <c r="KOO11" s="112"/>
      <c r="KOP11" s="112"/>
      <c r="KOQ11" s="112"/>
      <c r="KOR11" s="112"/>
      <c r="KOS11" s="112"/>
      <c r="KOT11" s="112"/>
      <c r="KOU11" s="112"/>
      <c r="KOV11" s="112"/>
      <c r="KOW11" s="112"/>
      <c r="KOX11" s="112"/>
      <c r="KOY11" s="112"/>
      <c r="KOZ11" s="112"/>
      <c r="KPA11" s="112"/>
      <c r="KPB11" s="112"/>
      <c r="KPC11" s="112"/>
      <c r="KPD11" s="112"/>
      <c r="KPE11" s="112"/>
      <c r="KPF11" s="112"/>
      <c r="KPG11" s="112"/>
      <c r="KPH11" s="112"/>
      <c r="KPI11" s="112"/>
      <c r="KPJ11" s="112"/>
      <c r="KPK11" s="112"/>
      <c r="KPL11" s="112"/>
      <c r="KPM11" s="112"/>
      <c r="KPN11" s="112"/>
      <c r="KPO11" s="112"/>
      <c r="KPP11" s="112"/>
      <c r="KPQ11" s="112"/>
      <c r="KPR11" s="112"/>
      <c r="KPS11" s="112"/>
      <c r="KPT11" s="112"/>
      <c r="KPU11" s="112"/>
      <c r="KPV11" s="112"/>
      <c r="KPW11" s="112"/>
      <c r="KPX11" s="112"/>
      <c r="KPY11" s="112"/>
      <c r="KPZ11" s="112"/>
      <c r="KQA11" s="112"/>
      <c r="KQB11" s="112"/>
      <c r="KQC11" s="112"/>
      <c r="KQD11" s="112"/>
      <c r="KQE11" s="112"/>
      <c r="KQF11" s="112"/>
      <c r="KQG11" s="112"/>
      <c r="KQH11" s="112"/>
      <c r="KQI11" s="112"/>
      <c r="KQJ11" s="112"/>
      <c r="KQK11" s="112"/>
      <c r="KQL11" s="112"/>
      <c r="KQM11" s="112"/>
      <c r="KQN11" s="112"/>
      <c r="KQO11" s="112"/>
      <c r="KQP11" s="112"/>
      <c r="KQQ11" s="112"/>
      <c r="KQR11" s="112"/>
      <c r="KQS11" s="112"/>
      <c r="KQT11" s="112"/>
      <c r="KQU11" s="112"/>
      <c r="KQV11" s="112"/>
      <c r="KQW11" s="112"/>
      <c r="KQX11" s="112"/>
      <c r="KQY11" s="112"/>
      <c r="KQZ11" s="112"/>
      <c r="KRA11" s="112"/>
      <c r="KRB11" s="112"/>
      <c r="KRC11" s="112"/>
      <c r="KRD11" s="112"/>
      <c r="KRE11" s="112"/>
      <c r="KRF11" s="112"/>
      <c r="KRG11" s="112"/>
      <c r="KRH11" s="112"/>
      <c r="KRI11" s="112"/>
      <c r="KRJ11" s="112"/>
      <c r="KRK11" s="112"/>
      <c r="KRL11" s="112"/>
      <c r="KRM11" s="112"/>
      <c r="KRN11" s="112"/>
      <c r="KRO11" s="112"/>
      <c r="KRP11" s="112"/>
      <c r="KRQ11" s="112"/>
      <c r="KRR11" s="112"/>
      <c r="KRS11" s="112"/>
      <c r="KRT11" s="112"/>
      <c r="KRU11" s="112"/>
      <c r="KRV11" s="112"/>
      <c r="KRW11" s="112"/>
      <c r="KRX11" s="112"/>
      <c r="KRY11" s="112"/>
      <c r="KRZ11" s="112"/>
      <c r="KSA11" s="112"/>
      <c r="KSB11" s="112"/>
      <c r="KSC11" s="112"/>
      <c r="KSD11" s="112"/>
      <c r="KSE11" s="112"/>
      <c r="KSF11" s="112"/>
      <c r="KSG11" s="112"/>
      <c r="KSH11" s="112"/>
      <c r="KSI11" s="112"/>
      <c r="KSJ11" s="112"/>
      <c r="KSK11" s="112"/>
      <c r="KSL11" s="112"/>
      <c r="KSM11" s="112"/>
      <c r="KSN11" s="112"/>
      <c r="KSO11" s="112"/>
      <c r="KSP11" s="112"/>
      <c r="KSQ11" s="112"/>
      <c r="KSR11" s="112"/>
      <c r="KSS11" s="112"/>
      <c r="KST11" s="112"/>
      <c r="KSU11" s="112"/>
      <c r="KSV11" s="112"/>
      <c r="KSW11" s="112"/>
      <c r="KSX11" s="112"/>
      <c r="KSY11" s="112"/>
      <c r="KSZ11" s="112"/>
      <c r="KTA11" s="112"/>
      <c r="KTB11" s="112"/>
      <c r="KTC11" s="112"/>
      <c r="KTD11" s="112"/>
      <c r="KTE11" s="112"/>
      <c r="KTF11" s="112"/>
      <c r="KTG11" s="112"/>
      <c r="KTH11" s="112"/>
      <c r="KTI11" s="112"/>
      <c r="KTJ11" s="112"/>
      <c r="KTK11" s="112"/>
      <c r="KTL11" s="112"/>
      <c r="KTM11" s="112"/>
      <c r="KTN11" s="112"/>
      <c r="KTO11" s="112"/>
      <c r="KTP11" s="112"/>
      <c r="KTQ11" s="112"/>
      <c r="KTR11" s="112"/>
      <c r="KTS11" s="112"/>
      <c r="KTT11" s="112"/>
      <c r="KTU11" s="112"/>
      <c r="KTV11" s="112"/>
      <c r="KTW11" s="112"/>
      <c r="KTX11" s="112"/>
      <c r="KTY11" s="112"/>
      <c r="KTZ11" s="112"/>
      <c r="KUA11" s="112"/>
      <c r="KUB11" s="112"/>
      <c r="KUC11" s="112"/>
      <c r="KUD11" s="112"/>
      <c r="KUE11" s="112"/>
      <c r="KUF11" s="112"/>
      <c r="KUG11" s="112"/>
      <c r="KUH11" s="112"/>
      <c r="KUI11" s="112"/>
      <c r="KUJ11" s="112"/>
      <c r="KUK11" s="112"/>
      <c r="KUL11" s="112"/>
      <c r="KUM11" s="112"/>
      <c r="KUN11" s="112"/>
      <c r="KUO11" s="112"/>
      <c r="KUP11" s="112"/>
      <c r="KUQ11" s="112"/>
      <c r="KUR11" s="112"/>
      <c r="KUS11" s="112"/>
      <c r="KUT11" s="112"/>
      <c r="KUU11" s="112"/>
      <c r="KUV11" s="112"/>
      <c r="KUW11" s="112"/>
      <c r="KUX11" s="112"/>
      <c r="KUY11" s="112"/>
      <c r="KUZ11" s="112"/>
      <c r="KVA11" s="112"/>
      <c r="KVB11" s="112"/>
      <c r="KVC11" s="112"/>
      <c r="KVD11" s="112"/>
      <c r="KVE11" s="112"/>
      <c r="KVF11" s="112"/>
      <c r="KVG11" s="112"/>
      <c r="KVH11" s="112"/>
      <c r="KVI11" s="112"/>
      <c r="KVJ11" s="112"/>
      <c r="KVK11" s="112"/>
      <c r="KVL11" s="112"/>
      <c r="KVM11" s="112"/>
      <c r="KVN11" s="112"/>
      <c r="KVO11" s="112"/>
      <c r="KVP11" s="112"/>
      <c r="KVQ11" s="112"/>
      <c r="KVR11" s="112"/>
      <c r="KVS11" s="112"/>
      <c r="KVT11" s="112"/>
      <c r="KVU11" s="112"/>
      <c r="KVV11" s="112"/>
      <c r="KVW11" s="112"/>
      <c r="KVX11" s="112"/>
      <c r="KVY11" s="112"/>
      <c r="KVZ11" s="112"/>
      <c r="KWA11" s="112"/>
      <c r="KWB11" s="112"/>
      <c r="KWC11" s="112"/>
      <c r="KWD11" s="112"/>
      <c r="KWE11" s="112"/>
      <c r="KWF11" s="112"/>
      <c r="KWG11" s="112"/>
      <c r="KWH11" s="112"/>
      <c r="KWI11" s="112"/>
      <c r="KWJ11" s="112"/>
      <c r="KWK11" s="112"/>
      <c r="KWL11" s="112"/>
      <c r="KWM11" s="112"/>
      <c r="KWN11" s="112"/>
      <c r="KWO11" s="112"/>
      <c r="KWP11" s="112"/>
      <c r="KWQ11" s="112"/>
      <c r="KWR11" s="112"/>
      <c r="KWS11" s="112"/>
      <c r="KWT11" s="112"/>
      <c r="KWU11" s="112"/>
      <c r="KWV11" s="112"/>
      <c r="KWW11" s="112"/>
      <c r="KWX11" s="112"/>
      <c r="KWY11" s="112"/>
      <c r="KWZ11" s="112"/>
      <c r="KXA11" s="112"/>
      <c r="KXB11" s="112"/>
      <c r="KXC11" s="112"/>
      <c r="KXD11" s="112"/>
      <c r="KXE11" s="112"/>
      <c r="KXF11" s="112"/>
      <c r="KXG11" s="112"/>
      <c r="KXH11" s="112"/>
      <c r="KXI11" s="112"/>
      <c r="KXJ11" s="112"/>
      <c r="KXK11" s="112"/>
      <c r="KXL11" s="112"/>
      <c r="KXM11" s="112"/>
      <c r="KXN11" s="112"/>
      <c r="KXO11" s="112"/>
      <c r="KXP11" s="112"/>
      <c r="KXQ11" s="112"/>
      <c r="KXR11" s="112"/>
      <c r="KXS11" s="112"/>
      <c r="KXT11" s="112"/>
      <c r="KXU11" s="112"/>
      <c r="KXV11" s="112"/>
      <c r="KXW11" s="112"/>
      <c r="KXX11" s="112"/>
      <c r="KXY11" s="112"/>
      <c r="KXZ11" s="112"/>
      <c r="KYA11" s="112"/>
      <c r="KYB11" s="112"/>
      <c r="KYC11" s="112"/>
      <c r="KYD11" s="112"/>
      <c r="KYE11" s="112"/>
      <c r="KYF11" s="112"/>
      <c r="KYG11" s="112"/>
      <c r="KYH11" s="112"/>
      <c r="KYI11" s="112"/>
      <c r="KYJ11" s="112"/>
      <c r="KYK11" s="112"/>
      <c r="KYL11" s="112"/>
      <c r="KYM11" s="112"/>
      <c r="KYN11" s="112"/>
      <c r="KYO11" s="112"/>
      <c r="KYP11" s="112"/>
      <c r="KYQ11" s="112"/>
      <c r="KYR11" s="112"/>
      <c r="KYS11" s="112"/>
      <c r="KYT11" s="112"/>
      <c r="KYU11" s="112"/>
      <c r="KYV11" s="112"/>
      <c r="KYW11" s="112"/>
      <c r="KYX11" s="112"/>
      <c r="KYY11" s="112"/>
      <c r="KYZ11" s="112"/>
      <c r="KZA11" s="112"/>
      <c r="KZB11" s="112"/>
      <c r="KZC11" s="112"/>
      <c r="KZD11" s="112"/>
      <c r="KZE11" s="112"/>
      <c r="KZF11" s="112"/>
      <c r="KZG11" s="112"/>
      <c r="KZH11" s="112"/>
      <c r="KZI11" s="112"/>
      <c r="KZJ11" s="112"/>
      <c r="KZK11" s="112"/>
      <c r="KZL11" s="112"/>
      <c r="KZM11" s="112"/>
      <c r="KZN11" s="112"/>
      <c r="KZO11" s="112"/>
      <c r="KZP11" s="112"/>
      <c r="KZQ11" s="112"/>
      <c r="KZR11" s="112"/>
      <c r="KZS11" s="112"/>
      <c r="KZT11" s="112"/>
      <c r="KZU11" s="112"/>
      <c r="KZV11" s="112"/>
      <c r="KZW11" s="112"/>
      <c r="KZX11" s="112"/>
      <c r="KZY11" s="112"/>
      <c r="KZZ11" s="112"/>
      <c r="LAA11" s="112"/>
      <c r="LAB11" s="112"/>
      <c r="LAC11" s="112"/>
      <c r="LAD11" s="112"/>
      <c r="LAE11" s="112"/>
      <c r="LAF11" s="112"/>
      <c r="LAG11" s="112"/>
      <c r="LAH11" s="112"/>
      <c r="LAI11" s="112"/>
      <c r="LAJ11" s="112"/>
      <c r="LAK11" s="112"/>
      <c r="LAL11" s="112"/>
      <c r="LAM11" s="112"/>
      <c r="LAN11" s="112"/>
      <c r="LAO11" s="112"/>
      <c r="LAP11" s="112"/>
      <c r="LAQ11" s="112"/>
      <c r="LAR11" s="112"/>
      <c r="LAS11" s="112"/>
      <c r="LAT11" s="112"/>
      <c r="LAU11" s="112"/>
      <c r="LAV11" s="112"/>
      <c r="LAW11" s="112"/>
      <c r="LAX11" s="112"/>
      <c r="LAY11" s="112"/>
      <c r="LAZ11" s="112"/>
      <c r="LBA11" s="112"/>
      <c r="LBB11" s="112"/>
      <c r="LBC11" s="112"/>
      <c r="LBD11" s="112"/>
      <c r="LBE11" s="112"/>
      <c r="LBF11" s="112"/>
      <c r="LBG11" s="112"/>
      <c r="LBH11" s="112"/>
      <c r="LBI11" s="112"/>
      <c r="LBJ11" s="112"/>
      <c r="LBK11" s="112"/>
      <c r="LBL11" s="112"/>
      <c r="LBM11" s="112"/>
      <c r="LBN11" s="112"/>
      <c r="LBO11" s="112"/>
      <c r="LBP11" s="112"/>
      <c r="LBQ11" s="112"/>
      <c r="LBR11" s="112"/>
      <c r="LBS11" s="112"/>
      <c r="LBT11" s="112"/>
      <c r="LBU11" s="112"/>
      <c r="LBV11" s="112"/>
      <c r="LBW11" s="112"/>
      <c r="LBX11" s="112"/>
      <c r="LBY11" s="112"/>
      <c r="LBZ11" s="112"/>
      <c r="LCA11" s="112"/>
      <c r="LCB11" s="112"/>
      <c r="LCC11" s="112"/>
      <c r="LCD11" s="112"/>
      <c r="LCE11" s="112"/>
      <c r="LCF11" s="112"/>
      <c r="LCG11" s="112"/>
      <c r="LCH11" s="112"/>
      <c r="LCI11" s="112"/>
      <c r="LCJ11" s="112"/>
      <c r="LCK11" s="112"/>
      <c r="LCL11" s="112"/>
      <c r="LCM11" s="112"/>
      <c r="LCN11" s="112"/>
      <c r="LCO11" s="112"/>
      <c r="LCP11" s="112"/>
      <c r="LCQ11" s="112"/>
      <c r="LCR11" s="112"/>
      <c r="LCS11" s="112"/>
      <c r="LCT11" s="112"/>
      <c r="LCU11" s="112"/>
      <c r="LCV11" s="112"/>
      <c r="LCW11" s="112"/>
      <c r="LCX11" s="112"/>
      <c r="LCY11" s="112"/>
      <c r="LCZ11" s="112"/>
      <c r="LDA11" s="112"/>
      <c r="LDB11" s="112"/>
      <c r="LDC11" s="112"/>
      <c r="LDD11" s="112"/>
      <c r="LDE11" s="112"/>
      <c r="LDF11" s="112"/>
      <c r="LDG11" s="112"/>
      <c r="LDH11" s="112"/>
      <c r="LDI11" s="112"/>
      <c r="LDJ11" s="112"/>
      <c r="LDK11" s="112"/>
      <c r="LDL11" s="112"/>
      <c r="LDM11" s="112"/>
      <c r="LDN11" s="112"/>
      <c r="LDO11" s="112"/>
      <c r="LDP11" s="112"/>
      <c r="LDQ11" s="112"/>
      <c r="LDR11" s="112"/>
      <c r="LDS11" s="112"/>
      <c r="LDT11" s="112"/>
      <c r="LDU11" s="112"/>
      <c r="LDV11" s="112"/>
      <c r="LDW11" s="112"/>
      <c r="LDX11" s="112"/>
      <c r="LDY11" s="112"/>
      <c r="LDZ11" s="112"/>
      <c r="LEA11" s="112"/>
      <c r="LEB11" s="112"/>
      <c r="LEC11" s="112"/>
      <c r="LED11" s="112"/>
      <c r="LEE11" s="112"/>
      <c r="LEF11" s="112"/>
      <c r="LEG11" s="112"/>
      <c r="LEH11" s="112"/>
      <c r="LEI11" s="112"/>
      <c r="LEJ11" s="112"/>
      <c r="LEK11" s="112"/>
      <c r="LEL11" s="112"/>
      <c r="LEM11" s="112"/>
      <c r="LEN11" s="112"/>
      <c r="LEO11" s="112"/>
      <c r="LEP11" s="112"/>
      <c r="LEQ11" s="112"/>
      <c r="LER11" s="112"/>
      <c r="LES11" s="112"/>
      <c r="LET11" s="112"/>
      <c r="LEU11" s="112"/>
      <c r="LEV11" s="112"/>
      <c r="LEW11" s="112"/>
      <c r="LEX11" s="112"/>
      <c r="LEY11" s="112"/>
      <c r="LEZ11" s="112"/>
      <c r="LFA11" s="112"/>
      <c r="LFB11" s="112"/>
      <c r="LFC11" s="112"/>
      <c r="LFD11" s="112"/>
      <c r="LFE11" s="112"/>
      <c r="LFF11" s="112"/>
      <c r="LFG11" s="112"/>
      <c r="LFH11" s="112"/>
      <c r="LFI11" s="112"/>
      <c r="LFJ11" s="112"/>
      <c r="LFK11" s="112"/>
      <c r="LFL11" s="112"/>
      <c r="LFM11" s="112"/>
      <c r="LFN11" s="112"/>
      <c r="LFO11" s="112"/>
      <c r="LFP11" s="112"/>
      <c r="LFQ11" s="112"/>
      <c r="LFR11" s="112"/>
      <c r="LFS11" s="112"/>
      <c r="LFT11" s="112"/>
      <c r="LFU11" s="112"/>
      <c r="LFV11" s="112"/>
      <c r="LFW11" s="112"/>
      <c r="LFX11" s="112"/>
      <c r="LFY11" s="112"/>
      <c r="LFZ11" s="112"/>
      <c r="LGA11" s="112"/>
      <c r="LGB11" s="112"/>
      <c r="LGC11" s="112"/>
      <c r="LGD11" s="112"/>
      <c r="LGE11" s="112"/>
      <c r="LGF11" s="112"/>
      <c r="LGG11" s="112"/>
      <c r="LGH11" s="112"/>
      <c r="LGI11" s="112"/>
      <c r="LGJ11" s="112"/>
      <c r="LGK11" s="112"/>
      <c r="LGL11" s="112"/>
      <c r="LGM11" s="112"/>
      <c r="LGN11" s="112"/>
      <c r="LGO11" s="112"/>
      <c r="LGP11" s="112"/>
      <c r="LGQ11" s="112"/>
      <c r="LGR11" s="112"/>
      <c r="LGS11" s="112"/>
      <c r="LGT11" s="112"/>
      <c r="LGU11" s="112"/>
      <c r="LGV11" s="112"/>
      <c r="LGW11" s="112"/>
      <c r="LGX11" s="112"/>
      <c r="LGY11" s="112"/>
      <c r="LGZ11" s="112"/>
      <c r="LHA11" s="112"/>
      <c r="LHB11" s="112"/>
      <c r="LHC11" s="112"/>
      <c r="LHD11" s="112"/>
      <c r="LHE11" s="112"/>
      <c r="LHF11" s="112"/>
      <c r="LHG11" s="112"/>
      <c r="LHH11" s="112"/>
      <c r="LHI11" s="112"/>
      <c r="LHJ11" s="112"/>
      <c r="LHK11" s="112"/>
      <c r="LHL11" s="112"/>
      <c r="LHM11" s="112"/>
      <c r="LHN11" s="112"/>
      <c r="LHO11" s="112"/>
      <c r="LHP11" s="112"/>
      <c r="LHQ11" s="112"/>
      <c r="LHR11" s="112"/>
      <c r="LHS11" s="112"/>
      <c r="LHT11" s="112"/>
      <c r="LHU11" s="112"/>
      <c r="LHV11" s="112"/>
      <c r="LHW11" s="112"/>
      <c r="LHX11" s="112"/>
      <c r="LHY11" s="112"/>
      <c r="LHZ11" s="112"/>
      <c r="LIA11" s="112"/>
      <c r="LIB11" s="112"/>
      <c r="LIC11" s="112"/>
      <c r="LID11" s="112"/>
      <c r="LIE11" s="112"/>
      <c r="LIF11" s="112"/>
      <c r="LIG11" s="112"/>
      <c r="LIH11" s="112"/>
      <c r="LII11" s="112"/>
      <c r="LIJ11" s="112"/>
      <c r="LIK11" s="112"/>
      <c r="LIL11" s="112"/>
      <c r="LIM11" s="112"/>
      <c r="LIN11" s="112"/>
      <c r="LIO11" s="112"/>
      <c r="LIP11" s="112"/>
      <c r="LIQ11" s="112"/>
      <c r="LIR11" s="112"/>
      <c r="LIS11" s="112"/>
      <c r="LIT11" s="112"/>
      <c r="LIU11" s="112"/>
      <c r="LIV11" s="112"/>
      <c r="LIW11" s="112"/>
      <c r="LIX11" s="112"/>
      <c r="LIY11" s="112"/>
      <c r="LIZ11" s="112"/>
      <c r="LJA11" s="112"/>
      <c r="LJB11" s="112"/>
      <c r="LJC11" s="112"/>
      <c r="LJD11" s="112"/>
      <c r="LJE11" s="112"/>
      <c r="LJF11" s="112"/>
      <c r="LJG11" s="112"/>
      <c r="LJH11" s="112"/>
      <c r="LJI11" s="112"/>
      <c r="LJJ11" s="112"/>
      <c r="LJK11" s="112"/>
      <c r="LJL11" s="112"/>
      <c r="LJM11" s="112"/>
      <c r="LJN11" s="112"/>
      <c r="LJO11" s="112"/>
      <c r="LJP11" s="112"/>
      <c r="LJQ11" s="112"/>
      <c r="LJR11" s="112"/>
      <c r="LJS11" s="112"/>
      <c r="LJT11" s="112"/>
      <c r="LJU11" s="112"/>
      <c r="LJV11" s="112"/>
      <c r="LJW11" s="112"/>
      <c r="LJX11" s="112"/>
      <c r="LJY11" s="112"/>
      <c r="LJZ11" s="112"/>
      <c r="LKA11" s="112"/>
      <c r="LKB11" s="112"/>
      <c r="LKC11" s="112"/>
      <c r="LKD11" s="112"/>
      <c r="LKE11" s="112"/>
      <c r="LKF11" s="112"/>
      <c r="LKG11" s="112"/>
      <c r="LKH11" s="112"/>
      <c r="LKI11" s="112"/>
      <c r="LKJ11" s="112"/>
      <c r="LKK11" s="112"/>
      <c r="LKL11" s="112"/>
      <c r="LKM11" s="112"/>
      <c r="LKN11" s="112"/>
      <c r="LKO11" s="112"/>
      <c r="LKP11" s="112"/>
      <c r="LKQ11" s="112"/>
      <c r="LKR11" s="112"/>
      <c r="LKS11" s="112"/>
      <c r="LKT11" s="112"/>
      <c r="LKU11" s="112"/>
      <c r="LKV11" s="112"/>
      <c r="LKW11" s="112"/>
      <c r="LKX11" s="112"/>
      <c r="LKY11" s="112"/>
      <c r="LKZ11" s="112"/>
      <c r="LLA11" s="112"/>
      <c r="LLB11" s="112"/>
      <c r="LLC11" s="112"/>
      <c r="LLD11" s="112"/>
      <c r="LLE11" s="112"/>
      <c r="LLF11" s="112"/>
      <c r="LLG11" s="112"/>
      <c r="LLH11" s="112"/>
      <c r="LLI11" s="112"/>
      <c r="LLJ11" s="112"/>
      <c r="LLK11" s="112"/>
      <c r="LLL11" s="112"/>
      <c r="LLM11" s="112"/>
      <c r="LLN11" s="112"/>
      <c r="LLO11" s="112"/>
      <c r="LLP11" s="112"/>
      <c r="LLQ11" s="112"/>
      <c r="LLR11" s="112"/>
      <c r="LLS11" s="112"/>
      <c r="LLT11" s="112"/>
      <c r="LLU11" s="112"/>
      <c r="LLV11" s="112"/>
      <c r="LLW11" s="112"/>
      <c r="LLX11" s="112"/>
      <c r="LLY11" s="112"/>
      <c r="LLZ11" s="112"/>
      <c r="LMA11" s="112"/>
      <c r="LMB11" s="112"/>
      <c r="LMC11" s="112"/>
      <c r="LMD11" s="112"/>
      <c r="LME11" s="112"/>
      <c r="LMF11" s="112"/>
      <c r="LMG11" s="112"/>
      <c r="LMH11" s="112"/>
      <c r="LMI11" s="112"/>
      <c r="LMJ11" s="112"/>
      <c r="LMK11" s="112"/>
      <c r="LML11" s="112"/>
      <c r="LMM11" s="112"/>
      <c r="LMN11" s="112"/>
      <c r="LMO11" s="112"/>
      <c r="LMP11" s="112"/>
      <c r="LMQ11" s="112"/>
      <c r="LMR11" s="112"/>
      <c r="LMS11" s="112"/>
      <c r="LMT11" s="112"/>
      <c r="LMU11" s="112"/>
      <c r="LMV11" s="112"/>
      <c r="LMW11" s="112"/>
      <c r="LMX11" s="112"/>
      <c r="LMY11" s="112"/>
      <c r="LMZ11" s="112"/>
      <c r="LNA11" s="112"/>
      <c r="LNB11" s="112"/>
      <c r="LNC11" s="112"/>
      <c r="LND11" s="112"/>
      <c r="LNE11" s="112"/>
      <c r="LNF11" s="112"/>
      <c r="LNG11" s="112"/>
      <c r="LNH11" s="112"/>
      <c r="LNI11" s="112"/>
      <c r="LNJ11" s="112"/>
      <c r="LNK11" s="112"/>
      <c r="LNL11" s="112"/>
      <c r="LNM11" s="112"/>
      <c r="LNN11" s="112"/>
      <c r="LNO11" s="112"/>
      <c r="LNP11" s="112"/>
      <c r="LNQ11" s="112"/>
      <c r="LNR11" s="112"/>
      <c r="LNS11" s="112"/>
      <c r="LNT11" s="112"/>
      <c r="LNU11" s="112"/>
      <c r="LNV11" s="112"/>
      <c r="LNW11" s="112"/>
      <c r="LNX11" s="112"/>
      <c r="LNY11" s="112"/>
      <c r="LNZ11" s="112"/>
      <c r="LOA11" s="112"/>
      <c r="LOB11" s="112"/>
      <c r="LOC11" s="112"/>
      <c r="LOD11" s="112"/>
      <c r="LOE11" s="112"/>
      <c r="LOF11" s="112"/>
      <c r="LOG11" s="112"/>
      <c r="LOH11" s="112"/>
      <c r="LOI11" s="112"/>
      <c r="LOJ11" s="112"/>
      <c r="LOK11" s="112"/>
      <c r="LOL11" s="112"/>
      <c r="LOM11" s="112"/>
      <c r="LON11" s="112"/>
      <c r="LOO11" s="112"/>
      <c r="LOP11" s="112"/>
      <c r="LOQ11" s="112"/>
      <c r="LOR11" s="112"/>
      <c r="LOS11" s="112"/>
      <c r="LOT11" s="112"/>
      <c r="LOU11" s="112"/>
      <c r="LOV11" s="112"/>
      <c r="LOW11" s="112"/>
      <c r="LOX11" s="112"/>
      <c r="LOY11" s="112"/>
      <c r="LOZ11" s="112"/>
      <c r="LPA11" s="112"/>
      <c r="LPB11" s="112"/>
      <c r="LPC11" s="112"/>
      <c r="LPD11" s="112"/>
      <c r="LPE11" s="112"/>
      <c r="LPF11" s="112"/>
      <c r="LPG11" s="112"/>
      <c r="LPH11" s="112"/>
      <c r="LPI11" s="112"/>
      <c r="LPJ11" s="112"/>
      <c r="LPK11" s="112"/>
      <c r="LPL11" s="112"/>
      <c r="LPM11" s="112"/>
      <c r="LPN11" s="112"/>
      <c r="LPO11" s="112"/>
      <c r="LPP11" s="112"/>
      <c r="LPQ11" s="112"/>
      <c r="LPR11" s="112"/>
      <c r="LPS11" s="112"/>
      <c r="LPT11" s="112"/>
      <c r="LPU11" s="112"/>
      <c r="LPV11" s="112"/>
      <c r="LPW11" s="112"/>
      <c r="LPX11" s="112"/>
      <c r="LPY11" s="112"/>
      <c r="LPZ11" s="112"/>
      <c r="LQA11" s="112"/>
      <c r="LQB11" s="112"/>
      <c r="LQC11" s="112"/>
      <c r="LQD11" s="112"/>
      <c r="LQE11" s="112"/>
      <c r="LQF11" s="112"/>
      <c r="LQG11" s="112"/>
      <c r="LQH11" s="112"/>
      <c r="LQI11" s="112"/>
      <c r="LQJ11" s="112"/>
      <c r="LQK11" s="112"/>
      <c r="LQL11" s="112"/>
      <c r="LQM11" s="112"/>
      <c r="LQN11" s="112"/>
      <c r="LQO11" s="112"/>
      <c r="LQP11" s="112"/>
      <c r="LQQ11" s="112"/>
      <c r="LQR11" s="112"/>
      <c r="LQS11" s="112"/>
      <c r="LQT11" s="112"/>
      <c r="LQU11" s="112"/>
      <c r="LQV11" s="112"/>
      <c r="LQW11" s="112"/>
      <c r="LQX11" s="112"/>
      <c r="LQY11" s="112"/>
      <c r="LQZ11" s="112"/>
      <c r="LRA11" s="112"/>
      <c r="LRB11" s="112"/>
      <c r="LRC11" s="112"/>
      <c r="LRD11" s="112"/>
      <c r="LRE11" s="112"/>
      <c r="LRF11" s="112"/>
      <c r="LRG11" s="112"/>
      <c r="LRH11" s="112"/>
      <c r="LRI11" s="112"/>
      <c r="LRJ11" s="112"/>
      <c r="LRK11" s="112"/>
      <c r="LRL11" s="112"/>
      <c r="LRM11" s="112"/>
      <c r="LRN11" s="112"/>
      <c r="LRO11" s="112"/>
      <c r="LRP11" s="112"/>
      <c r="LRQ11" s="112"/>
      <c r="LRR11" s="112"/>
      <c r="LRS11" s="112"/>
      <c r="LRT11" s="112"/>
      <c r="LRU11" s="112"/>
      <c r="LRV11" s="112"/>
      <c r="LRW11" s="112"/>
      <c r="LRX11" s="112"/>
      <c r="LRY11" s="112"/>
      <c r="LRZ11" s="112"/>
      <c r="LSA11" s="112"/>
      <c r="LSB11" s="112"/>
      <c r="LSC11" s="112"/>
      <c r="LSD11" s="112"/>
      <c r="LSE11" s="112"/>
      <c r="LSF11" s="112"/>
      <c r="LSG11" s="112"/>
      <c r="LSH11" s="112"/>
      <c r="LSI11" s="112"/>
      <c r="LSJ11" s="112"/>
      <c r="LSK11" s="112"/>
      <c r="LSL11" s="112"/>
      <c r="LSM11" s="112"/>
      <c r="LSN11" s="112"/>
      <c r="LSO11" s="112"/>
      <c r="LSP11" s="112"/>
      <c r="LSQ11" s="112"/>
      <c r="LSR11" s="112"/>
      <c r="LSS11" s="112"/>
      <c r="LST11" s="112"/>
      <c r="LSU11" s="112"/>
      <c r="LSV11" s="112"/>
      <c r="LSW11" s="112"/>
      <c r="LSX11" s="112"/>
      <c r="LSY11" s="112"/>
      <c r="LSZ11" s="112"/>
      <c r="LTA11" s="112"/>
      <c r="LTB11" s="112"/>
      <c r="LTC11" s="112"/>
      <c r="LTD11" s="112"/>
      <c r="LTE11" s="112"/>
      <c r="LTF11" s="112"/>
      <c r="LTG11" s="112"/>
      <c r="LTH11" s="112"/>
      <c r="LTI11" s="112"/>
      <c r="LTJ11" s="112"/>
      <c r="LTK11" s="112"/>
      <c r="LTL11" s="112"/>
      <c r="LTM11" s="112"/>
      <c r="LTN11" s="112"/>
      <c r="LTO11" s="112"/>
      <c r="LTP11" s="112"/>
      <c r="LTQ11" s="112"/>
      <c r="LTR11" s="112"/>
      <c r="LTS11" s="112"/>
      <c r="LTT11" s="112"/>
      <c r="LTU11" s="112"/>
      <c r="LTV11" s="112"/>
      <c r="LTW11" s="112"/>
      <c r="LTX11" s="112"/>
      <c r="LTY11" s="112"/>
      <c r="LTZ11" s="112"/>
      <c r="LUA11" s="112"/>
      <c r="LUB11" s="112"/>
      <c r="LUC11" s="112"/>
      <c r="LUD11" s="112"/>
      <c r="LUE11" s="112"/>
      <c r="LUF11" s="112"/>
      <c r="LUG11" s="112"/>
      <c r="LUH11" s="112"/>
      <c r="LUI11" s="112"/>
      <c r="LUJ11" s="112"/>
      <c r="LUK11" s="112"/>
      <c r="LUL11" s="112"/>
      <c r="LUM11" s="112"/>
      <c r="LUN11" s="112"/>
      <c r="LUO11" s="112"/>
      <c r="LUP11" s="112"/>
      <c r="LUQ11" s="112"/>
      <c r="LUR11" s="112"/>
      <c r="LUS11" s="112"/>
      <c r="LUT11" s="112"/>
      <c r="LUU11" s="112"/>
      <c r="LUV11" s="112"/>
      <c r="LUW11" s="112"/>
      <c r="LUX11" s="112"/>
      <c r="LUY11" s="112"/>
      <c r="LUZ11" s="112"/>
      <c r="LVA11" s="112"/>
      <c r="LVB11" s="112"/>
      <c r="LVC11" s="112"/>
      <c r="LVD11" s="112"/>
      <c r="LVE11" s="112"/>
      <c r="LVF11" s="112"/>
      <c r="LVG11" s="112"/>
      <c r="LVH11" s="112"/>
      <c r="LVI11" s="112"/>
      <c r="LVJ11" s="112"/>
      <c r="LVK11" s="112"/>
      <c r="LVL11" s="112"/>
      <c r="LVM11" s="112"/>
      <c r="LVN11" s="112"/>
      <c r="LVO11" s="112"/>
      <c r="LVP11" s="112"/>
      <c r="LVQ11" s="112"/>
      <c r="LVR11" s="112"/>
      <c r="LVS11" s="112"/>
      <c r="LVT11" s="112"/>
      <c r="LVU11" s="112"/>
      <c r="LVV11" s="112"/>
      <c r="LVW11" s="112"/>
      <c r="LVX11" s="112"/>
      <c r="LVY11" s="112"/>
      <c r="LVZ11" s="112"/>
      <c r="LWA11" s="112"/>
      <c r="LWB11" s="112"/>
      <c r="LWC11" s="112"/>
      <c r="LWD11" s="112"/>
      <c r="LWE11" s="112"/>
      <c r="LWF11" s="112"/>
      <c r="LWG11" s="112"/>
      <c r="LWH11" s="112"/>
      <c r="LWI11" s="112"/>
      <c r="LWJ11" s="112"/>
      <c r="LWK11" s="112"/>
      <c r="LWL11" s="112"/>
      <c r="LWM11" s="112"/>
      <c r="LWN11" s="112"/>
      <c r="LWO11" s="112"/>
      <c r="LWP11" s="112"/>
      <c r="LWQ11" s="112"/>
      <c r="LWR11" s="112"/>
      <c r="LWS11" s="112"/>
      <c r="LWT11" s="112"/>
      <c r="LWU11" s="112"/>
      <c r="LWV11" s="112"/>
      <c r="LWW11" s="112"/>
      <c r="LWX11" s="112"/>
      <c r="LWY11" s="112"/>
      <c r="LWZ11" s="112"/>
      <c r="LXA11" s="112"/>
      <c r="LXB11" s="112"/>
      <c r="LXC11" s="112"/>
      <c r="LXD11" s="112"/>
      <c r="LXE11" s="112"/>
      <c r="LXF11" s="112"/>
      <c r="LXG11" s="112"/>
      <c r="LXH11" s="112"/>
      <c r="LXI11" s="112"/>
      <c r="LXJ11" s="112"/>
      <c r="LXK11" s="112"/>
      <c r="LXL11" s="112"/>
      <c r="LXM11" s="112"/>
      <c r="LXN11" s="112"/>
      <c r="LXO11" s="112"/>
      <c r="LXP11" s="112"/>
      <c r="LXQ11" s="112"/>
      <c r="LXR11" s="112"/>
      <c r="LXS11" s="112"/>
      <c r="LXT11" s="112"/>
      <c r="LXU11" s="112"/>
      <c r="LXV11" s="112"/>
      <c r="LXW11" s="112"/>
      <c r="LXX11" s="112"/>
      <c r="LXY11" s="112"/>
      <c r="LXZ11" s="112"/>
      <c r="LYA11" s="112"/>
      <c r="LYB11" s="112"/>
      <c r="LYC11" s="112"/>
      <c r="LYD11" s="112"/>
      <c r="LYE11" s="112"/>
      <c r="LYF11" s="112"/>
      <c r="LYG11" s="112"/>
      <c r="LYH11" s="112"/>
      <c r="LYI11" s="112"/>
      <c r="LYJ11" s="112"/>
      <c r="LYK11" s="112"/>
      <c r="LYL11" s="112"/>
      <c r="LYM11" s="112"/>
      <c r="LYN11" s="112"/>
      <c r="LYO11" s="112"/>
      <c r="LYP11" s="112"/>
      <c r="LYQ11" s="112"/>
      <c r="LYR11" s="112"/>
      <c r="LYS11" s="112"/>
      <c r="LYT11" s="112"/>
      <c r="LYU11" s="112"/>
      <c r="LYV11" s="112"/>
      <c r="LYW11" s="112"/>
      <c r="LYX11" s="112"/>
      <c r="LYY11" s="112"/>
      <c r="LYZ11" s="112"/>
      <c r="LZA11" s="112"/>
      <c r="LZB11" s="112"/>
      <c r="LZC11" s="112"/>
      <c r="LZD11" s="112"/>
      <c r="LZE11" s="112"/>
      <c r="LZF11" s="112"/>
      <c r="LZG11" s="112"/>
      <c r="LZH11" s="112"/>
      <c r="LZI11" s="112"/>
      <c r="LZJ11" s="112"/>
      <c r="LZK11" s="112"/>
      <c r="LZL11" s="112"/>
      <c r="LZM11" s="112"/>
      <c r="LZN11" s="112"/>
      <c r="LZO11" s="112"/>
      <c r="LZP11" s="112"/>
      <c r="LZQ11" s="112"/>
      <c r="LZR11" s="112"/>
      <c r="LZS11" s="112"/>
      <c r="LZT11" s="112"/>
      <c r="LZU11" s="112"/>
      <c r="LZV11" s="112"/>
      <c r="LZW11" s="112"/>
      <c r="LZX11" s="112"/>
      <c r="LZY11" s="112"/>
      <c r="LZZ11" s="112"/>
      <c r="MAA11" s="112"/>
      <c r="MAB11" s="112"/>
      <c r="MAC11" s="112"/>
      <c r="MAD11" s="112"/>
      <c r="MAE11" s="112"/>
      <c r="MAF11" s="112"/>
      <c r="MAG11" s="112"/>
      <c r="MAH11" s="112"/>
      <c r="MAI11" s="112"/>
      <c r="MAJ11" s="112"/>
      <c r="MAK11" s="112"/>
      <c r="MAL11" s="112"/>
      <c r="MAM11" s="112"/>
      <c r="MAN11" s="112"/>
      <c r="MAO11" s="112"/>
      <c r="MAP11" s="112"/>
      <c r="MAQ11" s="112"/>
      <c r="MAR11" s="112"/>
      <c r="MAS11" s="112"/>
      <c r="MAT11" s="112"/>
      <c r="MAU11" s="112"/>
      <c r="MAV11" s="112"/>
      <c r="MAW11" s="112"/>
      <c r="MAX11" s="112"/>
      <c r="MAY11" s="112"/>
      <c r="MAZ11" s="112"/>
      <c r="MBA11" s="112"/>
      <c r="MBB11" s="112"/>
      <c r="MBC11" s="112"/>
      <c r="MBD11" s="112"/>
      <c r="MBE11" s="112"/>
      <c r="MBF11" s="112"/>
      <c r="MBG11" s="112"/>
      <c r="MBH11" s="112"/>
      <c r="MBI11" s="112"/>
      <c r="MBJ11" s="112"/>
      <c r="MBK11" s="112"/>
      <c r="MBL11" s="112"/>
      <c r="MBM11" s="112"/>
      <c r="MBN11" s="112"/>
      <c r="MBO11" s="112"/>
      <c r="MBP11" s="112"/>
      <c r="MBQ11" s="112"/>
      <c r="MBR11" s="112"/>
      <c r="MBS11" s="112"/>
      <c r="MBT11" s="112"/>
      <c r="MBU11" s="112"/>
      <c r="MBV11" s="112"/>
      <c r="MBW11" s="112"/>
      <c r="MBX11" s="112"/>
      <c r="MBY11" s="112"/>
      <c r="MBZ11" s="112"/>
      <c r="MCA11" s="112"/>
      <c r="MCB11" s="112"/>
      <c r="MCC11" s="112"/>
      <c r="MCD11" s="112"/>
      <c r="MCE11" s="112"/>
      <c r="MCF11" s="112"/>
      <c r="MCG11" s="112"/>
      <c r="MCH11" s="112"/>
      <c r="MCI11" s="112"/>
      <c r="MCJ11" s="112"/>
      <c r="MCK11" s="112"/>
      <c r="MCL11" s="112"/>
      <c r="MCM11" s="112"/>
      <c r="MCN11" s="112"/>
      <c r="MCO11" s="112"/>
      <c r="MCP11" s="112"/>
      <c r="MCQ11" s="112"/>
      <c r="MCR11" s="112"/>
      <c r="MCS11" s="112"/>
      <c r="MCT11" s="112"/>
      <c r="MCU11" s="112"/>
      <c r="MCV11" s="112"/>
      <c r="MCW11" s="112"/>
      <c r="MCX11" s="112"/>
      <c r="MCY11" s="112"/>
      <c r="MCZ11" s="112"/>
      <c r="MDA11" s="112"/>
      <c r="MDB11" s="112"/>
      <c r="MDC11" s="112"/>
      <c r="MDD11" s="112"/>
      <c r="MDE11" s="112"/>
      <c r="MDF11" s="112"/>
      <c r="MDG11" s="112"/>
      <c r="MDH11" s="112"/>
      <c r="MDI11" s="112"/>
      <c r="MDJ11" s="112"/>
      <c r="MDK11" s="112"/>
      <c r="MDL11" s="112"/>
      <c r="MDM11" s="112"/>
      <c r="MDN11" s="112"/>
      <c r="MDO11" s="112"/>
      <c r="MDP11" s="112"/>
      <c r="MDQ11" s="112"/>
      <c r="MDR11" s="112"/>
      <c r="MDS11" s="112"/>
      <c r="MDT11" s="112"/>
      <c r="MDU11" s="112"/>
      <c r="MDV11" s="112"/>
      <c r="MDW11" s="112"/>
      <c r="MDX11" s="112"/>
      <c r="MDY11" s="112"/>
      <c r="MDZ11" s="112"/>
      <c r="MEA11" s="112"/>
      <c r="MEB11" s="112"/>
      <c r="MEC11" s="112"/>
      <c r="MED11" s="112"/>
      <c r="MEE11" s="112"/>
      <c r="MEF11" s="112"/>
      <c r="MEG11" s="112"/>
      <c r="MEH11" s="112"/>
      <c r="MEI11" s="112"/>
      <c r="MEJ11" s="112"/>
      <c r="MEK11" s="112"/>
      <c r="MEL11" s="112"/>
      <c r="MEM11" s="112"/>
      <c r="MEN11" s="112"/>
      <c r="MEO11" s="112"/>
      <c r="MEP11" s="112"/>
      <c r="MEQ11" s="112"/>
      <c r="MER11" s="112"/>
      <c r="MES11" s="112"/>
      <c r="MET11" s="112"/>
      <c r="MEU11" s="112"/>
      <c r="MEV11" s="112"/>
      <c r="MEW11" s="112"/>
      <c r="MEX11" s="112"/>
      <c r="MEY11" s="112"/>
      <c r="MEZ11" s="112"/>
      <c r="MFA11" s="112"/>
      <c r="MFB11" s="112"/>
      <c r="MFC11" s="112"/>
      <c r="MFD11" s="112"/>
      <c r="MFE11" s="112"/>
      <c r="MFF11" s="112"/>
      <c r="MFG11" s="112"/>
      <c r="MFH11" s="112"/>
      <c r="MFI11" s="112"/>
      <c r="MFJ11" s="112"/>
      <c r="MFK11" s="112"/>
      <c r="MFL11" s="112"/>
      <c r="MFM11" s="112"/>
      <c r="MFN11" s="112"/>
      <c r="MFO11" s="112"/>
      <c r="MFP11" s="112"/>
      <c r="MFQ11" s="112"/>
      <c r="MFR11" s="112"/>
      <c r="MFS11" s="112"/>
      <c r="MFT11" s="112"/>
      <c r="MFU11" s="112"/>
      <c r="MFV11" s="112"/>
      <c r="MFW11" s="112"/>
      <c r="MFX11" s="112"/>
      <c r="MFY11" s="112"/>
      <c r="MFZ11" s="112"/>
      <c r="MGA11" s="112"/>
      <c r="MGB11" s="112"/>
      <c r="MGC11" s="112"/>
      <c r="MGD11" s="112"/>
      <c r="MGE11" s="112"/>
      <c r="MGF11" s="112"/>
      <c r="MGG11" s="112"/>
      <c r="MGH11" s="112"/>
      <c r="MGI11" s="112"/>
      <c r="MGJ11" s="112"/>
      <c r="MGK11" s="112"/>
      <c r="MGL11" s="112"/>
      <c r="MGM11" s="112"/>
      <c r="MGN11" s="112"/>
      <c r="MGO11" s="112"/>
      <c r="MGP11" s="112"/>
      <c r="MGQ11" s="112"/>
      <c r="MGR11" s="112"/>
      <c r="MGS11" s="112"/>
      <c r="MGT11" s="112"/>
      <c r="MGU11" s="112"/>
      <c r="MGV11" s="112"/>
      <c r="MGW11" s="112"/>
      <c r="MGX11" s="112"/>
      <c r="MGY11" s="112"/>
      <c r="MGZ11" s="112"/>
      <c r="MHA11" s="112"/>
      <c r="MHB11" s="112"/>
      <c r="MHC11" s="112"/>
      <c r="MHD11" s="112"/>
      <c r="MHE11" s="112"/>
      <c r="MHF11" s="112"/>
      <c r="MHG11" s="112"/>
      <c r="MHH11" s="112"/>
      <c r="MHI11" s="112"/>
      <c r="MHJ11" s="112"/>
      <c r="MHK11" s="112"/>
      <c r="MHL11" s="112"/>
      <c r="MHM11" s="112"/>
      <c r="MHN11" s="112"/>
      <c r="MHO11" s="112"/>
      <c r="MHP11" s="112"/>
      <c r="MHQ11" s="112"/>
      <c r="MHR11" s="112"/>
      <c r="MHS11" s="112"/>
      <c r="MHT11" s="112"/>
      <c r="MHU11" s="112"/>
      <c r="MHV11" s="112"/>
      <c r="MHW11" s="112"/>
      <c r="MHX11" s="112"/>
      <c r="MHY11" s="112"/>
      <c r="MHZ11" s="112"/>
      <c r="MIA11" s="112"/>
      <c r="MIB11" s="112"/>
      <c r="MIC11" s="112"/>
      <c r="MID11" s="112"/>
      <c r="MIE11" s="112"/>
      <c r="MIF11" s="112"/>
      <c r="MIG11" s="112"/>
      <c r="MIH11" s="112"/>
      <c r="MII11" s="112"/>
      <c r="MIJ11" s="112"/>
      <c r="MIK11" s="112"/>
      <c r="MIL11" s="112"/>
      <c r="MIM11" s="112"/>
      <c r="MIN11" s="112"/>
      <c r="MIO11" s="112"/>
      <c r="MIP11" s="112"/>
      <c r="MIQ11" s="112"/>
      <c r="MIR11" s="112"/>
      <c r="MIS11" s="112"/>
      <c r="MIT11" s="112"/>
      <c r="MIU11" s="112"/>
      <c r="MIV11" s="112"/>
      <c r="MIW11" s="112"/>
      <c r="MIX11" s="112"/>
      <c r="MIY11" s="112"/>
      <c r="MIZ11" s="112"/>
      <c r="MJA11" s="112"/>
      <c r="MJB11" s="112"/>
      <c r="MJC11" s="112"/>
      <c r="MJD11" s="112"/>
      <c r="MJE11" s="112"/>
      <c r="MJF11" s="112"/>
      <c r="MJG11" s="112"/>
      <c r="MJH11" s="112"/>
      <c r="MJI11" s="112"/>
      <c r="MJJ11" s="112"/>
      <c r="MJK11" s="112"/>
      <c r="MJL11" s="112"/>
      <c r="MJM11" s="112"/>
      <c r="MJN11" s="112"/>
      <c r="MJO11" s="112"/>
      <c r="MJP11" s="112"/>
      <c r="MJQ11" s="112"/>
      <c r="MJR11" s="112"/>
      <c r="MJS11" s="112"/>
      <c r="MJT11" s="112"/>
      <c r="MJU11" s="112"/>
      <c r="MJV11" s="112"/>
      <c r="MJW11" s="112"/>
      <c r="MJX11" s="112"/>
      <c r="MJY11" s="112"/>
      <c r="MJZ11" s="112"/>
      <c r="MKA11" s="112"/>
      <c r="MKB11" s="112"/>
      <c r="MKC11" s="112"/>
      <c r="MKD11" s="112"/>
      <c r="MKE11" s="112"/>
      <c r="MKF11" s="112"/>
      <c r="MKG11" s="112"/>
      <c r="MKH11" s="112"/>
      <c r="MKI11" s="112"/>
      <c r="MKJ11" s="112"/>
      <c r="MKK11" s="112"/>
      <c r="MKL11" s="112"/>
      <c r="MKM11" s="112"/>
      <c r="MKN11" s="112"/>
      <c r="MKO11" s="112"/>
      <c r="MKP11" s="112"/>
      <c r="MKQ11" s="112"/>
      <c r="MKR11" s="112"/>
      <c r="MKS11" s="112"/>
      <c r="MKT11" s="112"/>
      <c r="MKU11" s="112"/>
      <c r="MKV11" s="112"/>
      <c r="MKW11" s="112"/>
      <c r="MKX11" s="112"/>
      <c r="MKY11" s="112"/>
      <c r="MKZ11" s="112"/>
      <c r="MLA11" s="112"/>
      <c r="MLB11" s="112"/>
      <c r="MLC11" s="112"/>
      <c r="MLD11" s="112"/>
      <c r="MLE11" s="112"/>
      <c r="MLF11" s="112"/>
      <c r="MLG11" s="112"/>
      <c r="MLH11" s="112"/>
      <c r="MLI11" s="112"/>
      <c r="MLJ11" s="112"/>
      <c r="MLK11" s="112"/>
      <c r="MLL11" s="112"/>
      <c r="MLM11" s="112"/>
      <c r="MLN11" s="112"/>
      <c r="MLO11" s="112"/>
      <c r="MLP11" s="112"/>
      <c r="MLQ11" s="112"/>
      <c r="MLR11" s="112"/>
      <c r="MLS11" s="112"/>
      <c r="MLT11" s="112"/>
      <c r="MLU11" s="112"/>
      <c r="MLV11" s="112"/>
      <c r="MLW11" s="112"/>
      <c r="MLX11" s="112"/>
      <c r="MLY11" s="112"/>
      <c r="MLZ11" s="112"/>
      <c r="MMA11" s="112"/>
      <c r="MMB11" s="112"/>
      <c r="MMC11" s="112"/>
      <c r="MMD11" s="112"/>
      <c r="MME11" s="112"/>
      <c r="MMF11" s="112"/>
      <c r="MMG11" s="112"/>
      <c r="MMH11" s="112"/>
      <c r="MMI11" s="112"/>
      <c r="MMJ11" s="112"/>
      <c r="MMK11" s="112"/>
      <c r="MML11" s="112"/>
      <c r="MMM11" s="112"/>
      <c r="MMN11" s="112"/>
      <c r="MMO11" s="112"/>
      <c r="MMP11" s="112"/>
      <c r="MMQ11" s="112"/>
      <c r="MMR11" s="112"/>
      <c r="MMS11" s="112"/>
      <c r="MMT11" s="112"/>
      <c r="MMU11" s="112"/>
      <c r="MMV11" s="112"/>
      <c r="MMW11" s="112"/>
      <c r="MMX11" s="112"/>
      <c r="MMY11" s="112"/>
      <c r="MMZ11" s="112"/>
      <c r="MNA11" s="112"/>
      <c r="MNB11" s="112"/>
      <c r="MNC11" s="112"/>
      <c r="MND11" s="112"/>
      <c r="MNE11" s="112"/>
      <c r="MNF11" s="112"/>
      <c r="MNG11" s="112"/>
      <c r="MNH11" s="112"/>
      <c r="MNI11" s="112"/>
      <c r="MNJ11" s="112"/>
      <c r="MNK11" s="112"/>
      <c r="MNL11" s="112"/>
      <c r="MNM11" s="112"/>
      <c r="MNN11" s="112"/>
      <c r="MNO11" s="112"/>
      <c r="MNP11" s="112"/>
      <c r="MNQ11" s="112"/>
      <c r="MNR11" s="112"/>
      <c r="MNS11" s="112"/>
      <c r="MNT11" s="112"/>
      <c r="MNU11" s="112"/>
      <c r="MNV11" s="112"/>
      <c r="MNW11" s="112"/>
      <c r="MNX11" s="112"/>
      <c r="MNY11" s="112"/>
      <c r="MNZ11" s="112"/>
      <c r="MOA11" s="112"/>
      <c r="MOB11" s="112"/>
      <c r="MOC11" s="112"/>
      <c r="MOD11" s="112"/>
      <c r="MOE11" s="112"/>
      <c r="MOF11" s="112"/>
      <c r="MOG11" s="112"/>
      <c r="MOH11" s="112"/>
      <c r="MOI11" s="112"/>
      <c r="MOJ11" s="112"/>
      <c r="MOK11" s="112"/>
      <c r="MOL11" s="112"/>
      <c r="MOM11" s="112"/>
      <c r="MON11" s="112"/>
      <c r="MOO11" s="112"/>
      <c r="MOP11" s="112"/>
      <c r="MOQ11" s="112"/>
      <c r="MOR11" s="112"/>
      <c r="MOS11" s="112"/>
      <c r="MOT11" s="112"/>
      <c r="MOU11" s="112"/>
      <c r="MOV11" s="112"/>
      <c r="MOW11" s="112"/>
      <c r="MOX11" s="112"/>
      <c r="MOY11" s="112"/>
      <c r="MOZ11" s="112"/>
      <c r="MPA11" s="112"/>
      <c r="MPB11" s="112"/>
      <c r="MPC11" s="112"/>
      <c r="MPD11" s="112"/>
      <c r="MPE11" s="112"/>
      <c r="MPF11" s="112"/>
      <c r="MPG11" s="112"/>
      <c r="MPH11" s="112"/>
      <c r="MPI11" s="112"/>
      <c r="MPJ11" s="112"/>
      <c r="MPK11" s="112"/>
      <c r="MPL11" s="112"/>
      <c r="MPM11" s="112"/>
      <c r="MPN11" s="112"/>
      <c r="MPO11" s="112"/>
      <c r="MPP11" s="112"/>
      <c r="MPQ11" s="112"/>
      <c r="MPR11" s="112"/>
      <c r="MPS11" s="112"/>
      <c r="MPT11" s="112"/>
      <c r="MPU11" s="112"/>
      <c r="MPV11" s="112"/>
      <c r="MPW11" s="112"/>
      <c r="MPX11" s="112"/>
      <c r="MPY11" s="112"/>
      <c r="MPZ11" s="112"/>
      <c r="MQA11" s="112"/>
      <c r="MQB11" s="112"/>
      <c r="MQC11" s="112"/>
      <c r="MQD11" s="112"/>
      <c r="MQE11" s="112"/>
      <c r="MQF11" s="112"/>
      <c r="MQG11" s="112"/>
      <c r="MQH11" s="112"/>
      <c r="MQI11" s="112"/>
      <c r="MQJ11" s="112"/>
      <c r="MQK11" s="112"/>
      <c r="MQL11" s="112"/>
      <c r="MQM11" s="112"/>
      <c r="MQN11" s="112"/>
      <c r="MQO11" s="112"/>
      <c r="MQP11" s="112"/>
      <c r="MQQ11" s="112"/>
      <c r="MQR11" s="112"/>
      <c r="MQS11" s="112"/>
      <c r="MQT11" s="112"/>
      <c r="MQU11" s="112"/>
      <c r="MQV11" s="112"/>
      <c r="MQW11" s="112"/>
      <c r="MQX11" s="112"/>
      <c r="MQY11" s="112"/>
      <c r="MQZ11" s="112"/>
      <c r="MRA11" s="112"/>
      <c r="MRB11" s="112"/>
      <c r="MRC11" s="112"/>
      <c r="MRD11" s="112"/>
      <c r="MRE11" s="112"/>
      <c r="MRF11" s="112"/>
      <c r="MRG11" s="112"/>
      <c r="MRH11" s="112"/>
      <c r="MRI11" s="112"/>
      <c r="MRJ11" s="112"/>
      <c r="MRK11" s="112"/>
      <c r="MRL11" s="112"/>
      <c r="MRM11" s="112"/>
      <c r="MRN11" s="112"/>
      <c r="MRO11" s="112"/>
      <c r="MRP11" s="112"/>
      <c r="MRQ11" s="112"/>
      <c r="MRR11" s="112"/>
      <c r="MRS11" s="112"/>
      <c r="MRT11" s="112"/>
      <c r="MRU11" s="112"/>
      <c r="MRV11" s="112"/>
      <c r="MRW11" s="112"/>
      <c r="MRX11" s="112"/>
      <c r="MRY11" s="112"/>
      <c r="MRZ11" s="112"/>
      <c r="MSA11" s="112"/>
      <c r="MSB11" s="112"/>
      <c r="MSC11" s="112"/>
      <c r="MSD11" s="112"/>
      <c r="MSE11" s="112"/>
      <c r="MSF11" s="112"/>
      <c r="MSG11" s="112"/>
      <c r="MSH11" s="112"/>
      <c r="MSI11" s="112"/>
      <c r="MSJ11" s="112"/>
      <c r="MSK11" s="112"/>
      <c r="MSL11" s="112"/>
      <c r="MSM11" s="112"/>
      <c r="MSN11" s="112"/>
      <c r="MSO11" s="112"/>
      <c r="MSP11" s="112"/>
      <c r="MSQ11" s="112"/>
      <c r="MSR11" s="112"/>
      <c r="MSS11" s="112"/>
      <c r="MST11" s="112"/>
      <c r="MSU11" s="112"/>
      <c r="MSV11" s="112"/>
      <c r="MSW11" s="112"/>
      <c r="MSX11" s="112"/>
      <c r="MSY11" s="112"/>
      <c r="MSZ11" s="112"/>
      <c r="MTA11" s="112"/>
      <c r="MTB11" s="112"/>
      <c r="MTC11" s="112"/>
      <c r="MTD11" s="112"/>
      <c r="MTE11" s="112"/>
      <c r="MTF11" s="112"/>
      <c r="MTG11" s="112"/>
      <c r="MTH11" s="112"/>
      <c r="MTI11" s="112"/>
      <c r="MTJ11" s="112"/>
      <c r="MTK11" s="112"/>
      <c r="MTL11" s="112"/>
      <c r="MTM11" s="112"/>
      <c r="MTN11" s="112"/>
      <c r="MTO11" s="112"/>
      <c r="MTP11" s="112"/>
      <c r="MTQ11" s="112"/>
      <c r="MTR11" s="112"/>
      <c r="MTS11" s="112"/>
      <c r="MTT11" s="112"/>
      <c r="MTU11" s="112"/>
      <c r="MTV11" s="112"/>
      <c r="MTW11" s="112"/>
      <c r="MTX11" s="112"/>
      <c r="MTY11" s="112"/>
      <c r="MTZ11" s="112"/>
      <c r="MUA11" s="112"/>
      <c r="MUB11" s="112"/>
      <c r="MUC11" s="112"/>
      <c r="MUD11" s="112"/>
      <c r="MUE11" s="112"/>
      <c r="MUF11" s="112"/>
      <c r="MUG11" s="112"/>
      <c r="MUH11" s="112"/>
      <c r="MUI11" s="112"/>
      <c r="MUJ11" s="112"/>
      <c r="MUK11" s="112"/>
      <c r="MUL11" s="112"/>
      <c r="MUM11" s="112"/>
      <c r="MUN11" s="112"/>
      <c r="MUO11" s="112"/>
      <c r="MUP11" s="112"/>
      <c r="MUQ11" s="112"/>
      <c r="MUR11" s="112"/>
      <c r="MUS11" s="112"/>
      <c r="MUT11" s="112"/>
      <c r="MUU11" s="112"/>
      <c r="MUV11" s="112"/>
      <c r="MUW11" s="112"/>
      <c r="MUX11" s="112"/>
      <c r="MUY11" s="112"/>
      <c r="MUZ11" s="112"/>
      <c r="MVA11" s="112"/>
      <c r="MVB11" s="112"/>
      <c r="MVC11" s="112"/>
      <c r="MVD11" s="112"/>
      <c r="MVE11" s="112"/>
      <c r="MVF11" s="112"/>
      <c r="MVG11" s="112"/>
      <c r="MVH11" s="112"/>
      <c r="MVI11" s="112"/>
      <c r="MVJ11" s="112"/>
      <c r="MVK11" s="112"/>
      <c r="MVL11" s="112"/>
      <c r="MVM11" s="112"/>
      <c r="MVN11" s="112"/>
      <c r="MVO11" s="112"/>
      <c r="MVP11" s="112"/>
      <c r="MVQ11" s="112"/>
      <c r="MVR11" s="112"/>
      <c r="MVS11" s="112"/>
      <c r="MVT11" s="112"/>
      <c r="MVU11" s="112"/>
      <c r="MVV11" s="112"/>
      <c r="MVW11" s="112"/>
      <c r="MVX11" s="112"/>
      <c r="MVY11" s="112"/>
      <c r="MVZ11" s="112"/>
      <c r="MWA11" s="112"/>
      <c r="MWB11" s="112"/>
      <c r="MWC11" s="112"/>
      <c r="MWD11" s="112"/>
      <c r="MWE11" s="112"/>
      <c r="MWF11" s="112"/>
      <c r="MWG11" s="112"/>
      <c r="MWH11" s="112"/>
      <c r="MWI11" s="112"/>
      <c r="MWJ11" s="112"/>
      <c r="MWK11" s="112"/>
      <c r="MWL11" s="112"/>
      <c r="MWM11" s="112"/>
      <c r="MWN11" s="112"/>
      <c r="MWO11" s="112"/>
      <c r="MWP11" s="112"/>
      <c r="MWQ11" s="112"/>
      <c r="MWR11" s="112"/>
      <c r="MWS11" s="112"/>
      <c r="MWT11" s="112"/>
      <c r="MWU11" s="112"/>
      <c r="MWV11" s="112"/>
      <c r="MWW11" s="112"/>
      <c r="MWX11" s="112"/>
      <c r="MWY11" s="112"/>
      <c r="MWZ11" s="112"/>
      <c r="MXA11" s="112"/>
      <c r="MXB11" s="112"/>
      <c r="MXC11" s="112"/>
      <c r="MXD11" s="112"/>
      <c r="MXE11" s="112"/>
      <c r="MXF11" s="112"/>
      <c r="MXG11" s="112"/>
      <c r="MXH11" s="112"/>
      <c r="MXI11" s="112"/>
      <c r="MXJ11" s="112"/>
      <c r="MXK11" s="112"/>
      <c r="MXL11" s="112"/>
      <c r="MXM11" s="112"/>
      <c r="MXN11" s="112"/>
      <c r="MXO11" s="112"/>
      <c r="MXP11" s="112"/>
      <c r="MXQ11" s="112"/>
      <c r="MXR11" s="112"/>
      <c r="MXS11" s="112"/>
      <c r="MXT11" s="112"/>
      <c r="MXU11" s="112"/>
      <c r="MXV11" s="112"/>
      <c r="MXW11" s="112"/>
      <c r="MXX11" s="112"/>
      <c r="MXY11" s="112"/>
      <c r="MXZ11" s="112"/>
      <c r="MYA11" s="112"/>
      <c r="MYB11" s="112"/>
      <c r="MYC11" s="112"/>
      <c r="MYD11" s="112"/>
      <c r="MYE11" s="112"/>
      <c r="MYF11" s="112"/>
      <c r="MYG11" s="112"/>
      <c r="MYH11" s="112"/>
      <c r="MYI11" s="112"/>
      <c r="MYJ11" s="112"/>
      <c r="MYK11" s="112"/>
      <c r="MYL11" s="112"/>
      <c r="MYM11" s="112"/>
      <c r="MYN11" s="112"/>
      <c r="MYO11" s="112"/>
      <c r="MYP11" s="112"/>
      <c r="MYQ11" s="112"/>
      <c r="MYR11" s="112"/>
      <c r="MYS11" s="112"/>
      <c r="MYT11" s="112"/>
      <c r="MYU11" s="112"/>
      <c r="MYV11" s="112"/>
      <c r="MYW11" s="112"/>
      <c r="MYX11" s="112"/>
      <c r="MYY11" s="112"/>
      <c r="MYZ11" s="112"/>
      <c r="MZA11" s="112"/>
      <c r="MZB11" s="112"/>
      <c r="MZC11" s="112"/>
      <c r="MZD11" s="112"/>
      <c r="MZE11" s="112"/>
      <c r="MZF11" s="112"/>
      <c r="MZG11" s="112"/>
      <c r="MZH11" s="112"/>
      <c r="MZI11" s="112"/>
      <c r="MZJ11" s="112"/>
      <c r="MZK11" s="112"/>
      <c r="MZL11" s="112"/>
      <c r="MZM11" s="112"/>
      <c r="MZN11" s="112"/>
      <c r="MZO11" s="112"/>
      <c r="MZP11" s="112"/>
      <c r="MZQ11" s="112"/>
      <c r="MZR11" s="112"/>
      <c r="MZS11" s="112"/>
      <c r="MZT11" s="112"/>
      <c r="MZU11" s="112"/>
      <c r="MZV11" s="112"/>
      <c r="MZW11" s="112"/>
      <c r="MZX11" s="112"/>
      <c r="MZY11" s="112"/>
      <c r="MZZ11" s="112"/>
      <c r="NAA11" s="112"/>
      <c r="NAB11" s="112"/>
      <c r="NAC11" s="112"/>
      <c r="NAD11" s="112"/>
      <c r="NAE11" s="112"/>
      <c r="NAF11" s="112"/>
      <c r="NAG11" s="112"/>
      <c r="NAH11" s="112"/>
      <c r="NAI11" s="112"/>
      <c r="NAJ11" s="112"/>
      <c r="NAK11" s="112"/>
      <c r="NAL11" s="112"/>
      <c r="NAM11" s="112"/>
      <c r="NAN11" s="112"/>
      <c r="NAO11" s="112"/>
      <c r="NAP11" s="112"/>
      <c r="NAQ11" s="112"/>
      <c r="NAR11" s="112"/>
      <c r="NAS11" s="112"/>
      <c r="NAT11" s="112"/>
      <c r="NAU11" s="112"/>
      <c r="NAV11" s="112"/>
      <c r="NAW11" s="112"/>
      <c r="NAX11" s="112"/>
      <c r="NAY11" s="112"/>
      <c r="NAZ11" s="112"/>
      <c r="NBA11" s="112"/>
      <c r="NBB11" s="112"/>
      <c r="NBC11" s="112"/>
      <c r="NBD11" s="112"/>
      <c r="NBE11" s="112"/>
      <c r="NBF11" s="112"/>
      <c r="NBG11" s="112"/>
      <c r="NBH11" s="112"/>
      <c r="NBI11" s="112"/>
      <c r="NBJ11" s="112"/>
      <c r="NBK11" s="112"/>
      <c r="NBL11" s="112"/>
      <c r="NBM11" s="112"/>
      <c r="NBN11" s="112"/>
      <c r="NBO11" s="112"/>
      <c r="NBP11" s="112"/>
      <c r="NBQ11" s="112"/>
      <c r="NBR11" s="112"/>
      <c r="NBS11" s="112"/>
      <c r="NBT11" s="112"/>
      <c r="NBU11" s="112"/>
      <c r="NBV11" s="112"/>
      <c r="NBW11" s="112"/>
      <c r="NBX11" s="112"/>
      <c r="NBY11" s="112"/>
      <c r="NBZ11" s="112"/>
      <c r="NCA11" s="112"/>
      <c r="NCB11" s="112"/>
      <c r="NCC11" s="112"/>
      <c r="NCD11" s="112"/>
      <c r="NCE11" s="112"/>
      <c r="NCF11" s="112"/>
      <c r="NCG11" s="112"/>
      <c r="NCH11" s="112"/>
      <c r="NCI11" s="112"/>
      <c r="NCJ11" s="112"/>
      <c r="NCK11" s="112"/>
      <c r="NCL11" s="112"/>
      <c r="NCM11" s="112"/>
      <c r="NCN11" s="112"/>
      <c r="NCO11" s="112"/>
      <c r="NCP11" s="112"/>
      <c r="NCQ11" s="112"/>
      <c r="NCR11" s="112"/>
      <c r="NCS11" s="112"/>
      <c r="NCT11" s="112"/>
      <c r="NCU11" s="112"/>
      <c r="NCV11" s="112"/>
      <c r="NCW11" s="112"/>
      <c r="NCX11" s="112"/>
      <c r="NCY11" s="112"/>
      <c r="NCZ11" s="112"/>
      <c r="NDA11" s="112"/>
      <c r="NDB11" s="112"/>
      <c r="NDC11" s="112"/>
      <c r="NDD11" s="112"/>
      <c r="NDE11" s="112"/>
      <c r="NDF11" s="112"/>
      <c r="NDG11" s="112"/>
      <c r="NDH11" s="112"/>
      <c r="NDI11" s="112"/>
      <c r="NDJ11" s="112"/>
      <c r="NDK11" s="112"/>
      <c r="NDL11" s="112"/>
      <c r="NDM11" s="112"/>
      <c r="NDN11" s="112"/>
      <c r="NDO11" s="112"/>
      <c r="NDP11" s="112"/>
      <c r="NDQ11" s="112"/>
      <c r="NDR11" s="112"/>
      <c r="NDS11" s="112"/>
      <c r="NDT11" s="112"/>
      <c r="NDU11" s="112"/>
      <c r="NDV11" s="112"/>
      <c r="NDW11" s="112"/>
      <c r="NDX11" s="112"/>
      <c r="NDY11" s="112"/>
      <c r="NDZ11" s="112"/>
      <c r="NEA11" s="112"/>
      <c r="NEB11" s="112"/>
      <c r="NEC11" s="112"/>
      <c r="NED11" s="112"/>
      <c r="NEE11" s="112"/>
      <c r="NEF11" s="112"/>
      <c r="NEG11" s="112"/>
      <c r="NEH11" s="112"/>
      <c r="NEI11" s="112"/>
      <c r="NEJ11" s="112"/>
      <c r="NEK11" s="112"/>
      <c r="NEL11" s="112"/>
      <c r="NEM11" s="112"/>
      <c r="NEN11" s="112"/>
      <c r="NEO11" s="112"/>
      <c r="NEP11" s="112"/>
      <c r="NEQ11" s="112"/>
      <c r="NER11" s="112"/>
      <c r="NES11" s="112"/>
      <c r="NET11" s="112"/>
      <c r="NEU11" s="112"/>
      <c r="NEV11" s="112"/>
      <c r="NEW11" s="112"/>
      <c r="NEX11" s="112"/>
      <c r="NEY11" s="112"/>
      <c r="NEZ11" s="112"/>
      <c r="NFA11" s="112"/>
      <c r="NFB11" s="112"/>
      <c r="NFC11" s="112"/>
      <c r="NFD11" s="112"/>
      <c r="NFE11" s="112"/>
      <c r="NFF11" s="112"/>
      <c r="NFG11" s="112"/>
      <c r="NFH11" s="112"/>
      <c r="NFI11" s="112"/>
      <c r="NFJ11" s="112"/>
      <c r="NFK11" s="112"/>
      <c r="NFL11" s="112"/>
      <c r="NFM11" s="112"/>
      <c r="NFN11" s="112"/>
      <c r="NFO11" s="112"/>
      <c r="NFP11" s="112"/>
      <c r="NFQ11" s="112"/>
      <c r="NFR11" s="112"/>
      <c r="NFS11" s="112"/>
      <c r="NFT11" s="112"/>
      <c r="NFU11" s="112"/>
      <c r="NFV11" s="112"/>
      <c r="NFW11" s="112"/>
      <c r="NFX11" s="112"/>
      <c r="NFY11" s="112"/>
      <c r="NFZ11" s="112"/>
      <c r="NGA11" s="112"/>
      <c r="NGB11" s="112"/>
      <c r="NGC11" s="112"/>
      <c r="NGD11" s="112"/>
      <c r="NGE11" s="112"/>
      <c r="NGF11" s="112"/>
      <c r="NGG11" s="112"/>
      <c r="NGH11" s="112"/>
      <c r="NGI11" s="112"/>
      <c r="NGJ11" s="112"/>
      <c r="NGK11" s="112"/>
      <c r="NGL11" s="112"/>
      <c r="NGM11" s="112"/>
      <c r="NGN11" s="112"/>
      <c r="NGO11" s="112"/>
      <c r="NGP11" s="112"/>
      <c r="NGQ11" s="112"/>
      <c r="NGR11" s="112"/>
      <c r="NGS11" s="112"/>
      <c r="NGT11" s="112"/>
      <c r="NGU11" s="112"/>
      <c r="NGV11" s="112"/>
      <c r="NGW11" s="112"/>
      <c r="NGX11" s="112"/>
      <c r="NGY11" s="112"/>
      <c r="NGZ11" s="112"/>
      <c r="NHA11" s="112"/>
      <c r="NHB11" s="112"/>
      <c r="NHC11" s="112"/>
      <c r="NHD11" s="112"/>
      <c r="NHE11" s="112"/>
      <c r="NHF11" s="112"/>
      <c r="NHG11" s="112"/>
      <c r="NHH11" s="112"/>
      <c r="NHI11" s="112"/>
      <c r="NHJ11" s="112"/>
      <c r="NHK11" s="112"/>
      <c r="NHL11" s="112"/>
      <c r="NHM11" s="112"/>
      <c r="NHN11" s="112"/>
      <c r="NHO11" s="112"/>
      <c r="NHP11" s="112"/>
      <c r="NHQ11" s="112"/>
      <c r="NHR11" s="112"/>
      <c r="NHS11" s="112"/>
      <c r="NHT11" s="112"/>
      <c r="NHU11" s="112"/>
      <c r="NHV11" s="112"/>
      <c r="NHW11" s="112"/>
      <c r="NHX11" s="112"/>
      <c r="NHY11" s="112"/>
      <c r="NHZ11" s="112"/>
      <c r="NIA11" s="112"/>
      <c r="NIB11" s="112"/>
      <c r="NIC11" s="112"/>
      <c r="NID11" s="112"/>
      <c r="NIE11" s="112"/>
      <c r="NIF11" s="112"/>
      <c r="NIG11" s="112"/>
      <c r="NIH11" s="112"/>
      <c r="NII11" s="112"/>
      <c r="NIJ11" s="112"/>
      <c r="NIK11" s="112"/>
      <c r="NIL11" s="112"/>
      <c r="NIM11" s="112"/>
      <c r="NIN11" s="112"/>
      <c r="NIO11" s="112"/>
      <c r="NIP11" s="112"/>
      <c r="NIQ11" s="112"/>
      <c r="NIR11" s="112"/>
      <c r="NIS11" s="112"/>
      <c r="NIT11" s="112"/>
      <c r="NIU11" s="112"/>
      <c r="NIV11" s="112"/>
      <c r="NIW11" s="112"/>
      <c r="NIX11" s="112"/>
      <c r="NIY11" s="112"/>
      <c r="NIZ11" s="112"/>
      <c r="NJA11" s="112"/>
      <c r="NJB11" s="112"/>
      <c r="NJC11" s="112"/>
      <c r="NJD11" s="112"/>
      <c r="NJE11" s="112"/>
      <c r="NJF11" s="112"/>
      <c r="NJG11" s="112"/>
      <c r="NJH11" s="112"/>
      <c r="NJI11" s="112"/>
      <c r="NJJ11" s="112"/>
      <c r="NJK11" s="112"/>
      <c r="NJL11" s="112"/>
      <c r="NJM11" s="112"/>
      <c r="NJN11" s="112"/>
      <c r="NJO11" s="112"/>
      <c r="NJP11" s="112"/>
      <c r="NJQ11" s="112"/>
      <c r="NJR11" s="112"/>
      <c r="NJS11" s="112"/>
      <c r="NJT11" s="112"/>
      <c r="NJU11" s="112"/>
      <c r="NJV11" s="112"/>
      <c r="NJW11" s="112"/>
      <c r="NJX11" s="112"/>
      <c r="NJY11" s="112"/>
      <c r="NJZ11" s="112"/>
      <c r="NKA11" s="112"/>
      <c r="NKB11" s="112"/>
      <c r="NKC11" s="112"/>
      <c r="NKD11" s="112"/>
      <c r="NKE11" s="112"/>
      <c r="NKF11" s="112"/>
      <c r="NKG11" s="112"/>
      <c r="NKH11" s="112"/>
      <c r="NKI11" s="112"/>
      <c r="NKJ11" s="112"/>
      <c r="NKK11" s="112"/>
      <c r="NKL11" s="112"/>
      <c r="NKM11" s="112"/>
      <c r="NKN11" s="112"/>
      <c r="NKO11" s="112"/>
      <c r="NKP11" s="112"/>
      <c r="NKQ11" s="112"/>
      <c r="NKR11" s="112"/>
      <c r="NKS11" s="112"/>
      <c r="NKT11" s="112"/>
      <c r="NKU11" s="112"/>
      <c r="NKV11" s="112"/>
      <c r="NKW11" s="112"/>
      <c r="NKX11" s="112"/>
      <c r="NKY11" s="112"/>
      <c r="NKZ11" s="112"/>
      <c r="NLA11" s="112"/>
      <c r="NLB11" s="112"/>
      <c r="NLC11" s="112"/>
      <c r="NLD11" s="112"/>
      <c r="NLE11" s="112"/>
      <c r="NLF11" s="112"/>
      <c r="NLG11" s="112"/>
      <c r="NLH11" s="112"/>
      <c r="NLI11" s="112"/>
      <c r="NLJ11" s="112"/>
      <c r="NLK11" s="112"/>
      <c r="NLL11" s="112"/>
      <c r="NLM11" s="112"/>
      <c r="NLN11" s="112"/>
      <c r="NLO11" s="112"/>
      <c r="NLP11" s="112"/>
      <c r="NLQ11" s="112"/>
      <c r="NLR11" s="112"/>
      <c r="NLS11" s="112"/>
      <c r="NLT11" s="112"/>
      <c r="NLU11" s="112"/>
      <c r="NLV11" s="112"/>
      <c r="NLW11" s="112"/>
      <c r="NLX11" s="112"/>
      <c r="NLY11" s="112"/>
      <c r="NLZ11" s="112"/>
      <c r="NMA11" s="112"/>
      <c r="NMB11" s="112"/>
      <c r="NMC11" s="112"/>
      <c r="NMD11" s="112"/>
      <c r="NME11" s="112"/>
      <c r="NMF11" s="112"/>
      <c r="NMG11" s="112"/>
      <c r="NMH11" s="112"/>
      <c r="NMI11" s="112"/>
      <c r="NMJ11" s="112"/>
      <c r="NMK11" s="112"/>
      <c r="NML11" s="112"/>
      <c r="NMM11" s="112"/>
      <c r="NMN11" s="112"/>
      <c r="NMO11" s="112"/>
      <c r="NMP11" s="112"/>
      <c r="NMQ11" s="112"/>
      <c r="NMR11" s="112"/>
      <c r="NMS11" s="112"/>
      <c r="NMT11" s="112"/>
      <c r="NMU11" s="112"/>
      <c r="NMV11" s="112"/>
      <c r="NMW11" s="112"/>
      <c r="NMX11" s="112"/>
      <c r="NMY11" s="112"/>
      <c r="NMZ11" s="112"/>
      <c r="NNA11" s="112"/>
      <c r="NNB11" s="112"/>
      <c r="NNC11" s="112"/>
      <c r="NND11" s="112"/>
      <c r="NNE11" s="112"/>
      <c r="NNF11" s="112"/>
      <c r="NNG11" s="112"/>
      <c r="NNH11" s="112"/>
      <c r="NNI11" s="112"/>
      <c r="NNJ11" s="112"/>
      <c r="NNK11" s="112"/>
      <c r="NNL11" s="112"/>
      <c r="NNM11" s="112"/>
      <c r="NNN11" s="112"/>
      <c r="NNO11" s="112"/>
      <c r="NNP11" s="112"/>
      <c r="NNQ11" s="112"/>
      <c r="NNR11" s="112"/>
      <c r="NNS11" s="112"/>
      <c r="NNT11" s="112"/>
      <c r="NNU11" s="112"/>
      <c r="NNV11" s="112"/>
      <c r="NNW11" s="112"/>
      <c r="NNX11" s="112"/>
      <c r="NNY11" s="112"/>
      <c r="NNZ11" s="112"/>
      <c r="NOA11" s="112"/>
      <c r="NOB11" s="112"/>
      <c r="NOC11" s="112"/>
      <c r="NOD11" s="112"/>
      <c r="NOE11" s="112"/>
      <c r="NOF11" s="112"/>
      <c r="NOG11" s="112"/>
      <c r="NOH11" s="112"/>
      <c r="NOI11" s="112"/>
      <c r="NOJ11" s="112"/>
      <c r="NOK11" s="112"/>
      <c r="NOL11" s="112"/>
      <c r="NOM11" s="112"/>
      <c r="NON11" s="112"/>
      <c r="NOO11" s="112"/>
      <c r="NOP11" s="112"/>
      <c r="NOQ11" s="112"/>
      <c r="NOR11" s="112"/>
      <c r="NOS11" s="112"/>
      <c r="NOT11" s="112"/>
      <c r="NOU11" s="112"/>
      <c r="NOV11" s="112"/>
      <c r="NOW11" s="112"/>
      <c r="NOX11" s="112"/>
      <c r="NOY11" s="112"/>
      <c r="NOZ11" s="112"/>
      <c r="NPA11" s="112"/>
      <c r="NPB11" s="112"/>
      <c r="NPC11" s="112"/>
      <c r="NPD11" s="112"/>
      <c r="NPE11" s="112"/>
      <c r="NPF11" s="112"/>
      <c r="NPG11" s="112"/>
      <c r="NPH11" s="112"/>
      <c r="NPI11" s="112"/>
      <c r="NPJ11" s="112"/>
      <c r="NPK11" s="112"/>
      <c r="NPL11" s="112"/>
      <c r="NPM11" s="112"/>
      <c r="NPN11" s="112"/>
      <c r="NPO11" s="112"/>
      <c r="NPP11" s="112"/>
      <c r="NPQ11" s="112"/>
      <c r="NPR11" s="112"/>
      <c r="NPS11" s="112"/>
      <c r="NPT11" s="112"/>
      <c r="NPU11" s="112"/>
      <c r="NPV11" s="112"/>
      <c r="NPW11" s="112"/>
      <c r="NPX11" s="112"/>
      <c r="NPY11" s="112"/>
      <c r="NPZ11" s="112"/>
      <c r="NQA11" s="112"/>
      <c r="NQB11" s="112"/>
      <c r="NQC11" s="112"/>
      <c r="NQD11" s="112"/>
      <c r="NQE11" s="112"/>
      <c r="NQF11" s="112"/>
      <c r="NQG11" s="112"/>
      <c r="NQH11" s="112"/>
      <c r="NQI11" s="112"/>
      <c r="NQJ11" s="112"/>
      <c r="NQK11" s="112"/>
      <c r="NQL11" s="112"/>
      <c r="NQM11" s="112"/>
      <c r="NQN11" s="112"/>
      <c r="NQO11" s="112"/>
      <c r="NQP11" s="112"/>
      <c r="NQQ11" s="112"/>
      <c r="NQR11" s="112"/>
      <c r="NQS11" s="112"/>
      <c r="NQT11" s="112"/>
      <c r="NQU11" s="112"/>
      <c r="NQV11" s="112"/>
      <c r="NQW11" s="112"/>
      <c r="NQX11" s="112"/>
      <c r="NQY11" s="112"/>
      <c r="NQZ11" s="112"/>
      <c r="NRA11" s="112"/>
      <c r="NRB11" s="112"/>
      <c r="NRC11" s="112"/>
      <c r="NRD11" s="112"/>
      <c r="NRE11" s="112"/>
      <c r="NRF11" s="112"/>
      <c r="NRG11" s="112"/>
      <c r="NRH11" s="112"/>
      <c r="NRI11" s="112"/>
      <c r="NRJ11" s="112"/>
      <c r="NRK11" s="112"/>
      <c r="NRL11" s="112"/>
      <c r="NRM11" s="112"/>
      <c r="NRN11" s="112"/>
      <c r="NRO11" s="112"/>
      <c r="NRP11" s="112"/>
      <c r="NRQ11" s="112"/>
      <c r="NRR11" s="112"/>
      <c r="NRS11" s="112"/>
      <c r="NRT11" s="112"/>
      <c r="NRU11" s="112"/>
      <c r="NRV11" s="112"/>
      <c r="NRW11" s="112"/>
      <c r="NRX11" s="112"/>
      <c r="NRY11" s="112"/>
      <c r="NRZ11" s="112"/>
      <c r="NSA11" s="112"/>
      <c r="NSB11" s="112"/>
      <c r="NSC11" s="112"/>
      <c r="NSD11" s="112"/>
      <c r="NSE11" s="112"/>
      <c r="NSF11" s="112"/>
      <c r="NSG11" s="112"/>
      <c r="NSH11" s="112"/>
      <c r="NSI11" s="112"/>
      <c r="NSJ11" s="112"/>
      <c r="NSK11" s="112"/>
      <c r="NSL11" s="112"/>
      <c r="NSM11" s="112"/>
      <c r="NSN11" s="112"/>
      <c r="NSO11" s="112"/>
      <c r="NSP11" s="112"/>
      <c r="NSQ11" s="112"/>
      <c r="NSR11" s="112"/>
      <c r="NSS11" s="112"/>
      <c r="NST11" s="112"/>
      <c r="NSU11" s="112"/>
      <c r="NSV11" s="112"/>
      <c r="NSW11" s="112"/>
      <c r="NSX11" s="112"/>
      <c r="NSY11" s="112"/>
      <c r="NSZ11" s="112"/>
      <c r="NTA11" s="112"/>
      <c r="NTB11" s="112"/>
      <c r="NTC11" s="112"/>
      <c r="NTD11" s="112"/>
      <c r="NTE11" s="112"/>
      <c r="NTF11" s="112"/>
      <c r="NTG11" s="112"/>
      <c r="NTH11" s="112"/>
      <c r="NTI11" s="112"/>
      <c r="NTJ11" s="112"/>
      <c r="NTK11" s="112"/>
      <c r="NTL11" s="112"/>
      <c r="NTM11" s="112"/>
      <c r="NTN11" s="112"/>
      <c r="NTO11" s="112"/>
      <c r="NTP11" s="112"/>
      <c r="NTQ11" s="112"/>
      <c r="NTR11" s="112"/>
      <c r="NTS11" s="112"/>
      <c r="NTT11" s="112"/>
      <c r="NTU11" s="112"/>
      <c r="NTV11" s="112"/>
      <c r="NTW11" s="112"/>
      <c r="NTX11" s="112"/>
      <c r="NTY11" s="112"/>
      <c r="NTZ11" s="112"/>
      <c r="NUA11" s="112"/>
      <c r="NUB11" s="112"/>
      <c r="NUC11" s="112"/>
      <c r="NUD11" s="112"/>
      <c r="NUE11" s="112"/>
      <c r="NUF11" s="112"/>
      <c r="NUG11" s="112"/>
      <c r="NUH11" s="112"/>
      <c r="NUI11" s="112"/>
      <c r="NUJ11" s="112"/>
      <c r="NUK11" s="112"/>
      <c r="NUL11" s="112"/>
      <c r="NUM11" s="112"/>
      <c r="NUN11" s="112"/>
      <c r="NUO11" s="112"/>
      <c r="NUP11" s="112"/>
      <c r="NUQ11" s="112"/>
      <c r="NUR11" s="112"/>
      <c r="NUS11" s="112"/>
      <c r="NUT11" s="112"/>
      <c r="NUU11" s="112"/>
      <c r="NUV11" s="112"/>
      <c r="NUW11" s="112"/>
      <c r="NUX11" s="112"/>
      <c r="NUY11" s="112"/>
      <c r="NUZ11" s="112"/>
      <c r="NVA11" s="112"/>
      <c r="NVB11" s="112"/>
      <c r="NVC11" s="112"/>
      <c r="NVD11" s="112"/>
      <c r="NVE11" s="112"/>
      <c r="NVF11" s="112"/>
      <c r="NVG11" s="112"/>
      <c r="NVH11" s="112"/>
      <c r="NVI11" s="112"/>
      <c r="NVJ11" s="112"/>
      <c r="NVK11" s="112"/>
      <c r="NVL11" s="112"/>
      <c r="NVM11" s="112"/>
      <c r="NVN11" s="112"/>
      <c r="NVO11" s="112"/>
      <c r="NVP11" s="112"/>
      <c r="NVQ11" s="112"/>
      <c r="NVR11" s="112"/>
      <c r="NVS11" s="112"/>
      <c r="NVT11" s="112"/>
      <c r="NVU11" s="112"/>
      <c r="NVV11" s="112"/>
      <c r="NVW11" s="112"/>
      <c r="NVX11" s="112"/>
      <c r="NVY11" s="112"/>
      <c r="NVZ11" s="112"/>
      <c r="NWA11" s="112"/>
      <c r="NWB11" s="112"/>
      <c r="NWC11" s="112"/>
      <c r="NWD11" s="112"/>
      <c r="NWE11" s="112"/>
      <c r="NWF11" s="112"/>
      <c r="NWG11" s="112"/>
      <c r="NWH11" s="112"/>
      <c r="NWI11" s="112"/>
      <c r="NWJ11" s="112"/>
      <c r="NWK11" s="112"/>
      <c r="NWL11" s="112"/>
      <c r="NWM11" s="112"/>
      <c r="NWN11" s="112"/>
      <c r="NWO11" s="112"/>
      <c r="NWP11" s="112"/>
      <c r="NWQ11" s="112"/>
      <c r="NWR11" s="112"/>
      <c r="NWS11" s="112"/>
      <c r="NWT11" s="112"/>
      <c r="NWU11" s="112"/>
      <c r="NWV11" s="112"/>
      <c r="NWW11" s="112"/>
      <c r="NWX11" s="112"/>
      <c r="NWY11" s="112"/>
      <c r="NWZ11" s="112"/>
      <c r="NXA11" s="112"/>
      <c r="NXB11" s="112"/>
      <c r="NXC11" s="112"/>
      <c r="NXD11" s="112"/>
      <c r="NXE11" s="112"/>
      <c r="NXF11" s="112"/>
      <c r="NXG11" s="112"/>
      <c r="NXH11" s="112"/>
      <c r="NXI11" s="112"/>
      <c r="NXJ11" s="112"/>
      <c r="NXK11" s="112"/>
      <c r="NXL11" s="112"/>
      <c r="NXM11" s="112"/>
      <c r="NXN11" s="112"/>
      <c r="NXO11" s="112"/>
      <c r="NXP11" s="112"/>
      <c r="NXQ11" s="112"/>
      <c r="NXR11" s="112"/>
      <c r="NXS11" s="112"/>
      <c r="NXT11" s="112"/>
      <c r="NXU11" s="112"/>
      <c r="NXV11" s="112"/>
      <c r="NXW11" s="112"/>
      <c r="NXX11" s="112"/>
      <c r="NXY11" s="112"/>
      <c r="NXZ11" s="112"/>
      <c r="NYA11" s="112"/>
      <c r="NYB11" s="112"/>
      <c r="NYC11" s="112"/>
      <c r="NYD11" s="112"/>
      <c r="NYE11" s="112"/>
      <c r="NYF11" s="112"/>
      <c r="NYG11" s="112"/>
      <c r="NYH11" s="112"/>
      <c r="NYI11" s="112"/>
      <c r="NYJ11" s="112"/>
      <c r="NYK11" s="112"/>
      <c r="NYL11" s="112"/>
      <c r="NYM11" s="112"/>
      <c r="NYN11" s="112"/>
      <c r="NYO11" s="112"/>
      <c r="NYP11" s="112"/>
      <c r="NYQ11" s="112"/>
      <c r="NYR11" s="112"/>
      <c r="NYS11" s="112"/>
      <c r="NYT11" s="112"/>
      <c r="NYU11" s="112"/>
      <c r="NYV11" s="112"/>
      <c r="NYW11" s="112"/>
      <c r="NYX11" s="112"/>
      <c r="NYY11" s="112"/>
      <c r="NYZ11" s="112"/>
      <c r="NZA11" s="112"/>
      <c r="NZB11" s="112"/>
      <c r="NZC11" s="112"/>
      <c r="NZD11" s="112"/>
      <c r="NZE11" s="112"/>
      <c r="NZF11" s="112"/>
      <c r="NZG11" s="112"/>
      <c r="NZH11" s="112"/>
      <c r="NZI11" s="112"/>
      <c r="NZJ11" s="112"/>
      <c r="NZK11" s="112"/>
      <c r="NZL11" s="112"/>
      <c r="NZM11" s="112"/>
      <c r="NZN11" s="112"/>
      <c r="NZO11" s="112"/>
      <c r="NZP11" s="112"/>
      <c r="NZQ11" s="112"/>
      <c r="NZR11" s="112"/>
      <c r="NZS11" s="112"/>
      <c r="NZT11" s="112"/>
      <c r="NZU11" s="112"/>
      <c r="NZV11" s="112"/>
      <c r="NZW11" s="112"/>
      <c r="NZX11" s="112"/>
      <c r="NZY11" s="112"/>
      <c r="NZZ11" s="112"/>
      <c r="OAA11" s="112"/>
      <c r="OAB11" s="112"/>
      <c r="OAC11" s="112"/>
      <c r="OAD11" s="112"/>
      <c r="OAE11" s="112"/>
      <c r="OAF11" s="112"/>
      <c r="OAG11" s="112"/>
      <c r="OAH11" s="112"/>
      <c r="OAI11" s="112"/>
      <c r="OAJ11" s="112"/>
      <c r="OAK11" s="112"/>
      <c r="OAL11" s="112"/>
      <c r="OAM11" s="112"/>
      <c r="OAN11" s="112"/>
      <c r="OAO11" s="112"/>
      <c r="OAP11" s="112"/>
      <c r="OAQ11" s="112"/>
      <c r="OAR11" s="112"/>
      <c r="OAS11" s="112"/>
      <c r="OAT11" s="112"/>
      <c r="OAU11" s="112"/>
      <c r="OAV11" s="112"/>
      <c r="OAW11" s="112"/>
      <c r="OAX11" s="112"/>
      <c r="OAY11" s="112"/>
      <c r="OAZ11" s="112"/>
      <c r="OBA11" s="112"/>
      <c r="OBB11" s="112"/>
      <c r="OBC11" s="112"/>
      <c r="OBD11" s="112"/>
      <c r="OBE11" s="112"/>
      <c r="OBF11" s="112"/>
      <c r="OBG11" s="112"/>
      <c r="OBH11" s="112"/>
      <c r="OBI11" s="112"/>
      <c r="OBJ11" s="112"/>
      <c r="OBK11" s="112"/>
      <c r="OBL11" s="112"/>
      <c r="OBM11" s="112"/>
      <c r="OBN11" s="112"/>
      <c r="OBO11" s="112"/>
      <c r="OBP11" s="112"/>
      <c r="OBQ11" s="112"/>
      <c r="OBR11" s="112"/>
      <c r="OBS11" s="112"/>
      <c r="OBT11" s="112"/>
      <c r="OBU11" s="112"/>
      <c r="OBV11" s="112"/>
      <c r="OBW11" s="112"/>
      <c r="OBX11" s="112"/>
      <c r="OBY11" s="112"/>
      <c r="OBZ11" s="112"/>
      <c r="OCA11" s="112"/>
      <c r="OCB11" s="112"/>
      <c r="OCC11" s="112"/>
      <c r="OCD11" s="112"/>
      <c r="OCE11" s="112"/>
      <c r="OCF11" s="112"/>
      <c r="OCG11" s="112"/>
      <c r="OCH11" s="112"/>
      <c r="OCI11" s="112"/>
      <c r="OCJ11" s="112"/>
      <c r="OCK11" s="112"/>
      <c r="OCL11" s="112"/>
      <c r="OCM11" s="112"/>
      <c r="OCN11" s="112"/>
      <c r="OCO11" s="112"/>
      <c r="OCP11" s="112"/>
      <c r="OCQ11" s="112"/>
      <c r="OCR11" s="112"/>
      <c r="OCS11" s="112"/>
      <c r="OCT11" s="112"/>
      <c r="OCU11" s="112"/>
      <c r="OCV11" s="112"/>
      <c r="OCW11" s="112"/>
      <c r="OCX11" s="112"/>
      <c r="OCY11" s="112"/>
      <c r="OCZ11" s="112"/>
      <c r="ODA11" s="112"/>
      <c r="ODB11" s="112"/>
      <c r="ODC11" s="112"/>
      <c r="ODD11" s="112"/>
      <c r="ODE11" s="112"/>
      <c r="ODF11" s="112"/>
      <c r="ODG11" s="112"/>
      <c r="ODH11" s="112"/>
      <c r="ODI11" s="112"/>
      <c r="ODJ11" s="112"/>
      <c r="ODK11" s="112"/>
      <c r="ODL11" s="112"/>
      <c r="ODM11" s="112"/>
      <c r="ODN11" s="112"/>
      <c r="ODO11" s="112"/>
      <c r="ODP11" s="112"/>
      <c r="ODQ11" s="112"/>
      <c r="ODR11" s="112"/>
      <c r="ODS11" s="112"/>
      <c r="ODT11" s="112"/>
      <c r="ODU11" s="112"/>
      <c r="ODV11" s="112"/>
      <c r="ODW11" s="112"/>
      <c r="ODX11" s="112"/>
      <c r="ODY11" s="112"/>
      <c r="ODZ11" s="112"/>
      <c r="OEA11" s="112"/>
      <c r="OEB11" s="112"/>
      <c r="OEC11" s="112"/>
      <c r="OED11" s="112"/>
      <c r="OEE11" s="112"/>
      <c r="OEF11" s="112"/>
      <c r="OEG11" s="112"/>
      <c r="OEH11" s="112"/>
      <c r="OEI11" s="112"/>
      <c r="OEJ11" s="112"/>
      <c r="OEK11" s="112"/>
      <c r="OEL11" s="112"/>
      <c r="OEM11" s="112"/>
      <c r="OEN11" s="112"/>
      <c r="OEO11" s="112"/>
      <c r="OEP11" s="112"/>
      <c r="OEQ11" s="112"/>
      <c r="OER11" s="112"/>
      <c r="OES11" s="112"/>
      <c r="OET11" s="112"/>
      <c r="OEU11" s="112"/>
      <c r="OEV11" s="112"/>
      <c r="OEW11" s="112"/>
      <c r="OEX11" s="112"/>
      <c r="OEY11" s="112"/>
      <c r="OEZ11" s="112"/>
      <c r="OFA11" s="112"/>
      <c r="OFB11" s="112"/>
      <c r="OFC11" s="112"/>
      <c r="OFD11" s="112"/>
      <c r="OFE11" s="112"/>
      <c r="OFF11" s="112"/>
      <c r="OFG11" s="112"/>
      <c r="OFH11" s="112"/>
      <c r="OFI11" s="112"/>
      <c r="OFJ11" s="112"/>
      <c r="OFK11" s="112"/>
      <c r="OFL11" s="112"/>
      <c r="OFM11" s="112"/>
      <c r="OFN11" s="112"/>
      <c r="OFO11" s="112"/>
      <c r="OFP11" s="112"/>
      <c r="OFQ11" s="112"/>
      <c r="OFR11" s="112"/>
      <c r="OFS11" s="112"/>
      <c r="OFT11" s="112"/>
      <c r="OFU11" s="112"/>
      <c r="OFV11" s="112"/>
      <c r="OFW11" s="112"/>
      <c r="OFX11" s="112"/>
      <c r="OFY11" s="112"/>
      <c r="OFZ11" s="112"/>
      <c r="OGA11" s="112"/>
      <c r="OGB11" s="112"/>
      <c r="OGC11" s="112"/>
      <c r="OGD11" s="112"/>
      <c r="OGE11" s="112"/>
      <c r="OGF11" s="112"/>
      <c r="OGG11" s="112"/>
      <c r="OGH11" s="112"/>
      <c r="OGI11" s="112"/>
      <c r="OGJ11" s="112"/>
      <c r="OGK11" s="112"/>
      <c r="OGL11" s="112"/>
      <c r="OGM11" s="112"/>
      <c r="OGN11" s="112"/>
      <c r="OGO11" s="112"/>
      <c r="OGP11" s="112"/>
      <c r="OGQ11" s="112"/>
      <c r="OGR11" s="112"/>
      <c r="OGS11" s="112"/>
      <c r="OGT11" s="112"/>
      <c r="OGU11" s="112"/>
      <c r="OGV11" s="112"/>
      <c r="OGW11" s="112"/>
      <c r="OGX11" s="112"/>
      <c r="OGY11" s="112"/>
      <c r="OGZ11" s="112"/>
      <c r="OHA11" s="112"/>
      <c r="OHB11" s="112"/>
      <c r="OHC11" s="112"/>
      <c r="OHD11" s="112"/>
      <c r="OHE11" s="112"/>
      <c r="OHF11" s="112"/>
      <c r="OHG11" s="112"/>
      <c r="OHH11" s="112"/>
      <c r="OHI11" s="112"/>
      <c r="OHJ11" s="112"/>
      <c r="OHK11" s="112"/>
      <c r="OHL11" s="112"/>
      <c r="OHM11" s="112"/>
      <c r="OHN11" s="112"/>
      <c r="OHO11" s="112"/>
      <c r="OHP11" s="112"/>
      <c r="OHQ11" s="112"/>
      <c r="OHR11" s="112"/>
      <c r="OHS11" s="112"/>
      <c r="OHT11" s="112"/>
      <c r="OHU11" s="112"/>
      <c r="OHV11" s="112"/>
      <c r="OHW11" s="112"/>
      <c r="OHX11" s="112"/>
      <c r="OHY11" s="112"/>
      <c r="OHZ11" s="112"/>
      <c r="OIA11" s="112"/>
      <c r="OIB11" s="112"/>
      <c r="OIC11" s="112"/>
      <c r="OID11" s="112"/>
      <c r="OIE11" s="112"/>
      <c r="OIF11" s="112"/>
      <c r="OIG11" s="112"/>
      <c r="OIH11" s="112"/>
      <c r="OII11" s="112"/>
      <c r="OIJ11" s="112"/>
      <c r="OIK11" s="112"/>
      <c r="OIL11" s="112"/>
      <c r="OIM11" s="112"/>
      <c r="OIN11" s="112"/>
      <c r="OIO11" s="112"/>
      <c r="OIP11" s="112"/>
      <c r="OIQ11" s="112"/>
      <c r="OIR11" s="112"/>
      <c r="OIS11" s="112"/>
      <c r="OIT11" s="112"/>
      <c r="OIU11" s="112"/>
      <c r="OIV11" s="112"/>
      <c r="OIW11" s="112"/>
      <c r="OIX11" s="112"/>
      <c r="OIY11" s="112"/>
      <c r="OIZ11" s="112"/>
      <c r="OJA11" s="112"/>
      <c r="OJB11" s="112"/>
      <c r="OJC11" s="112"/>
      <c r="OJD11" s="112"/>
      <c r="OJE11" s="112"/>
      <c r="OJF11" s="112"/>
      <c r="OJG11" s="112"/>
      <c r="OJH11" s="112"/>
      <c r="OJI11" s="112"/>
      <c r="OJJ11" s="112"/>
      <c r="OJK11" s="112"/>
      <c r="OJL11" s="112"/>
      <c r="OJM11" s="112"/>
      <c r="OJN11" s="112"/>
      <c r="OJO11" s="112"/>
      <c r="OJP11" s="112"/>
      <c r="OJQ11" s="112"/>
      <c r="OJR11" s="112"/>
      <c r="OJS11" s="112"/>
      <c r="OJT11" s="112"/>
      <c r="OJU11" s="112"/>
      <c r="OJV11" s="112"/>
      <c r="OJW11" s="112"/>
      <c r="OJX11" s="112"/>
      <c r="OJY11" s="112"/>
      <c r="OJZ11" s="112"/>
      <c r="OKA11" s="112"/>
      <c r="OKB11" s="112"/>
      <c r="OKC11" s="112"/>
      <c r="OKD11" s="112"/>
      <c r="OKE11" s="112"/>
      <c r="OKF11" s="112"/>
      <c r="OKG11" s="112"/>
      <c r="OKH11" s="112"/>
      <c r="OKI11" s="112"/>
      <c r="OKJ11" s="112"/>
      <c r="OKK11" s="112"/>
      <c r="OKL11" s="112"/>
      <c r="OKM11" s="112"/>
      <c r="OKN11" s="112"/>
      <c r="OKO11" s="112"/>
      <c r="OKP11" s="112"/>
      <c r="OKQ11" s="112"/>
      <c r="OKR11" s="112"/>
      <c r="OKS11" s="112"/>
      <c r="OKT11" s="112"/>
      <c r="OKU11" s="112"/>
      <c r="OKV11" s="112"/>
      <c r="OKW11" s="112"/>
      <c r="OKX11" s="112"/>
      <c r="OKY11" s="112"/>
      <c r="OKZ11" s="112"/>
      <c r="OLA11" s="112"/>
      <c r="OLB11" s="112"/>
      <c r="OLC11" s="112"/>
      <c r="OLD11" s="112"/>
      <c r="OLE11" s="112"/>
      <c r="OLF11" s="112"/>
      <c r="OLG11" s="112"/>
      <c r="OLH11" s="112"/>
      <c r="OLI11" s="112"/>
      <c r="OLJ11" s="112"/>
      <c r="OLK11" s="112"/>
      <c r="OLL11" s="112"/>
      <c r="OLM11" s="112"/>
      <c r="OLN11" s="112"/>
      <c r="OLO11" s="112"/>
      <c r="OLP11" s="112"/>
      <c r="OLQ11" s="112"/>
      <c r="OLR11" s="112"/>
      <c r="OLS11" s="112"/>
      <c r="OLT11" s="112"/>
      <c r="OLU11" s="112"/>
      <c r="OLV11" s="112"/>
      <c r="OLW11" s="112"/>
      <c r="OLX11" s="112"/>
      <c r="OLY11" s="112"/>
      <c r="OLZ11" s="112"/>
      <c r="OMA11" s="112"/>
      <c r="OMB11" s="112"/>
      <c r="OMC11" s="112"/>
      <c r="OMD11" s="112"/>
      <c r="OME11" s="112"/>
      <c r="OMF11" s="112"/>
      <c r="OMG11" s="112"/>
      <c r="OMH11" s="112"/>
      <c r="OMI11" s="112"/>
      <c r="OMJ11" s="112"/>
      <c r="OMK11" s="112"/>
      <c r="OML11" s="112"/>
      <c r="OMM11" s="112"/>
      <c r="OMN11" s="112"/>
      <c r="OMO11" s="112"/>
      <c r="OMP11" s="112"/>
      <c r="OMQ11" s="112"/>
      <c r="OMR11" s="112"/>
      <c r="OMS11" s="112"/>
      <c r="OMT11" s="112"/>
      <c r="OMU11" s="112"/>
      <c r="OMV11" s="112"/>
      <c r="OMW11" s="112"/>
      <c r="OMX11" s="112"/>
      <c r="OMY11" s="112"/>
      <c r="OMZ11" s="112"/>
      <c r="ONA11" s="112"/>
      <c r="ONB11" s="112"/>
      <c r="ONC11" s="112"/>
      <c r="OND11" s="112"/>
      <c r="ONE11" s="112"/>
      <c r="ONF11" s="112"/>
      <c r="ONG11" s="112"/>
      <c r="ONH11" s="112"/>
      <c r="ONI11" s="112"/>
      <c r="ONJ11" s="112"/>
      <c r="ONK11" s="112"/>
      <c r="ONL11" s="112"/>
      <c r="ONM11" s="112"/>
      <c r="ONN11" s="112"/>
      <c r="ONO11" s="112"/>
      <c r="ONP11" s="112"/>
      <c r="ONQ11" s="112"/>
      <c r="ONR11" s="112"/>
      <c r="ONS11" s="112"/>
      <c r="ONT11" s="112"/>
      <c r="ONU11" s="112"/>
      <c r="ONV11" s="112"/>
      <c r="ONW11" s="112"/>
      <c r="ONX11" s="112"/>
      <c r="ONY11" s="112"/>
      <c r="ONZ11" s="112"/>
      <c r="OOA11" s="112"/>
      <c r="OOB11" s="112"/>
      <c r="OOC11" s="112"/>
      <c r="OOD11" s="112"/>
      <c r="OOE11" s="112"/>
      <c r="OOF11" s="112"/>
      <c r="OOG11" s="112"/>
      <c r="OOH11" s="112"/>
      <c r="OOI11" s="112"/>
      <c r="OOJ11" s="112"/>
      <c r="OOK11" s="112"/>
      <c r="OOL11" s="112"/>
      <c r="OOM11" s="112"/>
      <c r="OON11" s="112"/>
      <c r="OOO11" s="112"/>
      <c r="OOP11" s="112"/>
      <c r="OOQ11" s="112"/>
      <c r="OOR11" s="112"/>
      <c r="OOS11" s="112"/>
      <c r="OOT11" s="112"/>
      <c r="OOU11" s="112"/>
      <c r="OOV11" s="112"/>
      <c r="OOW11" s="112"/>
      <c r="OOX11" s="112"/>
      <c r="OOY11" s="112"/>
      <c r="OOZ11" s="112"/>
      <c r="OPA11" s="112"/>
      <c r="OPB11" s="112"/>
      <c r="OPC11" s="112"/>
      <c r="OPD11" s="112"/>
      <c r="OPE11" s="112"/>
      <c r="OPF11" s="112"/>
      <c r="OPG11" s="112"/>
      <c r="OPH11" s="112"/>
      <c r="OPI11" s="112"/>
      <c r="OPJ11" s="112"/>
      <c r="OPK11" s="112"/>
      <c r="OPL11" s="112"/>
      <c r="OPM11" s="112"/>
      <c r="OPN11" s="112"/>
      <c r="OPO11" s="112"/>
      <c r="OPP11" s="112"/>
      <c r="OPQ11" s="112"/>
      <c r="OPR11" s="112"/>
      <c r="OPS11" s="112"/>
      <c r="OPT11" s="112"/>
      <c r="OPU11" s="112"/>
      <c r="OPV11" s="112"/>
      <c r="OPW11" s="112"/>
      <c r="OPX11" s="112"/>
      <c r="OPY11" s="112"/>
      <c r="OPZ11" s="112"/>
      <c r="OQA11" s="112"/>
      <c r="OQB11" s="112"/>
      <c r="OQC11" s="112"/>
      <c r="OQD11" s="112"/>
      <c r="OQE11" s="112"/>
      <c r="OQF11" s="112"/>
      <c r="OQG11" s="112"/>
      <c r="OQH11" s="112"/>
      <c r="OQI11" s="112"/>
      <c r="OQJ11" s="112"/>
      <c r="OQK11" s="112"/>
      <c r="OQL11" s="112"/>
      <c r="OQM11" s="112"/>
      <c r="OQN11" s="112"/>
      <c r="OQO11" s="112"/>
      <c r="OQP11" s="112"/>
      <c r="OQQ11" s="112"/>
      <c r="OQR11" s="112"/>
      <c r="OQS11" s="112"/>
      <c r="OQT11" s="112"/>
      <c r="OQU11" s="112"/>
      <c r="OQV11" s="112"/>
      <c r="OQW11" s="112"/>
      <c r="OQX11" s="112"/>
      <c r="OQY11" s="112"/>
      <c r="OQZ11" s="112"/>
      <c r="ORA11" s="112"/>
      <c r="ORB11" s="112"/>
      <c r="ORC11" s="112"/>
      <c r="ORD11" s="112"/>
      <c r="ORE11" s="112"/>
      <c r="ORF11" s="112"/>
      <c r="ORG11" s="112"/>
      <c r="ORH11" s="112"/>
      <c r="ORI11" s="112"/>
      <c r="ORJ11" s="112"/>
      <c r="ORK11" s="112"/>
      <c r="ORL11" s="112"/>
      <c r="ORM11" s="112"/>
      <c r="ORN11" s="112"/>
      <c r="ORO11" s="112"/>
      <c r="ORP11" s="112"/>
      <c r="ORQ11" s="112"/>
      <c r="ORR11" s="112"/>
      <c r="ORS11" s="112"/>
      <c r="ORT11" s="112"/>
      <c r="ORU11" s="112"/>
      <c r="ORV11" s="112"/>
      <c r="ORW11" s="112"/>
      <c r="ORX11" s="112"/>
      <c r="ORY11" s="112"/>
      <c r="ORZ11" s="112"/>
      <c r="OSA11" s="112"/>
      <c r="OSB11" s="112"/>
      <c r="OSC11" s="112"/>
      <c r="OSD11" s="112"/>
      <c r="OSE11" s="112"/>
      <c r="OSF11" s="112"/>
      <c r="OSG11" s="112"/>
      <c r="OSH11" s="112"/>
      <c r="OSI11" s="112"/>
      <c r="OSJ11" s="112"/>
      <c r="OSK11" s="112"/>
      <c r="OSL11" s="112"/>
      <c r="OSM11" s="112"/>
      <c r="OSN11" s="112"/>
      <c r="OSO11" s="112"/>
      <c r="OSP11" s="112"/>
      <c r="OSQ11" s="112"/>
      <c r="OSR11" s="112"/>
      <c r="OSS11" s="112"/>
      <c r="OST11" s="112"/>
      <c r="OSU11" s="112"/>
      <c r="OSV11" s="112"/>
      <c r="OSW11" s="112"/>
      <c r="OSX11" s="112"/>
      <c r="OSY11" s="112"/>
      <c r="OSZ11" s="112"/>
      <c r="OTA11" s="112"/>
      <c r="OTB11" s="112"/>
      <c r="OTC11" s="112"/>
      <c r="OTD11" s="112"/>
      <c r="OTE11" s="112"/>
      <c r="OTF11" s="112"/>
      <c r="OTG11" s="112"/>
      <c r="OTH11" s="112"/>
      <c r="OTI11" s="112"/>
      <c r="OTJ11" s="112"/>
      <c r="OTK11" s="112"/>
      <c r="OTL11" s="112"/>
      <c r="OTM11" s="112"/>
      <c r="OTN11" s="112"/>
      <c r="OTO11" s="112"/>
      <c r="OTP11" s="112"/>
      <c r="OTQ11" s="112"/>
      <c r="OTR11" s="112"/>
      <c r="OTS11" s="112"/>
      <c r="OTT11" s="112"/>
      <c r="OTU11" s="112"/>
      <c r="OTV11" s="112"/>
      <c r="OTW11" s="112"/>
      <c r="OTX11" s="112"/>
      <c r="OTY11" s="112"/>
      <c r="OTZ11" s="112"/>
      <c r="OUA11" s="112"/>
      <c r="OUB11" s="112"/>
      <c r="OUC11" s="112"/>
      <c r="OUD11" s="112"/>
      <c r="OUE11" s="112"/>
      <c r="OUF11" s="112"/>
      <c r="OUG11" s="112"/>
      <c r="OUH11" s="112"/>
      <c r="OUI11" s="112"/>
      <c r="OUJ11" s="112"/>
      <c r="OUK11" s="112"/>
      <c r="OUL11" s="112"/>
      <c r="OUM11" s="112"/>
      <c r="OUN11" s="112"/>
      <c r="OUO11" s="112"/>
      <c r="OUP11" s="112"/>
      <c r="OUQ11" s="112"/>
      <c r="OUR11" s="112"/>
      <c r="OUS11" s="112"/>
      <c r="OUT11" s="112"/>
      <c r="OUU11" s="112"/>
      <c r="OUV11" s="112"/>
      <c r="OUW11" s="112"/>
      <c r="OUX11" s="112"/>
      <c r="OUY11" s="112"/>
      <c r="OUZ11" s="112"/>
      <c r="OVA11" s="112"/>
      <c r="OVB11" s="112"/>
      <c r="OVC11" s="112"/>
      <c r="OVD11" s="112"/>
      <c r="OVE11" s="112"/>
      <c r="OVF11" s="112"/>
      <c r="OVG11" s="112"/>
      <c r="OVH11" s="112"/>
      <c r="OVI11" s="112"/>
      <c r="OVJ11" s="112"/>
      <c r="OVK11" s="112"/>
      <c r="OVL11" s="112"/>
      <c r="OVM11" s="112"/>
      <c r="OVN11" s="112"/>
      <c r="OVO11" s="112"/>
      <c r="OVP11" s="112"/>
      <c r="OVQ11" s="112"/>
      <c r="OVR11" s="112"/>
      <c r="OVS11" s="112"/>
      <c r="OVT11" s="112"/>
      <c r="OVU11" s="112"/>
      <c r="OVV11" s="112"/>
      <c r="OVW11" s="112"/>
      <c r="OVX11" s="112"/>
      <c r="OVY11" s="112"/>
      <c r="OVZ11" s="112"/>
      <c r="OWA11" s="112"/>
      <c r="OWB11" s="112"/>
      <c r="OWC11" s="112"/>
      <c r="OWD11" s="112"/>
      <c r="OWE11" s="112"/>
      <c r="OWF11" s="112"/>
      <c r="OWG11" s="112"/>
      <c r="OWH11" s="112"/>
      <c r="OWI11" s="112"/>
      <c r="OWJ11" s="112"/>
      <c r="OWK11" s="112"/>
      <c r="OWL11" s="112"/>
      <c r="OWM11" s="112"/>
      <c r="OWN11" s="112"/>
      <c r="OWO11" s="112"/>
      <c r="OWP11" s="112"/>
      <c r="OWQ11" s="112"/>
      <c r="OWR11" s="112"/>
      <c r="OWS11" s="112"/>
      <c r="OWT11" s="112"/>
      <c r="OWU11" s="112"/>
      <c r="OWV11" s="112"/>
      <c r="OWW11" s="112"/>
      <c r="OWX11" s="112"/>
      <c r="OWY11" s="112"/>
      <c r="OWZ11" s="112"/>
      <c r="OXA11" s="112"/>
      <c r="OXB11" s="112"/>
      <c r="OXC11" s="112"/>
      <c r="OXD11" s="112"/>
      <c r="OXE11" s="112"/>
      <c r="OXF11" s="112"/>
      <c r="OXG11" s="112"/>
      <c r="OXH11" s="112"/>
      <c r="OXI11" s="112"/>
      <c r="OXJ11" s="112"/>
      <c r="OXK11" s="112"/>
      <c r="OXL11" s="112"/>
      <c r="OXM11" s="112"/>
      <c r="OXN11" s="112"/>
      <c r="OXO11" s="112"/>
      <c r="OXP11" s="112"/>
      <c r="OXQ11" s="112"/>
      <c r="OXR11" s="112"/>
      <c r="OXS11" s="112"/>
      <c r="OXT11" s="112"/>
      <c r="OXU11" s="112"/>
      <c r="OXV11" s="112"/>
      <c r="OXW11" s="112"/>
      <c r="OXX11" s="112"/>
      <c r="OXY11" s="112"/>
      <c r="OXZ11" s="112"/>
      <c r="OYA11" s="112"/>
      <c r="OYB11" s="112"/>
      <c r="OYC11" s="112"/>
      <c r="OYD11" s="112"/>
      <c r="OYE11" s="112"/>
      <c r="OYF11" s="112"/>
      <c r="OYG11" s="112"/>
      <c r="OYH11" s="112"/>
      <c r="OYI11" s="112"/>
      <c r="OYJ11" s="112"/>
      <c r="OYK11" s="112"/>
      <c r="OYL11" s="112"/>
      <c r="OYM11" s="112"/>
      <c r="OYN11" s="112"/>
      <c r="OYO11" s="112"/>
      <c r="OYP11" s="112"/>
      <c r="OYQ11" s="112"/>
      <c r="OYR11" s="112"/>
      <c r="OYS11" s="112"/>
      <c r="OYT11" s="112"/>
      <c r="OYU11" s="112"/>
      <c r="OYV11" s="112"/>
      <c r="OYW11" s="112"/>
      <c r="OYX11" s="112"/>
      <c r="OYY11" s="112"/>
      <c r="OYZ11" s="112"/>
      <c r="OZA11" s="112"/>
      <c r="OZB11" s="112"/>
      <c r="OZC11" s="112"/>
      <c r="OZD11" s="112"/>
      <c r="OZE11" s="112"/>
      <c r="OZF11" s="112"/>
      <c r="OZG11" s="112"/>
      <c r="OZH11" s="112"/>
      <c r="OZI11" s="112"/>
      <c r="OZJ11" s="112"/>
      <c r="OZK11" s="112"/>
      <c r="OZL11" s="112"/>
      <c r="OZM11" s="112"/>
      <c r="OZN11" s="112"/>
      <c r="OZO11" s="112"/>
      <c r="OZP11" s="112"/>
      <c r="OZQ11" s="112"/>
      <c r="OZR11" s="112"/>
      <c r="OZS11" s="112"/>
      <c r="OZT11" s="112"/>
      <c r="OZU11" s="112"/>
      <c r="OZV11" s="112"/>
      <c r="OZW11" s="112"/>
      <c r="OZX11" s="112"/>
      <c r="OZY11" s="112"/>
      <c r="OZZ11" s="112"/>
      <c r="PAA11" s="112"/>
      <c r="PAB11" s="112"/>
      <c r="PAC11" s="112"/>
      <c r="PAD11" s="112"/>
      <c r="PAE11" s="112"/>
      <c r="PAF11" s="112"/>
      <c r="PAG11" s="112"/>
      <c r="PAH11" s="112"/>
      <c r="PAI11" s="112"/>
      <c r="PAJ11" s="112"/>
      <c r="PAK11" s="112"/>
      <c r="PAL11" s="112"/>
      <c r="PAM11" s="112"/>
      <c r="PAN11" s="112"/>
      <c r="PAO11" s="112"/>
      <c r="PAP11" s="112"/>
      <c r="PAQ11" s="112"/>
      <c r="PAR11" s="112"/>
      <c r="PAS11" s="112"/>
      <c r="PAT11" s="112"/>
      <c r="PAU11" s="112"/>
      <c r="PAV11" s="112"/>
      <c r="PAW11" s="112"/>
      <c r="PAX11" s="112"/>
      <c r="PAY11" s="112"/>
      <c r="PAZ11" s="112"/>
      <c r="PBA11" s="112"/>
      <c r="PBB11" s="112"/>
      <c r="PBC11" s="112"/>
      <c r="PBD11" s="112"/>
      <c r="PBE11" s="112"/>
      <c r="PBF11" s="112"/>
      <c r="PBG11" s="112"/>
      <c r="PBH11" s="112"/>
      <c r="PBI11" s="112"/>
      <c r="PBJ11" s="112"/>
      <c r="PBK11" s="112"/>
      <c r="PBL11" s="112"/>
      <c r="PBM11" s="112"/>
      <c r="PBN11" s="112"/>
      <c r="PBO11" s="112"/>
      <c r="PBP11" s="112"/>
      <c r="PBQ11" s="112"/>
      <c r="PBR11" s="112"/>
      <c r="PBS11" s="112"/>
      <c r="PBT11" s="112"/>
      <c r="PBU11" s="112"/>
      <c r="PBV11" s="112"/>
      <c r="PBW11" s="112"/>
      <c r="PBX11" s="112"/>
      <c r="PBY11" s="112"/>
      <c r="PBZ11" s="112"/>
      <c r="PCA11" s="112"/>
      <c r="PCB11" s="112"/>
      <c r="PCC11" s="112"/>
      <c r="PCD11" s="112"/>
      <c r="PCE11" s="112"/>
      <c r="PCF11" s="112"/>
      <c r="PCG11" s="112"/>
      <c r="PCH11" s="112"/>
      <c r="PCI11" s="112"/>
      <c r="PCJ11" s="112"/>
      <c r="PCK11" s="112"/>
      <c r="PCL11" s="112"/>
      <c r="PCM11" s="112"/>
      <c r="PCN11" s="112"/>
      <c r="PCO11" s="112"/>
      <c r="PCP11" s="112"/>
      <c r="PCQ11" s="112"/>
      <c r="PCR11" s="112"/>
      <c r="PCS11" s="112"/>
      <c r="PCT11" s="112"/>
      <c r="PCU11" s="112"/>
      <c r="PCV11" s="112"/>
      <c r="PCW11" s="112"/>
      <c r="PCX11" s="112"/>
      <c r="PCY11" s="112"/>
      <c r="PCZ11" s="112"/>
      <c r="PDA11" s="112"/>
      <c r="PDB11" s="112"/>
      <c r="PDC11" s="112"/>
      <c r="PDD11" s="112"/>
      <c r="PDE11" s="112"/>
      <c r="PDF11" s="112"/>
      <c r="PDG11" s="112"/>
      <c r="PDH11" s="112"/>
      <c r="PDI11" s="112"/>
      <c r="PDJ11" s="112"/>
      <c r="PDK11" s="112"/>
      <c r="PDL11" s="112"/>
      <c r="PDM11" s="112"/>
      <c r="PDN11" s="112"/>
      <c r="PDO11" s="112"/>
      <c r="PDP11" s="112"/>
      <c r="PDQ11" s="112"/>
      <c r="PDR11" s="112"/>
      <c r="PDS11" s="112"/>
      <c r="PDT11" s="112"/>
      <c r="PDU11" s="112"/>
      <c r="PDV11" s="112"/>
      <c r="PDW11" s="112"/>
      <c r="PDX11" s="112"/>
      <c r="PDY11" s="112"/>
      <c r="PDZ11" s="112"/>
      <c r="PEA11" s="112"/>
      <c r="PEB11" s="112"/>
      <c r="PEC11" s="112"/>
      <c r="PED11" s="112"/>
      <c r="PEE11" s="112"/>
      <c r="PEF11" s="112"/>
      <c r="PEG11" s="112"/>
      <c r="PEH11" s="112"/>
      <c r="PEI11" s="112"/>
      <c r="PEJ11" s="112"/>
      <c r="PEK11" s="112"/>
      <c r="PEL11" s="112"/>
      <c r="PEM11" s="112"/>
      <c r="PEN11" s="112"/>
      <c r="PEO11" s="112"/>
      <c r="PEP11" s="112"/>
      <c r="PEQ11" s="112"/>
      <c r="PER11" s="112"/>
      <c r="PES11" s="112"/>
      <c r="PET11" s="112"/>
      <c r="PEU11" s="112"/>
      <c r="PEV11" s="112"/>
      <c r="PEW11" s="112"/>
      <c r="PEX11" s="112"/>
      <c r="PEY11" s="112"/>
      <c r="PEZ11" s="112"/>
      <c r="PFA11" s="112"/>
      <c r="PFB11" s="112"/>
      <c r="PFC11" s="112"/>
      <c r="PFD11" s="112"/>
      <c r="PFE11" s="112"/>
      <c r="PFF11" s="112"/>
      <c r="PFG11" s="112"/>
      <c r="PFH11" s="112"/>
      <c r="PFI11" s="112"/>
      <c r="PFJ11" s="112"/>
      <c r="PFK11" s="112"/>
      <c r="PFL11" s="112"/>
      <c r="PFM11" s="112"/>
      <c r="PFN11" s="112"/>
      <c r="PFO11" s="112"/>
      <c r="PFP11" s="112"/>
      <c r="PFQ11" s="112"/>
      <c r="PFR11" s="112"/>
      <c r="PFS11" s="112"/>
      <c r="PFT11" s="112"/>
      <c r="PFU11" s="112"/>
      <c r="PFV11" s="112"/>
      <c r="PFW11" s="112"/>
      <c r="PFX11" s="112"/>
      <c r="PFY11" s="112"/>
      <c r="PFZ11" s="112"/>
      <c r="PGA11" s="112"/>
      <c r="PGB11" s="112"/>
      <c r="PGC11" s="112"/>
      <c r="PGD11" s="112"/>
      <c r="PGE11" s="112"/>
      <c r="PGF11" s="112"/>
      <c r="PGG11" s="112"/>
      <c r="PGH11" s="112"/>
      <c r="PGI11" s="112"/>
      <c r="PGJ11" s="112"/>
      <c r="PGK11" s="112"/>
      <c r="PGL11" s="112"/>
      <c r="PGM11" s="112"/>
      <c r="PGN11" s="112"/>
      <c r="PGO11" s="112"/>
      <c r="PGP11" s="112"/>
      <c r="PGQ11" s="112"/>
      <c r="PGR11" s="112"/>
      <c r="PGS11" s="112"/>
      <c r="PGT11" s="112"/>
      <c r="PGU11" s="112"/>
      <c r="PGV11" s="112"/>
      <c r="PGW11" s="112"/>
      <c r="PGX11" s="112"/>
      <c r="PGY11" s="112"/>
      <c r="PGZ11" s="112"/>
      <c r="PHA11" s="112"/>
      <c r="PHB11" s="112"/>
      <c r="PHC11" s="112"/>
      <c r="PHD11" s="112"/>
      <c r="PHE11" s="112"/>
      <c r="PHF11" s="112"/>
      <c r="PHG11" s="112"/>
      <c r="PHH11" s="112"/>
      <c r="PHI11" s="112"/>
      <c r="PHJ11" s="112"/>
      <c r="PHK11" s="112"/>
      <c r="PHL11" s="112"/>
      <c r="PHM11" s="112"/>
      <c r="PHN11" s="112"/>
      <c r="PHO11" s="112"/>
      <c r="PHP11" s="112"/>
      <c r="PHQ11" s="112"/>
      <c r="PHR11" s="112"/>
      <c r="PHS11" s="112"/>
      <c r="PHT11" s="112"/>
      <c r="PHU11" s="112"/>
      <c r="PHV11" s="112"/>
      <c r="PHW11" s="112"/>
      <c r="PHX11" s="112"/>
      <c r="PHY11" s="112"/>
      <c r="PHZ11" s="112"/>
      <c r="PIA11" s="112"/>
      <c r="PIB11" s="112"/>
      <c r="PIC11" s="112"/>
      <c r="PID11" s="112"/>
      <c r="PIE11" s="112"/>
      <c r="PIF11" s="112"/>
      <c r="PIG11" s="112"/>
      <c r="PIH11" s="112"/>
      <c r="PII11" s="112"/>
      <c r="PIJ11" s="112"/>
      <c r="PIK11" s="112"/>
      <c r="PIL11" s="112"/>
      <c r="PIM11" s="112"/>
      <c r="PIN11" s="112"/>
      <c r="PIO11" s="112"/>
      <c r="PIP11" s="112"/>
      <c r="PIQ11" s="112"/>
      <c r="PIR11" s="112"/>
      <c r="PIS11" s="112"/>
      <c r="PIT11" s="112"/>
      <c r="PIU11" s="112"/>
      <c r="PIV11" s="112"/>
      <c r="PIW11" s="112"/>
      <c r="PIX11" s="112"/>
      <c r="PIY11" s="112"/>
      <c r="PIZ11" s="112"/>
      <c r="PJA11" s="112"/>
      <c r="PJB11" s="112"/>
      <c r="PJC11" s="112"/>
      <c r="PJD11" s="112"/>
      <c r="PJE11" s="112"/>
      <c r="PJF11" s="112"/>
      <c r="PJG11" s="112"/>
      <c r="PJH11" s="112"/>
      <c r="PJI11" s="112"/>
      <c r="PJJ11" s="112"/>
      <c r="PJK11" s="112"/>
      <c r="PJL11" s="112"/>
      <c r="PJM11" s="112"/>
      <c r="PJN11" s="112"/>
      <c r="PJO11" s="112"/>
      <c r="PJP11" s="112"/>
      <c r="PJQ11" s="112"/>
      <c r="PJR11" s="112"/>
      <c r="PJS11" s="112"/>
      <c r="PJT11" s="112"/>
      <c r="PJU11" s="112"/>
      <c r="PJV11" s="112"/>
      <c r="PJW11" s="112"/>
      <c r="PJX11" s="112"/>
      <c r="PJY11" s="112"/>
      <c r="PJZ11" s="112"/>
      <c r="PKA11" s="112"/>
      <c r="PKB11" s="112"/>
      <c r="PKC11" s="112"/>
      <c r="PKD11" s="112"/>
      <c r="PKE11" s="112"/>
      <c r="PKF11" s="112"/>
      <c r="PKG11" s="112"/>
      <c r="PKH11" s="112"/>
      <c r="PKI11" s="112"/>
      <c r="PKJ11" s="112"/>
      <c r="PKK11" s="112"/>
      <c r="PKL11" s="112"/>
      <c r="PKM11" s="112"/>
      <c r="PKN11" s="112"/>
      <c r="PKO11" s="112"/>
      <c r="PKP11" s="112"/>
      <c r="PKQ11" s="112"/>
      <c r="PKR11" s="112"/>
      <c r="PKS11" s="112"/>
      <c r="PKT11" s="112"/>
      <c r="PKU11" s="112"/>
      <c r="PKV11" s="112"/>
      <c r="PKW11" s="112"/>
      <c r="PKX11" s="112"/>
      <c r="PKY11" s="112"/>
      <c r="PKZ11" s="112"/>
      <c r="PLA11" s="112"/>
      <c r="PLB11" s="112"/>
      <c r="PLC11" s="112"/>
      <c r="PLD11" s="112"/>
      <c r="PLE11" s="112"/>
      <c r="PLF11" s="112"/>
      <c r="PLG11" s="112"/>
      <c r="PLH11" s="112"/>
      <c r="PLI11" s="112"/>
      <c r="PLJ11" s="112"/>
      <c r="PLK11" s="112"/>
      <c r="PLL11" s="112"/>
      <c r="PLM11" s="112"/>
      <c r="PLN11" s="112"/>
      <c r="PLO11" s="112"/>
      <c r="PLP11" s="112"/>
      <c r="PLQ11" s="112"/>
      <c r="PLR11" s="112"/>
      <c r="PLS11" s="112"/>
      <c r="PLT11" s="112"/>
      <c r="PLU11" s="112"/>
      <c r="PLV11" s="112"/>
      <c r="PLW11" s="112"/>
      <c r="PLX11" s="112"/>
      <c r="PLY11" s="112"/>
      <c r="PLZ11" s="112"/>
      <c r="PMA11" s="112"/>
      <c r="PMB11" s="112"/>
      <c r="PMC11" s="112"/>
      <c r="PMD11" s="112"/>
      <c r="PME11" s="112"/>
      <c r="PMF11" s="112"/>
      <c r="PMG11" s="112"/>
      <c r="PMH11" s="112"/>
      <c r="PMI11" s="112"/>
      <c r="PMJ11" s="112"/>
      <c r="PMK11" s="112"/>
      <c r="PML11" s="112"/>
      <c r="PMM11" s="112"/>
      <c r="PMN11" s="112"/>
      <c r="PMO11" s="112"/>
      <c r="PMP11" s="112"/>
      <c r="PMQ11" s="112"/>
      <c r="PMR11" s="112"/>
      <c r="PMS11" s="112"/>
      <c r="PMT11" s="112"/>
      <c r="PMU11" s="112"/>
      <c r="PMV11" s="112"/>
      <c r="PMW11" s="112"/>
      <c r="PMX11" s="112"/>
      <c r="PMY11" s="112"/>
      <c r="PMZ11" s="112"/>
      <c r="PNA11" s="112"/>
      <c r="PNB11" s="112"/>
      <c r="PNC11" s="112"/>
      <c r="PND11" s="112"/>
      <c r="PNE11" s="112"/>
      <c r="PNF11" s="112"/>
      <c r="PNG11" s="112"/>
      <c r="PNH11" s="112"/>
      <c r="PNI11" s="112"/>
      <c r="PNJ11" s="112"/>
      <c r="PNK11" s="112"/>
      <c r="PNL11" s="112"/>
      <c r="PNM11" s="112"/>
      <c r="PNN11" s="112"/>
      <c r="PNO11" s="112"/>
      <c r="PNP11" s="112"/>
      <c r="PNQ11" s="112"/>
      <c r="PNR11" s="112"/>
      <c r="PNS11" s="112"/>
      <c r="PNT11" s="112"/>
      <c r="PNU11" s="112"/>
      <c r="PNV11" s="112"/>
      <c r="PNW11" s="112"/>
      <c r="PNX11" s="112"/>
      <c r="PNY11" s="112"/>
      <c r="PNZ11" s="112"/>
      <c r="POA11" s="112"/>
      <c r="POB11" s="112"/>
      <c r="POC11" s="112"/>
      <c r="POD11" s="112"/>
      <c r="POE11" s="112"/>
      <c r="POF11" s="112"/>
      <c r="POG11" s="112"/>
      <c r="POH11" s="112"/>
      <c r="POI11" s="112"/>
      <c r="POJ11" s="112"/>
      <c r="POK11" s="112"/>
      <c r="POL11" s="112"/>
      <c r="POM11" s="112"/>
      <c r="PON11" s="112"/>
      <c r="POO11" s="112"/>
      <c r="POP11" s="112"/>
      <c r="POQ11" s="112"/>
      <c r="POR11" s="112"/>
      <c r="POS11" s="112"/>
      <c r="POT11" s="112"/>
      <c r="POU11" s="112"/>
      <c r="POV11" s="112"/>
      <c r="POW11" s="112"/>
      <c r="POX11" s="112"/>
      <c r="POY11" s="112"/>
      <c r="POZ11" s="112"/>
      <c r="PPA11" s="112"/>
      <c r="PPB11" s="112"/>
      <c r="PPC11" s="112"/>
      <c r="PPD11" s="112"/>
      <c r="PPE11" s="112"/>
      <c r="PPF11" s="112"/>
      <c r="PPG11" s="112"/>
      <c r="PPH11" s="112"/>
      <c r="PPI11" s="112"/>
      <c r="PPJ11" s="112"/>
      <c r="PPK11" s="112"/>
      <c r="PPL11" s="112"/>
      <c r="PPM11" s="112"/>
      <c r="PPN11" s="112"/>
      <c r="PPO11" s="112"/>
      <c r="PPP11" s="112"/>
      <c r="PPQ11" s="112"/>
      <c r="PPR11" s="112"/>
      <c r="PPS11" s="112"/>
      <c r="PPT11" s="112"/>
      <c r="PPU11" s="112"/>
      <c r="PPV11" s="112"/>
      <c r="PPW11" s="112"/>
      <c r="PPX11" s="112"/>
      <c r="PPY11" s="112"/>
      <c r="PPZ11" s="112"/>
      <c r="PQA11" s="112"/>
      <c r="PQB11" s="112"/>
      <c r="PQC11" s="112"/>
      <c r="PQD11" s="112"/>
      <c r="PQE11" s="112"/>
      <c r="PQF11" s="112"/>
      <c r="PQG11" s="112"/>
      <c r="PQH11" s="112"/>
      <c r="PQI11" s="112"/>
      <c r="PQJ11" s="112"/>
      <c r="PQK11" s="112"/>
      <c r="PQL11" s="112"/>
      <c r="PQM11" s="112"/>
      <c r="PQN11" s="112"/>
      <c r="PQO11" s="112"/>
      <c r="PQP11" s="112"/>
      <c r="PQQ11" s="112"/>
      <c r="PQR11" s="112"/>
      <c r="PQS11" s="112"/>
      <c r="PQT11" s="112"/>
      <c r="PQU11" s="112"/>
      <c r="PQV11" s="112"/>
      <c r="PQW11" s="112"/>
      <c r="PQX11" s="112"/>
      <c r="PQY11" s="112"/>
      <c r="PQZ11" s="112"/>
      <c r="PRA11" s="112"/>
      <c r="PRB11" s="112"/>
      <c r="PRC11" s="112"/>
      <c r="PRD11" s="112"/>
      <c r="PRE11" s="112"/>
      <c r="PRF11" s="112"/>
      <c r="PRG11" s="112"/>
      <c r="PRH11" s="112"/>
      <c r="PRI11" s="112"/>
      <c r="PRJ11" s="112"/>
      <c r="PRK11" s="112"/>
      <c r="PRL11" s="112"/>
      <c r="PRM11" s="112"/>
      <c r="PRN11" s="112"/>
      <c r="PRO11" s="112"/>
      <c r="PRP11" s="112"/>
      <c r="PRQ11" s="112"/>
      <c r="PRR11" s="112"/>
      <c r="PRS11" s="112"/>
      <c r="PRT11" s="112"/>
      <c r="PRU11" s="112"/>
      <c r="PRV11" s="112"/>
      <c r="PRW11" s="112"/>
      <c r="PRX11" s="112"/>
      <c r="PRY11" s="112"/>
      <c r="PRZ11" s="112"/>
      <c r="PSA11" s="112"/>
      <c r="PSB11" s="112"/>
      <c r="PSC11" s="112"/>
      <c r="PSD11" s="112"/>
      <c r="PSE11" s="112"/>
      <c r="PSF11" s="112"/>
      <c r="PSG11" s="112"/>
      <c r="PSH11" s="112"/>
      <c r="PSI11" s="112"/>
      <c r="PSJ11" s="112"/>
      <c r="PSK11" s="112"/>
      <c r="PSL11" s="112"/>
      <c r="PSM11" s="112"/>
      <c r="PSN11" s="112"/>
      <c r="PSO11" s="112"/>
      <c r="PSP11" s="112"/>
      <c r="PSQ11" s="112"/>
      <c r="PSR11" s="112"/>
      <c r="PSS11" s="112"/>
      <c r="PST11" s="112"/>
      <c r="PSU11" s="112"/>
      <c r="PSV11" s="112"/>
      <c r="PSW11" s="112"/>
      <c r="PSX11" s="112"/>
      <c r="PSY11" s="112"/>
      <c r="PSZ11" s="112"/>
      <c r="PTA11" s="112"/>
      <c r="PTB11" s="112"/>
      <c r="PTC11" s="112"/>
      <c r="PTD11" s="112"/>
      <c r="PTE11" s="112"/>
      <c r="PTF11" s="112"/>
      <c r="PTG11" s="112"/>
      <c r="PTH11" s="112"/>
      <c r="PTI11" s="112"/>
      <c r="PTJ11" s="112"/>
      <c r="PTK11" s="112"/>
      <c r="PTL11" s="112"/>
      <c r="PTM11" s="112"/>
      <c r="PTN11" s="112"/>
      <c r="PTO11" s="112"/>
      <c r="PTP11" s="112"/>
      <c r="PTQ11" s="112"/>
      <c r="PTR11" s="112"/>
      <c r="PTS11" s="112"/>
      <c r="PTT11" s="112"/>
      <c r="PTU11" s="112"/>
      <c r="PTV11" s="112"/>
      <c r="PTW11" s="112"/>
      <c r="PTX11" s="112"/>
      <c r="PTY11" s="112"/>
      <c r="PTZ11" s="112"/>
      <c r="PUA11" s="112"/>
      <c r="PUB11" s="112"/>
      <c r="PUC11" s="112"/>
      <c r="PUD11" s="112"/>
      <c r="PUE11" s="112"/>
      <c r="PUF11" s="112"/>
      <c r="PUG11" s="112"/>
      <c r="PUH11" s="112"/>
      <c r="PUI11" s="112"/>
      <c r="PUJ11" s="112"/>
      <c r="PUK11" s="112"/>
      <c r="PUL11" s="112"/>
      <c r="PUM11" s="112"/>
      <c r="PUN11" s="112"/>
      <c r="PUO11" s="112"/>
      <c r="PUP11" s="112"/>
      <c r="PUQ11" s="112"/>
      <c r="PUR11" s="112"/>
      <c r="PUS11" s="112"/>
      <c r="PUT11" s="112"/>
      <c r="PUU11" s="112"/>
      <c r="PUV11" s="112"/>
      <c r="PUW11" s="112"/>
      <c r="PUX11" s="112"/>
      <c r="PUY11" s="112"/>
      <c r="PUZ11" s="112"/>
      <c r="PVA11" s="112"/>
      <c r="PVB11" s="112"/>
      <c r="PVC11" s="112"/>
      <c r="PVD11" s="112"/>
      <c r="PVE11" s="112"/>
      <c r="PVF11" s="112"/>
      <c r="PVG11" s="112"/>
      <c r="PVH11" s="112"/>
      <c r="PVI11" s="112"/>
      <c r="PVJ11" s="112"/>
      <c r="PVK11" s="112"/>
      <c r="PVL11" s="112"/>
      <c r="PVM11" s="112"/>
      <c r="PVN11" s="112"/>
      <c r="PVO11" s="112"/>
      <c r="PVP11" s="112"/>
      <c r="PVQ11" s="112"/>
      <c r="PVR11" s="112"/>
      <c r="PVS11" s="112"/>
      <c r="PVT11" s="112"/>
      <c r="PVU11" s="112"/>
      <c r="PVV11" s="112"/>
      <c r="PVW11" s="112"/>
      <c r="PVX11" s="112"/>
      <c r="PVY11" s="112"/>
      <c r="PVZ11" s="112"/>
      <c r="PWA11" s="112"/>
      <c r="PWB11" s="112"/>
      <c r="PWC11" s="112"/>
      <c r="PWD11" s="112"/>
      <c r="PWE11" s="112"/>
      <c r="PWF11" s="112"/>
      <c r="PWG11" s="112"/>
      <c r="PWH11" s="112"/>
      <c r="PWI11" s="112"/>
      <c r="PWJ11" s="112"/>
      <c r="PWK11" s="112"/>
      <c r="PWL11" s="112"/>
      <c r="PWM11" s="112"/>
      <c r="PWN11" s="112"/>
      <c r="PWO11" s="112"/>
      <c r="PWP11" s="112"/>
      <c r="PWQ11" s="112"/>
      <c r="PWR11" s="112"/>
      <c r="PWS11" s="112"/>
      <c r="PWT11" s="112"/>
      <c r="PWU11" s="112"/>
      <c r="PWV11" s="112"/>
      <c r="PWW11" s="112"/>
      <c r="PWX11" s="112"/>
      <c r="PWY11" s="112"/>
      <c r="PWZ11" s="112"/>
      <c r="PXA11" s="112"/>
      <c r="PXB11" s="112"/>
      <c r="PXC11" s="112"/>
      <c r="PXD11" s="112"/>
      <c r="PXE11" s="112"/>
      <c r="PXF11" s="112"/>
      <c r="PXG11" s="112"/>
      <c r="PXH11" s="112"/>
      <c r="PXI11" s="112"/>
      <c r="PXJ11" s="112"/>
      <c r="PXK11" s="112"/>
      <c r="PXL11" s="112"/>
      <c r="PXM11" s="112"/>
      <c r="PXN11" s="112"/>
      <c r="PXO11" s="112"/>
      <c r="PXP11" s="112"/>
      <c r="PXQ11" s="112"/>
      <c r="PXR11" s="112"/>
      <c r="PXS11" s="112"/>
      <c r="PXT11" s="112"/>
      <c r="PXU11" s="112"/>
      <c r="PXV11" s="112"/>
      <c r="PXW11" s="112"/>
      <c r="PXX11" s="112"/>
      <c r="PXY11" s="112"/>
      <c r="PXZ11" s="112"/>
      <c r="PYA11" s="112"/>
      <c r="PYB11" s="112"/>
      <c r="PYC11" s="112"/>
      <c r="PYD11" s="112"/>
      <c r="PYE11" s="112"/>
      <c r="PYF11" s="112"/>
      <c r="PYG11" s="112"/>
      <c r="PYH11" s="112"/>
      <c r="PYI11" s="112"/>
      <c r="PYJ11" s="112"/>
      <c r="PYK11" s="112"/>
      <c r="PYL11" s="112"/>
      <c r="PYM11" s="112"/>
      <c r="PYN11" s="112"/>
      <c r="PYO11" s="112"/>
      <c r="PYP11" s="112"/>
      <c r="PYQ11" s="112"/>
      <c r="PYR11" s="112"/>
      <c r="PYS11" s="112"/>
      <c r="PYT11" s="112"/>
      <c r="PYU11" s="112"/>
      <c r="PYV11" s="112"/>
      <c r="PYW11" s="112"/>
      <c r="PYX11" s="112"/>
      <c r="PYY11" s="112"/>
      <c r="PYZ11" s="112"/>
      <c r="PZA11" s="112"/>
      <c r="PZB11" s="112"/>
      <c r="PZC11" s="112"/>
      <c r="PZD11" s="112"/>
      <c r="PZE11" s="112"/>
      <c r="PZF11" s="112"/>
      <c r="PZG11" s="112"/>
      <c r="PZH11" s="112"/>
      <c r="PZI11" s="112"/>
      <c r="PZJ11" s="112"/>
      <c r="PZK11" s="112"/>
      <c r="PZL11" s="112"/>
      <c r="PZM11" s="112"/>
      <c r="PZN11" s="112"/>
      <c r="PZO11" s="112"/>
      <c r="PZP11" s="112"/>
      <c r="PZQ11" s="112"/>
      <c r="PZR11" s="112"/>
      <c r="PZS11" s="112"/>
      <c r="PZT11" s="112"/>
      <c r="PZU11" s="112"/>
      <c r="PZV11" s="112"/>
      <c r="PZW11" s="112"/>
      <c r="PZX11" s="112"/>
      <c r="PZY11" s="112"/>
      <c r="PZZ11" s="112"/>
      <c r="QAA11" s="112"/>
      <c r="QAB11" s="112"/>
      <c r="QAC11" s="112"/>
      <c r="QAD11" s="112"/>
      <c r="QAE11" s="112"/>
      <c r="QAF11" s="112"/>
      <c r="QAG11" s="112"/>
      <c r="QAH11" s="112"/>
      <c r="QAI11" s="112"/>
      <c r="QAJ11" s="112"/>
      <c r="QAK11" s="112"/>
      <c r="QAL11" s="112"/>
      <c r="QAM11" s="112"/>
      <c r="QAN11" s="112"/>
      <c r="QAO11" s="112"/>
      <c r="QAP11" s="112"/>
      <c r="QAQ11" s="112"/>
      <c r="QAR11" s="112"/>
      <c r="QAS11" s="112"/>
      <c r="QAT11" s="112"/>
      <c r="QAU11" s="112"/>
      <c r="QAV11" s="112"/>
      <c r="QAW11" s="112"/>
      <c r="QAX11" s="112"/>
      <c r="QAY11" s="112"/>
      <c r="QAZ11" s="112"/>
      <c r="QBA11" s="112"/>
      <c r="QBB11" s="112"/>
      <c r="QBC11" s="112"/>
      <c r="QBD11" s="112"/>
      <c r="QBE11" s="112"/>
      <c r="QBF11" s="112"/>
      <c r="QBG11" s="112"/>
      <c r="QBH11" s="112"/>
      <c r="QBI11" s="112"/>
      <c r="QBJ11" s="112"/>
      <c r="QBK11" s="112"/>
      <c r="QBL11" s="112"/>
      <c r="QBM11" s="112"/>
      <c r="QBN11" s="112"/>
      <c r="QBO11" s="112"/>
      <c r="QBP11" s="112"/>
      <c r="QBQ11" s="112"/>
      <c r="QBR11" s="112"/>
      <c r="QBS11" s="112"/>
      <c r="QBT11" s="112"/>
      <c r="QBU11" s="112"/>
      <c r="QBV11" s="112"/>
      <c r="QBW11" s="112"/>
      <c r="QBX11" s="112"/>
      <c r="QBY11" s="112"/>
      <c r="QBZ11" s="112"/>
      <c r="QCA11" s="112"/>
      <c r="QCB11" s="112"/>
      <c r="QCC11" s="112"/>
      <c r="QCD11" s="112"/>
      <c r="QCE11" s="112"/>
      <c r="QCF11" s="112"/>
      <c r="QCG11" s="112"/>
      <c r="QCH11" s="112"/>
      <c r="QCI11" s="112"/>
      <c r="QCJ11" s="112"/>
      <c r="QCK11" s="112"/>
      <c r="QCL11" s="112"/>
      <c r="QCM11" s="112"/>
      <c r="QCN11" s="112"/>
      <c r="QCO11" s="112"/>
      <c r="QCP11" s="112"/>
      <c r="QCQ11" s="112"/>
      <c r="QCR11" s="112"/>
      <c r="QCS11" s="112"/>
      <c r="QCT11" s="112"/>
      <c r="QCU11" s="112"/>
      <c r="QCV11" s="112"/>
      <c r="QCW11" s="112"/>
      <c r="QCX11" s="112"/>
      <c r="QCY11" s="112"/>
      <c r="QCZ11" s="112"/>
      <c r="QDA11" s="112"/>
      <c r="QDB11" s="112"/>
      <c r="QDC11" s="112"/>
      <c r="QDD11" s="112"/>
      <c r="QDE11" s="112"/>
      <c r="QDF11" s="112"/>
      <c r="QDG11" s="112"/>
      <c r="QDH11" s="112"/>
      <c r="QDI11" s="112"/>
      <c r="QDJ11" s="112"/>
      <c r="QDK11" s="112"/>
      <c r="QDL11" s="112"/>
      <c r="QDM11" s="112"/>
      <c r="QDN11" s="112"/>
      <c r="QDO11" s="112"/>
      <c r="QDP11" s="112"/>
      <c r="QDQ11" s="112"/>
      <c r="QDR11" s="112"/>
      <c r="QDS11" s="112"/>
      <c r="QDT11" s="112"/>
      <c r="QDU11" s="112"/>
      <c r="QDV11" s="112"/>
      <c r="QDW11" s="112"/>
      <c r="QDX11" s="112"/>
      <c r="QDY11" s="112"/>
      <c r="QDZ11" s="112"/>
      <c r="QEA11" s="112"/>
      <c r="QEB11" s="112"/>
      <c r="QEC11" s="112"/>
      <c r="QED11" s="112"/>
      <c r="QEE11" s="112"/>
      <c r="QEF11" s="112"/>
      <c r="QEG11" s="112"/>
      <c r="QEH11" s="112"/>
      <c r="QEI11" s="112"/>
      <c r="QEJ11" s="112"/>
      <c r="QEK11" s="112"/>
      <c r="QEL11" s="112"/>
      <c r="QEM11" s="112"/>
      <c r="QEN11" s="112"/>
      <c r="QEO11" s="112"/>
      <c r="QEP11" s="112"/>
      <c r="QEQ11" s="112"/>
      <c r="QER11" s="112"/>
      <c r="QES11" s="112"/>
      <c r="QET11" s="112"/>
      <c r="QEU11" s="112"/>
      <c r="QEV11" s="112"/>
      <c r="QEW11" s="112"/>
      <c r="QEX11" s="112"/>
      <c r="QEY11" s="112"/>
      <c r="QEZ11" s="112"/>
      <c r="QFA11" s="112"/>
      <c r="QFB11" s="112"/>
      <c r="QFC11" s="112"/>
      <c r="QFD11" s="112"/>
      <c r="QFE11" s="112"/>
      <c r="QFF11" s="112"/>
      <c r="QFG11" s="112"/>
      <c r="QFH11" s="112"/>
      <c r="QFI11" s="112"/>
      <c r="QFJ11" s="112"/>
      <c r="QFK11" s="112"/>
      <c r="QFL11" s="112"/>
      <c r="QFM11" s="112"/>
      <c r="QFN11" s="112"/>
      <c r="QFO11" s="112"/>
      <c r="QFP11" s="112"/>
      <c r="QFQ11" s="112"/>
      <c r="QFR11" s="112"/>
      <c r="QFS11" s="112"/>
      <c r="QFT11" s="112"/>
      <c r="QFU11" s="112"/>
      <c r="QFV11" s="112"/>
      <c r="QFW11" s="112"/>
      <c r="QFX11" s="112"/>
      <c r="QFY11" s="112"/>
      <c r="QFZ11" s="112"/>
      <c r="QGA11" s="112"/>
      <c r="QGB11" s="112"/>
      <c r="QGC11" s="112"/>
      <c r="QGD11" s="112"/>
      <c r="QGE11" s="112"/>
      <c r="QGF11" s="112"/>
      <c r="QGG11" s="112"/>
      <c r="QGH11" s="112"/>
      <c r="QGI11" s="112"/>
      <c r="QGJ11" s="112"/>
      <c r="QGK11" s="112"/>
      <c r="QGL11" s="112"/>
      <c r="QGM11" s="112"/>
      <c r="QGN11" s="112"/>
      <c r="QGO11" s="112"/>
      <c r="QGP11" s="112"/>
      <c r="QGQ11" s="112"/>
      <c r="QGR11" s="112"/>
      <c r="QGS11" s="112"/>
      <c r="QGT11" s="112"/>
      <c r="QGU11" s="112"/>
      <c r="QGV11" s="112"/>
      <c r="QGW11" s="112"/>
      <c r="QGX11" s="112"/>
      <c r="QGY11" s="112"/>
      <c r="QGZ11" s="112"/>
      <c r="QHA11" s="112"/>
      <c r="QHB11" s="112"/>
      <c r="QHC11" s="112"/>
      <c r="QHD11" s="112"/>
      <c r="QHE11" s="112"/>
      <c r="QHF11" s="112"/>
      <c r="QHG11" s="112"/>
      <c r="QHH11" s="112"/>
      <c r="QHI11" s="112"/>
      <c r="QHJ11" s="112"/>
      <c r="QHK11" s="112"/>
      <c r="QHL11" s="112"/>
      <c r="QHM11" s="112"/>
      <c r="QHN11" s="112"/>
      <c r="QHO11" s="112"/>
      <c r="QHP11" s="112"/>
      <c r="QHQ11" s="112"/>
      <c r="QHR11" s="112"/>
      <c r="QHS11" s="112"/>
      <c r="QHT11" s="112"/>
      <c r="QHU11" s="112"/>
      <c r="QHV11" s="112"/>
      <c r="QHW11" s="112"/>
      <c r="QHX11" s="112"/>
      <c r="QHY11" s="112"/>
      <c r="QHZ11" s="112"/>
      <c r="QIA11" s="112"/>
      <c r="QIB11" s="112"/>
      <c r="QIC11" s="112"/>
      <c r="QID11" s="112"/>
      <c r="QIE11" s="112"/>
      <c r="QIF11" s="112"/>
      <c r="QIG11" s="112"/>
      <c r="QIH11" s="112"/>
      <c r="QII11" s="112"/>
      <c r="QIJ11" s="112"/>
      <c r="QIK11" s="112"/>
      <c r="QIL11" s="112"/>
      <c r="QIM11" s="112"/>
      <c r="QIN11" s="112"/>
      <c r="QIO11" s="112"/>
      <c r="QIP11" s="112"/>
      <c r="QIQ11" s="112"/>
      <c r="QIR11" s="112"/>
      <c r="QIS11" s="112"/>
      <c r="QIT11" s="112"/>
      <c r="QIU11" s="112"/>
      <c r="QIV11" s="112"/>
      <c r="QIW11" s="112"/>
      <c r="QIX11" s="112"/>
      <c r="QIY11" s="112"/>
      <c r="QIZ11" s="112"/>
      <c r="QJA11" s="112"/>
      <c r="QJB11" s="112"/>
      <c r="QJC11" s="112"/>
      <c r="QJD11" s="112"/>
      <c r="QJE11" s="112"/>
      <c r="QJF11" s="112"/>
      <c r="QJG11" s="112"/>
      <c r="QJH11" s="112"/>
      <c r="QJI11" s="112"/>
      <c r="QJJ11" s="112"/>
      <c r="QJK11" s="112"/>
      <c r="QJL11" s="112"/>
      <c r="QJM11" s="112"/>
      <c r="QJN11" s="112"/>
      <c r="QJO11" s="112"/>
      <c r="QJP11" s="112"/>
      <c r="QJQ11" s="112"/>
      <c r="QJR11" s="112"/>
      <c r="QJS11" s="112"/>
      <c r="QJT11" s="112"/>
      <c r="QJU11" s="112"/>
      <c r="QJV11" s="112"/>
      <c r="QJW11" s="112"/>
      <c r="QJX11" s="112"/>
      <c r="QJY11" s="112"/>
      <c r="QJZ11" s="112"/>
      <c r="QKA11" s="112"/>
      <c r="QKB11" s="112"/>
      <c r="QKC11" s="112"/>
      <c r="QKD11" s="112"/>
      <c r="QKE11" s="112"/>
      <c r="QKF11" s="112"/>
      <c r="QKG11" s="112"/>
      <c r="QKH11" s="112"/>
      <c r="QKI11" s="112"/>
      <c r="QKJ11" s="112"/>
      <c r="QKK11" s="112"/>
      <c r="QKL11" s="112"/>
      <c r="QKM11" s="112"/>
      <c r="QKN11" s="112"/>
      <c r="QKO11" s="112"/>
      <c r="QKP11" s="112"/>
      <c r="QKQ11" s="112"/>
      <c r="QKR11" s="112"/>
      <c r="QKS11" s="112"/>
      <c r="QKT11" s="112"/>
      <c r="QKU11" s="112"/>
      <c r="QKV11" s="112"/>
      <c r="QKW11" s="112"/>
      <c r="QKX11" s="112"/>
      <c r="QKY11" s="112"/>
      <c r="QKZ11" s="112"/>
      <c r="QLA11" s="112"/>
      <c r="QLB11" s="112"/>
      <c r="QLC11" s="112"/>
      <c r="QLD11" s="112"/>
      <c r="QLE11" s="112"/>
      <c r="QLF11" s="112"/>
      <c r="QLG11" s="112"/>
      <c r="QLH11" s="112"/>
      <c r="QLI11" s="112"/>
      <c r="QLJ11" s="112"/>
      <c r="QLK11" s="112"/>
      <c r="QLL11" s="112"/>
      <c r="QLM11" s="112"/>
      <c r="QLN11" s="112"/>
      <c r="QLO11" s="112"/>
      <c r="QLP11" s="112"/>
      <c r="QLQ11" s="112"/>
      <c r="QLR11" s="112"/>
      <c r="QLS11" s="112"/>
      <c r="QLT11" s="112"/>
      <c r="QLU11" s="112"/>
      <c r="QLV11" s="112"/>
      <c r="QLW11" s="112"/>
      <c r="QLX11" s="112"/>
      <c r="QLY11" s="112"/>
      <c r="QLZ11" s="112"/>
      <c r="QMA11" s="112"/>
      <c r="QMB11" s="112"/>
      <c r="QMC11" s="112"/>
      <c r="QMD11" s="112"/>
      <c r="QME11" s="112"/>
      <c r="QMF11" s="112"/>
      <c r="QMG11" s="112"/>
      <c r="QMH11" s="112"/>
      <c r="QMI11" s="112"/>
      <c r="QMJ11" s="112"/>
      <c r="QMK11" s="112"/>
      <c r="QML11" s="112"/>
      <c r="QMM11" s="112"/>
      <c r="QMN11" s="112"/>
      <c r="QMO11" s="112"/>
      <c r="QMP11" s="112"/>
      <c r="QMQ11" s="112"/>
      <c r="QMR11" s="112"/>
      <c r="QMS11" s="112"/>
      <c r="QMT11" s="112"/>
      <c r="QMU11" s="112"/>
      <c r="QMV11" s="112"/>
      <c r="QMW11" s="112"/>
      <c r="QMX11" s="112"/>
      <c r="QMY11" s="112"/>
      <c r="QMZ11" s="112"/>
      <c r="QNA11" s="112"/>
      <c r="QNB11" s="112"/>
      <c r="QNC11" s="112"/>
      <c r="QND11" s="112"/>
      <c r="QNE11" s="112"/>
      <c r="QNF11" s="112"/>
      <c r="QNG11" s="112"/>
      <c r="QNH11" s="112"/>
      <c r="QNI11" s="112"/>
      <c r="QNJ11" s="112"/>
      <c r="QNK11" s="112"/>
      <c r="QNL11" s="112"/>
      <c r="QNM11" s="112"/>
      <c r="QNN11" s="112"/>
      <c r="QNO11" s="112"/>
      <c r="QNP11" s="112"/>
      <c r="QNQ11" s="112"/>
      <c r="QNR11" s="112"/>
      <c r="QNS11" s="112"/>
      <c r="QNT11" s="112"/>
      <c r="QNU11" s="112"/>
      <c r="QNV11" s="112"/>
      <c r="QNW11" s="112"/>
      <c r="QNX11" s="112"/>
      <c r="QNY11" s="112"/>
      <c r="QNZ11" s="112"/>
      <c r="QOA11" s="112"/>
      <c r="QOB11" s="112"/>
      <c r="QOC11" s="112"/>
      <c r="QOD11" s="112"/>
      <c r="QOE11" s="112"/>
      <c r="QOF11" s="112"/>
      <c r="QOG11" s="112"/>
      <c r="QOH11" s="112"/>
      <c r="QOI11" s="112"/>
      <c r="QOJ11" s="112"/>
      <c r="QOK11" s="112"/>
      <c r="QOL11" s="112"/>
      <c r="QOM11" s="112"/>
      <c r="QON11" s="112"/>
      <c r="QOO11" s="112"/>
      <c r="QOP11" s="112"/>
      <c r="QOQ11" s="112"/>
      <c r="QOR11" s="112"/>
      <c r="QOS11" s="112"/>
      <c r="QOT11" s="112"/>
      <c r="QOU11" s="112"/>
      <c r="QOV11" s="112"/>
      <c r="QOW11" s="112"/>
      <c r="QOX11" s="112"/>
      <c r="QOY11" s="112"/>
      <c r="QOZ11" s="112"/>
      <c r="QPA11" s="112"/>
      <c r="QPB11" s="112"/>
      <c r="QPC11" s="112"/>
      <c r="QPD11" s="112"/>
      <c r="QPE11" s="112"/>
      <c r="QPF11" s="112"/>
      <c r="QPG11" s="112"/>
      <c r="QPH11" s="112"/>
      <c r="QPI11" s="112"/>
      <c r="QPJ11" s="112"/>
      <c r="QPK11" s="112"/>
      <c r="QPL11" s="112"/>
      <c r="QPM11" s="112"/>
      <c r="QPN11" s="112"/>
      <c r="QPO11" s="112"/>
      <c r="QPP11" s="112"/>
      <c r="QPQ11" s="112"/>
      <c r="QPR11" s="112"/>
      <c r="QPS11" s="112"/>
      <c r="QPT11" s="112"/>
      <c r="QPU11" s="112"/>
      <c r="QPV11" s="112"/>
      <c r="QPW11" s="112"/>
      <c r="QPX11" s="112"/>
      <c r="QPY11" s="112"/>
      <c r="QPZ11" s="112"/>
      <c r="QQA11" s="112"/>
      <c r="QQB11" s="112"/>
      <c r="QQC11" s="112"/>
      <c r="QQD11" s="112"/>
      <c r="QQE11" s="112"/>
      <c r="QQF11" s="112"/>
      <c r="QQG11" s="112"/>
      <c r="QQH11" s="112"/>
      <c r="QQI11" s="112"/>
      <c r="QQJ11" s="112"/>
      <c r="QQK11" s="112"/>
      <c r="QQL11" s="112"/>
      <c r="QQM11" s="112"/>
      <c r="QQN11" s="112"/>
      <c r="QQO11" s="112"/>
      <c r="QQP11" s="112"/>
      <c r="QQQ11" s="112"/>
      <c r="QQR11" s="112"/>
      <c r="QQS11" s="112"/>
      <c r="QQT11" s="112"/>
      <c r="QQU11" s="112"/>
      <c r="QQV11" s="112"/>
      <c r="QQW11" s="112"/>
      <c r="QQX11" s="112"/>
      <c r="QQY11" s="112"/>
      <c r="QQZ11" s="112"/>
      <c r="QRA11" s="112"/>
      <c r="QRB11" s="112"/>
      <c r="QRC11" s="112"/>
      <c r="QRD11" s="112"/>
      <c r="QRE11" s="112"/>
      <c r="QRF11" s="112"/>
      <c r="QRG11" s="112"/>
      <c r="QRH11" s="112"/>
      <c r="QRI11" s="112"/>
      <c r="QRJ11" s="112"/>
      <c r="QRK11" s="112"/>
      <c r="QRL11" s="112"/>
      <c r="QRM11" s="112"/>
      <c r="QRN11" s="112"/>
      <c r="QRO11" s="112"/>
      <c r="QRP11" s="112"/>
      <c r="QRQ11" s="112"/>
      <c r="QRR11" s="112"/>
      <c r="QRS11" s="112"/>
      <c r="QRT11" s="112"/>
      <c r="QRU11" s="112"/>
      <c r="QRV11" s="112"/>
      <c r="QRW11" s="112"/>
      <c r="QRX11" s="112"/>
      <c r="QRY11" s="112"/>
      <c r="QRZ11" s="112"/>
      <c r="QSA11" s="112"/>
      <c r="QSB11" s="112"/>
      <c r="QSC11" s="112"/>
      <c r="QSD11" s="112"/>
      <c r="QSE11" s="112"/>
      <c r="QSF11" s="112"/>
      <c r="QSG11" s="112"/>
      <c r="QSH11" s="112"/>
      <c r="QSI11" s="112"/>
      <c r="QSJ11" s="112"/>
      <c r="QSK11" s="112"/>
      <c r="QSL11" s="112"/>
      <c r="QSM11" s="112"/>
      <c r="QSN11" s="112"/>
      <c r="QSO11" s="112"/>
      <c r="QSP11" s="112"/>
      <c r="QSQ11" s="112"/>
      <c r="QSR11" s="112"/>
      <c r="QSS11" s="112"/>
      <c r="QST11" s="112"/>
      <c r="QSU11" s="112"/>
      <c r="QSV11" s="112"/>
      <c r="QSW11" s="112"/>
      <c r="QSX11" s="112"/>
      <c r="QSY11" s="112"/>
      <c r="QSZ11" s="112"/>
      <c r="QTA11" s="112"/>
      <c r="QTB11" s="112"/>
      <c r="QTC11" s="112"/>
      <c r="QTD11" s="112"/>
      <c r="QTE11" s="112"/>
      <c r="QTF11" s="112"/>
      <c r="QTG11" s="112"/>
      <c r="QTH11" s="112"/>
      <c r="QTI11" s="112"/>
      <c r="QTJ11" s="112"/>
      <c r="QTK11" s="112"/>
      <c r="QTL11" s="112"/>
      <c r="QTM11" s="112"/>
      <c r="QTN11" s="112"/>
      <c r="QTO11" s="112"/>
      <c r="QTP11" s="112"/>
      <c r="QTQ11" s="112"/>
      <c r="QTR11" s="112"/>
      <c r="QTS11" s="112"/>
      <c r="QTT11" s="112"/>
      <c r="QTU11" s="112"/>
      <c r="QTV11" s="112"/>
      <c r="QTW11" s="112"/>
      <c r="QTX11" s="112"/>
      <c r="QTY11" s="112"/>
      <c r="QTZ11" s="112"/>
      <c r="QUA11" s="112"/>
      <c r="QUB11" s="112"/>
      <c r="QUC11" s="112"/>
      <c r="QUD11" s="112"/>
      <c r="QUE11" s="112"/>
      <c r="QUF11" s="112"/>
      <c r="QUG11" s="112"/>
      <c r="QUH11" s="112"/>
      <c r="QUI11" s="112"/>
      <c r="QUJ11" s="112"/>
      <c r="QUK11" s="112"/>
      <c r="QUL11" s="112"/>
      <c r="QUM11" s="112"/>
      <c r="QUN11" s="112"/>
      <c r="QUO11" s="112"/>
      <c r="QUP11" s="112"/>
      <c r="QUQ11" s="112"/>
      <c r="QUR11" s="112"/>
      <c r="QUS11" s="112"/>
      <c r="QUT11" s="112"/>
      <c r="QUU11" s="112"/>
      <c r="QUV11" s="112"/>
      <c r="QUW11" s="112"/>
      <c r="QUX11" s="112"/>
      <c r="QUY11" s="112"/>
      <c r="QUZ11" s="112"/>
      <c r="QVA11" s="112"/>
      <c r="QVB11" s="112"/>
      <c r="QVC11" s="112"/>
      <c r="QVD11" s="112"/>
      <c r="QVE11" s="112"/>
      <c r="QVF11" s="112"/>
      <c r="QVG11" s="112"/>
      <c r="QVH11" s="112"/>
      <c r="QVI11" s="112"/>
      <c r="QVJ11" s="112"/>
      <c r="QVK11" s="112"/>
      <c r="QVL11" s="112"/>
      <c r="QVM11" s="112"/>
      <c r="QVN11" s="112"/>
      <c r="QVO11" s="112"/>
      <c r="QVP11" s="112"/>
      <c r="QVQ11" s="112"/>
      <c r="QVR11" s="112"/>
      <c r="QVS11" s="112"/>
      <c r="QVT11" s="112"/>
      <c r="QVU11" s="112"/>
      <c r="QVV11" s="112"/>
      <c r="QVW11" s="112"/>
      <c r="QVX11" s="112"/>
      <c r="QVY11" s="112"/>
      <c r="QVZ11" s="112"/>
      <c r="QWA11" s="112"/>
      <c r="QWB11" s="112"/>
      <c r="QWC11" s="112"/>
      <c r="QWD11" s="112"/>
      <c r="QWE11" s="112"/>
      <c r="QWF11" s="112"/>
      <c r="QWG11" s="112"/>
      <c r="QWH11" s="112"/>
      <c r="QWI11" s="112"/>
      <c r="QWJ11" s="112"/>
      <c r="QWK11" s="112"/>
      <c r="QWL11" s="112"/>
      <c r="QWM11" s="112"/>
      <c r="QWN11" s="112"/>
      <c r="QWO11" s="112"/>
      <c r="QWP11" s="112"/>
      <c r="QWQ11" s="112"/>
      <c r="QWR11" s="112"/>
      <c r="QWS11" s="112"/>
      <c r="QWT11" s="112"/>
      <c r="QWU11" s="112"/>
      <c r="QWV11" s="112"/>
      <c r="QWW11" s="112"/>
      <c r="QWX11" s="112"/>
      <c r="QWY11" s="112"/>
      <c r="QWZ11" s="112"/>
      <c r="QXA11" s="112"/>
      <c r="QXB11" s="112"/>
      <c r="QXC11" s="112"/>
      <c r="QXD11" s="112"/>
      <c r="QXE11" s="112"/>
      <c r="QXF11" s="112"/>
      <c r="QXG11" s="112"/>
      <c r="QXH11" s="112"/>
      <c r="QXI11" s="112"/>
      <c r="QXJ11" s="112"/>
      <c r="QXK11" s="112"/>
      <c r="QXL11" s="112"/>
      <c r="QXM11" s="112"/>
      <c r="QXN11" s="112"/>
      <c r="QXO11" s="112"/>
      <c r="QXP11" s="112"/>
      <c r="QXQ11" s="112"/>
      <c r="QXR11" s="112"/>
      <c r="QXS11" s="112"/>
      <c r="QXT11" s="112"/>
      <c r="QXU11" s="112"/>
      <c r="QXV11" s="112"/>
      <c r="QXW11" s="112"/>
      <c r="QXX11" s="112"/>
      <c r="QXY11" s="112"/>
      <c r="QXZ11" s="112"/>
      <c r="QYA11" s="112"/>
      <c r="QYB11" s="112"/>
      <c r="QYC11" s="112"/>
      <c r="QYD11" s="112"/>
      <c r="QYE11" s="112"/>
      <c r="QYF11" s="112"/>
      <c r="QYG11" s="112"/>
      <c r="QYH11" s="112"/>
      <c r="QYI11" s="112"/>
      <c r="QYJ11" s="112"/>
      <c r="QYK11" s="112"/>
      <c r="QYL11" s="112"/>
      <c r="QYM11" s="112"/>
      <c r="QYN11" s="112"/>
      <c r="QYO11" s="112"/>
      <c r="QYP11" s="112"/>
      <c r="QYQ11" s="112"/>
      <c r="QYR11" s="112"/>
      <c r="QYS11" s="112"/>
      <c r="QYT11" s="112"/>
      <c r="QYU11" s="112"/>
      <c r="QYV11" s="112"/>
      <c r="QYW11" s="112"/>
      <c r="QYX11" s="112"/>
      <c r="QYY11" s="112"/>
      <c r="QYZ11" s="112"/>
      <c r="QZA11" s="112"/>
      <c r="QZB11" s="112"/>
      <c r="QZC11" s="112"/>
      <c r="QZD11" s="112"/>
      <c r="QZE11" s="112"/>
      <c r="QZF11" s="112"/>
      <c r="QZG11" s="112"/>
      <c r="QZH11" s="112"/>
      <c r="QZI11" s="112"/>
      <c r="QZJ11" s="112"/>
      <c r="QZK11" s="112"/>
      <c r="QZL11" s="112"/>
      <c r="QZM11" s="112"/>
      <c r="QZN11" s="112"/>
      <c r="QZO11" s="112"/>
      <c r="QZP11" s="112"/>
      <c r="QZQ11" s="112"/>
      <c r="QZR11" s="112"/>
      <c r="QZS11" s="112"/>
      <c r="QZT11" s="112"/>
      <c r="QZU11" s="112"/>
      <c r="QZV11" s="112"/>
      <c r="QZW11" s="112"/>
      <c r="QZX11" s="112"/>
      <c r="QZY11" s="112"/>
      <c r="QZZ11" s="112"/>
      <c r="RAA11" s="112"/>
      <c r="RAB11" s="112"/>
      <c r="RAC11" s="112"/>
      <c r="RAD11" s="112"/>
      <c r="RAE11" s="112"/>
      <c r="RAF11" s="112"/>
      <c r="RAG11" s="112"/>
      <c r="RAH11" s="112"/>
      <c r="RAI11" s="112"/>
      <c r="RAJ11" s="112"/>
      <c r="RAK11" s="112"/>
      <c r="RAL11" s="112"/>
      <c r="RAM11" s="112"/>
      <c r="RAN11" s="112"/>
      <c r="RAO11" s="112"/>
      <c r="RAP11" s="112"/>
      <c r="RAQ11" s="112"/>
      <c r="RAR11" s="112"/>
      <c r="RAS11" s="112"/>
      <c r="RAT11" s="112"/>
      <c r="RAU11" s="112"/>
      <c r="RAV11" s="112"/>
      <c r="RAW11" s="112"/>
      <c r="RAX11" s="112"/>
      <c r="RAY11" s="112"/>
      <c r="RAZ11" s="112"/>
      <c r="RBA11" s="112"/>
      <c r="RBB11" s="112"/>
      <c r="RBC11" s="112"/>
      <c r="RBD11" s="112"/>
      <c r="RBE11" s="112"/>
      <c r="RBF11" s="112"/>
      <c r="RBG11" s="112"/>
      <c r="RBH11" s="112"/>
      <c r="RBI11" s="112"/>
      <c r="RBJ11" s="112"/>
      <c r="RBK11" s="112"/>
      <c r="RBL11" s="112"/>
      <c r="RBM11" s="112"/>
      <c r="RBN11" s="112"/>
      <c r="RBO11" s="112"/>
      <c r="RBP11" s="112"/>
      <c r="RBQ11" s="112"/>
      <c r="RBR11" s="112"/>
      <c r="RBS11" s="112"/>
      <c r="RBT11" s="112"/>
      <c r="RBU11" s="112"/>
      <c r="RBV11" s="112"/>
      <c r="RBW11" s="112"/>
      <c r="RBX11" s="112"/>
      <c r="RBY11" s="112"/>
      <c r="RBZ11" s="112"/>
      <c r="RCA11" s="112"/>
      <c r="RCB11" s="112"/>
      <c r="RCC11" s="112"/>
      <c r="RCD11" s="112"/>
      <c r="RCE11" s="112"/>
      <c r="RCF11" s="112"/>
      <c r="RCG11" s="112"/>
      <c r="RCH11" s="112"/>
      <c r="RCI11" s="112"/>
      <c r="RCJ11" s="112"/>
      <c r="RCK11" s="112"/>
      <c r="RCL11" s="112"/>
      <c r="RCM11" s="112"/>
      <c r="RCN11" s="112"/>
      <c r="RCO11" s="112"/>
      <c r="RCP11" s="112"/>
      <c r="RCQ11" s="112"/>
      <c r="RCR11" s="112"/>
      <c r="RCS11" s="112"/>
      <c r="RCT11" s="112"/>
      <c r="RCU11" s="112"/>
      <c r="RCV11" s="112"/>
      <c r="RCW11" s="112"/>
      <c r="RCX11" s="112"/>
      <c r="RCY11" s="112"/>
      <c r="RCZ11" s="112"/>
      <c r="RDA11" s="112"/>
      <c r="RDB11" s="112"/>
      <c r="RDC11" s="112"/>
      <c r="RDD11" s="112"/>
      <c r="RDE11" s="112"/>
      <c r="RDF11" s="112"/>
      <c r="RDG11" s="112"/>
      <c r="RDH11" s="112"/>
      <c r="RDI11" s="112"/>
      <c r="RDJ11" s="112"/>
      <c r="RDK11" s="112"/>
      <c r="RDL11" s="112"/>
      <c r="RDM11" s="112"/>
      <c r="RDN11" s="112"/>
      <c r="RDO11" s="112"/>
      <c r="RDP11" s="112"/>
      <c r="RDQ11" s="112"/>
      <c r="RDR11" s="112"/>
      <c r="RDS11" s="112"/>
      <c r="RDT11" s="112"/>
      <c r="RDU11" s="112"/>
      <c r="RDV11" s="112"/>
      <c r="RDW11" s="112"/>
      <c r="RDX11" s="112"/>
      <c r="RDY11" s="112"/>
      <c r="RDZ11" s="112"/>
      <c r="REA11" s="112"/>
      <c r="REB11" s="112"/>
      <c r="REC11" s="112"/>
      <c r="RED11" s="112"/>
      <c r="REE11" s="112"/>
      <c r="REF11" s="112"/>
      <c r="REG11" s="112"/>
      <c r="REH11" s="112"/>
      <c r="REI11" s="112"/>
      <c r="REJ11" s="112"/>
      <c r="REK11" s="112"/>
      <c r="REL11" s="112"/>
      <c r="REM11" s="112"/>
      <c r="REN11" s="112"/>
      <c r="REO11" s="112"/>
      <c r="REP11" s="112"/>
      <c r="REQ11" s="112"/>
      <c r="RER11" s="112"/>
      <c r="RES11" s="112"/>
      <c r="RET11" s="112"/>
      <c r="REU11" s="112"/>
      <c r="REV11" s="112"/>
      <c r="REW11" s="112"/>
      <c r="REX11" s="112"/>
      <c r="REY11" s="112"/>
      <c r="REZ11" s="112"/>
      <c r="RFA11" s="112"/>
      <c r="RFB11" s="112"/>
      <c r="RFC11" s="112"/>
      <c r="RFD11" s="112"/>
      <c r="RFE11" s="112"/>
      <c r="RFF11" s="112"/>
      <c r="RFG11" s="112"/>
      <c r="RFH11" s="112"/>
      <c r="RFI11" s="112"/>
      <c r="RFJ11" s="112"/>
      <c r="RFK11" s="112"/>
      <c r="RFL11" s="112"/>
      <c r="RFM11" s="112"/>
      <c r="RFN11" s="112"/>
      <c r="RFO11" s="112"/>
      <c r="RFP11" s="112"/>
      <c r="RFQ11" s="112"/>
      <c r="RFR11" s="112"/>
      <c r="RFS11" s="112"/>
      <c r="RFT11" s="112"/>
      <c r="RFU11" s="112"/>
      <c r="RFV11" s="112"/>
      <c r="RFW11" s="112"/>
      <c r="RFX11" s="112"/>
      <c r="RFY11" s="112"/>
      <c r="RFZ11" s="112"/>
      <c r="RGA11" s="112"/>
      <c r="RGB11" s="112"/>
      <c r="RGC11" s="112"/>
      <c r="RGD11" s="112"/>
      <c r="RGE11" s="112"/>
      <c r="RGF11" s="112"/>
      <c r="RGG11" s="112"/>
      <c r="RGH11" s="112"/>
      <c r="RGI11" s="112"/>
      <c r="RGJ11" s="112"/>
      <c r="RGK11" s="112"/>
      <c r="RGL11" s="112"/>
      <c r="RGM11" s="112"/>
      <c r="RGN11" s="112"/>
      <c r="RGO11" s="112"/>
      <c r="RGP11" s="112"/>
      <c r="RGQ11" s="112"/>
      <c r="RGR11" s="112"/>
      <c r="RGS11" s="112"/>
      <c r="RGT11" s="112"/>
      <c r="RGU11" s="112"/>
      <c r="RGV11" s="112"/>
      <c r="RGW11" s="112"/>
      <c r="RGX11" s="112"/>
      <c r="RGY11" s="112"/>
      <c r="RGZ11" s="112"/>
      <c r="RHA11" s="112"/>
      <c r="RHB11" s="112"/>
      <c r="RHC11" s="112"/>
      <c r="RHD11" s="112"/>
      <c r="RHE11" s="112"/>
      <c r="RHF11" s="112"/>
      <c r="RHG11" s="112"/>
      <c r="RHH11" s="112"/>
      <c r="RHI11" s="112"/>
      <c r="RHJ11" s="112"/>
      <c r="RHK11" s="112"/>
      <c r="RHL11" s="112"/>
      <c r="RHM11" s="112"/>
      <c r="RHN11" s="112"/>
      <c r="RHO11" s="112"/>
      <c r="RHP11" s="112"/>
      <c r="RHQ11" s="112"/>
      <c r="RHR11" s="112"/>
      <c r="RHS11" s="112"/>
      <c r="RHT11" s="112"/>
      <c r="RHU11" s="112"/>
      <c r="RHV11" s="112"/>
      <c r="RHW11" s="112"/>
      <c r="RHX11" s="112"/>
      <c r="RHY11" s="112"/>
      <c r="RHZ11" s="112"/>
      <c r="RIA11" s="112"/>
      <c r="RIB11" s="112"/>
      <c r="RIC11" s="112"/>
      <c r="RID11" s="112"/>
      <c r="RIE11" s="112"/>
      <c r="RIF11" s="112"/>
      <c r="RIG11" s="112"/>
      <c r="RIH11" s="112"/>
      <c r="RII11" s="112"/>
      <c r="RIJ11" s="112"/>
      <c r="RIK11" s="112"/>
      <c r="RIL11" s="112"/>
      <c r="RIM11" s="112"/>
      <c r="RIN11" s="112"/>
      <c r="RIO11" s="112"/>
      <c r="RIP11" s="112"/>
      <c r="RIQ11" s="112"/>
      <c r="RIR11" s="112"/>
      <c r="RIS11" s="112"/>
      <c r="RIT11" s="112"/>
      <c r="RIU11" s="112"/>
      <c r="RIV11" s="112"/>
      <c r="RIW11" s="112"/>
      <c r="RIX11" s="112"/>
      <c r="RIY11" s="112"/>
      <c r="RIZ11" s="112"/>
      <c r="RJA11" s="112"/>
      <c r="RJB11" s="112"/>
      <c r="RJC11" s="112"/>
      <c r="RJD11" s="112"/>
      <c r="RJE11" s="112"/>
      <c r="RJF11" s="112"/>
      <c r="RJG11" s="112"/>
      <c r="RJH11" s="112"/>
      <c r="RJI11" s="112"/>
      <c r="RJJ11" s="112"/>
      <c r="RJK11" s="112"/>
      <c r="RJL11" s="112"/>
      <c r="RJM11" s="112"/>
      <c r="RJN11" s="112"/>
      <c r="RJO11" s="112"/>
      <c r="RJP11" s="112"/>
      <c r="RJQ11" s="112"/>
      <c r="RJR11" s="112"/>
      <c r="RJS11" s="112"/>
      <c r="RJT11" s="112"/>
      <c r="RJU11" s="112"/>
      <c r="RJV11" s="112"/>
      <c r="RJW11" s="112"/>
      <c r="RJX11" s="112"/>
      <c r="RJY11" s="112"/>
      <c r="RJZ11" s="112"/>
      <c r="RKA11" s="112"/>
      <c r="RKB11" s="112"/>
      <c r="RKC11" s="112"/>
      <c r="RKD11" s="112"/>
      <c r="RKE11" s="112"/>
      <c r="RKF11" s="112"/>
      <c r="RKG11" s="112"/>
      <c r="RKH11" s="112"/>
      <c r="RKI11" s="112"/>
      <c r="RKJ11" s="112"/>
      <c r="RKK11" s="112"/>
      <c r="RKL11" s="112"/>
      <c r="RKM11" s="112"/>
      <c r="RKN11" s="112"/>
      <c r="RKO11" s="112"/>
      <c r="RKP11" s="112"/>
      <c r="RKQ11" s="112"/>
      <c r="RKR11" s="112"/>
      <c r="RKS11" s="112"/>
      <c r="RKT11" s="112"/>
      <c r="RKU11" s="112"/>
      <c r="RKV11" s="112"/>
      <c r="RKW11" s="112"/>
      <c r="RKX11" s="112"/>
      <c r="RKY11" s="112"/>
      <c r="RKZ11" s="112"/>
      <c r="RLA11" s="112"/>
      <c r="RLB11" s="112"/>
      <c r="RLC11" s="112"/>
      <c r="RLD11" s="112"/>
      <c r="RLE11" s="112"/>
      <c r="RLF11" s="112"/>
      <c r="RLG11" s="112"/>
      <c r="RLH11" s="112"/>
      <c r="RLI11" s="112"/>
      <c r="RLJ11" s="112"/>
      <c r="RLK11" s="112"/>
      <c r="RLL11" s="112"/>
      <c r="RLM11" s="112"/>
      <c r="RLN11" s="112"/>
      <c r="RLO11" s="112"/>
      <c r="RLP11" s="112"/>
      <c r="RLQ11" s="112"/>
      <c r="RLR11" s="112"/>
      <c r="RLS11" s="112"/>
      <c r="RLT11" s="112"/>
      <c r="RLU11" s="112"/>
      <c r="RLV11" s="112"/>
      <c r="RLW11" s="112"/>
      <c r="RLX11" s="112"/>
      <c r="RLY11" s="112"/>
      <c r="RLZ11" s="112"/>
      <c r="RMA11" s="112"/>
      <c r="RMB11" s="112"/>
      <c r="RMC11" s="112"/>
      <c r="RMD11" s="112"/>
      <c r="RME11" s="112"/>
      <c r="RMF11" s="112"/>
      <c r="RMG11" s="112"/>
      <c r="RMH11" s="112"/>
      <c r="RMI11" s="112"/>
      <c r="RMJ11" s="112"/>
      <c r="RMK11" s="112"/>
      <c r="RML11" s="112"/>
      <c r="RMM11" s="112"/>
      <c r="RMN11" s="112"/>
      <c r="RMO11" s="112"/>
      <c r="RMP11" s="112"/>
      <c r="RMQ11" s="112"/>
      <c r="RMR11" s="112"/>
      <c r="RMS11" s="112"/>
      <c r="RMT11" s="112"/>
      <c r="RMU11" s="112"/>
      <c r="RMV11" s="112"/>
      <c r="RMW11" s="112"/>
      <c r="RMX11" s="112"/>
      <c r="RMY11" s="112"/>
      <c r="RMZ11" s="112"/>
      <c r="RNA11" s="112"/>
      <c r="RNB11" s="112"/>
      <c r="RNC11" s="112"/>
      <c r="RND11" s="112"/>
      <c r="RNE11" s="112"/>
      <c r="RNF11" s="112"/>
      <c r="RNG11" s="112"/>
      <c r="RNH11" s="112"/>
      <c r="RNI11" s="112"/>
      <c r="RNJ11" s="112"/>
      <c r="RNK11" s="112"/>
      <c r="RNL11" s="112"/>
      <c r="RNM11" s="112"/>
      <c r="RNN11" s="112"/>
      <c r="RNO11" s="112"/>
      <c r="RNP11" s="112"/>
      <c r="RNQ11" s="112"/>
      <c r="RNR11" s="112"/>
      <c r="RNS11" s="112"/>
      <c r="RNT11" s="112"/>
      <c r="RNU11" s="112"/>
      <c r="RNV11" s="112"/>
      <c r="RNW11" s="112"/>
      <c r="RNX11" s="112"/>
      <c r="RNY11" s="112"/>
      <c r="RNZ11" s="112"/>
      <c r="ROA11" s="112"/>
      <c r="ROB11" s="112"/>
      <c r="ROC11" s="112"/>
      <c r="ROD11" s="112"/>
      <c r="ROE11" s="112"/>
      <c r="ROF11" s="112"/>
      <c r="ROG11" s="112"/>
      <c r="ROH11" s="112"/>
      <c r="ROI11" s="112"/>
      <c r="ROJ11" s="112"/>
      <c r="ROK11" s="112"/>
      <c r="ROL11" s="112"/>
      <c r="ROM11" s="112"/>
      <c r="RON11" s="112"/>
      <c r="ROO11" s="112"/>
      <c r="ROP11" s="112"/>
      <c r="ROQ11" s="112"/>
      <c r="ROR11" s="112"/>
      <c r="ROS11" s="112"/>
      <c r="ROT11" s="112"/>
      <c r="ROU11" s="112"/>
      <c r="ROV11" s="112"/>
      <c r="ROW11" s="112"/>
      <c r="ROX11" s="112"/>
      <c r="ROY11" s="112"/>
      <c r="ROZ11" s="112"/>
      <c r="RPA11" s="112"/>
      <c r="RPB11" s="112"/>
      <c r="RPC11" s="112"/>
      <c r="RPD11" s="112"/>
      <c r="RPE11" s="112"/>
      <c r="RPF11" s="112"/>
      <c r="RPG11" s="112"/>
      <c r="RPH11" s="112"/>
      <c r="RPI11" s="112"/>
      <c r="RPJ11" s="112"/>
      <c r="RPK11" s="112"/>
      <c r="RPL11" s="112"/>
      <c r="RPM11" s="112"/>
      <c r="RPN11" s="112"/>
      <c r="RPO11" s="112"/>
      <c r="RPP11" s="112"/>
      <c r="RPQ11" s="112"/>
      <c r="RPR11" s="112"/>
      <c r="RPS11" s="112"/>
      <c r="RPT11" s="112"/>
      <c r="RPU11" s="112"/>
      <c r="RPV11" s="112"/>
      <c r="RPW11" s="112"/>
      <c r="RPX11" s="112"/>
      <c r="RPY11" s="112"/>
      <c r="RPZ11" s="112"/>
      <c r="RQA11" s="112"/>
      <c r="RQB11" s="112"/>
      <c r="RQC11" s="112"/>
      <c r="RQD11" s="112"/>
      <c r="RQE11" s="112"/>
      <c r="RQF11" s="112"/>
      <c r="RQG11" s="112"/>
      <c r="RQH11" s="112"/>
      <c r="RQI11" s="112"/>
      <c r="RQJ11" s="112"/>
      <c r="RQK11" s="112"/>
      <c r="RQL11" s="112"/>
      <c r="RQM11" s="112"/>
      <c r="RQN11" s="112"/>
      <c r="RQO11" s="112"/>
      <c r="RQP11" s="112"/>
      <c r="RQQ11" s="112"/>
      <c r="RQR11" s="112"/>
      <c r="RQS11" s="112"/>
      <c r="RQT11" s="112"/>
      <c r="RQU11" s="112"/>
      <c r="RQV11" s="112"/>
      <c r="RQW11" s="112"/>
      <c r="RQX11" s="112"/>
      <c r="RQY11" s="112"/>
      <c r="RQZ11" s="112"/>
      <c r="RRA11" s="112"/>
      <c r="RRB11" s="112"/>
      <c r="RRC11" s="112"/>
      <c r="RRD11" s="112"/>
      <c r="RRE11" s="112"/>
      <c r="RRF11" s="112"/>
      <c r="RRG11" s="112"/>
      <c r="RRH11" s="112"/>
      <c r="RRI11" s="112"/>
      <c r="RRJ11" s="112"/>
      <c r="RRK11" s="112"/>
      <c r="RRL11" s="112"/>
      <c r="RRM11" s="112"/>
      <c r="RRN11" s="112"/>
      <c r="RRO11" s="112"/>
      <c r="RRP11" s="112"/>
      <c r="RRQ11" s="112"/>
      <c r="RRR11" s="112"/>
      <c r="RRS11" s="112"/>
      <c r="RRT11" s="112"/>
      <c r="RRU11" s="112"/>
      <c r="RRV11" s="112"/>
      <c r="RRW11" s="112"/>
      <c r="RRX11" s="112"/>
      <c r="RRY11" s="112"/>
      <c r="RRZ11" s="112"/>
      <c r="RSA11" s="112"/>
      <c r="RSB11" s="112"/>
      <c r="RSC11" s="112"/>
      <c r="RSD11" s="112"/>
      <c r="RSE11" s="112"/>
      <c r="RSF11" s="112"/>
      <c r="RSG11" s="112"/>
      <c r="RSH11" s="112"/>
      <c r="RSI11" s="112"/>
      <c r="RSJ11" s="112"/>
      <c r="RSK11" s="112"/>
      <c r="RSL11" s="112"/>
      <c r="RSM11" s="112"/>
      <c r="RSN11" s="112"/>
      <c r="RSO11" s="112"/>
      <c r="RSP11" s="112"/>
      <c r="RSQ11" s="112"/>
      <c r="RSR11" s="112"/>
      <c r="RSS11" s="112"/>
      <c r="RST11" s="112"/>
      <c r="RSU11" s="112"/>
      <c r="RSV11" s="112"/>
      <c r="RSW11" s="112"/>
      <c r="RSX11" s="112"/>
      <c r="RSY11" s="112"/>
      <c r="RSZ11" s="112"/>
      <c r="RTA11" s="112"/>
      <c r="RTB11" s="112"/>
      <c r="RTC11" s="112"/>
      <c r="RTD11" s="112"/>
      <c r="RTE11" s="112"/>
      <c r="RTF11" s="112"/>
      <c r="RTG11" s="112"/>
      <c r="RTH11" s="112"/>
      <c r="RTI11" s="112"/>
      <c r="RTJ11" s="112"/>
      <c r="RTK11" s="112"/>
      <c r="RTL11" s="112"/>
      <c r="RTM11" s="112"/>
      <c r="RTN11" s="112"/>
      <c r="RTO11" s="112"/>
      <c r="RTP11" s="112"/>
      <c r="RTQ11" s="112"/>
      <c r="RTR11" s="112"/>
      <c r="RTS11" s="112"/>
      <c r="RTT11" s="112"/>
      <c r="RTU11" s="112"/>
      <c r="RTV11" s="112"/>
      <c r="RTW11" s="112"/>
      <c r="RTX11" s="112"/>
      <c r="RTY11" s="112"/>
      <c r="RTZ11" s="112"/>
      <c r="RUA11" s="112"/>
      <c r="RUB11" s="112"/>
      <c r="RUC11" s="112"/>
      <c r="RUD11" s="112"/>
      <c r="RUE11" s="112"/>
      <c r="RUF11" s="112"/>
      <c r="RUG11" s="112"/>
      <c r="RUH11" s="112"/>
      <c r="RUI11" s="112"/>
      <c r="RUJ11" s="112"/>
      <c r="RUK11" s="112"/>
      <c r="RUL11" s="112"/>
      <c r="RUM11" s="112"/>
      <c r="RUN11" s="112"/>
      <c r="RUO11" s="112"/>
      <c r="RUP11" s="112"/>
      <c r="RUQ11" s="112"/>
      <c r="RUR11" s="112"/>
      <c r="RUS11" s="112"/>
      <c r="RUT11" s="112"/>
      <c r="RUU11" s="112"/>
      <c r="RUV11" s="112"/>
      <c r="RUW11" s="112"/>
      <c r="RUX11" s="112"/>
      <c r="RUY11" s="112"/>
      <c r="RUZ11" s="112"/>
      <c r="RVA11" s="112"/>
      <c r="RVB11" s="112"/>
      <c r="RVC11" s="112"/>
      <c r="RVD11" s="112"/>
      <c r="RVE11" s="112"/>
      <c r="RVF11" s="112"/>
      <c r="RVG11" s="112"/>
      <c r="RVH11" s="112"/>
      <c r="RVI11" s="112"/>
      <c r="RVJ11" s="112"/>
      <c r="RVK11" s="112"/>
      <c r="RVL11" s="112"/>
      <c r="RVM11" s="112"/>
      <c r="RVN11" s="112"/>
      <c r="RVO11" s="112"/>
      <c r="RVP11" s="112"/>
      <c r="RVQ11" s="112"/>
      <c r="RVR11" s="112"/>
      <c r="RVS11" s="112"/>
      <c r="RVT11" s="112"/>
      <c r="RVU11" s="112"/>
      <c r="RVV11" s="112"/>
      <c r="RVW11" s="112"/>
      <c r="RVX11" s="112"/>
      <c r="RVY11" s="112"/>
      <c r="RVZ11" s="112"/>
      <c r="RWA11" s="112"/>
      <c r="RWB11" s="112"/>
      <c r="RWC11" s="112"/>
      <c r="RWD11" s="112"/>
      <c r="RWE11" s="112"/>
      <c r="RWF11" s="112"/>
      <c r="RWG11" s="112"/>
      <c r="RWH11" s="112"/>
      <c r="RWI11" s="112"/>
      <c r="RWJ11" s="112"/>
      <c r="RWK11" s="112"/>
      <c r="RWL11" s="112"/>
      <c r="RWM11" s="112"/>
      <c r="RWN11" s="112"/>
      <c r="RWO11" s="112"/>
      <c r="RWP11" s="112"/>
      <c r="RWQ11" s="112"/>
      <c r="RWR11" s="112"/>
      <c r="RWS11" s="112"/>
      <c r="RWT11" s="112"/>
      <c r="RWU11" s="112"/>
      <c r="RWV11" s="112"/>
      <c r="RWW11" s="112"/>
      <c r="RWX11" s="112"/>
      <c r="RWY11" s="112"/>
      <c r="RWZ11" s="112"/>
      <c r="RXA11" s="112"/>
      <c r="RXB11" s="112"/>
      <c r="RXC11" s="112"/>
      <c r="RXD11" s="112"/>
      <c r="RXE11" s="112"/>
      <c r="RXF11" s="112"/>
      <c r="RXG11" s="112"/>
      <c r="RXH11" s="112"/>
      <c r="RXI11" s="112"/>
      <c r="RXJ11" s="112"/>
      <c r="RXK11" s="112"/>
      <c r="RXL11" s="112"/>
      <c r="RXM11" s="112"/>
      <c r="RXN11" s="112"/>
      <c r="RXO11" s="112"/>
      <c r="RXP11" s="112"/>
      <c r="RXQ11" s="112"/>
      <c r="RXR11" s="112"/>
      <c r="RXS11" s="112"/>
      <c r="RXT11" s="112"/>
      <c r="RXU11" s="112"/>
      <c r="RXV11" s="112"/>
      <c r="RXW11" s="112"/>
      <c r="RXX11" s="112"/>
      <c r="RXY11" s="112"/>
      <c r="RXZ11" s="112"/>
      <c r="RYA11" s="112"/>
      <c r="RYB11" s="112"/>
      <c r="RYC11" s="112"/>
      <c r="RYD11" s="112"/>
      <c r="RYE11" s="112"/>
      <c r="RYF11" s="112"/>
      <c r="RYG11" s="112"/>
      <c r="RYH11" s="112"/>
      <c r="RYI11" s="112"/>
      <c r="RYJ11" s="112"/>
      <c r="RYK11" s="112"/>
      <c r="RYL11" s="112"/>
      <c r="RYM11" s="112"/>
      <c r="RYN11" s="112"/>
      <c r="RYO11" s="112"/>
      <c r="RYP11" s="112"/>
      <c r="RYQ11" s="112"/>
      <c r="RYR11" s="112"/>
      <c r="RYS11" s="112"/>
      <c r="RYT11" s="112"/>
      <c r="RYU11" s="112"/>
      <c r="RYV11" s="112"/>
      <c r="RYW11" s="112"/>
      <c r="RYX11" s="112"/>
      <c r="RYY11" s="112"/>
      <c r="RYZ11" s="112"/>
      <c r="RZA11" s="112"/>
      <c r="RZB11" s="112"/>
      <c r="RZC11" s="112"/>
      <c r="RZD11" s="112"/>
      <c r="RZE11" s="112"/>
      <c r="RZF11" s="112"/>
      <c r="RZG11" s="112"/>
      <c r="RZH11" s="112"/>
      <c r="RZI11" s="112"/>
      <c r="RZJ11" s="112"/>
      <c r="RZK11" s="112"/>
      <c r="RZL11" s="112"/>
      <c r="RZM11" s="112"/>
      <c r="RZN11" s="112"/>
      <c r="RZO11" s="112"/>
      <c r="RZP11" s="112"/>
      <c r="RZQ11" s="112"/>
      <c r="RZR11" s="112"/>
      <c r="RZS11" s="112"/>
      <c r="RZT11" s="112"/>
      <c r="RZU11" s="112"/>
      <c r="RZV11" s="112"/>
      <c r="RZW11" s="112"/>
      <c r="RZX11" s="112"/>
      <c r="RZY11" s="112"/>
      <c r="RZZ11" s="112"/>
      <c r="SAA11" s="112"/>
      <c r="SAB11" s="112"/>
      <c r="SAC11" s="112"/>
      <c r="SAD11" s="112"/>
      <c r="SAE11" s="112"/>
      <c r="SAF11" s="112"/>
      <c r="SAG11" s="112"/>
      <c r="SAH11" s="112"/>
      <c r="SAI11" s="112"/>
      <c r="SAJ11" s="112"/>
      <c r="SAK11" s="112"/>
      <c r="SAL11" s="112"/>
      <c r="SAM11" s="112"/>
      <c r="SAN11" s="112"/>
      <c r="SAO11" s="112"/>
      <c r="SAP11" s="112"/>
      <c r="SAQ11" s="112"/>
      <c r="SAR11" s="112"/>
      <c r="SAS11" s="112"/>
      <c r="SAT11" s="112"/>
      <c r="SAU11" s="112"/>
      <c r="SAV11" s="112"/>
      <c r="SAW11" s="112"/>
      <c r="SAX11" s="112"/>
      <c r="SAY11" s="112"/>
      <c r="SAZ11" s="112"/>
      <c r="SBA11" s="112"/>
      <c r="SBB11" s="112"/>
      <c r="SBC11" s="112"/>
      <c r="SBD11" s="112"/>
      <c r="SBE11" s="112"/>
      <c r="SBF11" s="112"/>
      <c r="SBG11" s="112"/>
      <c r="SBH11" s="112"/>
      <c r="SBI11" s="112"/>
      <c r="SBJ11" s="112"/>
      <c r="SBK11" s="112"/>
      <c r="SBL11" s="112"/>
      <c r="SBM11" s="112"/>
      <c r="SBN11" s="112"/>
      <c r="SBO11" s="112"/>
      <c r="SBP11" s="112"/>
      <c r="SBQ11" s="112"/>
      <c r="SBR11" s="112"/>
      <c r="SBS11" s="112"/>
      <c r="SBT11" s="112"/>
      <c r="SBU11" s="112"/>
      <c r="SBV11" s="112"/>
      <c r="SBW11" s="112"/>
      <c r="SBX11" s="112"/>
      <c r="SBY11" s="112"/>
      <c r="SBZ11" s="112"/>
      <c r="SCA11" s="112"/>
      <c r="SCB11" s="112"/>
      <c r="SCC11" s="112"/>
      <c r="SCD11" s="112"/>
      <c r="SCE11" s="112"/>
      <c r="SCF11" s="112"/>
      <c r="SCG11" s="112"/>
      <c r="SCH11" s="112"/>
      <c r="SCI11" s="112"/>
      <c r="SCJ11" s="112"/>
      <c r="SCK11" s="112"/>
      <c r="SCL11" s="112"/>
      <c r="SCM11" s="112"/>
      <c r="SCN11" s="112"/>
      <c r="SCO11" s="112"/>
      <c r="SCP11" s="112"/>
      <c r="SCQ11" s="112"/>
      <c r="SCR11" s="112"/>
      <c r="SCS11" s="112"/>
      <c r="SCT11" s="112"/>
      <c r="SCU11" s="112"/>
      <c r="SCV11" s="112"/>
      <c r="SCW11" s="112"/>
      <c r="SCX11" s="112"/>
      <c r="SCY11" s="112"/>
      <c r="SCZ11" s="112"/>
      <c r="SDA11" s="112"/>
      <c r="SDB11" s="112"/>
      <c r="SDC11" s="112"/>
      <c r="SDD11" s="112"/>
      <c r="SDE11" s="112"/>
      <c r="SDF11" s="112"/>
      <c r="SDG11" s="112"/>
      <c r="SDH11" s="112"/>
      <c r="SDI11" s="112"/>
      <c r="SDJ11" s="112"/>
      <c r="SDK11" s="112"/>
      <c r="SDL11" s="112"/>
      <c r="SDM11" s="112"/>
      <c r="SDN11" s="112"/>
      <c r="SDO11" s="112"/>
      <c r="SDP11" s="112"/>
      <c r="SDQ11" s="112"/>
      <c r="SDR11" s="112"/>
      <c r="SDS11" s="112"/>
      <c r="SDT11" s="112"/>
      <c r="SDU11" s="112"/>
      <c r="SDV11" s="112"/>
      <c r="SDW11" s="112"/>
      <c r="SDX11" s="112"/>
      <c r="SDY11" s="112"/>
      <c r="SDZ11" s="112"/>
      <c r="SEA11" s="112"/>
      <c r="SEB11" s="112"/>
      <c r="SEC11" s="112"/>
      <c r="SED11" s="112"/>
      <c r="SEE11" s="112"/>
      <c r="SEF11" s="112"/>
      <c r="SEG11" s="112"/>
      <c r="SEH11" s="112"/>
      <c r="SEI11" s="112"/>
      <c r="SEJ11" s="112"/>
      <c r="SEK11" s="112"/>
      <c r="SEL11" s="112"/>
      <c r="SEM11" s="112"/>
      <c r="SEN11" s="112"/>
      <c r="SEO11" s="112"/>
      <c r="SEP11" s="112"/>
      <c r="SEQ11" s="112"/>
      <c r="SER11" s="112"/>
      <c r="SES11" s="112"/>
      <c r="SET11" s="112"/>
      <c r="SEU11" s="112"/>
      <c r="SEV11" s="112"/>
      <c r="SEW11" s="112"/>
      <c r="SEX11" s="112"/>
      <c r="SEY11" s="112"/>
      <c r="SEZ11" s="112"/>
      <c r="SFA11" s="112"/>
      <c r="SFB11" s="112"/>
      <c r="SFC11" s="112"/>
      <c r="SFD11" s="112"/>
      <c r="SFE11" s="112"/>
      <c r="SFF11" s="112"/>
      <c r="SFG11" s="112"/>
      <c r="SFH11" s="112"/>
      <c r="SFI11" s="112"/>
      <c r="SFJ11" s="112"/>
      <c r="SFK11" s="112"/>
      <c r="SFL11" s="112"/>
      <c r="SFM11" s="112"/>
      <c r="SFN11" s="112"/>
      <c r="SFO11" s="112"/>
      <c r="SFP11" s="112"/>
      <c r="SFQ11" s="112"/>
      <c r="SFR11" s="112"/>
      <c r="SFS11" s="112"/>
      <c r="SFT11" s="112"/>
      <c r="SFU11" s="112"/>
      <c r="SFV11" s="112"/>
      <c r="SFW11" s="112"/>
      <c r="SFX11" s="112"/>
      <c r="SFY11" s="112"/>
      <c r="SFZ11" s="112"/>
      <c r="SGA11" s="112"/>
      <c r="SGB11" s="112"/>
      <c r="SGC11" s="112"/>
      <c r="SGD11" s="112"/>
      <c r="SGE11" s="112"/>
      <c r="SGF11" s="112"/>
      <c r="SGG11" s="112"/>
      <c r="SGH11" s="112"/>
      <c r="SGI11" s="112"/>
      <c r="SGJ11" s="112"/>
      <c r="SGK11" s="112"/>
      <c r="SGL11" s="112"/>
      <c r="SGM11" s="112"/>
      <c r="SGN11" s="112"/>
      <c r="SGO11" s="112"/>
      <c r="SGP11" s="112"/>
      <c r="SGQ11" s="112"/>
      <c r="SGR11" s="112"/>
      <c r="SGS11" s="112"/>
      <c r="SGT11" s="112"/>
      <c r="SGU11" s="112"/>
      <c r="SGV11" s="112"/>
      <c r="SGW11" s="112"/>
      <c r="SGX11" s="112"/>
      <c r="SGY11" s="112"/>
      <c r="SGZ11" s="112"/>
      <c r="SHA11" s="112"/>
      <c r="SHB11" s="112"/>
      <c r="SHC11" s="112"/>
      <c r="SHD11" s="112"/>
      <c r="SHE11" s="112"/>
      <c r="SHF11" s="112"/>
      <c r="SHG11" s="112"/>
      <c r="SHH11" s="112"/>
      <c r="SHI11" s="112"/>
      <c r="SHJ11" s="112"/>
      <c r="SHK11" s="112"/>
      <c r="SHL11" s="112"/>
      <c r="SHM11" s="112"/>
      <c r="SHN11" s="112"/>
      <c r="SHO11" s="112"/>
      <c r="SHP11" s="112"/>
      <c r="SHQ11" s="112"/>
      <c r="SHR11" s="112"/>
      <c r="SHS11" s="112"/>
      <c r="SHT11" s="112"/>
      <c r="SHU11" s="112"/>
      <c r="SHV11" s="112"/>
      <c r="SHW11" s="112"/>
      <c r="SHX11" s="112"/>
      <c r="SHY11" s="112"/>
      <c r="SHZ11" s="112"/>
      <c r="SIA11" s="112"/>
      <c r="SIB11" s="112"/>
      <c r="SIC11" s="112"/>
      <c r="SID11" s="112"/>
      <c r="SIE11" s="112"/>
      <c r="SIF11" s="112"/>
      <c r="SIG11" s="112"/>
      <c r="SIH11" s="112"/>
      <c r="SII11" s="112"/>
      <c r="SIJ11" s="112"/>
      <c r="SIK11" s="112"/>
      <c r="SIL11" s="112"/>
      <c r="SIM11" s="112"/>
      <c r="SIN11" s="112"/>
      <c r="SIO11" s="112"/>
      <c r="SIP11" s="112"/>
      <c r="SIQ11" s="112"/>
      <c r="SIR11" s="112"/>
      <c r="SIS11" s="112"/>
      <c r="SIT11" s="112"/>
      <c r="SIU11" s="112"/>
      <c r="SIV11" s="112"/>
      <c r="SIW11" s="112"/>
      <c r="SIX11" s="112"/>
      <c r="SIY11" s="112"/>
      <c r="SIZ11" s="112"/>
      <c r="SJA11" s="112"/>
      <c r="SJB11" s="112"/>
      <c r="SJC11" s="112"/>
      <c r="SJD11" s="112"/>
      <c r="SJE11" s="112"/>
      <c r="SJF11" s="112"/>
      <c r="SJG11" s="112"/>
      <c r="SJH11" s="112"/>
      <c r="SJI11" s="112"/>
      <c r="SJJ11" s="112"/>
      <c r="SJK11" s="112"/>
      <c r="SJL11" s="112"/>
      <c r="SJM11" s="112"/>
      <c r="SJN11" s="112"/>
      <c r="SJO11" s="112"/>
      <c r="SJP11" s="112"/>
      <c r="SJQ11" s="112"/>
      <c r="SJR11" s="112"/>
      <c r="SJS11" s="112"/>
      <c r="SJT11" s="112"/>
      <c r="SJU11" s="112"/>
      <c r="SJV11" s="112"/>
      <c r="SJW11" s="112"/>
      <c r="SJX11" s="112"/>
      <c r="SJY11" s="112"/>
      <c r="SJZ11" s="112"/>
      <c r="SKA11" s="112"/>
      <c r="SKB11" s="112"/>
      <c r="SKC11" s="112"/>
      <c r="SKD11" s="112"/>
      <c r="SKE11" s="112"/>
      <c r="SKF11" s="112"/>
      <c r="SKG11" s="112"/>
      <c r="SKH11" s="112"/>
      <c r="SKI11" s="112"/>
      <c r="SKJ11" s="112"/>
      <c r="SKK11" s="112"/>
      <c r="SKL11" s="112"/>
      <c r="SKM11" s="112"/>
      <c r="SKN11" s="112"/>
      <c r="SKO11" s="112"/>
      <c r="SKP11" s="112"/>
      <c r="SKQ11" s="112"/>
      <c r="SKR11" s="112"/>
      <c r="SKS11" s="112"/>
      <c r="SKT11" s="112"/>
      <c r="SKU11" s="112"/>
      <c r="SKV11" s="112"/>
      <c r="SKW11" s="112"/>
      <c r="SKX11" s="112"/>
      <c r="SKY11" s="112"/>
      <c r="SKZ11" s="112"/>
      <c r="SLA11" s="112"/>
      <c r="SLB11" s="112"/>
      <c r="SLC11" s="112"/>
      <c r="SLD11" s="112"/>
      <c r="SLE11" s="112"/>
      <c r="SLF11" s="112"/>
      <c r="SLG11" s="112"/>
      <c r="SLH11" s="112"/>
      <c r="SLI11" s="112"/>
      <c r="SLJ11" s="112"/>
      <c r="SLK11" s="112"/>
      <c r="SLL11" s="112"/>
      <c r="SLM11" s="112"/>
      <c r="SLN11" s="112"/>
      <c r="SLO11" s="112"/>
      <c r="SLP11" s="112"/>
      <c r="SLQ11" s="112"/>
      <c r="SLR11" s="112"/>
      <c r="SLS11" s="112"/>
      <c r="SLT11" s="112"/>
      <c r="SLU11" s="112"/>
      <c r="SLV11" s="112"/>
      <c r="SLW11" s="112"/>
      <c r="SLX11" s="112"/>
      <c r="SLY11" s="112"/>
      <c r="SLZ11" s="112"/>
      <c r="SMA11" s="112"/>
      <c r="SMB11" s="112"/>
      <c r="SMC11" s="112"/>
      <c r="SMD11" s="112"/>
      <c r="SME11" s="112"/>
      <c r="SMF11" s="112"/>
      <c r="SMG11" s="112"/>
      <c r="SMH11" s="112"/>
      <c r="SMI11" s="112"/>
      <c r="SMJ11" s="112"/>
      <c r="SMK11" s="112"/>
      <c r="SML11" s="112"/>
      <c r="SMM11" s="112"/>
      <c r="SMN11" s="112"/>
      <c r="SMO11" s="112"/>
      <c r="SMP11" s="112"/>
      <c r="SMQ11" s="112"/>
      <c r="SMR11" s="112"/>
      <c r="SMS11" s="112"/>
      <c r="SMT11" s="112"/>
      <c r="SMU11" s="112"/>
      <c r="SMV11" s="112"/>
      <c r="SMW11" s="112"/>
      <c r="SMX11" s="112"/>
      <c r="SMY11" s="112"/>
      <c r="SMZ11" s="112"/>
      <c r="SNA11" s="112"/>
      <c r="SNB11" s="112"/>
      <c r="SNC11" s="112"/>
      <c r="SND11" s="112"/>
      <c r="SNE11" s="112"/>
      <c r="SNF11" s="112"/>
      <c r="SNG11" s="112"/>
      <c r="SNH11" s="112"/>
      <c r="SNI11" s="112"/>
      <c r="SNJ11" s="112"/>
      <c r="SNK11" s="112"/>
      <c r="SNL11" s="112"/>
      <c r="SNM11" s="112"/>
      <c r="SNN11" s="112"/>
      <c r="SNO11" s="112"/>
      <c r="SNP11" s="112"/>
      <c r="SNQ11" s="112"/>
      <c r="SNR11" s="112"/>
      <c r="SNS11" s="112"/>
      <c r="SNT11" s="112"/>
      <c r="SNU11" s="112"/>
      <c r="SNV11" s="112"/>
      <c r="SNW11" s="112"/>
      <c r="SNX11" s="112"/>
      <c r="SNY11" s="112"/>
      <c r="SNZ11" s="112"/>
      <c r="SOA11" s="112"/>
      <c r="SOB11" s="112"/>
      <c r="SOC11" s="112"/>
      <c r="SOD11" s="112"/>
      <c r="SOE11" s="112"/>
      <c r="SOF11" s="112"/>
      <c r="SOG11" s="112"/>
      <c r="SOH11" s="112"/>
      <c r="SOI11" s="112"/>
      <c r="SOJ11" s="112"/>
      <c r="SOK11" s="112"/>
      <c r="SOL11" s="112"/>
      <c r="SOM11" s="112"/>
      <c r="SON11" s="112"/>
      <c r="SOO11" s="112"/>
      <c r="SOP11" s="112"/>
      <c r="SOQ11" s="112"/>
      <c r="SOR11" s="112"/>
      <c r="SOS11" s="112"/>
      <c r="SOT11" s="112"/>
      <c r="SOU11" s="112"/>
      <c r="SOV11" s="112"/>
      <c r="SOW11" s="112"/>
      <c r="SOX11" s="112"/>
      <c r="SOY11" s="112"/>
      <c r="SOZ11" s="112"/>
      <c r="SPA11" s="112"/>
      <c r="SPB11" s="112"/>
      <c r="SPC11" s="112"/>
      <c r="SPD11" s="112"/>
      <c r="SPE11" s="112"/>
      <c r="SPF11" s="112"/>
      <c r="SPG11" s="112"/>
      <c r="SPH11" s="112"/>
      <c r="SPI11" s="112"/>
      <c r="SPJ11" s="112"/>
      <c r="SPK11" s="112"/>
      <c r="SPL11" s="112"/>
      <c r="SPM11" s="112"/>
      <c r="SPN11" s="112"/>
      <c r="SPO11" s="112"/>
      <c r="SPP11" s="112"/>
      <c r="SPQ11" s="112"/>
      <c r="SPR11" s="112"/>
      <c r="SPS11" s="112"/>
      <c r="SPT11" s="112"/>
      <c r="SPU11" s="112"/>
      <c r="SPV11" s="112"/>
      <c r="SPW11" s="112"/>
      <c r="SPX11" s="112"/>
      <c r="SPY11" s="112"/>
      <c r="SPZ11" s="112"/>
      <c r="SQA11" s="112"/>
      <c r="SQB11" s="112"/>
      <c r="SQC11" s="112"/>
      <c r="SQD11" s="112"/>
      <c r="SQE11" s="112"/>
      <c r="SQF11" s="112"/>
      <c r="SQG11" s="112"/>
      <c r="SQH11" s="112"/>
      <c r="SQI11" s="112"/>
      <c r="SQJ11" s="112"/>
      <c r="SQK11" s="112"/>
      <c r="SQL11" s="112"/>
      <c r="SQM11" s="112"/>
      <c r="SQN11" s="112"/>
      <c r="SQO11" s="112"/>
      <c r="SQP11" s="112"/>
      <c r="SQQ11" s="112"/>
      <c r="SQR11" s="112"/>
      <c r="SQS11" s="112"/>
      <c r="SQT11" s="112"/>
      <c r="SQU11" s="112"/>
      <c r="SQV11" s="112"/>
      <c r="SQW11" s="112"/>
      <c r="SQX11" s="112"/>
      <c r="SQY11" s="112"/>
      <c r="SQZ11" s="112"/>
      <c r="SRA11" s="112"/>
      <c r="SRB11" s="112"/>
      <c r="SRC11" s="112"/>
      <c r="SRD11" s="112"/>
      <c r="SRE11" s="112"/>
      <c r="SRF11" s="112"/>
      <c r="SRG11" s="112"/>
      <c r="SRH11" s="112"/>
      <c r="SRI11" s="112"/>
      <c r="SRJ11" s="112"/>
      <c r="SRK11" s="112"/>
      <c r="SRL11" s="112"/>
      <c r="SRM11" s="112"/>
      <c r="SRN11" s="112"/>
      <c r="SRO11" s="112"/>
      <c r="SRP11" s="112"/>
      <c r="SRQ11" s="112"/>
      <c r="SRR11" s="112"/>
      <c r="SRS11" s="112"/>
      <c r="SRT11" s="112"/>
      <c r="SRU11" s="112"/>
      <c r="SRV11" s="112"/>
      <c r="SRW11" s="112"/>
      <c r="SRX11" s="112"/>
      <c r="SRY11" s="112"/>
      <c r="SRZ11" s="112"/>
      <c r="SSA11" s="112"/>
      <c r="SSB11" s="112"/>
      <c r="SSC11" s="112"/>
      <c r="SSD11" s="112"/>
      <c r="SSE11" s="112"/>
      <c r="SSF11" s="112"/>
      <c r="SSG11" s="112"/>
      <c r="SSH11" s="112"/>
      <c r="SSI11" s="112"/>
      <c r="SSJ11" s="112"/>
      <c r="SSK11" s="112"/>
      <c r="SSL11" s="112"/>
      <c r="SSM11" s="112"/>
      <c r="SSN11" s="112"/>
      <c r="SSO11" s="112"/>
      <c r="SSP11" s="112"/>
      <c r="SSQ11" s="112"/>
      <c r="SSR11" s="112"/>
      <c r="SSS11" s="112"/>
      <c r="SST11" s="112"/>
      <c r="SSU11" s="112"/>
      <c r="SSV11" s="112"/>
      <c r="SSW11" s="112"/>
      <c r="SSX11" s="112"/>
      <c r="SSY11" s="112"/>
      <c r="SSZ11" s="112"/>
      <c r="STA11" s="112"/>
      <c r="STB11" s="112"/>
      <c r="STC11" s="112"/>
      <c r="STD11" s="112"/>
      <c r="STE11" s="112"/>
      <c r="STF11" s="112"/>
      <c r="STG11" s="112"/>
      <c r="STH11" s="112"/>
      <c r="STI11" s="112"/>
      <c r="STJ11" s="112"/>
      <c r="STK11" s="112"/>
      <c r="STL11" s="112"/>
      <c r="STM11" s="112"/>
      <c r="STN11" s="112"/>
      <c r="STO11" s="112"/>
      <c r="STP11" s="112"/>
      <c r="STQ11" s="112"/>
      <c r="STR11" s="112"/>
      <c r="STS11" s="112"/>
      <c r="STT11" s="112"/>
      <c r="STU11" s="112"/>
      <c r="STV11" s="112"/>
      <c r="STW11" s="112"/>
      <c r="STX11" s="112"/>
      <c r="STY11" s="112"/>
      <c r="STZ11" s="112"/>
      <c r="SUA11" s="112"/>
      <c r="SUB11" s="112"/>
      <c r="SUC11" s="112"/>
      <c r="SUD11" s="112"/>
      <c r="SUE11" s="112"/>
      <c r="SUF11" s="112"/>
      <c r="SUG11" s="112"/>
      <c r="SUH11" s="112"/>
      <c r="SUI11" s="112"/>
      <c r="SUJ11" s="112"/>
      <c r="SUK11" s="112"/>
      <c r="SUL11" s="112"/>
      <c r="SUM11" s="112"/>
      <c r="SUN11" s="112"/>
      <c r="SUO11" s="112"/>
      <c r="SUP11" s="112"/>
      <c r="SUQ11" s="112"/>
      <c r="SUR11" s="112"/>
      <c r="SUS11" s="112"/>
      <c r="SUT11" s="112"/>
      <c r="SUU11" s="112"/>
      <c r="SUV11" s="112"/>
      <c r="SUW11" s="112"/>
      <c r="SUX11" s="112"/>
      <c r="SUY11" s="112"/>
      <c r="SUZ11" s="112"/>
      <c r="SVA11" s="112"/>
      <c r="SVB11" s="112"/>
      <c r="SVC11" s="112"/>
      <c r="SVD11" s="112"/>
      <c r="SVE11" s="112"/>
      <c r="SVF11" s="112"/>
      <c r="SVG11" s="112"/>
      <c r="SVH11" s="112"/>
      <c r="SVI11" s="112"/>
      <c r="SVJ11" s="112"/>
      <c r="SVK11" s="112"/>
      <c r="SVL11" s="112"/>
      <c r="SVM11" s="112"/>
      <c r="SVN11" s="112"/>
      <c r="SVO11" s="112"/>
      <c r="SVP11" s="112"/>
      <c r="SVQ11" s="112"/>
      <c r="SVR11" s="112"/>
      <c r="SVS11" s="112"/>
      <c r="SVT11" s="112"/>
      <c r="SVU11" s="112"/>
      <c r="SVV11" s="112"/>
      <c r="SVW11" s="112"/>
      <c r="SVX11" s="112"/>
      <c r="SVY11" s="112"/>
      <c r="SVZ11" s="112"/>
      <c r="SWA11" s="112"/>
      <c r="SWB11" s="112"/>
      <c r="SWC11" s="112"/>
      <c r="SWD11" s="112"/>
      <c r="SWE11" s="112"/>
      <c r="SWF11" s="112"/>
      <c r="SWG11" s="112"/>
      <c r="SWH11" s="112"/>
      <c r="SWI11" s="112"/>
      <c r="SWJ11" s="112"/>
      <c r="SWK11" s="112"/>
      <c r="SWL11" s="112"/>
      <c r="SWM11" s="112"/>
      <c r="SWN11" s="112"/>
      <c r="SWO11" s="112"/>
      <c r="SWP11" s="112"/>
      <c r="SWQ11" s="112"/>
      <c r="SWR11" s="112"/>
      <c r="SWS11" s="112"/>
      <c r="SWT11" s="112"/>
      <c r="SWU11" s="112"/>
      <c r="SWV11" s="112"/>
      <c r="SWW11" s="112"/>
      <c r="SWX11" s="112"/>
      <c r="SWY11" s="112"/>
      <c r="SWZ11" s="112"/>
      <c r="SXA11" s="112"/>
      <c r="SXB11" s="112"/>
      <c r="SXC11" s="112"/>
      <c r="SXD11" s="112"/>
      <c r="SXE11" s="112"/>
      <c r="SXF11" s="112"/>
      <c r="SXG11" s="112"/>
      <c r="SXH11" s="112"/>
      <c r="SXI11" s="112"/>
      <c r="SXJ11" s="112"/>
      <c r="SXK11" s="112"/>
      <c r="SXL11" s="112"/>
      <c r="SXM11" s="112"/>
      <c r="SXN11" s="112"/>
      <c r="SXO11" s="112"/>
      <c r="SXP11" s="112"/>
      <c r="SXQ11" s="112"/>
      <c r="SXR11" s="112"/>
      <c r="SXS11" s="112"/>
      <c r="SXT11" s="112"/>
      <c r="SXU11" s="112"/>
      <c r="SXV11" s="112"/>
      <c r="SXW11" s="112"/>
      <c r="SXX11" s="112"/>
      <c r="SXY11" s="112"/>
      <c r="SXZ11" s="112"/>
      <c r="SYA11" s="112"/>
      <c r="SYB11" s="112"/>
      <c r="SYC11" s="112"/>
      <c r="SYD11" s="112"/>
      <c r="SYE11" s="112"/>
      <c r="SYF11" s="112"/>
      <c r="SYG11" s="112"/>
      <c r="SYH11" s="112"/>
      <c r="SYI11" s="112"/>
      <c r="SYJ11" s="112"/>
      <c r="SYK11" s="112"/>
      <c r="SYL11" s="112"/>
      <c r="SYM11" s="112"/>
      <c r="SYN11" s="112"/>
      <c r="SYO11" s="112"/>
      <c r="SYP11" s="112"/>
      <c r="SYQ11" s="112"/>
      <c r="SYR11" s="112"/>
      <c r="SYS11" s="112"/>
      <c r="SYT11" s="112"/>
      <c r="SYU11" s="112"/>
      <c r="SYV11" s="112"/>
      <c r="SYW11" s="112"/>
      <c r="SYX11" s="112"/>
      <c r="SYY11" s="112"/>
      <c r="SYZ11" s="112"/>
      <c r="SZA11" s="112"/>
      <c r="SZB11" s="112"/>
      <c r="SZC11" s="112"/>
      <c r="SZD11" s="112"/>
      <c r="SZE11" s="112"/>
      <c r="SZF11" s="112"/>
      <c r="SZG11" s="112"/>
      <c r="SZH11" s="112"/>
      <c r="SZI11" s="112"/>
      <c r="SZJ11" s="112"/>
      <c r="SZK11" s="112"/>
      <c r="SZL11" s="112"/>
      <c r="SZM11" s="112"/>
      <c r="SZN11" s="112"/>
      <c r="SZO11" s="112"/>
      <c r="SZP11" s="112"/>
      <c r="SZQ11" s="112"/>
      <c r="SZR11" s="112"/>
      <c r="SZS11" s="112"/>
      <c r="SZT11" s="112"/>
      <c r="SZU11" s="112"/>
      <c r="SZV11" s="112"/>
      <c r="SZW11" s="112"/>
      <c r="SZX11" s="112"/>
      <c r="SZY11" s="112"/>
      <c r="SZZ11" s="112"/>
      <c r="TAA11" s="112"/>
      <c r="TAB11" s="112"/>
      <c r="TAC11" s="112"/>
      <c r="TAD11" s="112"/>
      <c r="TAE11" s="112"/>
      <c r="TAF11" s="112"/>
      <c r="TAG11" s="112"/>
      <c r="TAH11" s="112"/>
      <c r="TAI11" s="112"/>
      <c r="TAJ11" s="112"/>
      <c r="TAK11" s="112"/>
      <c r="TAL11" s="112"/>
      <c r="TAM11" s="112"/>
      <c r="TAN11" s="112"/>
      <c r="TAO11" s="112"/>
      <c r="TAP11" s="112"/>
      <c r="TAQ11" s="112"/>
      <c r="TAR11" s="112"/>
      <c r="TAS11" s="112"/>
      <c r="TAT11" s="112"/>
      <c r="TAU11" s="112"/>
      <c r="TAV11" s="112"/>
      <c r="TAW11" s="112"/>
      <c r="TAX11" s="112"/>
      <c r="TAY11" s="112"/>
      <c r="TAZ11" s="112"/>
      <c r="TBA11" s="112"/>
      <c r="TBB11" s="112"/>
      <c r="TBC11" s="112"/>
      <c r="TBD11" s="112"/>
      <c r="TBE11" s="112"/>
      <c r="TBF11" s="112"/>
      <c r="TBG11" s="112"/>
      <c r="TBH11" s="112"/>
      <c r="TBI11" s="112"/>
      <c r="TBJ11" s="112"/>
      <c r="TBK11" s="112"/>
      <c r="TBL11" s="112"/>
      <c r="TBM11" s="112"/>
      <c r="TBN11" s="112"/>
      <c r="TBO11" s="112"/>
      <c r="TBP11" s="112"/>
      <c r="TBQ11" s="112"/>
      <c r="TBR11" s="112"/>
      <c r="TBS11" s="112"/>
      <c r="TBT11" s="112"/>
      <c r="TBU11" s="112"/>
      <c r="TBV11" s="112"/>
      <c r="TBW11" s="112"/>
      <c r="TBX11" s="112"/>
      <c r="TBY11" s="112"/>
      <c r="TBZ11" s="112"/>
      <c r="TCA11" s="112"/>
      <c r="TCB11" s="112"/>
      <c r="TCC11" s="112"/>
      <c r="TCD11" s="112"/>
      <c r="TCE11" s="112"/>
      <c r="TCF11" s="112"/>
      <c r="TCG11" s="112"/>
      <c r="TCH11" s="112"/>
      <c r="TCI11" s="112"/>
      <c r="TCJ11" s="112"/>
      <c r="TCK11" s="112"/>
      <c r="TCL11" s="112"/>
      <c r="TCM11" s="112"/>
      <c r="TCN11" s="112"/>
      <c r="TCO11" s="112"/>
      <c r="TCP11" s="112"/>
      <c r="TCQ11" s="112"/>
      <c r="TCR11" s="112"/>
      <c r="TCS11" s="112"/>
      <c r="TCT11" s="112"/>
      <c r="TCU11" s="112"/>
      <c r="TCV11" s="112"/>
      <c r="TCW11" s="112"/>
      <c r="TCX11" s="112"/>
      <c r="TCY11" s="112"/>
      <c r="TCZ11" s="112"/>
      <c r="TDA11" s="112"/>
      <c r="TDB11" s="112"/>
      <c r="TDC11" s="112"/>
      <c r="TDD11" s="112"/>
      <c r="TDE11" s="112"/>
      <c r="TDF11" s="112"/>
      <c r="TDG11" s="112"/>
      <c r="TDH11" s="112"/>
      <c r="TDI11" s="112"/>
      <c r="TDJ11" s="112"/>
      <c r="TDK11" s="112"/>
      <c r="TDL11" s="112"/>
      <c r="TDM11" s="112"/>
      <c r="TDN11" s="112"/>
      <c r="TDO11" s="112"/>
      <c r="TDP11" s="112"/>
      <c r="TDQ11" s="112"/>
      <c r="TDR11" s="112"/>
      <c r="TDS11" s="112"/>
      <c r="TDT11" s="112"/>
      <c r="TDU11" s="112"/>
      <c r="TDV11" s="112"/>
      <c r="TDW11" s="112"/>
      <c r="TDX11" s="112"/>
      <c r="TDY11" s="112"/>
      <c r="TDZ11" s="112"/>
      <c r="TEA11" s="112"/>
      <c r="TEB11" s="112"/>
      <c r="TEC11" s="112"/>
      <c r="TED11" s="112"/>
      <c r="TEE11" s="112"/>
      <c r="TEF11" s="112"/>
      <c r="TEG11" s="112"/>
      <c r="TEH11" s="112"/>
      <c r="TEI11" s="112"/>
      <c r="TEJ11" s="112"/>
      <c r="TEK11" s="112"/>
      <c r="TEL11" s="112"/>
      <c r="TEM11" s="112"/>
      <c r="TEN11" s="112"/>
      <c r="TEO11" s="112"/>
      <c r="TEP11" s="112"/>
      <c r="TEQ11" s="112"/>
      <c r="TER11" s="112"/>
      <c r="TES11" s="112"/>
      <c r="TET11" s="112"/>
      <c r="TEU11" s="112"/>
      <c r="TEV11" s="112"/>
      <c r="TEW11" s="112"/>
      <c r="TEX11" s="112"/>
      <c r="TEY11" s="112"/>
      <c r="TEZ11" s="112"/>
      <c r="TFA11" s="112"/>
      <c r="TFB11" s="112"/>
      <c r="TFC11" s="112"/>
      <c r="TFD11" s="112"/>
      <c r="TFE11" s="112"/>
      <c r="TFF11" s="112"/>
      <c r="TFG11" s="112"/>
      <c r="TFH11" s="112"/>
      <c r="TFI11" s="112"/>
      <c r="TFJ11" s="112"/>
      <c r="TFK11" s="112"/>
      <c r="TFL11" s="112"/>
      <c r="TFM11" s="112"/>
      <c r="TFN11" s="112"/>
      <c r="TFO11" s="112"/>
      <c r="TFP11" s="112"/>
      <c r="TFQ11" s="112"/>
      <c r="TFR11" s="112"/>
      <c r="TFS11" s="112"/>
      <c r="TFT11" s="112"/>
      <c r="TFU11" s="112"/>
      <c r="TFV11" s="112"/>
      <c r="TFW11" s="112"/>
      <c r="TFX11" s="112"/>
      <c r="TFY11" s="112"/>
      <c r="TFZ11" s="112"/>
      <c r="TGA11" s="112"/>
      <c r="TGB11" s="112"/>
      <c r="TGC11" s="112"/>
      <c r="TGD11" s="112"/>
      <c r="TGE11" s="112"/>
      <c r="TGF11" s="112"/>
      <c r="TGG11" s="112"/>
      <c r="TGH11" s="112"/>
      <c r="TGI11" s="112"/>
      <c r="TGJ11" s="112"/>
      <c r="TGK11" s="112"/>
      <c r="TGL11" s="112"/>
      <c r="TGM11" s="112"/>
      <c r="TGN11" s="112"/>
      <c r="TGO11" s="112"/>
      <c r="TGP11" s="112"/>
      <c r="TGQ11" s="112"/>
      <c r="TGR11" s="112"/>
      <c r="TGS11" s="112"/>
      <c r="TGT11" s="112"/>
      <c r="TGU11" s="112"/>
      <c r="TGV11" s="112"/>
      <c r="TGW11" s="112"/>
      <c r="TGX11" s="112"/>
      <c r="TGY11" s="112"/>
      <c r="TGZ11" s="112"/>
      <c r="THA11" s="112"/>
      <c r="THB11" s="112"/>
      <c r="THC11" s="112"/>
      <c r="THD11" s="112"/>
      <c r="THE11" s="112"/>
      <c r="THF11" s="112"/>
      <c r="THG11" s="112"/>
      <c r="THH11" s="112"/>
      <c r="THI11" s="112"/>
      <c r="THJ11" s="112"/>
      <c r="THK11" s="112"/>
      <c r="THL11" s="112"/>
      <c r="THM11" s="112"/>
      <c r="THN11" s="112"/>
      <c r="THO11" s="112"/>
      <c r="THP11" s="112"/>
      <c r="THQ11" s="112"/>
      <c r="THR11" s="112"/>
      <c r="THS11" s="112"/>
      <c r="THT11" s="112"/>
      <c r="THU11" s="112"/>
      <c r="THV11" s="112"/>
      <c r="THW11" s="112"/>
      <c r="THX11" s="112"/>
      <c r="THY11" s="112"/>
      <c r="THZ11" s="112"/>
      <c r="TIA11" s="112"/>
      <c r="TIB11" s="112"/>
      <c r="TIC11" s="112"/>
      <c r="TID11" s="112"/>
      <c r="TIE11" s="112"/>
      <c r="TIF11" s="112"/>
      <c r="TIG11" s="112"/>
      <c r="TIH11" s="112"/>
      <c r="TII11" s="112"/>
      <c r="TIJ11" s="112"/>
      <c r="TIK11" s="112"/>
      <c r="TIL11" s="112"/>
      <c r="TIM11" s="112"/>
      <c r="TIN11" s="112"/>
      <c r="TIO11" s="112"/>
      <c r="TIP11" s="112"/>
      <c r="TIQ11" s="112"/>
      <c r="TIR11" s="112"/>
      <c r="TIS11" s="112"/>
      <c r="TIT11" s="112"/>
      <c r="TIU11" s="112"/>
      <c r="TIV11" s="112"/>
      <c r="TIW11" s="112"/>
      <c r="TIX11" s="112"/>
      <c r="TIY11" s="112"/>
      <c r="TIZ11" s="112"/>
      <c r="TJA11" s="112"/>
      <c r="TJB11" s="112"/>
      <c r="TJC11" s="112"/>
      <c r="TJD11" s="112"/>
      <c r="TJE11" s="112"/>
      <c r="TJF11" s="112"/>
      <c r="TJG11" s="112"/>
      <c r="TJH11" s="112"/>
      <c r="TJI11" s="112"/>
      <c r="TJJ11" s="112"/>
      <c r="TJK11" s="112"/>
      <c r="TJL11" s="112"/>
      <c r="TJM11" s="112"/>
      <c r="TJN11" s="112"/>
      <c r="TJO11" s="112"/>
      <c r="TJP11" s="112"/>
      <c r="TJQ11" s="112"/>
      <c r="TJR11" s="112"/>
      <c r="TJS11" s="112"/>
      <c r="TJT11" s="112"/>
      <c r="TJU11" s="112"/>
      <c r="TJV11" s="112"/>
      <c r="TJW11" s="112"/>
      <c r="TJX11" s="112"/>
      <c r="TJY11" s="112"/>
      <c r="TJZ11" s="112"/>
      <c r="TKA11" s="112"/>
      <c r="TKB11" s="112"/>
      <c r="TKC11" s="112"/>
      <c r="TKD11" s="112"/>
      <c r="TKE11" s="112"/>
      <c r="TKF11" s="112"/>
      <c r="TKG11" s="112"/>
      <c r="TKH11" s="112"/>
      <c r="TKI11" s="112"/>
      <c r="TKJ11" s="112"/>
      <c r="TKK11" s="112"/>
      <c r="TKL11" s="112"/>
      <c r="TKM11" s="112"/>
      <c r="TKN11" s="112"/>
      <c r="TKO11" s="112"/>
      <c r="TKP11" s="112"/>
      <c r="TKQ11" s="112"/>
      <c r="TKR11" s="112"/>
      <c r="TKS11" s="112"/>
      <c r="TKT11" s="112"/>
      <c r="TKU11" s="112"/>
      <c r="TKV11" s="112"/>
      <c r="TKW11" s="112"/>
      <c r="TKX11" s="112"/>
      <c r="TKY11" s="112"/>
      <c r="TKZ11" s="112"/>
      <c r="TLA11" s="112"/>
      <c r="TLB11" s="112"/>
      <c r="TLC11" s="112"/>
      <c r="TLD11" s="112"/>
      <c r="TLE11" s="112"/>
      <c r="TLF11" s="112"/>
      <c r="TLG11" s="112"/>
      <c r="TLH11" s="112"/>
      <c r="TLI11" s="112"/>
      <c r="TLJ11" s="112"/>
      <c r="TLK11" s="112"/>
      <c r="TLL11" s="112"/>
      <c r="TLM11" s="112"/>
      <c r="TLN11" s="112"/>
      <c r="TLO11" s="112"/>
      <c r="TLP11" s="112"/>
      <c r="TLQ11" s="112"/>
      <c r="TLR11" s="112"/>
      <c r="TLS11" s="112"/>
      <c r="TLT11" s="112"/>
      <c r="TLU11" s="112"/>
      <c r="TLV11" s="112"/>
      <c r="TLW11" s="112"/>
      <c r="TLX11" s="112"/>
      <c r="TLY11" s="112"/>
      <c r="TLZ11" s="112"/>
      <c r="TMA11" s="112"/>
      <c r="TMB11" s="112"/>
      <c r="TMC11" s="112"/>
      <c r="TMD11" s="112"/>
      <c r="TME11" s="112"/>
      <c r="TMF11" s="112"/>
      <c r="TMG11" s="112"/>
      <c r="TMH11" s="112"/>
      <c r="TMI11" s="112"/>
      <c r="TMJ11" s="112"/>
      <c r="TMK11" s="112"/>
      <c r="TML11" s="112"/>
      <c r="TMM11" s="112"/>
      <c r="TMN11" s="112"/>
      <c r="TMO11" s="112"/>
      <c r="TMP11" s="112"/>
      <c r="TMQ11" s="112"/>
      <c r="TMR11" s="112"/>
      <c r="TMS11" s="112"/>
      <c r="TMT11" s="112"/>
      <c r="TMU11" s="112"/>
      <c r="TMV11" s="112"/>
      <c r="TMW11" s="112"/>
      <c r="TMX11" s="112"/>
      <c r="TMY11" s="112"/>
      <c r="TMZ11" s="112"/>
      <c r="TNA11" s="112"/>
      <c r="TNB11" s="112"/>
      <c r="TNC11" s="112"/>
      <c r="TND11" s="112"/>
      <c r="TNE11" s="112"/>
      <c r="TNF11" s="112"/>
      <c r="TNG11" s="112"/>
      <c r="TNH11" s="112"/>
      <c r="TNI11" s="112"/>
      <c r="TNJ11" s="112"/>
      <c r="TNK11" s="112"/>
      <c r="TNL11" s="112"/>
      <c r="TNM11" s="112"/>
      <c r="TNN11" s="112"/>
      <c r="TNO11" s="112"/>
      <c r="TNP11" s="112"/>
      <c r="TNQ11" s="112"/>
      <c r="TNR11" s="112"/>
      <c r="TNS11" s="112"/>
      <c r="TNT11" s="112"/>
      <c r="TNU11" s="112"/>
      <c r="TNV11" s="112"/>
      <c r="TNW11" s="112"/>
      <c r="TNX11" s="112"/>
      <c r="TNY11" s="112"/>
      <c r="TNZ11" s="112"/>
      <c r="TOA11" s="112"/>
      <c r="TOB11" s="112"/>
      <c r="TOC11" s="112"/>
      <c r="TOD11" s="112"/>
      <c r="TOE11" s="112"/>
      <c r="TOF11" s="112"/>
      <c r="TOG11" s="112"/>
      <c r="TOH11" s="112"/>
      <c r="TOI11" s="112"/>
      <c r="TOJ11" s="112"/>
      <c r="TOK11" s="112"/>
      <c r="TOL11" s="112"/>
      <c r="TOM11" s="112"/>
      <c r="TON11" s="112"/>
      <c r="TOO11" s="112"/>
      <c r="TOP11" s="112"/>
      <c r="TOQ11" s="112"/>
      <c r="TOR11" s="112"/>
      <c r="TOS11" s="112"/>
      <c r="TOT11" s="112"/>
      <c r="TOU11" s="112"/>
      <c r="TOV11" s="112"/>
      <c r="TOW11" s="112"/>
      <c r="TOX11" s="112"/>
      <c r="TOY11" s="112"/>
      <c r="TOZ11" s="112"/>
      <c r="TPA11" s="112"/>
      <c r="TPB11" s="112"/>
      <c r="TPC11" s="112"/>
      <c r="TPD11" s="112"/>
      <c r="TPE11" s="112"/>
      <c r="TPF11" s="112"/>
      <c r="TPG11" s="112"/>
      <c r="TPH11" s="112"/>
      <c r="TPI11" s="112"/>
      <c r="TPJ11" s="112"/>
      <c r="TPK11" s="112"/>
      <c r="TPL11" s="112"/>
      <c r="TPM11" s="112"/>
      <c r="TPN11" s="112"/>
      <c r="TPO11" s="112"/>
      <c r="TPP11" s="112"/>
      <c r="TPQ11" s="112"/>
      <c r="TPR11" s="112"/>
      <c r="TPS11" s="112"/>
      <c r="TPT11" s="112"/>
      <c r="TPU11" s="112"/>
      <c r="TPV11" s="112"/>
      <c r="TPW11" s="112"/>
      <c r="TPX11" s="112"/>
      <c r="TPY11" s="112"/>
      <c r="TPZ11" s="112"/>
      <c r="TQA11" s="112"/>
      <c r="TQB11" s="112"/>
      <c r="TQC11" s="112"/>
      <c r="TQD11" s="112"/>
      <c r="TQE11" s="112"/>
      <c r="TQF11" s="112"/>
      <c r="TQG11" s="112"/>
      <c r="TQH11" s="112"/>
      <c r="TQI11" s="112"/>
      <c r="TQJ11" s="112"/>
      <c r="TQK11" s="112"/>
      <c r="TQL11" s="112"/>
      <c r="TQM11" s="112"/>
      <c r="TQN11" s="112"/>
      <c r="TQO11" s="112"/>
      <c r="TQP11" s="112"/>
      <c r="TQQ11" s="112"/>
      <c r="TQR11" s="112"/>
      <c r="TQS11" s="112"/>
      <c r="TQT11" s="112"/>
      <c r="TQU11" s="112"/>
      <c r="TQV11" s="112"/>
      <c r="TQW11" s="112"/>
      <c r="TQX11" s="112"/>
      <c r="TQY11" s="112"/>
      <c r="TQZ11" s="112"/>
      <c r="TRA11" s="112"/>
      <c r="TRB11" s="112"/>
      <c r="TRC11" s="112"/>
      <c r="TRD11" s="112"/>
      <c r="TRE11" s="112"/>
      <c r="TRF11" s="112"/>
      <c r="TRG11" s="112"/>
      <c r="TRH11" s="112"/>
      <c r="TRI11" s="112"/>
      <c r="TRJ11" s="112"/>
      <c r="TRK11" s="112"/>
      <c r="TRL11" s="112"/>
      <c r="TRM11" s="112"/>
      <c r="TRN11" s="112"/>
      <c r="TRO11" s="112"/>
      <c r="TRP11" s="112"/>
      <c r="TRQ11" s="112"/>
      <c r="TRR11" s="112"/>
      <c r="TRS11" s="112"/>
      <c r="TRT11" s="112"/>
      <c r="TRU11" s="112"/>
      <c r="TRV11" s="112"/>
      <c r="TRW11" s="112"/>
      <c r="TRX11" s="112"/>
      <c r="TRY11" s="112"/>
      <c r="TRZ11" s="112"/>
      <c r="TSA11" s="112"/>
      <c r="TSB11" s="112"/>
      <c r="TSC11" s="112"/>
      <c r="TSD11" s="112"/>
      <c r="TSE11" s="112"/>
      <c r="TSF11" s="112"/>
      <c r="TSG11" s="112"/>
      <c r="TSH11" s="112"/>
      <c r="TSI11" s="112"/>
      <c r="TSJ11" s="112"/>
      <c r="TSK11" s="112"/>
      <c r="TSL11" s="112"/>
      <c r="TSM11" s="112"/>
      <c r="TSN11" s="112"/>
      <c r="TSO11" s="112"/>
      <c r="TSP11" s="112"/>
      <c r="TSQ11" s="112"/>
      <c r="TSR11" s="112"/>
      <c r="TSS11" s="112"/>
      <c r="TST11" s="112"/>
      <c r="TSU11" s="112"/>
      <c r="TSV11" s="112"/>
      <c r="TSW11" s="112"/>
      <c r="TSX11" s="112"/>
      <c r="TSY11" s="112"/>
      <c r="TSZ11" s="112"/>
      <c r="TTA11" s="112"/>
      <c r="TTB11" s="112"/>
      <c r="TTC11" s="112"/>
      <c r="TTD11" s="112"/>
      <c r="TTE11" s="112"/>
      <c r="TTF11" s="112"/>
      <c r="TTG11" s="112"/>
      <c r="TTH11" s="112"/>
      <c r="TTI11" s="112"/>
      <c r="TTJ11" s="112"/>
      <c r="TTK11" s="112"/>
      <c r="TTL11" s="112"/>
      <c r="TTM11" s="112"/>
      <c r="TTN11" s="112"/>
      <c r="TTO11" s="112"/>
      <c r="TTP11" s="112"/>
      <c r="TTQ11" s="112"/>
      <c r="TTR11" s="112"/>
      <c r="TTS11" s="112"/>
      <c r="TTT11" s="112"/>
      <c r="TTU11" s="112"/>
      <c r="TTV11" s="112"/>
      <c r="TTW11" s="112"/>
      <c r="TTX11" s="112"/>
      <c r="TTY11" s="112"/>
      <c r="TTZ11" s="112"/>
      <c r="TUA11" s="112"/>
      <c r="TUB11" s="112"/>
      <c r="TUC11" s="112"/>
      <c r="TUD11" s="112"/>
      <c r="TUE11" s="112"/>
      <c r="TUF11" s="112"/>
      <c r="TUG11" s="112"/>
      <c r="TUH11" s="112"/>
      <c r="TUI11" s="112"/>
      <c r="TUJ11" s="112"/>
      <c r="TUK11" s="112"/>
      <c r="TUL11" s="112"/>
      <c r="TUM11" s="112"/>
      <c r="TUN11" s="112"/>
      <c r="TUO11" s="112"/>
      <c r="TUP11" s="112"/>
      <c r="TUQ11" s="112"/>
      <c r="TUR11" s="112"/>
      <c r="TUS11" s="112"/>
      <c r="TUT11" s="112"/>
      <c r="TUU11" s="112"/>
      <c r="TUV11" s="112"/>
      <c r="TUW11" s="112"/>
      <c r="TUX11" s="112"/>
      <c r="TUY11" s="112"/>
      <c r="TUZ11" s="112"/>
      <c r="TVA11" s="112"/>
      <c r="TVB11" s="112"/>
      <c r="TVC11" s="112"/>
      <c r="TVD11" s="112"/>
      <c r="TVE11" s="112"/>
      <c r="TVF11" s="112"/>
      <c r="TVG11" s="112"/>
      <c r="TVH11" s="112"/>
      <c r="TVI11" s="112"/>
      <c r="TVJ11" s="112"/>
      <c r="TVK11" s="112"/>
      <c r="TVL11" s="112"/>
      <c r="TVM11" s="112"/>
      <c r="TVN11" s="112"/>
      <c r="TVO11" s="112"/>
      <c r="TVP11" s="112"/>
      <c r="TVQ11" s="112"/>
      <c r="TVR11" s="112"/>
      <c r="TVS11" s="112"/>
      <c r="TVT11" s="112"/>
      <c r="TVU11" s="112"/>
      <c r="TVV11" s="112"/>
      <c r="TVW11" s="112"/>
      <c r="TVX11" s="112"/>
      <c r="TVY11" s="112"/>
      <c r="TVZ11" s="112"/>
      <c r="TWA11" s="112"/>
      <c r="TWB11" s="112"/>
      <c r="TWC11" s="112"/>
      <c r="TWD11" s="112"/>
      <c r="TWE11" s="112"/>
      <c r="TWF11" s="112"/>
      <c r="TWG11" s="112"/>
      <c r="TWH11" s="112"/>
      <c r="TWI11" s="112"/>
      <c r="TWJ11" s="112"/>
      <c r="TWK11" s="112"/>
      <c r="TWL11" s="112"/>
      <c r="TWM11" s="112"/>
      <c r="TWN11" s="112"/>
      <c r="TWO11" s="112"/>
      <c r="TWP11" s="112"/>
      <c r="TWQ11" s="112"/>
      <c r="TWR11" s="112"/>
      <c r="TWS11" s="112"/>
      <c r="TWT11" s="112"/>
      <c r="TWU11" s="112"/>
      <c r="TWV11" s="112"/>
      <c r="TWW11" s="112"/>
      <c r="TWX11" s="112"/>
      <c r="TWY11" s="112"/>
      <c r="TWZ11" s="112"/>
      <c r="TXA11" s="112"/>
      <c r="TXB11" s="112"/>
      <c r="TXC11" s="112"/>
      <c r="TXD11" s="112"/>
      <c r="TXE11" s="112"/>
      <c r="TXF11" s="112"/>
      <c r="TXG11" s="112"/>
      <c r="TXH11" s="112"/>
      <c r="TXI11" s="112"/>
      <c r="TXJ11" s="112"/>
      <c r="TXK11" s="112"/>
      <c r="TXL11" s="112"/>
      <c r="TXM11" s="112"/>
      <c r="TXN11" s="112"/>
      <c r="TXO11" s="112"/>
      <c r="TXP11" s="112"/>
      <c r="TXQ11" s="112"/>
      <c r="TXR11" s="112"/>
      <c r="TXS11" s="112"/>
      <c r="TXT11" s="112"/>
      <c r="TXU11" s="112"/>
      <c r="TXV11" s="112"/>
      <c r="TXW11" s="112"/>
      <c r="TXX11" s="112"/>
      <c r="TXY11" s="112"/>
      <c r="TXZ11" s="112"/>
      <c r="TYA11" s="112"/>
      <c r="TYB11" s="112"/>
      <c r="TYC11" s="112"/>
      <c r="TYD11" s="112"/>
      <c r="TYE11" s="112"/>
      <c r="TYF11" s="112"/>
      <c r="TYG11" s="112"/>
      <c r="TYH11" s="112"/>
      <c r="TYI11" s="112"/>
      <c r="TYJ11" s="112"/>
      <c r="TYK11" s="112"/>
      <c r="TYL11" s="112"/>
      <c r="TYM11" s="112"/>
      <c r="TYN11" s="112"/>
      <c r="TYO11" s="112"/>
      <c r="TYP11" s="112"/>
      <c r="TYQ11" s="112"/>
      <c r="TYR11" s="112"/>
      <c r="TYS11" s="112"/>
      <c r="TYT11" s="112"/>
      <c r="TYU11" s="112"/>
      <c r="TYV11" s="112"/>
      <c r="TYW11" s="112"/>
      <c r="TYX11" s="112"/>
      <c r="TYY11" s="112"/>
      <c r="TYZ11" s="112"/>
      <c r="TZA11" s="112"/>
      <c r="TZB11" s="112"/>
      <c r="TZC11" s="112"/>
      <c r="TZD11" s="112"/>
      <c r="TZE11" s="112"/>
      <c r="TZF11" s="112"/>
      <c r="TZG11" s="112"/>
      <c r="TZH11" s="112"/>
      <c r="TZI11" s="112"/>
      <c r="TZJ11" s="112"/>
      <c r="TZK11" s="112"/>
      <c r="TZL11" s="112"/>
      <c r="TZM11" s="112"/>
      <c r="TZN11" s="112"/>
      <c r="TZO11" s="112"/>
      <c r="TZP11" s="112"/>
      <c r="TZQ11" s="112"/>
      <c r="TZR11" s="112"/>
      <c r="TZS11" s="112"/>
      <c r="TZT11" s="112"/>
      <c r="TZU11" s="112"/>
      <c r="TZV11" s="112"/>
      <c r="TZW11" s="112"/>
      <c r="TZX11" s="112"/>
      <c r="TZY11" s="112"/>
      <c r="TZZ11" s="112"/>
      <c r="UAA11" s="112"/>
      <c r="UAB11" s="112"/>
      <c r="UAC11" s="112"/>
      <c r="UAD11" s="112"/>
      <c r="UAE11" s="112"/>
      <c r="UAF11" s="112"/>
      <c r="UAG11" s="112"/>
      <c r="UAH11" s="112"/>
      <c r="UAI11" s="112"/>
      <c r="UAJ11" s="112"/>
      <c r="UAK11" s="112"/>
      <c r="UAL11" s="112"/>
      <c r="UAM11" s="112"/>
      <c r="UAN11" s="112"/>
      <c r="UAO11" s="112"/>
      <c r="UAP11" s="112"/>
      <c r="UAQ11" s="112"/>
      <c r="UAR11" s="112"/>
      <c r="UAS11" s="112"/>
      <c r="UAT11" s="112"/>
      <c r="UAU11" s="112"/>
      <c r="UAV11" s="112"/>
      <c r="UAW11" s="112"/>
      <c r="UAX11" s="112"/>
      <c r="UAY11" s="112"/>
      <c r="UAZ11" s="112"/>
      <c r="UBA11" s="112"/>
      <c r="UBB11" s="112"/>
      <c r="UBC11" s="112"/>
      <c r="UBD11" s="112"/>
      <c r="UBE11" s="112"/>
      <c r="UBF11" s="112"/>
      <c r="UBG11" s="112"/>
      <c r="UBH11" s="112"/>
      <c r="UBI11" s="112"/>
      <c r="UBJ11" s="112"/>
      <c r="UBK11" s="112"/>
      <c r="UBL11" s="112"/>
      <c r="UBM11" s="112"/>
      <c r="UBN11" s="112"/>
      <c r="UBO11" s="112"/>
      <c r="UBP11" s="112"/>
      <c r="UBQ11" s="112"/>
      <c r="UBR11" s="112"/>
      <c r="UBS11" s="112"/>
      <c r="UBT11" s="112"/>
      <c r="UBU11" s="112"/>
      <c r="UBV11" s="112"/>
      <c r="UBW11" s="112"/>
      <c r="UBX11" s="112"/>
      <c r="UBY11" s="112"/>
      <c r="UBZ11" s="112"/>
      <c r="UCA11" s="112"/>
      <c r="UCB11" s="112"/>
      <c r="UCC11" s="112"/>
      <c r="UCD11" s="112"/>
      <c r="UCE11" s="112"/>
      <c r="UCF11" s="112"/>
      <c r="UCG11" s="112"/>
      <c r="UCH11" s="112"/>
      <c r="UCI11" s="112"/>
      <c r="UCJ11" s="112"/>
      <c r="UCK11" s="112"/>
      <c r="UCL11" s="112"/>
      <c r="UCM11" s="112"/>
      <c r="UCN11" s="112"/>
      <c r="UCO11" s="112"/>
      <c r="UCP11" s="112"/>
      <c r="UCQ11" s="112"/>
      <c r="UCR11" s="112"/>
      <c r="UCS11" s="112"/>
      <c r="UCT11" s="112"/>
      <c r="UCU11" s="112"/>
      <c r="UCV11" s="112"/>
      <c r="UCW11" s="112"/>
      <c r="UCX11" s="112"/>
      <c r="UCY11" s="112"/>
      <c r="UCZ11" s="112"/>
      <c r="UDA11" s="112"/>
      <c r="UDB11" s="112"/>
      <c r="UDC11" s="112"/>
      <c r="UDD11" s="112"/>
      <c r="UDE11" s="112"/>
      <c r="UDF11" s="112"/>
      <c r="UDG11" s="112"/>
      <c r="UDH11" s="112"/>
      <c r="UDI11" s="112"/>
      <c r="UDJ11" s="112"/>
      <c r="UDK11" s="112"/>
      <c r="UDL11" s="112"/>
      <c r="UDM11" s="112"/>
      <c r="UDN11" s="112"/>
      <c r="UDO11" s="112"/>
      <c r="UDP11" s="112"/>
      <c r="UDQ11" s="112"/>
      <c r="UDR11" s="112"/>
      <c r="UDS11" s="112"/>
      <c r="UDT11" s="112"/>
      <c r="UDU11" s="112"/>
      <c r="UDV11" s="112"/>
      <c r="UDW11" s="112"/>
      <c r="UDX11" s="112"/>
      <c r="UDY11" s="112"/>
      <c r="UDZ11" s="112"/>
      <c r="UEA11" s="112"/>
      <c r="UEB11" s="112"/>
      <c r="UEC11" s="112"/>
      <c r="UED11" s="112"/>
      <c r="UEE11" s="112"/>
      <c r="UEF11" s="112"/>
      <c r="UEG11" s="112"/>
      <c r="UEH11" s="112"/>
      <c r="UEI11" s="112"/>
      <c r="UEJ11" s="112"/>
      <c r="UEK11" s="112"/>
      <c r="UEL11" s="112"/>
      <c r="UEM11" s="112"/>
      <c r="UEN11" s="112"/>
      <c r="UEO11" s="112"/>
      <c r="UEP11" s="112"/>
      <c r="UEQ11" s="112"/>
      <c r="UER11" s="112"/>
      <c r="UES11" s="112"/>
      <c r="UET11" s="112"/>
      <c r="UEU11" s="112"/>
      <c r="UEV11" s="112"/>
      <c r="UEW11" s="112"/>
      <c r="UEX11" s="112"/>
      <c r="UEY11" s="112"/>
      <c r="UEZ11" s="112"/>
      <c r="UFA11" s="112"/>
      <c r="UFB11" s="112"/>
      <c r="UFC11" s="112"/>
      <c r="UFD11" s="112"/>
      <c r="UFE11" s="112"/>
      <c r="UFF11" s="112"/>
      <c r="UFG11" s="112"/>
      <c r="UFH11" s="112"/>
      <c r="UFI11" s="112"/>
      <c r="UFJ11" s="112"/>
      <c r="UFK11" s="112"/>
      <c r="UFL11" s="112"/>
      <c r="UFM11" s="112"/>
      <c r="UFN11" s="112"/>
      <c r="UFO11" s="112"/>
      <c r="UFP11" s="112"/>
      <c r="UFQ11" s="112"/>
      <c r="UFR11" s="112"/>
      <c r="UFS11" s="112"/>
      <c r="UFT11" s="112"/>
      <c r="UFU11" s="112"/>
      <c r="UFV11" s="112"/>
      <c r="UFW11" s="112"/>
      <c r="UFX11" s="112"/>
      <c r="UFY11" s="112"/>
      <c r="UFZ11" s="112"/>
      <c r="UGA11" s="112"/>
      <c r="UGB11" s="112"/>
      <c r="UGC11" s="112"/>
      <c r="UGD11" s="112"/>
      <c r="UGE11" s="112"/>
      <c r="UGF11" s="112"/>
      <c r="UGG11" s="112"/>
      <c r="UGH11" s="112"/>
      <c r="UGI11" s="112"/>
      <c r="UGJ11" s="112"/>
      <c r="UGK11" s="112"/>
      <c r="UGL11" s="112"/>
      <c r="UGM11" s="112"/>
      <c r="UGN11" s="112"/>
      <c r="UGO11" s="112"/>
      <c r="UGP11" s="112"/>
      <c r="UGQ11" s="112"/>
      <c r="UGR11" s="112"/>
      <c r="UGS11" s="112"/>
      <c r="UGT11" s="112"/>
      <c r="UGU11" s="112"/>
      <c r="UGV11" s="112"/>
      <c r="UGW11" s="112"/>
      <c r="UGX11" s="112"/>
      <c r="UGY11" s="112"/>
      <c r="UGZ11" s="112"/>
      <c r="UHA11" s="112"/>
      <c r="UHB11" s="112"/>
      <c r="UHC11" s="112"/>
      <c r="UHD11" s="112"/>
      <c r="UHE11" s="112"/>
      <c r="UHF11" s="112"/>
      <c r="UHG11" s="112"/>
      <c r="UHH11" s="112"/>
      <c r="UHI11" s="112"/>
      <c r="UHJ11" s="112"/>
      <c r="UHK11" s="112"/>
      <c r="UHL11" s="112"/>
      <c r="UHM11" s="112"/>
      <c r="UHN11" s="112"/>
      <c r="UHO11" s="112"/>
      <c r="UHP11" s="112"/>
      <c r="UHQ11" s="112"/>
      <c r="UHR11" s="112"/>
      <c r="UHS11" s="112"/>
      <c r="UHT11" s="112"/>
      <c r="UHU11" s="112"/>
      <c r="UHV11" s="112"/>
      <c r="UHW11" s="112"/>
      <c r="UHX11" s="112"/>
      <c r="UHY11" s="112"/>
      <c r="UHZ11" s="112"/>
      <c r="UIA11" s="112"/>
      <c r="UIB11" s="112"/>
      <c r="UIC11" s="112"/>
      <c r="UID11" s="112"/>
      <c r="UIE11" s="112"/>
      <c r="UIF11" s="112"/>
      <c r="UIG11" s="112"/>
      <c r="UIH11" s="112"/>
      <c r="UII11" s="112"/>
      <c r="UIJ11" s="112"/>
      <c r="UIK11" s="112"/>
      <c r="UIL11" s="112"/>
      <c r="UIM11" s="112"/>
      <c r="UIN11" s="112"/>
      <c r="UIO11" s="112"/>
      <c r="UIP11" s="112"/>
      <c r="UIQ11" s="112"/>
      <c r="UIR11" s="112"/>
      <c r="UIS11" s="112"/>
      <c r="UIT11" s="112"/>
      <c r="UIU11" s="112"/>
      <c r="UIV11" s="112"/>
      <c r="UIW11" s="112"/>
      <c r="UIX11" s="112"/>
      <c r="UIY11" s="112"/>
      <c r="UIZ11" s="112"/>
      <c r="UJA11" s="112"/>
      <c r="UJB11" s="112"/>
      <c r="UJC11" s="112"/>
      <c r="UJD11" s="112"/>
      <c r="UJE11" s="112"/>
      <c r="UJF11" s="112"/>
      <c r="UJG11" s="112"/>
      <c r="UJH11" s="112"/>
      <c r="UJI11" s="112"/>
      <c r="UJJ11" s="112"/>
      <c r="UJK11" s="112"/>
      <c r="UJL11" s="112"/>
      <c r="UJM11" s="112"/>
      <c r="UJN11" s="112"/>
      <c r="UJO11" s="112"/>
      <c r="UJP11" s="112"/>
      <c r="UJQ11" s="112"/>
      <c r="UJR11" s="112"/>
      <c r="UJS11" s="112"/>
      <c r="UJT11" s="112"/>
      <c r="UJU11" s="112"/>
      <c r="UJV11" s="112"/>
      <c r="UJW11" s="112"/>
      <c r="UJX11" s="112"/>
      <c r="UJY11" s="112"/>
      <c r="UJZ11" s="112"/>
      <c r="UKA11" s="112"/>
      <c r="UKB11" s="112"/>
      <c r="UKC11" s="112"/>
      <c r="UKD11" s="112"/>
      <c r="UKE11" s="112"/>
      <c r="UKF11" s="112"/>
      <c r="UKG11" s="112"/>
      <c r="UKH11" s="112"/>
      <c r="UKI11" s="112"/>
      <c r="UKJ11" s="112"/>
      <c r="UKK11" s="112"/>
      <c r="UKL11" s="112"/>
      <c r="UKM11" s="112"/>
      <c r="UKN11" s="112"/>
      <c r="UKO11" s="112"/>
      <c r="UKP11" s="112"/>
      <c r="UKQ11" s="112"/>
      <c r="UKR11" s="112"/>
      <c r="UKS11" s="112"/>
      <c r="UKT11" s="112"/>
      <c r="UKU11" s="112"/>
      <c r="UKV11" s="112"/>
      <c r="UKW11" s="112"/>
      <c r="UKX11" s="112"/>
      <c r="UKY11" s="112"/>
      <c r="UKZ11" s="112"/>
      <c r="ULA11" s="112"/>
      <c r="ULB11" s="112"/>
      <c r="ULC11" s="112"/>
      <c r="ULD11" s="112"/>
      <c r="ULE11" s="112"/>
      <c r="ULF11" s="112"/>
      <c r="ULG11" s="112"/>
      <c r="ULH11" s="112"/>
      <c r="ULI11" s="112"/>
      <c r="ULJ11" s="112"/>
      <c r="ULK11" s="112"/>
      <c r="ULL11" s="112"/>
      <c r="ULM11" s="112"/>
      <c r="ULN11" s="112"/>
      <c r="ULO11" s="112"/>
      <c r="ULP11" s="112"/>
      <c r="ULQ11" s="112"/>
      <c r="ULR11" s="112"/>
      <c r="ULS11" s="112"/>
      <c r="ULT11" s="112"/>
      <c r="ULU11" s="112"/>
      <c r="ULV11" s="112"/>
      <c r="ULW11" s="112"/>
      <c r="ULX11" s="112"/>
      <c r="ULY11" s="112"/>
      <c r="ULZ11" s="112"/>
      <c r="UMA11" s="112"/>
      <c r="UMB11" s="112"/>
      <c r="UMC11" s="112"/>
      <c r="UMD11" s="112"/>
      <c r="UME11" s="112"/>
      <c r="UMF11" s="112"/>
      <c r="UMG11" s="112"/>
      <c r="UMH11" s="112"/>
      <c r="UMI11" s="112"/>
      <c r="UMJ11" s="112"/>
      <c r="UMK11" s="112"/>
      <c r="UML11" s="112"/>
      <c r="UMM11" s="112"/>
      <c r="UMN11" s="112"/>
      <c r="UMO11" s="112"/>
      <c r="UMP11" s="112"/>
      <c r="UMQ11" s="112"/>
      <c r="UMR11" s="112"/>
      <c r="UMS11" s="112"/>
      <c r="UMT11" s="112"/>
      <c r="UMU11" s="112"/>
      <c r="UMV11" s="112"/>
      <c r="UMW11" s="112"/>
      <c r="UMX11" s="112"/>
      <c r="UMY11" s="112"/>
      <c r="UMZ11" s="112"/>
      <c r="UNA11" s="112"/>
      <c r="UNB11" s="112"/>
      <c r="UNC11" s="112"/>
      <c r="UND11" s="112"/>
      <c r="UNE11" s="112"/>
      <c r="UNF11" s="112"/>
      <c r="UNG11" s="112"/>
      <c r="UNH11" s="112"/>
      <c r="UNI11" s="112"/>
      <c r="UNJ11" s="112"/>
      <c r="UNK11" s="112"/>
      <c r="UNL11" s="112"/>
      <c r="UNM11" s="112"/>
      <c r="UNN11" s="112"/>
      <c r="UNO11" s="112"/>
      <c r="UNP11" s="112"/>
      <c r="UNQ11" s="112"/>
      <c r="UNR11" s="112"/>
      <c r="UNS11" s="112"/>
      <c r="UNT11" s="112"/>
      <c r="UNU11" s="112"/>
      <c r="UNV11" s="112"/>
      <c r="UNW11" s="112"/>
      <c r="UNX11" s="112"/>
      <c r="UNY11" s="112"/>
      <c r="UNZ11" s="112"/>
      <c r="UOA11" s="112"/>
      <c r="UOB11" s="112"/>
      <c r="UOC11" s="112"/>
      <c r="UOD11" s="112"/>
      <c r="UOE11" s="112"/>
      <c r="UOF11" s="112"/>
      <c r="UOG11" s="112"/>
      <c r="UOH11" s="112"/>
      <c r="UOI11" s="112"/>
      <c r="UOJ11" s="112"/>
      <c r="UOK11" s="112"/>
      <c r="UOL11" s="112"/>
      <c r="UOM11" s="112"/>
      <c r="UON11" s="112"/>
      <c r="UOO11" s="112"/>
      <c r="UOP11" s="112"/>
      <c r="UOQ11" s="112"/>
      <c r="UOR11" s="112"/>
      <c r="UOS11" s="112"/>
      <c r="UOT11" s="112"/>
      <c r="UOU11" s="112"/>
      <c r="UOV11" s="112"/>
      <c r="UOW11" s="112"/>
      <c r="UOX11" s="112"/>
      <c r="UOY11" s="112"/>
      <c r="UOZ11" s="112"/>
      <c r="UPA11" s="112"/>
      <c r="UPB11" s="112"/>
      <c r="UPC11" s="112"/>
      <c r="UPD11" s="112"/>
      <c r="UPE11" s="112"/>
      <c r="UPF11" s="112"/>
      <c r="UPG11" s="112"/>
      <c r="UPH11" s="112"/>
      <c r="UPI11" s="112"/>
      <c r="UPJ11" s="112"/>
      <c r="UPK11" s="112"/>
      <c r="UPL11" s="112"/>
      <c r="UPM11" s="112"/>
      <c r="UPN11" s="112"/>
      <c r="UPO11" s="112"/>
      <c r="UPP11" s="112"/>
      <c r="UPQ11" s="112"/>
      <c r="UPR11" s="112"/>
      <c r="UPS11" s="112"/>
      <c r="UPT11" s="112"/>
      <c r="UPU11" s="112"/>
      <c r="UPV11" s="112"/>
      <c r="UPW11" s="112"/>
      <c r="UPX11" s="112"/>
      <c r="UPY11" s="112"/>
      <c r="UPZ11" s="112"/>
      <c r="UQA11" s="112"/>
      <c r="UQB11" s="112"/>
      <c r="UQC11" s="112"/>
      <c r="UQD11" s="112"/>
      <c r="UQE11" s="112"/>
      <c r="UQF11" s="112"/>
      <c r="UQG11" s="112"/>
      <c r="UQH11" s="112"/>
      <c r="UQI11" s="112"/>
      <c r="UQJ11" s="112"/>
      <c r="UQK11" s="112"/>
      <c r="UQL11" s="112"/>
      <c r="UQM11" s="112"/>
      <c r="UQN11" s="112"/>
      <c r="UQO11" s="112"/>
      <c r="UQP11" s="112"/>
      <c r="UQQ11" s="112"/>
      <c r="UQR11" s="112"/>
      <c r="UQS11" s="112"/>
      <c r="UQT11" s="112"/>
      <c r="UQU11" s="112"/>
      <c r="UQV11" s="112"/>
      <c r="UQW11" s="112"/>
      <c r="UQX11" s="112"/>
      <c r="UQY11" s="112"/>
      <c r="UQZ11" s="112"/>
      <c r="URA11" s="112"/>
      <c r="URB11" s="112"/>
      <c r="URC11" s="112"/>
      <c r="URD11" s="112"/>
      <c r="URE11" s="112"/>
      <c r="URF11" s="112"/>
      <c r="URG11" s="112"/>
      <c r="URH11" s="112"/>
      <c r="URI11" s="112"/>
      <c r="URJ11" s="112"/>
      <c r="URK11" s="112"/>
      <c r="URL11" s="112"/>
      <c r="URM11" s="112"/>
      <c r="URN11" s="112"/>
      <c r="URO11" s="112"/>
      <c r="URP11" s="112"/>
      <c r="URQ11" s="112"/>
      <c r="URR11" s="112"/>
      <c r="URS11" s="112"/>
      <c r="URT11" s="112"/>
      <c r="URU11" s="112"/>
      <c r="URV11" s="112"/>
      <c r="URW11" s="112"/>
      <c r="URX11" s="112"/>
      <c r="URY11" s="112"/>
      <c r="URZ11" s="112"/>
      <c r="USA11" s="112"/>
      <c r="USB11" s="112"/>
      <c r="USC11" s="112"/>
      <c r="USD11" s="112"/>
      <c r="USE11" s="112"/>
      <c r="USF11" s="112"/>
      <c r="USG11" s="112"/>
      <c r="USH11" s="112"/>
      <c r="USI11" s="112"/>
      <c r="USJ11" s="112"/>
      <c r="USK11" s="112"/>
      <c r="USL11" s="112"/>
      <c r="USM11" s="112"/>
      <c r="USN11" s="112"/>
      <c r="USO11" s="112"/>
      <c r="USP11" s="112"/>
      <c r="USQ11" s="112"/>
      <c r="USR11" s="112"/>
      <c r="USS11" s="112"/>
      <c r="UST11" s="112"/>
      <c r="USU11" s="112"/>
      <c r="USV11" s="112"/>
      <c r="USW11" s="112"/>
      <c r="USX11" s="112"/>
      <c r="USY11" s="112"/>
      <c r="USZ11" s="112"/>
      <c r="UTA11" s="112"/>
      <c r="UTB11" s="112"/>
      <c r="UTC11" s="112"/>
      <c r="UTD11" s="112"/>
      <c r="UTE11" s="112"/>
      <c r="UTF11" s="112"/>
      <c r="UTG11" s="112"/>
      <c r="UTH11" s="112"/>
      <c r="UTI11" s="112"/>
      <c r="UTJ11" s="112"/>
      <c r="UTK11" s="112"/>
      <c r="UTL11" s="112"/>
      <c r="UTM11" s="112"/>
      <c r="UTN11" s="112"/>
      <c r="UTO11" s="112"/>
      <c r="UTP11" s="112"/>
      <c r="UTQ11" s="112"/>
      <c r="UTR11" s="112"/>
      <c r="UTS11" s="112"/>
      <c r="UTT11" s="112"/>
      <c r="UTU11" s="112"/>
      <c r="UTV11" s="112"/>
      <c r="UTW11" s="112"/>
      <c r="UTX11" s="112"/>
      <c r="UTY11" s="112"/>
      <c r="UTZ11" s="112"/>
      <c r="UUA11" s="112"/>
      <c r="UUB11" s="112"/>
      <c r="UUC11" s="112"/>
      <c r="UUD11" s="112"/>
      <c r="UUE11" s="112"/>
      <c r="UUF11" s="112"/>
      <c r="UUG11" s="112"/>
      <c r="UUH11" s="112"/>
      <c r="UUI11" s="112"/>
      <c r="UUJ11" s="112"/>
      <c r="UUK11" s="112"/>
      <c r="UUL11" s="112"/>
      <c r="UUM11" s="112"/>
      <c r="UUN11" s="112"/>
      <c r="UUO11" s="112"/>
      <c r="UUP11" s="112"/>
      <c r="UUQ11" s="112"/>
      <c r="UUR11" s="112"/>
      <c r="UUS11" s="112"/>
      <c r="UUT11" s="112"/>
      <c r="UUU11" s="112"/>
      <c r="UUV11" s="112"/>
      <c r="UUW11" s="112"/>
      <c r="UUX11" s="112"/>
      <c r="UUY11" s="112"/>
      <c r="UUZ11" s="112"/>
      <c r="UVA11" s="112"/>
      <c r="UVB11" s="112"/>
      <c r="UVC11" s="112"/>
      <c r="UVD11" s="112"/>
      <c r="UVE11" s="112"/>
      <c r="UVF11" s="112"/>
      <c r="UVG11" s="112"/>
      <c r="UVH11" s="112"/>
      <c r="UVI11" s="112"/>
      <c r="UVJ11" s="112"/>
      <c r="UVK11" s="112"/>
      <c r="UVL11" s="112"/>
      <c r="UVM11" s="112"/>
      <c r="UVN11" s="112"/>
      <c r="UVO11" s="112"/>
      <c r="UVP11" s="112"/>
      <c r="UVQ11" s="112"/>
      <c r="UVR11" s="112"/>
      <c r="UVS11" s="112"/>
      <c r="UVT11" s="112"/>
      <c r="UVU11" s="112"/>
      <c r="UVV11" s="112"/>
      <c r="UVW11" s="112"/>
      <c r="UVX11" s="112"/>
      <c r="UVY11" s="112"/>
      <c r="UVZ11" s="112"/>
      <c r="UWA11" s="112"/>
      <c r="UWB11" s="112"/>
      <c r="UWC11" s="112"/>
      <c r="UWD11" s="112"/>
      <c r="UWE11" s="112"/>
      <c r="UWF11" s="112"/>
      <c r="UWG11" s="112"/>
      <c r="UWH11" s="112"/>
      <c r="UWI11" s="112"/>
      <c r="UWJ11" s="112"/>
      <c r="UWK11" s="112"/>
      <c r="UWL11" s="112"/>
      <c r="UWM11" s="112"/>
      <c r="UWN11" s="112"/>
      <c r="UWO11" s="112"/>
      <c r="UWP11" s="112"/>
      <c r="UWQ11" s="112"/>
      <c r="UWR11" s="112"/>
      <c r="UWS11" s="112"/>
      <c r="UWT11" s="112"/>
      <c r="UWU11" s="112"/>
      <c r="UWV11" s="112"/>
      <c r="UWW11" s="112"/>
      <c r="UWX11" s="112"/>
      <c r="UWY11" s="112"/>
      <c r="UWZ11" s="112"/>
      <c r="UXA11" s="112"/>
      <c r="UXB11" s="112"/>
      <c r="UXC11" s="112"/>
      <c r="UXD11" s="112"/>
      <c r="UXE11" s="112"/>
      <c r="UXF11" s="112"/>
      <c r="UXG11" s="112"/>
      <c r="UXH11" s="112"/>
      <c r="UXI11" s="112"/>
      <c r="UXJ11" s="112"/>
      <c r="UXK11" s="112"/>
      <c r="UXL11" s="112"/>
      <c r="UXM11" s="112"/>
      <c r="UXN11" s="112"/>
      <c r="UXO11" s="112"/>
      <c r="UXP11" s="112"/>
      <c r="UXQ11" s="112"/>
      <c r="UXR11" s="112"/>
      <c r="UXS11" s="112"/>
      <c r="UXT11" s="112"/>
      <c r="UXU11" s="112"/>
      <c r="UXV11" s="112"/>
      <c r="UXW11" s="112"/>
      <c r="UXX11" s="112"/>
      <c r="UXY11" s="112"/>
      <c r="UXZ11" s="112"/>
      <c r="UYA11" s="112"/>
      <c r="UYB11" s="112"/>
      <c r="UYC11" s="112"/>
      <c r="UYD11" s="112"/>
      <c r="UYE11" s="112"/>
      <c r="UYF11" s="112"/>
      <c r="UYG11" s="112"/>
      <c r="UYH11" s="112"/>
      <c r="UYI11" s="112"/>
      <c r="UYJ11" s="112"/>
      <c r="UYK11" s="112"/>
      <c r="UYL11" s="112"/>
      <c r="UYM11" s="112"/>
      <c r="UYN11" s="112"/>
      <c r="UYO11" s="112"/>
      <c r="UYP11" s="112"/>
      <c r="UYQ11" s="112"/>
      <c r="UYR11" s="112"/>
      <c r="UYS11" s="112"/>
      <c r="UYT11" s="112"/>
      <c r="UYU11" s="112"/>
      <c r="UYV11" s="112"/>
      <c r="UYW11" s="112"/>
      <c r="UYX11" s="112"/>
      <c r="UYY11" s="112"/>
      <c r="UYZ11" s="112"/>
      <c r="UZA11" s="112"/>
      <c r="UZB11" s="112"/>
      <c r="UZC11" s="112"/>
      <c r="UZD11" s="112"/>
      <c r="UZE11" s="112"/>
      <c r="UZF11" s="112"/>
      <c r="UZG11" s="112"/>
      <c r="UZH11" s="112"/>
      <c r="UZI11" s="112"/>
      <c r="UZJ11" s="112"/>
      <c r="UZK11" s="112"/>
      <c r="UZL11" s="112"/>
      <c r="UZM11" s="112"/>
      <c r="UZN11" s="112"/>
      <c r="UZO11" s="112"/>
      <c r="UZP11" s="112"/>
      <c r="UZQ11" s="112"/>
      <c r="UZR11" s="112"/>
      <c r="UZS11" s="112"/>
      <c r="UZT11" s="112"/>
      <c r="UZU11" s="112"/>
      <c r="UZV11" s="112"/>
      <c r="UZW11" s="112"/>
      <c r="UZX11" s="112"/>
      <c r="UZY11" s="112"/>
      <c r="UZZ11" s="112"/>
      <c r="VAA11" s="112"/>
      <c r="VAB11" s="112"/>
      <c r="VAC11" s="112"/>
      <c r="VAD11" s="112"/>
      <c r="VAE11" s="112"/>
      <c r="VAF11" s="112"/>
      <c r="VAG11" s="112"/>
      <c r="VAH11" s="112"/>
      <c r="VAI11" s="112"/>
      <c r="VAJ11" s="112"/>
      <c r="VAK11" s="112"/>
      <c r="VAL11" s="112"/>
      <c r="VAM11" s="112"/>
      <c r="VAN11" s="112"/>
      <c r="VAO11" s="112"/>
      <c r="VAP11" s="112"/>
      <c r="VAQ11" s="112"/>
      <c r="VAR11" s="112"/>
      <c r="VAS11" s="112"/>
      <c r="VAT11" s="112"/>
      <c r="VAU11" s="112"/>
      <c r="VAV11" s="112"/>
      <c r="VAW11" s="112"/>
      <c r="VAX11" s="112"/>
      <c r="VAY11" s="112"/>
      <c r="VAZ11" s="112"/>
      <c r="VBA11" s="112"/>
      <c r="VBB11" s="112"/>
      <c r="VBC11" s="112"/>
      <c r="VBD11" s="112"/>
      <c r="VBE11" s="112"/>
      <c r="VBF11" s="112"/>
      <c r="VBG11" s="112"/>
      <c r="VBH11" s="112"/>
      <c r="VBI11" s="112"/>
      <c r="VBJ11" s="112"/>
      <c r="VBK11" s="112"/>
      <c r="VBL11" s="112"/>
      <c r="VBM11" s="112"/>
      <c r="VBN11" s="112"/>
      <c r="VBO11" s="112"/>
      <c r="VBP11" s="112"/>
      <c r="VBQ11" s="112"/>
      <c r="VBR11" s="112"/>
      <c r="VBS11" s="112"/>
      <c r="VBT11" s="112"/>
      <c r="VBU11" s="112"/>
      <c r="VBV11" s="112"/>
      <c r="VBW11" s="112"/>
      <c r="VBX11" s="112"/>
      <c r="VBY11" s="112"/>
      <c r="VBZ11" s="112"/>
      <c r="VCA11" s="112"/>
      <c r="VCB11" s="112"/>
      <c r="VCC11" s="112"/>
      <c r="VCD11" s="112"/>
      <c r="VCE11" s="112"/>
      <c r="VCF11" s="112"/>
      <c r="VCG11" s="112"/>
      <c r="VCH11" s="112"/>
      <c r="VCI11" s="112"/>
      <c r="VCJ11" s="112"/>
      <c r="VCK11" s="112"/>
      <c r="VCL11" s="112"/>
      <c r="VCM11" s="112"/>
      <c r="VCN11" s="112"/>
      <c r="VCO11" s="112"/>
      <c r="VCP11" s="112"/>
      <c r="VCQ11" s="112"/>
      <c r="VCR11" s="112"/>
      <c r="VCS11" s="112"/>
      <c r="VCT11" s="112"/>
      <c r="VCU11" s="112"/>
      <c r="VCV11" s="112"/>
      <c r="VCW11" s="112"/>
      <c r="VCX11" s="112"/>
      <c r="VCY11" s="112"/>
      <c r="VCZ11" s="112"/>
      <c r="VDA11" s="112"/>
      <c r="VDB11" s="112"/>
      <c r="VDC11" s="112"/>
      <c r="VDD11" s="112"/>
      <c r="VDE11" s="112"/>
      <c r="VDF11" s="112"/>
      <c r="VDG11" s="112"/>
      <c r="VDH11" s="112"/>
      <c r="VDI11" s="112"/>
      <c r="VDJ11" s="112"/>
      <c r="VDK11" s="112"/>
      <c r="VDL11" s="112"/>
      <c r="VDM11" s="112"/>
      <c r="VDN11" s="112"/>
      <c r="VDO11" s="112"/>
      <c r="VDP11" s="112"/>
      <c r="VDQ11" s="112"/>
      <c r="VDR11" s="112"/>
      <c r="VDS11" s="112"/>
      <c r="VDT11" s="112"/>
      <c r="VDU11" s="112"/>
      <c r="VDV11" s="112"/>
      <c r="VDW11" s="112"/>
      <c r="VDX11" s="112"/>
      <c r="VDY11" s="112"/>
      <c r="VDZ11" s="112"/>
      <c r="VEA11" s="112"/>
      <c r="VEB11" s="112"/>
      <c r="VEC11" s="112"/>
      <c r="VED11" s="112"/>
      <c r="VEE11" s="112"/>
      <c r="VEF11" s="112"/>
      <c r="VEG11" s="112"/>
      <c r="VEH11" s="112"/>
      <c r="VEI11" s="112"/>
      <c r="VEJ11" s="112"/>
      <c r="VEK11" s="112"/>
      <c r="VEL11" s="112"/>
      <c r="VEM11" s="112"/>
      <c r="VEN11" s="112"/>
      <c r="VEO11" s="112"/>
      <c r="VEP11" s="112"/>
      <c r="VEQ11" s="112"/>
      <c r="VER11" s="112"/>
      <c r="VES11" s="112"/>
      <c r="VET11" s="112"/>
      <c r="VEU11" s="112"/>
      <c r="VEV11" s="112"/>
      <c r="VEW11" s="112"/>
      <c r="VEX11" s="112"/>
      <c r="VEY11" s="112"/>
      <c r="VEZ11" s="112"/>
      <c r="VFA11" s="112"/>
      <c r="VFB11" s="112"/>
      <c r="VFC11" s="112"/>
      <c r="VFD11" s="112"/>
      <c r="VFE11" s="112"/>
      <c r="VFF11" s="112"/>
      <c r="VFG11" s="112"/>
      <c r="VFH11" s="112"/>
      <c r="VFI11" s="112"/>
      <c r="VFJ11" s="112"/>
      <c r="VFK11" s="112"/>
      <c r="VFL11" s="112"/>
      <c r="VFM11" s="112"/>
      <c r="VFN11" s="112"/>
      <c r="VFO11" s="112"/>
      <c r="VFP11" s="112"/>
      <c r="VFQ11" s="112"/>
      <c r="VFR11" s="112"/>
      <c r="VFS11" s="112"/>
      <c r="VFT11" s="112"/>
      <c r="VFU11" s="112"/>
      <c r="VFV11" s="112"/>
      <c r="VFW11" s="112"/>
      <c r="VFX11" s="112"/>
      <c r="VFY11" s="112"/>
      <c r="VFZ11" s="112"/>
      <c r="VGA11" s="112"/>
      <c r="VGB11" s="112"/>
      <c r="VGC11" s="112"/>
      <c r="VGD11" s="112"/>
      <c r="VGE11" s="112"/>
      <c r="VGF11" s="112"/>
      <c r="VGG11" s="112"/>
      <c r="VGH11" s="112"/>
      <c r="VGI11" s="112"/>
      <c r="VGJ11" s="112"/>
      <c r="VGK11" s="112"/>
      <c r="VGL11" s="112"/>
      <c r="VGM11" s="112"/>
      <c r="VGN11" s="112"/>
      <c r="VGO11" s="112"/>
      <c r="VGP11" s="112"/>
      <c r="VGQ11" s="112"/>
      <c r="VGR11" s="112"/>
      <c r="VGS11" s="112"/>
      <c r="VGT11" s="112"/>
      <c r="VGU11" s="112"/>
      <c r="VGV11" s="112"/>
      <c r="VGW11" s="112"/>
      <c r="VGX11" s="112"/>
      <c r="VGY11" s="112"/>
      <c r="VGZ11" s="112"/>
      <c r="VHA11" s="112"/>
      <c r="VHB11" s="112"/>
      <c r="VHC11" s="112"/>
      <c r="VHD11" s="112"/>
      <c r="VHE11" s="112"/>
      <c r="VHF11" s="112"/>
      <c r="VHG11" s="112"/>
      <c r="VHH11" s="112"/>
      <c r="VHI11" s="112"/>
      <c r="VHJ11" s="112"/>
      <c r="VHK11" s="112"/>
      <c r="VHL11" s="112"/>
      <c r="VHM11" s="112"/>
      <c r="VHN11" s="112"/>
      <c r="VHO11" s="112"/>
      <c r="VHP11" s="112"/>
      <c r="VHQ11" s="112"/>
      <c r="VHR11" s="112"/>
      <c r="VHS11" s="112"/>
      <c r="VHT11" s="112"/>
      <c r="VHU11" s="112"/>
      <c r="VHV11" s="112"/>
      <c r="VHW11" s="112"/>
      <c r="VHX11" s="112"/>
      <c r="VHY11" s="112"/>
      <c r="VHZ11" s="112"/>
      <c r="VIA11" s="112"/>
      <c r="VIB11" s="112"/>
      <c r="VIC11" s="112"/>
      <c r="VID11" s="112"/>
      <c r="VIE11" s="112"/>
      <c r="VIF11" s="112"/>
      <c r="VIG11" s="112"/>
      <c r="VIH11" s="112"/>
      <c r="VII11" s="112"/>
      <c r="VIJ11" s="112"/>
      <c r="VIK11" s="112"/>
      <c r="VIL11" s="112"/>
      <c r="VIM11" s="112"/>
      <c r="VIN11" s="112"/>
      <c r="VIO11" s="112"/>
      <c r="VIP11" s="112"/>
      <c r="VIQ11" s="112"/>
      <c r="VIR11" s="112"/>
      <c r="VIS11" s="112"/>
      <c r="VIT11" s="112"/>
      <c r="VIU11" s="112"/>
      <c r="VIV11" s="112"/>
      <c r="VIW11" s="112"/>
      <c r="VIX11" s="112"/>
      <c r="VIY11" s="112"/>
      <c r="VIZ11" s="112"/>
      <c r="VJA11" s="112"/>
      <c r="VJB11" s="112"/>
      <c r="VJC11" s="112"/>
      <c r="VJD11" s="112"/>
      <c r="VJE11" s="112"/>
      <c r="VJF11" s="112"/>
      <c r="VJG11" s="112"/>
      <c r="VJH11" s="112"/>
      <c r="VJI11" s="112"/>
      <c r="VJJ11" s="112"/>
      <c r="VJK11" s="112"/>
      <c r="VJL11" s="112"/>
      <c r="VJM11" s="112"/>
      <c r="VJN11" s="112"/>
      <c r="VJO11" s="112"/>
      <c r="VJP11" s="112"/>
      <c r="VJQ11" s="112"/>
      <c r="VJR11" s="112"/>
      <c r="VJS11" s="112"/>
      <c r="VJT11" s="112"/>
      <c r="VJU11" s="112"/>
      <c r="VJV11" s="112"/>
      <c r="VJW11" s="112"/>
      <c r="VJX11" s="112"/>
      <c r="VJY11" s="112"/>
      <c r="VJZ11" s="112"/>
      <c r="VKA11" s="112"/>
      <c r="VKB11" s="112"/>
      <c r="VKC11" s="112"/>
      <c r="VKD11" s="112"/>
      <c r="VKE11" s="112"/>
      <c r="VKF11" s="112"/>
      <c r="VKG11" s="112"/>
      <c r="VKH11" s="112"/>
      <c r="VKI11" s="112"/>
      <c r="VKJ11" s="112"/>
      <c r="VKK11" s="112"/>
      <c r="VKL11" s="112"/>
      <c r="VKM11" s="112"/>
      <c r="VKN11" s="112"/>
      <c r="VKO11" s="112"/>
      <c r="VKP11" s="112"/>
      <c r="VKQ11" s="112"/>
      <c r="VKR11" s="112"/>
      <c r="VKS11" s="112"/>
      <c r="VKT11" s="112"/>
      <c r="VKU11" s="112"/>
      <c r="VKV11" s="112"/>
      <c r="VKW11" s="112"/>
      <c r="VKX11" s="112"/>
      <c r="VKY11" s="112"/>
      <c r="VKZ11" s="112"/>
      <c r="VLA11" s="112"/>
      <c r="VLB11" s="112"/>
      <c r="VLC11" s="112"/>
      <c r="VLD11" s="112"/>
      <c r="VLE11" s="112"/>
      <c r="VLF11" s="112"/>
      <c r="VLG11" s="112"/>
      <c r="VLH11" s="112"/>
      <c r="VLI11" s="112"/>
      <c r="VLJ11" s="112"/>
      <c r="VLK11" s="112"/>
      <c r="VLL11" s="112"/>
      <c r="VLM11" s="112"/>
      <c r="VLN11" s="112"/>
      <c r="VLO11" s="112"/>
      <c r="VLP11" s="112"/>
      <c r="VLQ11" s="112"/>
      <c r="VLR11" s="112"/>
      <c r="VLS11" s="112"/>
      <c r="VLT11" s="112"/>
      <c r="VLU11" s="112"/>
      <c r="VLV11" s="112"/>
      <c r="VLW11" s="112"/>
      <c r="VLX11" s="112"/>
      <c r="VLY11" s="112"/>
      <c r="VLZ11" s="112"/>
      <c r="VMA11" s="112"/>
      <c r="VMB11" s="112"/>
      <c r="VMC11" s="112"/>
      <c r="VMD11" s="112"/>
      <c r="VME11" s="112"/>
      <c r="VMF11" s="112"/>
      <c r="VMG11" s="112"/>
      <c r="VMH11" s="112"/>
      <c r="VMI11" s="112"/>
      <c r="VMJ11" s="112"/>
      <c r="VMK11" s="112"/>
      <c r="VML11" s="112"/>
      <c r="VMM11" s="112"/>
      <c r="VMN11" s="112"/>
      <c r="VMO11" s="112"/>
      <c r="VMP11" s="112"/>
      <c r="VMQ11" s="112"/>
      <c r="VMR11" s="112"/>
      <c r="VMS11" s="112"/>
      <c r="VMT11" s="112"/>
      <c r="VMU11" s="112"/>
      <c r="VMV11" s="112"/>
      <c r="VMW11" s="112"/>
      <c r="VMX11" s="112"/>
      <c r="VMY11" s="112"/>
      <c r="VMZ11" s="112"/>
      <c r="VNA11" s="112"/>
      <c r="VNB11" s="112"/>
      <c r="VNC11" s="112"/>
      <c r="VND11" s="112"/>
      <c r="VNE11" s="112"/>
      <c r="VNF11" s="112"/>
      <c r="VNG11" s="112"/>
      <c r="VNH11" s="112"/>
      <c r="VNI11" s="112"/>
      <c r="VNJ11" s="112"/>
      <c r="VNK11" s="112"/>
      <c r="VNL11" s="112"/>
      <c r="VNM11" s="112"/>
      <c r="VNN11" s="112"/>
      <c r="VNO11" s="112"/>
      <c r="VNP11" s="112"/>
      <c r="VNQ11" s="112"/>
      <c r="VNR11" s="112"/>
      <c r="VNS11" s="112"/>
      <c r="VNT11" s="112"/>
      <c r="VNU11" s="112"/>
      <c r="VNV11" s="112"/>
      <c r="VNW11" s="112"/>
      <c r="VNX11" s="112"/>
      <c r="VNY11" s="112"/>
      <c r="VNZ11" s="112"/>
      <c r="VOA11" s="112"/>
      <c r="VOB11" s="112"/>
      <c r="VOC11" s="112"/>
      <c r="VOD11" s="112"/>
      <c r="VOE11" s="112"/>
      <c r="VOF11" s="112"/>
      <c r="VOG11" s="112"/>
      <c r="VOH11" s="112"/>
      <c r="VOI11" s="112"/>
      <c r="VOJ11" s="112"/>
      <c r="VOK11" s="112"/>
      <c r="VOL11" s="112"/>
      <c r="VOM11" s="112"/>
      <c r="VON11" s="112"/>
      <c r="VOO11" s="112"/>
      <c r="VOP11" s="112"/>
      <c r="VOQ11" s="112"/>
      <c r="VOR11" s="112"/>
      <c r="VOS11" s="112"/>
      <c r="VOT11" s="112"/>
      <c r="VOU11" s="112"/>
      <c r="VOV11" s="112"/>
      <c r="VOW11" s="112"/>
      <c r="VOX11" s="112"/>
      <c r="VOY11" s="112"/>
      <c r="VOZ11" s="112"/>
      <c r="VPA11" s="112"/>
      <c r="VPB11" s="112"/>
      <c r="VPC11" s="112"/>
      <c r="VPD11" s="112"/>
      <c r="VPE11" s="112"/>
      <c r="VPF11" s="112"/>
      <c r="VPG11" s="112"/>
      <c r="VPH11" s="112"/>
      <c r="VPI11" s="112"/>
      <c r="VPJ11" s="112"/>
      <c r="VPK11" s="112"/>
      <c r="VPL11" s="112"/>
      <c r="VPM11" s="112"/>
      <c r="VPN11" s="112"/>
      <c r="VPO11" s="112"/>
      <c r="VPP11" s="112"/>
      <c r="VPQ11" s="112"/>
      <c r="VPR11" s="112"/>
      <c r="VPS11" s="112"/>
      <c r="VPT11" s="112"/>
      <c r="VPU11" s="112"/>
      <c r="VPV11" s="112"/>
      <c r="VPW11" s="112"/>
      <c r="VPX11" s="112"/>
      <c r="VPY11" s="112"/>
      <c r="VPZ11" s="112"/>
      <c r="VQA11" s="112"/>
      <c r="VQB11" s="112"/>
      <c r="VQC11" s="112"/>
      <c r="VQD11" s="112"/>
      <c r="VQE11" s="112"/>
      <c r="VQF11" s="112"/>
      <c r="VQG11" s="112"/>
      <c r="VQH11" s="112"/>
      <c r="VQI11" s="112"/>
      <c r="VQJ11" s="112"/>
      <c r="VQK11" s="112"/>
      <c r="VQL11" s="112"/>
      <c r="VQM11" s="112"/>
      <c r="VQN11" s="112"/>
      <c r="VQO11" s="112"/>
      <c r="VQP11" s="112"/>
      <c r="VQQ11" s="112"/>
      <c r="VQR11" s="112"/>
      <c r="VQS11" s="112"/>
      <c r="VQT11" s="112"/>
      <c r="VQU11" s="112"/>
      <c r="VQV11" s="112"/>
      <c r="VQW11" s="112"/>
      <c r="VQX11" s="112"/>
      <c r="VQY11" s="112"/>
      <c r="VQZ11" s="112"/>
      <c r="VRA11" s="112"/>
      <c r="VRB11" s="112"/>
      <c r="VRC11" s="112"/>
      <c r="VRD11" s="112"/>
      <c r="VRE11" s="112"/>
      <c r="VRF11" s="112"/>
      <c r="VRG11" s="112"/>
      <c r="VRH11" s="112"/>
      <c r="VRI11" s="112"/>
      <c r="VRJ11" s="112"/>
      <c r="VRK11" s="112"/>
      <c r="VRL11" s="112"/>
      <c r="VRM11" s="112"/>
      <c r="VRN11" s="112"/>
      <c r="VRO11" s="112"/>
      <c r="VRP11" s="112"/>
      <c r="VRQ11" s="112"/>
      <c r="VRR11" s="112"/>
      <c r="VRS11" s="112"/>
      <c r="VRT11" s="112"/>
      <c r="VRU11" s="112"/>
      <c r="VRV11" s="112"/>
      <c r="VRW11" s="112"/>
      <c r="VRX11" s="112"/>
      <c r="VRY11" s="112"/>
      <c r="VRZ11" s="112"/>
      <c r="VSA11" s="112"/>
      <c r="VSB11" s="112"/>
      <c r="VSC11" s="112"/>
      <c r="VSD11" s="112"/>
      <c r="VSE11" s="112"/>
      <c r="VSF11" s="112"/>
      <c r="VSG11" s="112"/>
      <c r="VSH11" s="112"/>
      <c r="VSI11" s="112"/>
      <c r="VSJ11" s="112"/>
      <c r="VSK11" s="112"/>
      <c r="VSL11" s="112"/>
      <c r="VSM11" s="112"/>
      <c r="VSN11" s="112"/>
      <c r="VSO11" s="112"/>
      <c r="VSP11" s="112"/>
      <c r="VSQ11" s="112"/>
      <c r="VSR11" s="112"/>
      <c r="VSS11" s="112"/>
      <c r="VST11" s="112"/>
      <c r="VSU11" s="112"/>
      <c r="VSV11" s="112"/>
      <c r="VSW11" s="112"/>
      <c r="VSX11" s="112"/>
      <c r="VSY11" s="112"/>
      <c r="VSZ11" s="112"/>
      <c r="VTA11" s="112"/>
      <c r="VTB11" s="112"/>
      <c r="VTC11" s="112"/>
      <c r="VTD11" s="112"/>
      <c r="VTE11" s="112"/>
      <c r="VTF11" s="112"/>
      <c r="VTG11" s="112"/>
      <c r="VTH11" s="112"/>
      <c r="VTI11" s="112"/>
      <c r="VTJ11" s="112"/>
      <c r="VTK11" s="112"/>
      <c r="VTL11" s="112"/>
      <c r="VTM11" s="112"/>
      <c r="VTN11" s="112"/>
      <c r="VTO11" s="112"/>
      <c r="VTP11" s="112"/>
      <c r="VTQ11" s="112"/>
      <c r="VTR11" s="112"/>
      <c r="VTS11" s="112"/>
      <c r="VTT11" s="112"/>
      <c r="VTU11" s="112"/>
      <c r="VTV11" s="112"/>
      <c r="VTW11" s="112"/>
      <c r="VTX11" s="112"/>
      <c r="VTY11" s="112"/>
      <c r="VTZ11" s="112"/>
      <c r="VUA11" s="112"/>
      <c r="VUB11" s="112"/>
      <c r="VUC11" s="112"/>
      <c r="VUD11" s="112"/>
      <c r="VUE11" s="112"/>
      <c r="VUF11" s="112"/>
      <c r="VUG11" s="112"/>
      <c r="VUH11" s="112"/>
      <c r="VUI11" s="112"/>
      <c r="VUJ11" s="112"/>
      <c r="VUK11" s="112"/>
      <c r="VUL11" s="112"/>
      <c r="VUM11" s="112"/>
      <c r="VUN11" s="112"/>
      <c r="VUO11" s="112"/>
      <c r="VUP11" s="112"/>
      <c r="VUQ11" s="112"/>
      <c r="VUR11" s="112"/>
      <c r="VUS11" s="112"/>
      <c r="VUT11" s="112"/>
      <c r="VUU11" s="112"/>
      <c r="VUV11" s="112"/>
      <c r="VUW11" s="112"/>
      <c r="VUX11" s="112"/>
      <c r="VUY11" s="112"/>
      <c r="VUZ11" s="112"/>
      <c r="VVA11" s="112"/>
      <c r="VVB11" s="112"/>
      <c r="VVC11" s="112"/>
      <c r="VVD11" s="112"/>
      <c r="VVE11" s="112"/>
      <c r="VVF11" s="112"/>
      <c r="VVG11" s="112"/>
      <c r="VVH11" s="112"/>
      <c r="VVI11" s="112"/>
      <c r="VVJ11" s="112"/>
      <c r="VVK11" s="112"/>
      <c r="VVL11" s="112"/>
      <c r="VVM11" s="112"/>
      <c r="VVN11" s="112"/>
      <c r="VVO11" s="112"/>
      <c r="VVP11" s="112"/>
      <c r="VVQ11" s="112"/>
      <c r="VVR11" s="112"/>
      <c r="VVS11" s="112"/>
      <c r="VVT11" s="112"/>
      <c r="VVU11" s="112"/>
      <c r="VVV11" s="112"/>
      <c r="VVW11" s="112"/>
      <c r="VVX11" s="112"/>
      <c r="VVY11" s="112"/>
      <c r="VVZ11" s="112"/>
      <c r="VWA11" s="112"/>
      <c r="VWB11" s="112"/>
      <c r="VWC11" s="112"/>
      <c r="VWD11" s="112"/>
      <c r="VWE11" s="112"/>
      <c r="VWF11" s="112"/>
      <c r="VWG11" s="112"/>
      <c r="VWH11" s="112"/>
      <c r="VWI11" s="112"/>
      <c r="VWJ11" s="112"/>
      <c r="VWK11" s="112"/>
      <c r="VWL11" s="112"/>
      <c r="VWM11" s="112"/>
      <c r="VWN11" s="112"/>
      <c r="VWO11" s="112"/>
      <c r="VWP11" s="112"/>
      <c r="VWQ11" s="112"/>
      <c r="VWR11" s="112"/>
      <c r="VWS11" s="112"/>
      <c r="VWT11" s="112"/>
      <c r="VWU11" s="112"/>
      <c r="VWV11" s="112"/>
      <c r="VWW11" s="112"/>
      <c r="VWX11" s="112"/>
      <c r="VWY11" s="112"/>
      <c r="VWZ11" s="112"/>
      <c r="VXA11" s="112"/>
      <c r="VXB11" s="112"/>
      <c r="VXC11" s="112"/>
      <c r="VXD11" s="112"/>
      <c r="VXE11" s="112"/>
      <c r="VXF11" s="112"/>
      <c r="VXG11" s="112"/>
      <c r="VXH11" s="112"/>
      <c r="VXI11" s="112"/>
      <c r="VXJ11" s="112"/>
      <c r="VXK11" s="112"/>
      <c r="VXL11" s="112"/>
      <c r="VXM11" s="112"/>
      <c r="VXN11" s="112"/>
      <c r="VXO11" s="112"/>
      <c r="VXP11" s="112"/>
      <c r="VXQ11" s="112"/>
      <c r="VXR11" s="112"/>
      <c r="VXS11" s="112"/>
      <c r="VXT11" s="112"/>
      <c r="VXU11" s="112"/>
      <c r="VXV11" s="112"/>
      <c r="VXW11" s="112"/>
      <c r="VXX11" s="112"/>
      <c r="VXY11" s="112"/>
      <c r="VXZ11" s="112"/>
      <c r="VYA11" s="112"/>
      <c r="VYB11" s="112"/>
      <c r="VYC11" s="112"/>
      <c r="VYD11" s="112"/>
      <c r="VYE11" s="112"/>
      <c r="VYF11" s="112"/>
      <c r="VYG11" s="112"/>
      <c r="VYH11" s="112"/>
      <c r="VYI11" s="112"/>
      <c r="VYJ11" s="112"/>
      <c r="VYK11" s="112"/>
      <c r="VYL11" s="112"/>
      <c r="VYM11" s="112"/>
      <c r="VYN11" s="112"/>
      <c r="VYO11" s="112"/>
      <c r="VYP11" s="112"/>
      <c r="VYQ11" s="112"/>
      <c r="VYR11" s="112"/>
      <c r="VYS11" s="112"/>
      <c r="VYT11" s="112"/>
      <c r="VYU11" s="112"/>
      <c r="VYV11" s="112"/>
      <c r="VYW11" s="112"/>
      <c r="VYX11" s="112"/>
      <c r="VYY11" s="112"/>
      <c r="VYZ11" s="112"/>
      <c r="VZA11" s="112"/>
      <c r="VZB11" s="112"/>
      <c r="VZC11" s="112"/>
      <c r="VZD11" s="112"/>
      <c r="VZE11" s="112"/>
      <c r="VZF11" s="112"/>
      <c r="VZG11" s="112"/>
      <c r="VZH11" s="112"/>
      <c r="VZI11" s="112"/>
      <c r="VZJ11" s="112"/>
      <c r="VZK11" s="112"/>
      <c r="VZL11" s="112"/>
      <c r="VZM11" s="112"/>
      <c r="VZN11" s="112"/>
      <c r="VZO11" s="112"/>
      <c r="VZP11" s="112"/>
      <c r="VZQ11" s="112"/>
      <c r="VZR11" s="112"/>
      <c r="VZS11" s="112"/>
      <c r="VZT11" s="112"/>
      <c r="VZU11" s="112"/>
      <c r="VZV11" s="112"/>
      <c r="VZW11" s="112"/>
      <c r="VZX11" s="112"/>
      <c r="VZY11" s="112"/>
      <c r="VZZ11" s="112"/>
      <c r="WAA11" s="112"/>
      <c r="WAB11" s="112"/>
      <c r="WAC11" s="112"/>
      <c r="WAD11" s="112"/>
      <c r="WAE11" s="112"/>
      <c r="WAF11" s="112"/>
      <c r="WAG11" s="112"/>
      <c r="WAH11" s="112"/>
      <c r="WAI11" s="112"/>
      <c r="WAJ11" s="112"/>
      <c r="WAK11" s="112"/>
      <c r="WAL11" s="112"/>
      <c r="WAM11" s="112"/>
      <c r="WAN11" s="112"/>
      <c r="WAO11" s="112"/>
      <c r="WAP11" s="112"/>
      <c r="WAQ11" s="112"/>
      <c r="WAR11" s="112"/>
      <c r="WAS11" s="112"/>
      <c r="WAT11" s="112"/>
      <c r="WAU11" s="112"/>
      <c r="WAV11" s="112"/>
      <c r="WAW11" s="112"/>
      <c r="WAX11" s="112"/>
      <c r="WAY11" s="112"/>
      <c r="WAZ11" s="112"/>
      <c r="WBA11" s="112"/>
      <c r="WBB11" s="112"/>
      <c r="WBC11" s="112"/>
      <c r="WBD11" s="112"/>
      <c r="WBE11" s="112"/>
      <c r="WBF11" s="112"/>
      <c r="WBG11" s="112"/>
      <c r="WBH11" s="112"/>
      <c r="WBI11" s="112"/>
      <c r="WBJ11" s="112"/>
      <c r="WBK11" s="112"/>
      <c r="WBL11" s="112"/>
      <c r="WBM11" s="112"/>
      <c r="WBN11" s="112"/>
      <c r="WBO11" s="112"/>
      <c r="WBP11" s="112"/>
      <c r="WBQ11" s="112"/>
      <c r="WBR11" s="112"/>
      <c r="WBS11" s="112"/>
      <c r="WBT11" s="112"/>
      <c r="WBU11" s="112"/>
      <c r="WBV11" s="112"/>
      <c r="WBW11" s="112"/>
      <c r="WBX11" s="112"/>
      <c r="WBY11" s="112"/>
      <c r="WBZ11" s="112"/>
      <c r="WCA11" s="112"/>
      <c r="WCB11" s="112"/>
      <c r="WCC11" s="112"/>
      <c r="WCD11" s="112"/>
      <c r="WCE11" s="112"/>
      <c r="WCF11" s="112"/>
      <c r="WCG11" s="112"/>
      <c r="WCH11" s="112"/>
      <c r="WCI11" s="112"/>
      <c r="WCJ11" s="112"/>
      <c r="WCK11" s="112"/>
      <c r="WCL11" s="112"/>
      <c r="WCM11" s="112"/>
      <c r="WCN11" s="112"/>
      <c r="WCO11" s="112"/>
      <c r="WCP11" s="112"/>
      <c r="WCQ11" s="112"/>
      <c r="WCR11" s="112"/>
      <c r="WCS11" s="112"/>
      <c r="WCT11" s="112"/>
      <c r="WCU11" s="112"/>
      <c r="WCV11" s="112"/>
      <c r="WCW11" s="112"/>
      <c r="WCX11" s="112"/>
      <c r="WCY11" s="112"/>
      <c r="WCZ11" s="112"/>
      <c r="WDA11" s="112"/>
      <c r="WDB11" s="112"/>
      <c r="WDC11" s="112"/>
      <c r="WDD11" s="112"/>
      <c r="WDE11" s="112"/>
      <c r="WDF11" s="112"/>
      <c r="WDG11" s="112"/>
      <c r="WDH11" s="112"/>
      <c r="WDI11" s="112"/>
      <c r="WDJ11" s="112"/>
      <c r="WDK11" s="112"/>
      <c r="WDL11" s="112"/>
      <c r="WDM11" s="112"/>
      <c r="WDN11" s="112"/>
      <c r="WDO11" s="112"/>
      <c r="WDP11" s="112"/>
      <c r="WDQ11" s="112"/>
      <c r="WDR11" s="112"/>
      <c r="WDS11" s="112"/>
      <c r="WDT11" s="112"/>
      <c r="WDU11" s="112"/>
      <c r="WDV11" s="112"/>
      <c r="WDW11" s="112"/>
      <c r="WDX11" s="112"/>
      <c r="WDY11" s="112"/>
      <c r="WDZ11" s="112"/>
      <c r="WEA11" s="112"/>
      <c r="WEB11" s="112"/>
      <c r="WEC11" s="112"/>
      <c r="WED11" s="112"/>
      <c r="WEE11" s="112"/>
      <c r="WEF11" s="112"/>
      <c r="WEG11" s="112"/>
      <c r="WEH11" s="112"/>
      <c r="WEI11" s="112"/>
      <c r="WEJ11" s="112"/>
      <c r="WEK11" s="112"/>
      <c r="WEL11" s="112"/>
      <c r="WEM11" s="112"/>
      <c r="WEN11" s="112"/>
      <c r="WEO11" s="112"/>
      <c r="WEP11" s="112"/>
      <c r="WEQ11" s="112"/>
      <c r="WER11" s="112"/>
      <c r="WES11" s="112"/>
      <c r="WET11" s="112"/>
      <c r="WEU11" s="112"/>
      <c r="WEV11" s="112"/>
      <c r="WEW11" s="112"/>
      <c r="WEX11" s="112"/>
      <c r="WEY11" s="112"/>
      <c r="WEZ11" s="112"/>
      <c r="WFA11" s="112"/>
      <c r="WFB11" s="112"/>
      <c r="WFC11" s="112"/>
      <c r="WFD11" s="112"/>
      <c r="WFE11" s="112"/>
      <c r="WFF11" s="112"/>
      <c r="WFG11" s="112"/>
      <c r="WFH11" s="112"/>
      <c r="WFI11" s="112"/>
      <c r="WFJ11" s="112"/>
      <c r="WFK11" s="112"/>
      <c r="WFL11" s="112"/>
      <c r="WFM11" s="112"/>
      <c r="WFN11" s="112"/>
      <c r="WFO11" s="112"/>
      <c r="WFP11" s="112"/>
      <c r="WFQ11" s="112"/>
      <c r="WFR11" s="112"/>
      <c r="WFS11" s="112"/>
      <c r="WFT11" s="112"/>
      <c r="WFU11" s="112"/>
      <c r="WFV11" s="112"/>
      <c r="WFW11" s="112"/>
      <c r="WFX11" s="112"/>
      <c r="WFY11" s="112"/>
      <c r="WFZ11" s="112"/>
      <c r="WGA11" s="112"/>
      <c r="WGB11" s="112"/>
      <c r="WGC11" s="112"/>
      <c r="WGD11" s="112"/>
      <c r="WGE11" s="112"/>
      <c r="WGF11" s="112"/>
      <c r="WGG11" s="112"/>
      <c r="WGH11" s="112"/>
      <c r="WGI11" s="112"/>
      <c r="WGJ11" s="112"/>
      <c r="WGK11" s="112"/>
      <c r="WGL11" s="112"/>
      <c r="WGM11" s="112"/>
      <c r="WGN11" s="112"/>
      <c r="WGO11" s="112"/>
      <c r="WGP11" s="112"/>
      <c r="WGQ11" s="112"/>
      <c r="WGR11" s="112"/>
      <c r="WGS11" s="112"/>
      <c r="WGT11" s="112"/>
      <c r="WGU11" s="112"/>
      <c r="WGV11" s="112"/>
      <c r="WGW11" s="112"/>
      <c r="WGX11" s="112"/>
      <c r="WGY11" s="112"/>
      <c r="WGZ11" s="112"/>
      <c r="WHA11" s="112"/>
      <c r="WHB11" s="112"/>
      <c r="WHC11" s="112"/>
      <c r="WHD11" s="112"/>
      <c r="WHE11" s="112"/>
      <c r="WHF11" s="112"/>
      <c r="WHG11" s="112"/>
      <c r="WHH11" s="112"/>
      <c r="WHI11" s="112"/>
      <c r="WHJ11" s="112"/>
      <c r="WHK11" s="112"/>
      <c r="WHL11" s="112"/>
      <c r="WHM11" s="112"/>
      <c r="WHN11" s="112"/>
      <c r="WHO11" s="112"/>
      <c r="WHP11" s="112"/>
      <c r="WHQ11" s="112"/>
      <c r="WHR11" s="112"/>
      <c r="WHS11" s="112"/>
      <c r="WHT11" s="112"/>
      <c r="WHU11" s="112"/>
      <c r="WHV11" s="112"/>
      <c r="WHW11" s="112"/>
      <c r="WHX11" s="112"/>
      <c r="WHY11" s="112"/>
      <c r="WHZ11" s="112"/>
      <c r="WIA11" s="112"/>
      <c r="WIB11" s="112"/>
      <c r="WIC11" s="112"/>
      <c r="WID11" s="112"/>
      <c r="WIE11" s="112"/>
      <c r="WIF11" s="112"/>
      <c r="WIG11" s="112"/>
      <c r="WIH11" s="112"/>
      <c r="WII11" s="112"/>
      <c r="WIJ11" s="112"/>
      <c r="WIK11" s="112"/>
      <c r="WIL11" s="112"/>
      <c r="WIM11" s="112"/>
      <c r="WIN11" s="112"/>
      <c r="WIO11" s="112"/>
      <c r="WIP11" s="112"/>
      <c r="WIQ11" s="112"/>
      <c r="WIR11" s="112"/>
      <c r="WIS11" s="112"/>
      <c r="WIT11" s="112"/>
      <c r="WIU11" s="112"/>
      <c r="WIV11" s="112"/>
      <c r="WIW11" s="112"/>
      <c r="WIX11" s="112"/>
      <c r="WIY11" s="112"/>
      <c r="WIZ11" s="112"/>
      <c r="WJA11" s="112"/>
      <c r="WJB11" s="112"/>
      <c r="WJC11" s="112"/>
      <c r="WJD11" s="112"/>
      <c r="WJE11" s="112"/>
      <c r="WJF11" s="112"/>
      <c r="WJG11" s="112"/>
      <c r="WJH11" s="112"/>
      <c r="WJI11" s="112"/>
      <c r="WJJ11" s="112"/>
      <c r="WJK11" s="112"/>
      <c r="WJL11" s="112"/>
      <c r="WJM11" s="112"/>
      <c r="WJN11" s="112"/>
      <c r="WJO11" s="112"/>
      <c r="WJP11" s="112"/>
      <c r="WJQ11" s="112"/>
      <c r="WJR11" s="112"/>
      <c r="WJS11" s="112"/>
      <c r="WJT11" s="112"/>
      <c r="WJU11" s="112"/>
      <c r="WJV11" s="112"/>
      <c r="WJW11" s="112"/>
      <c r="WJX11" s="112"/>
      <c r="WJY11" s="112"/>
      <c r="WJZ11" s="112"/>
      <c r="WKA11" s="112"/>
      <c r="WKB11" s="112"/>
      <c r="WKC11" s="112"/>
      <c r="WKD11" s="112"/>
      <c r="WKE11" s="112"/>
      <c r="WKF11" s="112"/>
      <c r="WKG11" s="112"/>
      <c r="WKH11" s="112"/>
      <c r="WKI11" s="112"/>
      <c r="WKJ11" s="112"/>
      <c r="WKK11" s="112"/>
      <c r="WKL11" s="112"/>
      <c r="WKM11" s="112"/>
      <c r="WKN11" s="112"/>
      <c r="WKO11" s="112"/>
      <c r="WKP11" s="112"/>
      <c r="WKQ11" s="112"/>
      <c r="WKR11" s="112"/>
      <c r="WKS11" s="112"/>
      <c r="WKT11" s="112"/>
      <c r="WKU11" s="112"/>
      <c r="WKV11" s="112"/>
      <c r="WKW11" s="112"/>
      <c r="WKX11" s="112"/>
      <c r="WKY11" s="112"/>
      <c r="WKZ11" s="112"/>
      <c r="WLA11" s="112"/>
      <c r="WLB11" s="112"/>
      <c r="WLC11" s="112"/>
      <c r="WLD11" s="112"/>
      <c r="WLE11" s="112"/>
      <c r="WLF11" s="112"/>
      <c r="WLG11" s="112"/>
      <c r="WLH11" s="112"/>
      <c r="WLI11" s="112"/>
      <c r="WLJ11" s="112"/>
      <c r="WLK11" s="112"/>
      <c r="WLL11" s="112"/>
      <c r="WLM11" s="112"/>
      <c r="WLN11" s="112"/>
      <c r="WLO11" s="112"/>
      <c r="WLP11" s="112"/>
      <c r="WLQ11" s="112"/>
      <c r="WLR11" s="112"/>
      <c r="WLS11" s="112"/>
      <c r="WLT11" s="112"/>
      <c r="WLU11" s="112"/>
      <c r="WLV11" s="112"/>
      <c r="WLW11" s="112"/>
      <c r="WLX11" s="112"/>
      <c r="WLY11" s="112"/>
      <c r="WLZ11" s="112"/>
      <c r="WMA11" s="112"/>
      <c r="WMB11" s="112"/>
      <c r="WMC11" s="112"/>
      <c r="WMD11" s="112"/>
      <c r="WME11" s="112"/>
      <c r="WMF11" s="112"/>
      <c r="WMG11" s="112"/>
      <c r="WMH11" s="112"/>
      <c r="WMI11" s="112"/>
      <c r="WMJ11" s="112"/>
      <c r="WMK11" s="112"/>
      <c r="WML11" s="112"/>
      <c r="WMM11" s="112"/>
      <c r="WMN11" s="112"/>
      <c r="WMO11" s="112"/>
      <c r="WMP11" s="112"/>
      <c r="WMQ11" s="112"/>
      <c r="WMR11" s="112"/>
      <c r="WMS11" s="112"/>
      <c r="WMT11" s="112"/>
      <c r="WMU11" s="112"/>
      <c r="WMV11" s="112"/>
      <c r="WMW11" s="112"/>
      <c r="WMX11" s="112"/>
      <c r="WMY11" s="112"/>
      <c r="WMZ11" s="112"/>
      <c r="WNA11" s="112"/>
      <c r="WNB11" s="112"/>
      <c r="WNC11" s="112"/>
      <c r="WND11" s="112"/>
      <c r="WNE11" s="112"/>
      <c r="WNF11" s="112"/>
      <c r="WNG11" s="112"/>
      <c r="WNH11" s="112"/>
      <c r="WNI11" s="112"/>
      <c r="WNJ11" s="112"/>
      <c r="WNK11" s="112"/>
      <c r="WNL11" s="112"/>
      <c r="WNM11" s="112"/>
      <c r="WNN11" s="112"/>
      <c r="WNO11" s="112"/>
      <c r="WNP11" s="112"/>
      <c r="WNQ11" s="112"/>
      <c r="WNR11" s="112"/>
      <c r="WNS11" s="112"/>
      <c r="WNT11" s="112"/>
      <c r="WNU11" s="112"/>
      <c r="WNV11" s="112"/>
      <c r="WNW11" s="112"/>
      <c r="WNX11" s="112"/>
      <c r="WNY11" s="112"/>
      <c r="WNZ11" s="112"/>
      <c r="WOA11" s="112"/>
      <c r="WOB11" s="112"/>
      <c r="WOC11" s="112"/>
      <c r="WOD11" s="112"/>
      <c r="WOE11" s="112"/>
      <c r="WOF11" s="112"/>
      <c r="WOG11" s="112"/>
      <c r="WOH11" s="112"/>
      <c r="WOI11" s="112"/>
      <c r="WOJ11" s="112"/>
      <c r="WOK11" s="112"/>
      <c r="WOL11" s="112"/>
      <c r="WOM11" s="112"/>
      <c r="WON11" s="112"/>
      <c r="WOO11" s="112"/>
      <c r="WOP11" s="112"/>
      <c r="WOQ11" s="112"/>
      <c r="WOR11" s="112"/>
      <c r="WOS11" s="112"/>
      <c r="WOT11" s="112"/>
      <c r="WOU11" s="112"/>
      <c r="WOV11" s="112"/>
      <c r="WOW11" s="112"/>
      <c r="WOX11" s="112"/>
      <c r="WOY11" s="112"/>
      <c r="WOZ11" s="112"/>
      <c r="WPA11" s="112"/>
      <c r="WPB11" s="112"/>
      <c r="WPC11" s="112"/>
      <c r="WPD11" s="112"/>
      <c r="WPE11" s="112"/>
      <c r="WPF11" s="112"/>
      <c r="WPG11" s="112"/>
      <c r="WPH11" s="112"/>
      <c r="WPI11" s="112"/>
      <c r="WPJ11" s="112"/>
      <c r="WPK11" s="112"/>
      <c r="WPL11" s="112"/>
      <c r="WPM11" s="112"/>
      <c r="WPN11" s="112"/>
      <c r="WPO11" s="112"/>
      <c r="WPP11" s="112"/>
      <c r="WPQ11" s="112"/>
      <c r="WPR11" s="112"/>
      <c r="WPS11" s="112"/>
      <c r="WPT11" s="112"/>
      <c r="WPU11" s="112"/>
      <c r="WPV11" s="112"/>
      <c r="WPW11" s="112"/>
      <c r="WPX11" s="112"/>
      <c r="WPY11" s="112"/>
      <c r="WPZ11" s="112"/>
      <c r="WQA11" s="112"/>
      <c r="WQB11" s="112"/>
      <c r="WQC11" s="112"/>
      <c r="WQD11" s="112"/>
      <c r="WQE11" s="112"/>
      <c r="WQF11" s="112"/>
      <c r="WQG11" s="112"/>
      <c r="WQH11" s="112"/>
      <c r="WQI11" s="112"/>
      <c r="WQJ11" s="112"/>
      <c r="WQK11" s="112"/>
      <c r="WQL11" s="112"/>
      <c r="WQM11" s="112"/>
      <c r="WQN11" s="112"/>
      <c r="WQO11" s="112"/>
      <c r="WQP11" s="112"/>
      <c r="WQQ11" s="112"/>
      <c r="WQR11" s="112"/>
      <c r="WQS11" s="112"/>
      <c r="WQT11" s="112"/>
      <c r="WQU11" s="112"/>
      <c r="WQV11" s="112"/>
      <c r="WQW11" s="112"/>
      <c r="WQX11" s="112"/>
      <c r="WQY11" s="112"/>
      <c r="WQZ11" s="112"/>
      <c r="WRA11" s="112"/>
      <c r="WRB11" s="112"/>
      <c r="WRC11" s="112"/>
      <c r="WRD11" s="112"/>
      <c r="WRE11" s="112"/>
      <c r="WRF11" s="112"/>
      <c r="WRG11" s="112"/>
      <c r="WRH11" s="112"/>
      <c r="WRI11" s="112"/>
      <c r="WRJ11" s="112"/>
      <c r="WRK11" s="112"/>
      <c r="WRL11" s="112"/>
      <c r="WRM11" s="112"/>
      <c r="WRN11" s="112"/>
      <c r="WRO11" s="112"/>
      <c r="WRP11" s="112"/>
      <c r="WRQ11" s="112"/>
      <c r="WRR11" s="112"/>
      <c r="WRS11" s="112"/>
      <c r="WRT11" s="112"/>
      <c r="WRU11" s="112"/>
      <c r="WRV11" s="112"/>
      <c r="WRW11" s="112"/>
      <c r="WRX11" s="112"/>
      <c r="WRY11" s="112"/>
      <c r="WRZ11" s="112"/>
      <c r="WSA11" s="112"/>
      <c r="WSB11" s="112"/>
      <c r="WSC11" s="112"/>
      <c r="WSD11" s="112"/>
      <c r="WSE11" s="112"/>
      <c r="WSF11" s="112"/>
      <c r="WSG11" s="112"/>
      <c r="WSH11" s="112"/>
      <c r="WSI11" s="112"/>
      <c r="WSJ11" s="112"/>
      <c r="WSK11" s="112"/>
      <c r="WSL11" s="112"/>
      <c r="WSM11" s="112"/>
      <c r="WSN11" s="112"/>
      <c r="WSO11" s="112"/>
      <c r="WSP11" s="112"/>
      <c r="WSQ11" s="112"/>
      <c r="WSR11" s="112"/>
      <c r="WSS11" s="112"/>
      <c r="WST11" s="112"/>
      <c r="WSU11" s="112"/>
      <c r="WSV11" s="112"/>
      <c r="WSW11" s="112"/>
      <c r="WSX11" s="112"/>
      <c r="WSY11" s="112"/>
      <c r="WSZ11" s="112"/>
      <c r="WTA11" s="112"/>
      <c r="WTB11" s="112"/>
      <c r="WTC11" s="112"/>
      <c r="WTD11" s="112"/>
      <c r="WTE11" s="112"/>
      <c r="WTF11" s="112"/>
      <c r="WTG11" s="112"/>
      <c r="WTH11" s="112"/>
      <c r="WTI11" s="112"/>
      <c r="WTJ11" s="112"/>
      <c r="WTK11" s="112"/>
      <c r="WTL11" s="112"/>
      <c r="WTM11" s="112"/>
      <c r="WTN11" s="112"/>
      <c r="WTO11" s="112"/>
      <c r="WTP11" s="112"/>
      <c r="WTQ11" s="112"/>
      <c r="WTR11" s="112"/>
      <c r="WTS11" s="112"/>
      <c r="WTT11" s="112"/>
      <c r="WTU11" s="112"/>
      <c r="WTV11" s="112"/>
      <c r="WTW11" s="112"/>
      <c r="WTX11" s="112"/>
      <c r="WTY11" s="112"/>
      <c r="WTZ11" s="112"/>
      <c r="WUA11" s="112"/>
      <c r="WUB11" s="112"/>
      <c r="WUC11" s="112"/>
      <c r="WUD11" s="112"/>
      <c r="WUE11" s="112"/>
      <c r="WUF11" s="112"/>
      <c r="WUG11" s="112"/>
      <c r="WUH11" s="112"/>
      <c r="WUI11" s="112"/>
      <c r="WUJ11" s="112"/>
      <c r="WUK11" s="112"/>
      <c r="WUL11" s="112"/>
      <c r="WUM11" s="112"/>
      <c r="WUN11" s="112"/>
      <c r="WUO11" s="112"/>
      <c r="WUP11" s="112"/>
      <c r="WUQ11" s="112"/>
      <c r="WUR11" s="112"/>
      <c r="WUS11" s="112"/>
      <c r="WUT11" s="112"/>
      <c r="WUU11" s="112"/>
      <c r="WUV11" s="112"/>
      <c r="WUW11" s="112"/>
      <c r="WUX11" s="112"/>
      <c r="WUY11" s="112"/>
      <c r="WUZ11" s="112"/>
      <c r="WVA11" s="112"/>
      <c r="WVB11" s="112"/>
      <c r="WVC11" s="112"/>
      <c r="WVD11" s="112"/>
      <c r="WVE11" s="112"/>
      <c r="WVF11" s="112"/>
      <c r="WVG11" s="112"/>
      <c r="WVH11" s="112"/>
      <c r="WVI11" s="112"/>
      <c r="WVJ11" s="112"/>
      <c r="WVK11" s="112"/>
      <c r="WVL11" s="112"/>
      <c r="WVM11" s="112"/>
      <c r="WVN11" s="112"/>
      <c r="WVO11" s="112"/>
      <c r="WVP11" s="112"/>
      <c r="WVQ11" s="112"/>
      <c r="WVR11" s="112"/>
      <c r="WVS11" s="112"/>
      <c r="WVT11" s="112"/>
      <c r="WVU11" s="112"/>
      <c r="WVV11" s="112"/>
      <c r="WVW11" s="112"/>
      <c r="WVX11" s="112"/>
      <c r="WVY11" s="112"/>
      <c r="WVZ11" s="112"/>
      <c r="WWA11" s="112"/>
      <c r="WWB11" s="112"/>
      <c r="WWC11" s="112"/>
      <c r="WWD11" s="112"/>
      <c r="WWE11" s="112"/>
      <c r="WWF11" s="112"/>
      <c r="WWG11" s="112"/>
      <c r="WWH11" s="112"/>
      <c r="WWI11" s="112"/>
      <c r="WWJ11" s="112"/>
      <c r="WWK11" s="112"/>
      <c r="WWL11" s="112"/>
      <c r="WWM11" s="112"/>
      <c r="WWN11" s="112"/>
      <c r="WWO11" s="112"/>
      <c r="WWP11" s="112"/>
      <c r="WWQ11" s="112"/>
      <c r="WWR11" s="112"/>
      <c r="WWS11" s="112"/>
      <c r="WWT11" s="112"/>
      <c r="WWU11" s="112"/>
      <c r="WWV11" s="112"/>
      <c r="WWW11" s="112"/>
      <c r="WWX11" s="112"/>
      <c r="WWY11" s="112"/>
      <c r="WWZ11" s="112"/>
      <c r="WXA11" s="112"/>
      <c r="WXB11" s="112"/>
      <c r="WXC11" s="112"/>
      <c r="WXD11" s="112"/>
      <c r="WXE11" s="112"/>
      <c r="WXF11" s="112"/>
      <c r="WXG11" s="112"/>
      <c r="WXH11" s="112"/>
      <c r="WXI11" s="112"/>
      <c r="WXJ11" s="112"/>
      <c r="WXK11" s="112"/>
      <c r="WXL11" s="112"/>
      <c r="WXM11" s="112"/>
      <c r="WXN11" s="112"/>
      <c r="WXO11" s="112"/>
      <c r="WXP11" s="112"/>
      <c r="WXQ11" s="112"/>
      <c r="WXR11" s="112"/>
      <c r="WXS11" s="112"/>
      <c r="WXT11" s="112"/>
      <c r="WXU11" s="112"/>
      <c r="WXV11" s="112"/>
      <c r="WXW11" s="112"/>
      <c r="WXX11" s="112"/>
      <c r="WXY11" s="112"/>
      <c r="WXZ11" s="112"/>
      <c r="WYA11" s="112"/>
      <c r="WYB11" s="112"/>
      <c r="WYC11" s="112"/>
      <c r="WYD11" s="112"/>
      <c r="WYE11" s="112"/>
      <c r="WYF11" s="112"/>
      <c r="WYG11" s="112"/>
      <c r="WYH11" s="112"/>
      <c r="WYI11" s="112"/>
      <c r="WYJ11" s="112"/>
      <c r="WYK11" s="112"/>
      <c r="WYL11" s="112"/>
      <c r="WYM11" s="112"/>
      <c r="WYN11" s="112"/>
      <c r="WYO11" s="112"/>
      <c r="WYP11" s="112"/>
      <c r="WYQ11" s="112"/>
      <c r="WYR11" s="112"/>
      <c r="WYS11" s="112"/>
      <c r="WYT11" s="112"/>
      <c r="WYU11" s="112"/>
      <c r="WYV11" s="112"/>
      <c r="WYW11" s="112"/>
      <c r="WYX11" s="112"/>
      <c r="WYY11" s="112"/>
      <c r="WYZ11" s="112"/>
      <c r="WZA11" s="112"/>
      <c r="WZB11" s="112"/>
      <c r="WZC11" s="112"/>
      <c r="WZD11" s="112"/>
      <c r="WZE11" s="112"/>
      <c r="WZF11" s="112"/>
      <c r="WZG11" s="112"/>
      <c r="WZH11" s="112"/>
      <c r="WZI11" s="112"/>
      <c r="WZJ11" s="112"/>
      <c r="WZK11" s="112"/>
      <c r="WZL11" s="112"/>
      <c r="WZM11" s="112"/>
      <c r="WZN11" s="112"/>
      <c r="WZO11" s="112"/>
      <c r="WZP11" s="112"/>
      <c r="WZQ11" s="112"/>
      <c r="WZR11" s="112"/>
      <c r="WZS11" s="112"/>
      <c r="WZT11" s="112"/>
      <c r="WZU11" s="112"/>
      <c r="WZV11" s="112"/>
      <c r="WZW11" s="112"/>
      <c r="WZX11" s="112"/>
      <c r="WZY11" s="112"/>
      <c r="WZZ11" s="112"/>
      <c r="XAA11" s="112"/>
      <c r="XAB11" s="112"/>
      <c r="XAC11" s="112"/>
      <c r="XAD11" s="112"/>
      <c r="XAE11" s="112"/>
      <c r="XAF11" s="112"/>
      <c r="XAG11" s="112"/>
      <c r="XAH11" s="112"/>
      <c r="XAI11" s="112"/>
      <c r="XAJ11" s="112"/>
      <c r="XAK11" s="112"/>
      <c r="XAL11" s="112"/>
      <c r="XAM11" s="112"/>
      <c r="XAN11" s="112"/>
      <c r="XAO11" s="112"/>
      <c r="XAP11" s="112"/>
      <c r="XAQ11" s="112"/>
      <c r="XAR11" s="112"/>
      <c r="XAS11" s="112"/>
      <c r="XAT11" s="112"/>
      <c r="XAU11" s="112"/>
      <c r="XAV11" s="112"/>
      <c r="XAW11" s="112"/>
      <c r="XAX11" s="112"/>
      <c r="XAY11" s="112"/>
      <c r="XAZ11" s="112"/>
      <c r="XBA11" s="112"/>
      <c r="XBB11" s="112"/>
      <c r="XBC11" s="112"/>
      <c r="XBD11" s="112"/>
      <c r="XBE11" s="112"/>
      <c r="XBF11" s="112"/>
      <c r="XBG11" s="112"/>
      <c r="XBH11" s="112"/>
      <c r="XBI11" s="112"/>
      <c r="XBJ11" s="112"/>
      <c r="XBK11" s="112"/>
      <c r="XBL11" s="112"/>
      <c r="XBM11" s="112"/>
      <c r="XBN11" s="112"/>
      <c r="XBO11" s="112"/>
      <c r="XBP11" s="112"/>
      <c r="XBQ11" s="112"/>
      <c r="XBR11" s="112"/>
      <c r="XBS11" s="112"/>
      <c r="XBT11" s="112"/>
      <c r="XBU11" s="112"/>
      <c r="XBV11" s="112"/>
      <c r="XBW11" s="112"/>
      <c r="XBX11" s="112"/>
      <c r="XBY11" s="112"/>
      <c r="XBZ11" s="112"/>
      <c r="XCA11" s="112"/>
      <c r="XCB11" s="112"/>
      <c r="XCC11" s="112"/>
      <c r="XCD11" s="112"/>
      <c r="XCE11" s="112"/>
      <c r="XCF11" s="112"/>
      <c r="XCG11" s="112"/>
      <c r="XCH11" s="112"/>
      <c r="XCI11" s="112"/>
      <c r="XCJ11" s="112"/>
      <c r="XCK11" s="112"/>
      <c r="XCL11" s="112"/>
      <c r="XCM11" s="112"/>
      <c r="XCN11" s="112"/>
      <c r="XCO11" s="112"/>
      <c r="XCP11" s="112"/>
      <c r="XCQ11" s="112"/>
      <c r="XCR11" s="112"/>
      <c r="XCS11" s="112"/>
      <c r="XCT11" s="112"/>
      <c r="XCU11" s="112"/>
      <c r="XCV11" s="112"/>
      <c r="XCW11" s="112"/>
      <c r="XCX11" s="112"/>
      <c r="XCY11" s="112"/>
      <c r="XCZ11" s="112"/>
      <c r="XDA11" s="112"/>
      <c r="XDB11" s="112"/>
      <c r="XDC11" s="112"/>
      <c r="XDD11" s="112"/>
      <c r="XDE11" s="112"/>
      <c r="XDF11" s="112"/>
      <c r="XDG11" s="112"/>
      <c r="XDH11" s="112"/>
      <c r="XDI11" s="112"/>
      <c r="XDJ11" s="112"/>
      <c r="XDK11" s="112"/>
      <c r="XDL11" s="112"/>
      <c r="XDM11" s="112"/>
      <c r="XDN11" s="112"/>
      <c r="XDO11" s="112"/>
      <c r="XDP11" s="112"/>
      <c r="XDQ11" s="112"/>
      <c r="XDR11" s="112"/>
      <c r="XDS11" s="112"/>
      <c r="XDT11" s="112"/>
      <c r="XDU11" s="112"/>
      <c r="XDV11" s="112"/>
      <c r="XDW11" s="112"/>
      <c r="XDX11" s="112"/>
      <c r="XDY11" s="112"/>
      <c r="XDZ11" s="112"/>
      <c r="XEA11" s="112"/>
      <c r="XEB11" s="112"/>
      <c r="XEC11" s="112"/>
      <c r="XED11" s="112"/>
      <c r="XEE11" s="112"/>
      <c r="XEF11" s="112"/>
      <c r="XEG11" s="112"/>
      <c r="XEH11" s="112"/>
      <c r="XEI11" s="112"/>
      <c r="XEJ11" s="112"/>
      <c r="XEK11" s="112"/>
      <c r="XEL11" s="112"/>
      <c r="XEM11" s="112"/>
      <c r="XEN11" s="112"/>
      <c r="XEO11" s="112"/>
      <c r="XEP11" s="112"/>
      <c r="XEQ11" s="112"/>
      <c r="XER11" s="112"/>
      <c r="XES11" s="112"/>
      <c r="XET11" s="112"/>
      <c r="XEU11" s="112"/>
      <c r="XEV11" s="112"/>
      <c r="XEW11" s="112"/>
      <c r="XEX11" s="112"/>
      <c r="XEY11" s="112"/>
      <c r="XEZ11" s="112"/>
      <c r="XFA11" s="112"/>
      <c r="XFB11" s="112"/>
      <c r="XFC11" s="112"/>
    </row>
    <row r="12" spans="1:1638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6383">
      <c r="A13" s="3"/>
      <c r="B13" s="3" t="s">
        <v>942</v>
      </c>
      <c r="C13" s="3"/>
      <c r="D13" s="3" t="s">
        <v>204</v>
      </c>
      <c r="E13" s="131">
        <f>'3. Input (des)investeringen '!F229</f>
        <v>9.0830073880921361E-2</v>
      </c>
      <c r="F13" s="131">
        <f>'3. Input (des)investeringen '!G229</f>
        <v>3.6254980079681365E-2</v>
      </c>
      <c r="G13" s="131">
        <f>'3. Input (des)investeringen '!H229</f>
        <v>3.5371011149557818E-2</v>
      </c>
      <c r="H13" s="131">
        <f>'3. Input (des)investeringen '!I229</f>
        <v>6.3126624582250282E-2</v>
      </c>
      <c r="I13" s="131">
        <f>'3. Input (des)investeringen '!J229</f>
        <v>9.1163115612993242E-2</v>
      </c>
      <c r="J13" s="131">
        <f>'3. Input (des)investeringen '!K229</f>
        <v>9.6350832266325306E-2</v>
      </c>
      <c r="K13" s="131">
        <f>'3. Input (des)investeringen '!L229</f>
        <v>0</v>
      </c>
      <c r="L13" s="131">
        <f>'3. Input (des)investeringen '!M229</f>
        <v>0</v>
      </c>
      <c r="M13" s="131">
        <f>'3. Input (des)investeringen '!N229</f>
        <v>0.04</v>
      </c>
      <c r="N13" s="131">
        <f>'3. Input (des)investeringen '!O229</f>
        <v>1.909039865244248E-2</v>
      </c>
      <c r="O13" s="131">
        <f>'3. Input (des)investeringen '!P229</f>
        <v>1.9008264462809853E-2</v>
      </c>
      <c r="P13" s="131">
        <f>'3. Input (des)investeringen '!Q229</f>
        <v>6.4882400648824015E-2</v>
      </c>
      <c r="Q13" s="131">
        <f>'3. Input (des)investeringen '!R229</f>
        <v>1.7263264788017294E-2</v>
      </c>
      <c r="R13" s="131">
        <f>'3. Input (des)investeringen '!S229</f>
        <v>8.4851509857749793E-3</v>
      </c>
      <c r="S13" s="131">
        <f>'3. Input (des)investeringen '!T229</f>
        <v>2.5488740410789294E-2</v>
      </c>
      <c r="T13" s="131">
        <f>'3. Input (des)investeringen '!U229</f>
        <v>1.6650579150579235E-2</v>
      </c>
      <c r="U13" s="131">
        <f>'3. Input (des)investeringen '!V229</f>
        <v>1.92262046047946E-2</v>
      </c>
      <c r="V13" s="131">
        <f>'3. Input (des)investeringen '!W229</f>
        <v>3.8192827200745308E-2</v>
      </c>
      <c r="W13" s="131">
        <f>'3. Input (des)investeringen '!X229</f>
        <v>1.9E-2</v>
      </c>
      <c r="X13" s="131">
        <f>'3. Input (des)investeringen '!Y229</f>
        <v>8.4000000000000005E-2</v>
      </c>
      <c r="Y13" s="131">
        <f>'3. Input (des)investeringen '!Z229</f>
        <v>4.2999999999999997E-2</v>
      </c>
      <c r="Z13" s="131">
        <f>'3. Input (des)investeringen '!AA229</f>
        <v>5.7999999999999996E-2</v>
      </c>
      <c r="AA13" s="131">
        <f>'3. Input (des)investeringen '!AB229</f>
        <v>3.9E-2</v>
      </c>
      <c r="AB13" s="131">
        <f>'3. Input (des)investeringen '!AC229</f>
        <v>3.3000000000000002E-2</v>
      </c>
      <c r="AC13" s="131">
        <f>'3. Input (des)investeringen '!AD229</f>
        <v>6.9000000000000006E-2</v>
      </c>
      <c r="AD13" s="131">
        <f>'3. Input (des)investeringen '!AE229</f>
        <v>5.4000000000000006E-2</v>
      </c>
      <c r="AE13" s="131">
        <f>'3. Input (des)investeringen '!AF229</f>
        <v>7.5999999999999998E-2</v>
      </c>
      <c r="AF13" s="131">
        <f>'3. Input (des)investeringen '!AG229</f>
        <v>7.400000000000001E-2</v>
      </c>
      <c r="AG13" s="131">
        <f>'3. Input (des)investeringen '!AH229</f>
        <v>8.1000000000000003E-2</v>
      </c>
      <c r="AH13" s="131">
        <f>'3. Input (des)investeringen '!AI229</f>
        <v>9.8000000000000004E-2</v>
      </c>
      <c r="AI13" s="131">
        <f>'3. Input (des)investeringen '!AJ229</f>
        <v>0.107</v>
      </c>
      <c r="AJ13" s="131">
        <f>'3. Input (des)investeringen '!AK229</f>
        <v>8.3000000000000004E-2</v>
      </c>
      <c r="AK13" s="131">
        <f>'3. Input (des)investeringen '!AL229</f>
        <v>6.8000000000000005E-2</v>
      </c>
      <c r="AL13" s="131">
        <f>'3. Input (des)investeringen '!AM229</f>
        <v>4.2000000000000003E-2</v>
      </c>
      <c r="AM13" s="131">
        <f>'3. Input (des)investeringen '!AN229</f>
        <v>3.7999999999999999E-2</v>
      </c>
      <c r="AN13" s="131">
        <f>'3. Input (des)investeringen '!AO229</f>
        <v>7.0999999999999994E-2</v>
      </c>
      <c r="AO13" s="131">
        <f>'3. Input (des)investeringen '!AP229</f>
        <v>6.4000000000000001E-2</v>
      </c>
      <c r="AP13" s="131">
        <f>'3. Input (des)investeringen '!AQ229</f>
        <v>5.9000000000000004E-2</v>
      </c>
      <c r="AQ13" s="131">
        <f>'3. Input (des)investeringen '!AR229</f>
        <v>2.6000000000000002E-2</v>
      </c>
      <c r="AR13" s="131">
        <f>'3. Input (des)investeringen '!AS229</f>
        <v>2.7999999999999997E-2</v>
      </c>
      <c r="AS13" s="131">
        <f>'3. Input (des)investeringen '!AT229</f>
        <v>2.3E-2</v>
      </c>
      <c r="AT13" s="131">
        <f>'3. Input (des)investeringen '!AU229</f>
        <v>-5.0000000000000001E-3</v>
      </c>
      <c r="AU13" s="131">
        <f>'3. Input (des)investeringen '!AV229</f>
        <v>2E-3</v>
      </c>
      <c r="AV13" s="131">
        <f>'3. Input (des)investeringen '!AW229</f>
        <v>9.0000000000000011E-3</v>
      </c>
      <c r="AW13" s="131">
        <f>'3. Input (des)investeringen '!AX229</f>
        <v>1.1000000000000001E-2</v>
      </c>
      <c r="AX13" s="131">
        <f>'3. Input (des)investeringen '!AY229</f>
        <v>2.4E-2</v>
      </c>
      <c r="AY13" s="131">
        <f>'3. Input (des)investeringen '!AZ229</f>
        <v>4.5999999999999999E-2</v>
      </c>
      <c r="AZ13" s="131">
        <f>'3. Input (des)investeringen '!BA229</f>
        <v>3.5000000000000003E-2</v>
      </c>
      <c r="BA13" s="131">
        <f>'3. Input (des)investeringen '!BB229</f>
        <v>0.02</v>
      </c>
      <c r="BB13" s="131">
        <f>'3. Input (des)investeringen '!BC229</f>
        <v>2.6000000000000002E-2</v>
      </c>
      <c r="BC13" s="131">
        <f>'3. Input (des)investeringen '!BD229</f>
        <v>1.4999999999999999E-2</v>
      </c>
      <c r="BD13" s="131">
        <f>'3. Input (des)investeringen '!BE229</f>
        <v>1.9E-2</v>
      </c>
      <c r="BE13" s="131">
        <f>'3. Input (des)investeringen '!BF229</f>
        <v>2.6000000000000002E-2</v>
      </c>
      <c r="BF13" s="131">
        <f>'3. Input (des)investeringen '!BG229</f>
        <v>1.7000000000000001E-2</v>
      </c>
      <c r="BG13" s="131">
        <f>'3. Input (des)investeringen '!BH229</f>
        <v>2.6000000000000002E-2</v>
      </c>
      <c r="BH13" s="131">
        <f>'3. Input (des)investeringen '!BI229</f>
        <v>2.5000000000000001E-2</v>
      </c>
      <c r="BI13" s="131">
        <f>'3. Input (des)investeringen '!BJ229</f>
        <v>4.7E-2</v>
      </c>
      <c r="BJ13" s="131">
        <f>'3. Input (des)investeringen '!BK229</f>
        <v>3.3000000000000002E-2</v>
      </c>
      <c r="BK13" s="131">
        <f>'3. Input (des)investeringen '!BL229</f>
        <v>2.1000000000000001E-2</v>
      </c>
      <c r="BL13" s="131">
        <f>'3. Input (des)investeringen '!BM229</f>
        <v>1.1000000000000001E-2</v>
      </c>
      <c r="BM13" s="131">
        <f>'3. Input (des)investeringen '!BN229</f>
        <v>1.7999999999999999E-2</v>
      </c>
      <c r="BN13" s="131">
        <f>'3. Input (des)investeringen '!BO229</f>
        <v>1.4E-2</v>
      </c>
      <c r="BO13" s="131">
        <f>'3. Input (des)investeringen '!BP229</f>
        <v>1.0999999999999999E-2</v>
      </c>
      <c r="BP13" s="131">
        <f>'3. Input (des)investeringen '!BQ229</f>
        <v>3.2000000000000001E-2</v>
      </c>
      <c r="BQ13" s="131">
        <f>'3. Input (des)investeringen '!BR229</f>
        <v>3.0000000000000001E-3</v>
      </c>
      <c r="BR13" s="131">
        <f>'3. Input (des)investeringen '!BS229</f>
        <v>1.4999999999999999E-2</v>
      </c>
      <c r="BS13" s="131">
        <f>'3. Input (des)investeringen '!BT229</f>
        <v>2.5999999999999999E-2</v>
      </c>
      <c r="BT13" s="131">
        <f>'3. Input (des)investeringen '!BU229</f>
        <v>2.3E-2</v>
      </c>
      <c r="BU13" s="131">
        <f>'3. Input (des)investeringen '!BV229</f>
        <v>2.8000000000000001E-2</v>
      </c>
      <c r="BV13" s="131">
        <f>'3. Input (des)investeringen '!BW229</f>
        <v>0.01</v>
      </c>
      <c r="BW13" s="131">
        <f>'3. Input (des)investeringen '!BX229</f>
        <v>8.0000000000000002E-3</v>
      </c>
      <c r="BX13" s="131">
        <f>'3. Input (des)investeringen '!BY229</f>
        <v>2E-3</v>
      </c>
      <c r="BY13" s="131">
        <f>'3. Input (des)investeringen '!BZ229</f>
        <v>1.4E-2</v>
      </c>
      <c r="BZ13" s="131">
        <f>'3. Input (des)investeringen '!CA229</f>
        <v>1.2E-2</v>
      </c>
      <c r="CA13" s="131">
        <f>'3. Input (des)investeringen '!CB229</f>
        <v>2.5999999999999999E-2</v>
      </c>
      <c r="CB13" s="131">
        <f>'3. Input (des)investeringen '!CC229</f>
        <v>1.6E-2</v>
      </c>
      <c r="CC13" s="131">
        <f>'3. Input (des)investeringen '!CD229</f>
        <v>1.7999999999999999E-2</v>
      </c>
      <c r="CD13" s="131">
        <f>'3. Input (des)investeringen '!CE229</f>
        <v>6.2E-2</v>
      </c>
      <c r="CE13" s="131">
        <f>'3. Input (des)investeringen '!CF229</f>
        <v>0.08</v>
      </c>
      <c r="CF13" s="131">
        <f>'3. Input (des)investeringen '!CG229</f>
        <v>2.8000000000000001E-2</v>
      </c>
      <c r="CG13" s="131">
        <f>'3. Input (des)investeringen '!CH229</f>
        <v>1.7000000000000001E-2</v>
      </c>
    </row>
    <row r="14" spans="1:16383" s="122" customFormat="1">
      <c r="A14" s="90"/>
      <c r="B14" s="90"/>
      <c r="C14" s="90"/>
      <c r="D14" s="90"/>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row>
    <row r="15" spans="1:16383" s="33" customFormat="1">
      <c r="A15" s="98"/>
      <c r="B15" s="33" t="s">
        <v>943</v>
      </c>
    </row>
    <row r="16" spans="1:16383" s="34" customFormat="1">
      <c r="A16" s="99"/>
      <c r="B16" s="34" t="s">
        <v>893</v>
      </c>
      <c r="D16" s="34" t="s">
        <v>301</v>
      </c>
      <c r="E16" s="34" t="s">
        <v>553</v>
      </c>
      <c r="F16" s="34" t="s">
        <v>554</v>
      </c>
      <c r="G16" s="34" t="s">
        <v>929</v>
      </c>
    </row>
    <row r="17" spans="2:7" s="3" customFormat="1"/>
    <row r="18" spans="2:7" s="3" customFormat="1">
      <c r="B18" s="37">
        <f>'13. Desinvesteringen'!B20</f>
        <v>1</v>
      </c>
      <c r="D18" s="37" t="str">
        <f>'13. Desinvesteringen'!C20</f>
        <v>01 Regionale leidingen</v>
      </c>
      <c r="E18" s="37">
        <f>'13. Desinvesteringen'!D20</f>
        <v>1955</v>
      </c>
      <c r="F18" s="42">
        <f>'13. Desinvesteringen'!E20</f>
        <v>7756.11</v>
      </c>
      <c r="G18" s="37">
        <f>'13. Desinvesteringen'!G20</f>
        <v>2020</v>
      </c>
    </row>
    <row r="19" spans="2:7" s="3" customFormat="1">
      <c r="B19" s="37">
        <f>'13. Desinvesteringen'!B21</f>
        <v>2</v>
      </c>
      <c r="D19" s="37" t="str">
        <f>'13. Desinvesteringen'!C21</f>
        <v>01 Regionale leidingen</v>
      </c>
      <c r="E19" s="37">
        <f>'13. Desinvesteringen'!D21</f>
        <v>1957</v>
      </c>
      <c r="F19" s="42">
        <f>'13. Desinvesteringen'!E21</f>
        <v>1329.11</v>
      </c>
      <c r="G19" s="37">
        <f>'13. Desinvesteringen'!G21</f>
        <v>2020</v>
      </c>
    </row>
    <row r="20" spans="2:7" s="3" customFormat="1">
      <c r="B20" s="37">
        <f>'13. Desinvesteringen'!B22</f>
        <v>3</v>
      </c>
      <c r="D20" s="37" t="str">
        <f>'13. Desinvesteringen'!C22</f>
        <v>01 Regionale leidingen</v>
      </c>
      <c r="E20" s="37">
        <f>'13. Desinvesteringen'!D22</f>
        <v>1958</v>
      </c>
      <c r="F20" s="42">
        <f>'13. Desinvesteringen'!E22</f>
        <v>110951.25</v>
      </c>
      <c r="G20" s="37">
        <f>'13. Desinvesteringen'!G22</f>
        <v>2020</v>
      </c>
    </row>
    <row r="21" spans="2:7" s="3" customFormat="1">
      <c r="B21" s="37">
        <f>'13. Desinvesteringen'!B23</f>
        <v>4</v>
      </c>
      <c r="D21" s="37" t="str">
        <f>'13. Desinvesteringen'!C23</f>
        <v>01 Regionale leidingen</v>
      </c>
      <c r="E21" s="37">
        <f>'13. Desinvesteringen'!D23</f>
        <v>1959</v>
      </c>
      <c r="F21" s="42">
        <f>'13. Desinvesteringen'!E23</f>
        <v>1485.2</v>
      </c>
      <c r="G21" s="37">
        <f>'13. Desinvesteringen'!G23</f>
        <v>2020</v>
      </c>
    </row>
    <row r="22" spans="2:7" s="3" customFormat="1">
      <c r="B22" s="37">
        <f>'13. Desinvesteringen'!B24</f>
        <v>5</v>
      </c>
      <c r="D22" s="37" t="str">
        <f>'13. Desinvesteringen'!C24</f>
        <v>01 Regionale leidingen</v>
      </c>
      <c r="E22" s="37">
        <f>'13. Desinvesteringen'!D24</f>
        <v>1960</v>
      </c>
      <c r="F22" s="42">
        <f>'13. Desinvesteringen'!E24</f>
        <v>472102</v>
      </c>
      <c r="G22" s="37">
        <f>'13. Desinvesteringen'!G24</f>
        <v>2020</v>
      </c>
    </row>
    <row r="23" spans="2:7" s="3" customFormat="1">
      <c r="B23" s="37">
        <f>'13. Desinvesteringen'!B25</f>
        <v>6</v>
      </c>
      <c r="D23" s="37" t="str">
        <f>'13. Desinvesteringen'!C25</f>
        <v>01 Regionale leidingen</v>
      </c>
      <c r="E23" s="37">
        <f>'13. Desinvesteringen'!D25</f>
        <v>1963</v>
      </c>
      <c r="F23" s="42">
        <f>'13. Desinvesteringen'!E25</f>
        <v>5199.87</v>
      </c>
      <c r="G23" s="37">
        <f>'13. Desinvesteringen'!G25</f>
        <v>2020</v>
      </c>
    </row>
    <row r="24" spans="2:7" s="3" customFormat="1">
      <c r="B24" s="37">
        <f>'13. Desinvesteringen'!B26</f>
        <v>7</v>
      </c>
      <c r="D24" s="37" t="str">
        <f>'13. Desinvesteringen'!C26</f>
        <v>01 Regionale leidingen</v>
      </c>
      <c r="E24" s="37">
        <f>'13. Desinvesteringen'!D26</f>
        <v>1965</v>
      </c>
      <c r="F24" s="42">
        <f>'13. Desinvesteringen'!E26</f>
        <v>323801.40000000002</v>
      </c>
      <c r="G24" s="37">
        <f>'13. Desinvesteringen'!G26</f>
        <v>2020</v>
      </c>
    </row>
    <row r="25" spans="2:7" s="3" customFormat="1">
      <c r="B25" s="37">
        <f>'13. Desinvesteringen'!B27</f>
        <v>8</v>
      </c>
      <c r="D25" s="37" t="str">
        <f>'13. Desinvesteringen'!C27</f>
        <v>01 Regionale leidingen</v>
      </c>
      <c r="E25" s="37">
        <f>'13. Desinvesteringen'!D27</f>
        <v>1966</v>
      </c>
      <c r="F25" s="42">
        <f>'13. Desinvesteringen'!E27</f>
        <v>436963.19</v>
      </c>
      <c r="G25" s="37">
        <f>'13. Desinvesteringen'!G27</f>
        <v>2020</v>
      </c>
    </row>
    <row r="26" spans="2:7" s="3" customFormat="1">
      <c r="B26" s="37">
        <f>'13. Desinvesteringen'!B28</f>
        <v>9</v>
      </c>
      <c r="D26" s="37" t="str">
        <f>'13. Desinvesteringen'!C28</f>
        <v>01 Regionale leidingen</v>
      </c>
      <c r="E26" s="37">
        <f>'13. Desinvesteringen'!D28</f>
        <v>1967</v>
      </c>
      <c r="F26" s="42">
        <f>'13. Desinvesteringen'!E28</f>
        <v>527887.29</v>
      </c>
      <c r="G26" s="37">
        <f>'13. Desinvesteringen'!G28</f>
        <v>2020</v>
      </c>
    </row>
    <row r="27" spans="2:7" s="3" customFormat="1">
      <c r="B27" s="37">
        <f>'13. Desinvesteringen'!B29</f>
        <v>10</v>
      </c>
      <c r="D27" s="37" t="str">
        <f>'13. Desinvesteringen'!C29</f>
        <v>01 Regionale leidingen</v>
      </c>
      <c r="E27" s="37">
        <f>'13. Desinvesteringen'!D29</f>
        <v>1968</v>
      </c>
      <c r="F27" s="42">
        <f>'13. Desinvesteringen'!E29</f>
        <v>243220.29</v>
      </c>
      <c r="G27" s="37">
        <f>'13. Desinvesteringen'!G29</f>
        <v>2020</v>
      </c>
    </row>
    <row r="28" spans="2:7" s="3" customFormat="1">
      <c r="B28" s="37">
        <f>'13. Desinvesteringen'!B30</f>
        <v>11</v>
      </c>
      <c r="D28" s="37" t="str">
        <f>'13. Desinvesteringen'!C30</f>
        <v>01 Regionale leidingen</v>
      </c>
      <c r="E28" s="37">
        <f>'13. Desinvesteringen'!D30</f>
        <v>1969</v>
      </c>
      <c r="F28" s="42">
        <f>'13. Desinvesteringen'!E30</f>
        <v>157118.15</v>
      </c>
      <c r="G28" s="37">
        <f>'13. Desinvesteringen'!G30</f>
        <v>2020</v>
      </c>
    </row>
    <row r="29" spans="2:7" s="3" customFormat="1">
      <c r="B29" s="37">
        <f>'13. Desinvesteringen'!B31</f>
        <v>12</v>
      </c>
      <c r="D29" s="37" t="str">
        <f>'13. Desinvesteringen'!C31</f>
        <v>01 Regionale leidingen</v>
      </c>
      <c r="E29" s="37">
        <f>'13. Desinvesteringen'!D31</f>
        <v>1970</v>
      </c>
      <c r="F29" s="42">
        <f>'13. Desinvesteringen'!E31</f>
        <v>186298.57</v>
      </c>
      <c r="G29" s="37">
        <f>'13. Desinvesteringen'!G31</f>
        <v>2020</v>
      </c>
    </row>
    <row r="30" spans="2:7" s="3" customFormat="1">
      <c r="B30" s="37">
        <f>'13. Desinvesteringen'!B32</f>
        <v>13</v>
      </c>
      <c r="D30" s="37" t="str">
        <f>'13. Desinvesteringen'!C32</f>
        <v>01 Regionale leidingen</v>
      </c>
      <c r="E30" s="37">
        <f>'13. Desinvesteringen'!D32</f>
        <v>1971</v>
      </c>
      <c r="F30" s="42">
        <f>'13. Desinvesteringen'!E32</f>
        <v>161892.66</v>
      </c>
      <c r="G30" s="37">
        <f>'13. Desinvesteringen'!G32</f>
        <v>2020</v>
      </c>
    </row>
    <row r="31" spans="2:7" s="3" customFormat="1">
      <c r="B31" s="37">
        <f>'13. Desinvesteringen'!B33</f>
        <v>14</v>
      </c>
      <c r="D31" s="37" t="str">
        <f>'13. Desinvesteringen'!C33</f>
        <v>01 Regionale leidingen</v>
      </c>
      <c r="E31" s="37">
        <f>'13. Desinvesteringen'!D33</f>
        <v>1972</v>
      </c>
      <c r="F31" s="42">
        <f>'13. Desinvesteringen'!E33</f>
        <v>414299.14</v>
      </c>
      <c r="G31" s="37">
        <f>'13. Desinvesteringen'!G33</f>
        <v>2020</v>
      </c>
    </row>
    <row r="32" spans="2:7" s="3" customFormat="1">
      <c r="B32" s="37">
        <f>'13. Desinvesteringen'!B34</f>
        <v>15</v>
      </c>
      <c r="D32" s="37" t="str">
        <f>'13. Desinvesteringen'!C34</f>
        <v>01 Regionale leidingen</v>
      </c>
      <c r="E32" s="37">
        <f>'13. Desinvesteringen'!D34</f>
        <v>1973</v>
      </c>
      <c r="F32" s="42">
        <f>'13. Desinvesteringen'!E34</f>
        <v>199407.52</v>
      </c>
      <c r="G32" s="37">
        <f>'13. Desinvesteringen'!G34</f>
        <v>2020</v>
      </c>
    </row>
    <row r="33" spans="2:7" s="3" customFormat="1">
      <c r="B33" s="37">
        <f>'13. Desinvesteringen'!B35</f>
        <v>16</v>
      </c>
      <c r="D33" s="37" t="str">
        <f>'13. Desinvesteringen'!C35</f>
        <v>01 Regionale leidingen</v>
      </c>
      <c r="E33" s="37">
        <f>'13. Desinvesteringen'!D35</f>
        <v>1974</v>
      </c>
      <c r="F33" s="42">
        <f>'13. Desinvesteringen'!E35</f>
        <v>45610.86</v>
      </c>
      <c r="G33" s="37">
        <f>'13. Desinvesteringen'!G35</f>
        <v>2020</v>
      </c>
    </row>
    <row r="34" spans="2:7" s="3" customFormat="1">
      <c r="B34" s="37">
        <f>'13. Desinvesteringen'!B36</f>
        <v>17</v>
      </c>
      <c r="D34" s="37" t="str">
        <f>'13. Desinvesteringen'!C36</f>
        <v>01 Regionale leidingen</v>
      </c>
      <c r="E34" s="37">
        <f>'13. Desinvesteringen'!D36</f>
        <v>1975</v>
      </c>
      <c r="F34" s="42">
        <f>'13. Desinvesteringen'!E36</f>
        <v>26637.1</v>
      </c>
      <c r="G34" s="37">
        <f>'13. Desinvesteringen'!G36</f>
        <v>2020</v>
      </c>
    </row>
    <row r="35" spans="2:7" s="3" customFormat="1">
      <c r="B35" s="37">
        <f>'13. Desinvesteringen'!B37</f>
        <v>18</v>
      </c>
      <c r="D35" s="37" t="str">
        <f>'13. Desinvesteringen'!C37</f>
        <v>01 Regionale leidingen</v>
      </c>
      <c r="E35" s="37">
        <f>'13. Desinvesteringen'!D37</f>
        <v>1976</v>
      </c>
      <c r="F35" s="42">
        <f>'13. Desinvesteringen'!E37</f>
        <v>110116.33</v>
      </c>
      <c r="G35" s="37">
        <f>'13. Desinvesteringen'!G37</f>
        <v>2020</v>
      </c>
    </row>
    <row r="36" spans="2:7" s="3" customFormat="1">
      <c r="B36" s="37">
        <f>'13. Desinvesteringen'!B38</f>
        <v>19</v>
      </c>
      <c r="D36" s="37" t="str">
        <f>'13. Desinvesteringen'!C38</f>
        <v>01 Regionale leidingen</v>
      </c>
      <c r="E36" s="37">
        <f>'13. Desinvesteringen'!D38</f>
        <v>1977</v>
      </c>
      <c r="F36" s="42">
        <f>'13. Desinvesteringen'!E38</f>
        <v>40000</v>
      </c>
      <c r="G36" s="37">
        <f>'13. Desinvesteringen'!G38</f>
        <v>2020</v>
      </c>
    </row>
    <row r="37" spans="2:7" s="3" customFormat="1">
      <c r="B37" s="37">
        <f>'13. Desinvesteringen'!B39</f>
        <v>20</v>
      </c>
      <c r="D37" s="37" t="str">
        <f>'13. Desinvesteringen'!C39</f>
        <v>01 Regionale leidingen</v>
      </c>
      <c r="E37" s="37">
        <f>'13. Desinvesteringen'!D39</f>
        <v>1980</v>
      </c>
      <c r="F37" s="42">
        <f>'13. Desinvesteringen'!E39</f>
        <v>104178.71</v>
      </c>
      <c r="G37" s="37">
        <f>'13. Desinvesteringen'!G39</f>
        <v>2020</v>
      </c>
    </row>
    <row r="38" spans="2:7" s="3" customFormat="1">
      <c r="B38" s="37">
        <f>'13. Desinvesteringen'!B40</f>
        <v>21</v>
      </c>
      <c r="D38" s="37" t="str">
        <f>'13. Desinvesteringen'!C40</f>
        <v>01 Regionale leidingen</v>
      </c>
      <c r="E38" s="37">
        <f>'13. Desinvesteringen'!D40</f>
        <v>1986</v>
      </c>
      <c r="F38" s="42">
        <f>'13. Desinvesteringen'!E40</f>
        <v>1666.04</v>
      </c>
      <c r="G38" s="37">
        <f>'13. Desinvesteringen'!G40</f>
        <v>2020</v>
      </c>
    </row>
    <row r="39" spans="2:7" s="3" customFormat="1">
      <c r="B39" s="37">
        <f>'13. Desinvesteringen'!B41</f>
        <v>22</v>
      </c>
      <c r="D39" s="37" t="str">
        <f>'13. Desinvesteringen'!C41</f>
        <v>01 Regionale leidingen</v>
      </c>
      <c r="E39" s="37">
        <f>'13. Desinvesteringen'!D41</f>
        <v>1987</v>
      </c>
      <c r="F39" s="42">
        <f>'13. Desinvesteringen'!E41</f>
        <v>35717.06</v>
      </c>
      <c r="G39" s="37">
        <f>'13. Desinvesteringen'!G41</f>
        <v>2020</v>
      </c>
    </row>
    <row r="40" spans="2:7" s="3" customFormat="1">
      <c r="B40" s="37">
        <f>'13. Desinvesteringen'!B42</f>
        <v>23</v>
      </c>
      <c r="D40" s="37" t="str">
        <f>'13. Desinvesteringen'!C42</f>
        <v>01 Regionale leidingen</v>
      </c>
      <c r="E40" s="37">
        <f>'13. Desinvesteringen'!D42</f>
        <v>1988</v>
      </c>
      <c r="F40" s="42">
        <f>'13. Desinvesteringen'!E42</f>
        <v>4808.08</v>
      </c>
      <c r="G40" s="37">
        <f>'13. Desinvesteringen'!G42</f>
        <v>2020</v>
      </c>
    </row>
    <row r="41" spans="2:7" s="3" customFormat="1">
      <c r="B41" s="37">
        <f>'13. Desinvesteringen'!B43</f>
        <v>24</v>
      </c>
      <c r="D41" s="37" t="str">
        <f>'13. Desinvesteringen'!C43</f>
        <v>01 Regionale leidingen</v>
      </c>
      <c r="E41" s="37">
        <f>'13. Desinvesteringen'!D43</f>
        <v>1989</v>
      </c>
      <c r="F41" s="42">
        <f>'13. Desinvesteringen'!E43</f>
        <v>24785.81</v>
      </c>
      <c r="G41" s="37">
        <f>'13. Desinvesteringen'!G43</f>
        <v>2020</v>
      </c>
    </row>
    <row r="42" spans="2:7" s="3" customFormat="1">
      <c r="B42" s="37">
        <f>'13. Desinvesteringen'!B44</f>
        <v>25</v>
      </c>
      <c r="D42" s="37" t="str">
        <f>'13. Desinvesteringen'!C44</f>
        <v>01 Regionale leidingen</v>
      </c>
      <c r="E42" s="37">
        <f>'13. Desinvesteringen'!D44</f>
        <v>1992</v>
      </c>
      <c r="F42" s="42">
        <f>'13. Desinvesteringen'!E44</f>
        <v>22986.32</v>
      </c>
      <c r="G42" s="37">
        <f>'13. Desinvesteringen'!G44</f>
        <v>2020</v>
      </c>
    </row>
    <row r="43" spans="2:7" s="3" customFormat="1">
      <c r="B43" s="37">
        <f>'13. Desinvesteringen'!B45</f>
        <v>26</v>
      </c>
      <c r="D43" s="37" t="str">
        <f>'13. Desinvesteringen'!C45</f>
        <v>01 Regionale leidingen</v>
      </c>
      <c r="E43" s="37">
        <f>'13. Desinvesteringen'!D45</f>
        <v>1999</v>
      </c>
      <c r="F43" s="42">
        <f>'13. Desinvesteringen'!E45</f>
        <v>62463.15</v>
      </c>
      <c r="G43" s="37">
        <f>'13. Desinvesteringen'!G45</f>
        <v>2020</v>
      </c>
    </row>
    <row r="44" spans="2:7" s="3" customFormat="1">
      <c r="B44" s="37">
        <f>'13. Desinvesteringen'!B46</f>
        <v>27</v>
      </c>
      <c r="D44" s="37" t="str">
        <f>'13. Desinvesteringen'!C46</f>
        <v>01 Regionale leidingen</v>
      </c>
      <c r="E44" s="37">
        <f>'13. Desinvesteringen'!D46</f>
        <v>2000</v>
      </c>
      <c r="F44" s="42">
        <f>'13. Desinvesteringen'!E46</f>
        <v>184556.79</v>
      </c>
      <c r="G44" s="37">
        <f>'13. Desinvesteringen'!G46</f>
        <v>2020</v>
      </c>
    </row>
    <row r="45" spans="2:7" s="3" customFormat="1">
      <c r="B45" s="37">
        <f>'13. Desinvesteringen'!B47</f>
        <v>28</v>
      </c>
      <c r="D45" s="37" t="str">
        <f>'13. Desinvesteringen'!C47</f>
        <v>01 Regionale leidingen</v>
      </c>
      <c r="E45" s="37">
        <f>'13. Desinvesteringen'!D47</f>
        <v>2001</v>
      </c>
      <c r="F45" s="42">
        <f>'13. Desinvesteringen'!E47</f>
        <v>74893.259999999995</v>
      </c>
      <c r="G45" s="37">
        <f>'13. Desinvesteringen'!G47</f>
        <v>2020</v>
      </c>
    </row>
    <row r="46" spans="2:7" s="3" customFormat="1">
      <c r="B46" s="37">
        <f>'13. Desinvesteringen'!B48</f>
        <v>29</v>
      </c>
      <c r="D46" s="37" t="str">
        <f>'13. Desinvesteringen'!C48</f>
        <v>01 Regionale leidingen</v>
      </c>
      <c r="E46" s="37">
        <f>'13. Desinvesteringen'!D48</f>
        <v>2002</v>
      </c>
      <c r="F46" s="42">
        <f>'13. Desinvesteringen'!E48</f>
        <v>98192.88</v>
      </c>
      <c r="G46" s="37">
        <f>'13. Desinvesteringen'!G48</f>
        <v>2020</v>
      </c>
    </row>
    <row r="47" spans="2:7" s="3" customFormat="1">
      <c r="B47" s="37">
        <f>'13. Desinvesteringen'!B49</f>
        <v>30</v>
      </c>
      <c r="D47" s="37" t="str">
        <f>'13. Desinvesteringen'!C49</f>
        <v>01 Regionale leidingen</v>
      </c>
      <c r="E47" s="37">
        <f>'13. Desinvesteringen'!D49</f>
        <v>2003</v>
      </c>
      <c r="F47" s="42">
        <f>'13. Desinvesteringen'!E49</f>
        <v>117678.13</v>
      </c>
      <c r="G47" s="37">
        <f>'13. Desinvesteringen'!G49</f>
        <v>2020</v>
      </c>
    </row>
    <row r="48" spans="2:7" s="3" customFormat="1">
      <c r="B48" s="37">
        <f>'13. Desinvesteringen'!B50</f>
        <v>31</v>
      </c>
      <c r="D48" s="37" t="str">
        <f>'13. Desinvesteringen'!C50</f>
        <v>01 Regionale leidingen</v>
      </c>
      <c r="E48" s="37">
        <f>'13. Desinvesteringen'!D50</f>
        <v>2004</v>
      </c>
      <c r="F48" s="42">
        <f>'13. Desinvesteringen'!E50</f>
        <v>26579.37</v>
      </c>
      <c r="G48" s="37">
        <f>'13. Desinvesteringen'!G50</f>
        <v>2020</v>
      </c>
    </row>
    <row r="49" spans="2:7" s="3" customFormat="1">
      <c r="B49" s="37">
        <f>'13. Desinvesteringen'!B51</f>
        <v>32</v>
      </c>
      <c r="D49" s="37" t="str">
        <f>'13. Desinvesteringen'!C51</f>
        <v>01 Regionale leidingen</v>
      </c>
      <c r="E49" s="37">
        <f>'13. Desinvesteringen'!D51</f>
        <v>2005</v>
      </c>
      <c r="F49" s="42">
        <f>'13. Desinvesteringen'!E51</f>
        <v>2763.58</v>
      </c>
      <c r="G49" s="37">
        <f>'13. Desinvesteringen'!G51</f>
        <v>2020</v>
      </c>
    </row>
    <row r="50" spans="2:7" s="3" customFormat="1">
      <c r="B50" s="37">
        <f>'13. Desinvesteringen'!B52</f>
        <v>33</v>
      </c>
      <c r="D50" s="37" t="str">
        <f>'13. Desinvesteringen'!C52</f>
        <v>01 Regionale leidingen</v>
      </c>
      <c r="E50" s="37">
        <f>'13. Desinvesteringen'!D52</f>
        <v>2011</v>
      </c>
      <c r="F50" s="42">
        <f>'13. Desinvesteringen'!E52</f>
        <v>6196.9935750000004</v>
      </c>
      <c r="G50" s="37">
        <f>'13. Desinvesteringen'!G52</f>
        <v>2020</v>
      </c>
    </row>
    <row r="51" spans="2:7" s="3" customFormat="1">
      <c r="B51" s="37">
        <f>'13. Desinvesteringen'!B53</f>
        <v>34</v>
      </c>
      <c r="D51" s="37" t="str">
        <f>'13. Desinvesteringen'!C53</f>
        <v>01 Regionale leidingen</v>
      </c>
      <c r="E51" s="37">
        <f>'13. Desinvesteringen'!D53</f>
        <v>2013</v>
      </c>
      <c r="F51" s="42">
        <f>'13. Desinvesteringen'!E53</f>
        <v>800675.63015999994</v>
      </c>
      <c r="G51" s="37">
        <f>'13. Desinvesteringen'!G53</f>
        <v>2020</v>
      </c>
    </row>
    <row r="52" spans="2:7" s="3" customFormat="1">
      <c r="B52" s="37">
        <f>'13. Desinvesteringen'!B54</f>
        <v>35</v>
      </c>
      <c r="D52" s="37" t="str">
        <f>'13. Desinvesteringen'!C54</f>
        <v>01 Regionale leidingen (Waterkruisingen)</v>
      </c>
      <c r="E52" s="37">
        <f>'13. Desinvesteringen'!D54</f>
        <v>1966</v>
      </c>
      <c r="F52" s="42">
        <f>'13. Desinvesteringen'!E54</f>
        <v>185.7</v>
      </c>
      <c r="G52" s="37">
        <f>'13. Desinvesteringen'!G54</f>
        <v>2020</v>
      </c>
    </row>
    <row r="53" spans="2:7" s="3" customFormat="1">
      <c r="B53" s="37">
        <f>'13. Desinvesteringen'!B55</f>
        <v>36</v>
      </c>
      <c r="D53" s="37" t="str">
        <f>'13. Desinvesteringen'!C55</f>
        <v>01 Regionale leidingen (Waterkruisingen)</v>
      </c>
      <c r="E53" s="37">
        <f>'13. Desinvesteringen'!D55</f>
        <v>1969</v>
      </c>
      <c r="F53" s="42">
        <f>'13. Desinvesteringen'!E55</f>
        <v>16723.95</v>
      </c>
      <c r="G53" s="37">
        <f>'13. Desinvesteringen'!G55</f>
        <v>2020</v>
      </c>
    </row>
    <row r="54" spans="2:7" s="3" customFormat="1">
      <c r="B54" s="37">
        <f>'13. Desinvesteringen'!B56</f>
        <v>37</v>
      </c>
      <c r="D54" s="37" t="str">
        <f>'13. Desinvesteringen'!C56</f>
        <v>01 Regionale leidingen (Waterkruisingen)</v>
      </c>
      <c r="E54" s="37">
        <f>'13. Desinvesteringen'!D56</f>
        <v>1971</v>
      </c>
      <c r="F54" s="42">
        <f>'13. Desinvesteringen'!E56</f>
        <v>20942.86</v>
      </c>
      <c r="G54" s="37">
        <f>'13. Desinvesteringen'!G56</f>
        <v>2020</v>
      </c>
    </row>
    <row r="55" spans="2:7" s="3" customFormat="1">
      <c r="B55" s="37">
        <f>'13. Desinvesteringen'!B57</f>
        <v>38</v>
      </c>
      <c r="D55" s="37" t="str">
        <f>'13. Desinvesteringen'!C57</f>
        <v>01 Regionale leidingen (Waterkruisingen)</v>
      </c>
      <c r="E55" s="37">
        <f>'13. Desinvesteringen'!D57</f>
        <v>1972</v>
      </c>
      <c r="F55" s="42">
        <f>'13. Desinvesteringen'!E57</f>
        <v>40987.47</v>
      </c>
      <c r="G55" s="37">
        <f>'13. Desinvesteringen'!G57</f>
        <v>2020</v>
      </c>
    </row>
    <row r="56" spans="2:7" s="3" customFormat="1">
      <c r="B56" s="37">
        <f>'13. Desinvesteringen'!B58</f>
        <v>39</v>
      </c>
      <c r="D56" s="37" t="str">
        <f>'13. Desinvesteringen'!C58</f>
        <v>01 Regionale leidingen (Waterkruisingen)</v>
      </c>
      <c r="E56" s="37">
        <f>'13. Desinvesteringen'!D58</f>
        <v>1973</v>
      </c>
      <c r="F56" s="42">
        <f>'13. Desinvesteringen'!E58</f>
        <v>12298.26</v>
      </c>
      <c r="G56" s="37">
        <f>'13. Desinvesteringen'!G58</f>
        <v>2020</v>
      </c>
    </row>
    <row r="57" spans="2:7" s="3" customFormat="1">
      <c r="B57" s="37">
        <f>'13. Desinvesteringen'!B59</f>
        <v>40</v>
      </c>
      <c r="D57" s="37" t="str">
        <f>'13. Desinvesteringen'!C59</f>
        <v>01 Regionale leidingen (Waterkruisingen)</v>
      </c>
      <c r="E57" s="37">
        <f>'13. Desinvesteringen'!D59</f>
        <v>1975</v>
      </c>
      <c r="F57" s="42">
        <f>'13. Desinvesteringen'!E59</f>
        <v>13362.9</v>
      </c>
      <c r="G57" s="37">
        <f>'13. Desinvesteringen'!G59</f>
        <v>2020</v>
      </c>
    </row>
    <row r="58" spans="2:7" s="3" customFormat="1">
      <c r="B58" s="37">
        <f>'13. Desinvesteringen'!B60</f>
        <v>41</v>
      </c>
      <c r="D58" s="37" t="str">
        <f>'13. Desinvesteringen'!C60</f>
        <v>01 Regionale leidingen (Waterkruisingen)</v>
      </c>
      <c r="E58" s="37">
        <f>'13. Desinvesteringen'!D60</f>
        <v>1980</v>
      </c>
      <c r="F58" s="42">
        <f>'13. Desinvesteringen'!E60</f>
        <v>47995.57</v>
      </c>
      <c r="G58" s="37">
        <f>'13. Desinvesteringen'!G60</f>
        <v>2020</v>
      </c>
    </row>
    <row r="59" spans="2:7" s="3" customFormat="1">
      <c r="B59" s="37">
        <f>'13. Desinvesteringen'!B61</f>
        <v>42</v>
      </c>
      <c r="D59" s="37" t="str">
        <f>'13. Desinvesteringen'!C61</f>
        <v>02 Gasontvangststations</v>
      </c>
      <c r="E59" s="37">
        <f>'13. Desinvesteringen'!D61</f>
        <v>1965</v>
      </c>
      <c r="F59" s="42">
        <f>'13. Desinvesteringen'!E61</f>
        <v>162736.70000000001</v>
      </c>
      <c r="G59" s="37">
        <f>'13. Desinvesteringen'!G61</f>
        <v>2020</v>
      </c>
    </row>
    <row r="60" spans="2:7" s="3" customFormat="1">
      <c r="B60" s="37">
        <f>'13. Desinvesteringen'!B62</f>
        <v>43</v>
      </c>
      <c r="D60" s="37" t="str">
        <f>'13. Desinvesteringen'!C62</f>
        <v>02 Gasontvangststations</v>
      </c>
      <c r="E60" s="37">
        <f>'13. Desinvesteringen'!D62</f>
        <v>1966</v>
      </c>
      <c r="F60" s="42">
        <f>'13. Desinvesteringen'!E62</f>
        <v>282042.34000000003</v>
      </c>
      <c r="G60" s="37">
        <f>'13. Desinvesteringen'!G62</f>
        <v>2020</v>
      </c>
    </row>
    <row r="61" spans="2:7" s="3" customFormat="1">
      <c r="B61" s="37">
        <f>'13. Desinvesteringen'!B63</f>
        <v>44</v>
      </c>
      <c r="D61" s="37" t="str">
        <f>'13. Desinvesteringen'!C63</f>
        <v>02 Gasontvangststations</v>
      </c>
      <c r="E61" s="37">
        <f>'13. Desinvesteringen'!D63</f>
        <v>1967</v>
      </c>
      <c r="F61" s="42">
        <f>'13. Desinvesteringen'!E63</f>
        <v>390313.68</v>
      </c>
      <c r="G61" s="37">
        <f>'13. Desinvesteringen'!G63</f>
        <v>2020</v>
      </c>
    </row>
    <row r="62" spans="2:7" s="3" customFormat="1">
      <c r="B62" s="37">
        <f>'13. Desinvesteringen'!B64</f>
        <v>45</v>
      </c>
      <c r="D62" s="37" t="str">
        <f>'13. Desinvesteringen'!C64</f>
        <v>02 Gasontvangststations</v>
      </c>
      <c r="E62" s="37">
        <f>'13. Desinvesteringen'!D64</f>
        <v>1968</v>
      </c>
      <c r="F62" s="42">
        <f>'13. Desinvesteringen'!E64</f>
        <v>337925.75</v>
      </c>
      <c r="G62" s="37">
        <f>'13. Desinvesteringen'!G64</f>
        <v>2020</v>
      </c>
    </row>
    <row r="63" spans="2:7" s="3" customFormat="1">
      <c r="B63" s="37">
        <f>'13. Desinvesteringen'!B65</f>
        <v>46</v>
      </c>
      <c r="D63" s="37" t="str">
        <f>'13. Desinvesteringen'!C65</f>
        <v>02 Gasontvangststations</v>
      </c>
      <c r="E63" s="37">
        <f>'13. Desinvesteringen'!D65</f>
        <v>1969</v>
      </c>
      <c r="F63" s="42">
        <f>'13. Desinvesteringen'!E65</f>
        <v>19730</v>
      </c>
      <c r="G63" s="37">
        <f>'13. Desinvesteringen'!G65</f>
        <v>2020</v>
      </c>
    </row>
    <row r="64" spans="2:7" s="3" customFormat="1">
      <c r="B64" s="37">
        <f>'13. Desinvesteringen'!B66</f>
        <v>47</v>
      </c>
      <c r="D64" s="37" t="str">
        <f>'13. Desinvesteringen'!C66</f>
        <v>02 Gasontvangststations</v>
      </c>
      <c r="E64" s="37">
        <f>'13. Desinvesteringen'!D66</f>
        <v>1970</v>
      </c>
      <c r="F64" s="42">
        <f>'13. Desinvesteringen'!E66</f>
        <v>169357.15</v>
      </c>
      <c r="G64" s="37">
        <f>'13. Desinvesteringen'!G66</f>
        <v>2020</v>
      </c>
    </row>
    <row r="65" spans="2:7" s="3" customFormat="1">
      <c r="B65" s="37">
        <f>'13. Desinvesteringen'!B67</f>
        <v>48</v>
      </c>
      <c r="D65" s="37" t="str">
        <f>'13. Desinvesteringen'!C67</f>
        <v>02 Gasontvangststations</v>
      </c>
      <c r="E65" s="37">
        <f>'13. Desinvesteringen'!D67</f>
        <v>1971</v>
      </c>
      <c r="F65" s="42">
        <f>'13. Desinvesteringen'!E67</f>
        <v>201451.64</v>
      </c>
      <c r="G65" s="37">
        <f>'13. Desinvesteringen'!G67</f>
        <v>2020</v>
      </c>
    </row>
    <row r="66" spans="2:7" s="3" customFormat="1">
      <c r="B66" s="37">
        <f>'13. Desinvesteringen'!B68</f>
        <v>49</v>
      </c>
      <c r="D66" s="37" t="str">
        <f>'13. Desinvesteringen'!C68</f>
        <v>02 Gasontvangststations</v>
      </c>
      <c r="E66" s="37">
        <f>'13. Desinvesteringen'!D68</f>
        <v>1972</v>
      </c>
      <c r="F66" s="42">
        <f>'13. Desinvesteringen'!E68</f>
        <v>147669.32</v>
      </c>
      <c r="G66" s="37">
        <f>'13. Desinvesteringen'!G68</f>
        <v>2020</v>
      </c>
    </row>
    <row r="67" spans="2:7" s="3" customFormat="1">
      <c r="B67" s="37">
        <f>'13. Desinvesteringen'!B69</f>
        <v>50</v>
      </c>
      <c r="D67" s="37" t="str">
        <f>'13. Desinvesteringen'!C69</f>
        <v>02 Gasontvangststations</v>
      </c>
      <c r="E67" s="37">
        <f>'13. Desinvesteringen'!D69</f>
        <v>1974</v>
      </c>
      <c r="F67" s="42">
        <f>'13. Desinvesteringen'!E69</f>
        <v>27434.639999999999</v>
      </c>
      <c r="G67" s="37">
        <f>'13. Desinvesteringen'!G69</f>
        <v>2020</v>
      </c>
    </row>
    <row r="68" spans="2:7" s="3" customFormat="1">
      <c r="B68" s="37">
        <f>'13. Desinvesteringen'!B70</f>
        <v>51</v>
      </c>
      <c r="D68" s="37" t="str">
        <f>'13. Desinvesteringen'!C70</f>
        <v>02 Gasontvangststations</v>
      </c>
      <c r="E68" s="37">
        <f>'13. Desinvesteringen'!D70</f>
        <v>1975</v>
      </c>
      <c r="F68" s="42">
        <f>'13. Desinvesteringen'!E70</f>
        <v>30000</v>
      </c>
      <c r="G68" s="37">
        <f>'13. Desinvesteringen'!G70</f>
        <v>2020</v>
      </c>
    </row>
    <row r="69" spans="2:7" s="3" customFormat="1">
      <c r="B69" s="37">
        <f>'13. Desinvesteringen'!B71</f>
        <v>52</v>
      </c>
      <c r="D69" s="37" t="str">
        <f>'13. Desinvesteringen'!C71</f>
        <v>02 Gasontvangststations</v>
      </c>
      <c r="E69" s="37">
        <f>'13. Desinvesteringen'!D71</f>
        <v>1976</v>
      </c>
      <c r="F69" s="42">
        <f>'13. Desinvesteringen'!E71</f>
        <v>72000</v>
      </c>
      <c r="G69" s="37">
        <f>'13. Desinvesteringen'!G71</f>
        <v>2020</v>
      </c>
    </row>
    <row r="70" spans="2:7" s="3" customFormat="1">
      <c r="B70" s="37">
        <f>'13. Desinvesteringen'!B72</f>
        <v>53</v>
      </c>
      <c r="D70" s="37" t="str">
        <f>'13. Desinvesteringen'!C72</f>
        <v>02 Gasontvangststations</v>
      </c>
      <c r="E70" s="37">
        <f>'13. Desinvesteringen'!D72</f>
        <v>1977</v>
      </c>
      <c r="F70" s="42">
        <f>'13. Desinvesteringen'!E72</f>
        <v>104527.46</v>
      </c>
      <c r="G70" s="37">
        <f>'13. Desinvesteringen'!G72</f>
        <v>2020</v>
      </c>
    </row>
    <row r="71" spans="2:7" s="3" customFormat="1">
      <c r="B71" s="37">
        <f>'13. Desinvesteringen'!B73</f>
        <v>54</v>
      </c>
      <c r="D71" s="37" t="str">
        <f>'13. Desinvesteringen'!C73</f>
        <v>02 Gasontvangststations</v>
      </c>
      <c r="E71" s="37">
        <f>'13. Desinvesteringen'!D73</f>
        <v>1979</v>
      </c>
      <c r="F71" s="42">
        <f>'13. Desinvesteringen'!E73</f>
        <v>102180.41</v>
      </c>
      <c r="G71" s="37">
        <f>'13. Desinvesteringen'!G73</f>
        <v>2020</v>
      </c>
    </row>
    <row r="72" spans="2:7" s="3" customFormat="1">
      <c r="B72" s="37">
        <f>'13. Desinvesteringen'!B74</f>
        <v>55</v>
      </c>
      <c r="D72" s="37" t="str">
        <f>'13. Desinvesteringen'!C74</f>
        <v>02 Gasontvangststations</v>
      </c>
      <c r="E72" s="37">
        <f>'13. Desinvesteringen'!D74</f>
        <v>1982</v>
      </c>
      <c r="F72" s="42">
        <f>'13. Desinvesteringen'!E74</f>
        <v>87225.38</v>
      </c>
      <c r="G72" s="37">
        <f>'13. Desinvesteringen'!G74</f>
        <v>2020</v>
      </c>
    </row>
    <row r="73" spans="2:7" s="3" customFormat="1">
      <c r="B73" s="37">
        <f>'13. Desinvesteringen'!B75</f>
        <v>56</v>
      </c>
      <c r="D73" s="37" t="str">
        <f>'13. Desinvesteringen'!C75</f>
        <v>02 Gasontvangststations</v>
      </c>
      <c r="E73" s="37">
        <f>'13. Desinvesteringen'!D75</f>
        <v>1983</v>
      </c>
      <c r="F73" s="42">
        <f>'13. Desinvesteringen'!E75</f>
        <v>30000</v>
      </c>
      <c r="G73" s="37">
        <f>'13. Desinvesteringen'!G75</f>
        <v>2020</v>
      </c>
    </row>
    <row r="74" spans="2:7" s="3" customFormat="1">
      <c r="B74" s="37">
        <f>'13. Desinvesteringen'!B76</f>
        <v>57</v>
      </c>
      <c r="D74" s="37" t="str">
        <f>'13. Desinvesteringen'!C76</f>
        <v>02 Gasontvangststations</v>
      </c>
      <c r="E74" s="37">
        <f>'13. Desinvesteringen'!D76</f>
        <v>1985</v>
      </c>
      <c r="F74" s="42">
        <f>'13. Desinvesteringen'!E76</f>
        <v>38613.07</v>
      </c>
      <c r="G74" s="37">
        <f>'13. Desinvesteringen'!G76</f>
        <v>2020</v>
      </c>
    </row>
    <row r="75" spans="2:7" s="3" customFormat="1">
      <c r="B75" s="37">
        <f>'13. Desinvesteringen'!B77</f>
        <v>58</v>
      </c>
      <c r="D75" s="37" t="str">
        <f>'13. Desinvesteringen'!C77</f>
        <v>02 Gasontvangststations</v>
      </c>
      <c r="E75" s="37">
        <f>'13. Desinvesteringen'!D77</f>
        <v>1987</v>
      </c>
      <c r="F75" s="42">
        <f>'13. Desinvesteringen'!E77</f>
        <v>8154.43</v>
      </c>
      <c r="G75" s="37">
        <f>'13. Desinvesteringen'!G77</f>
        <v>2020</v>
      </c>
    </row>
    <row r="76" spans="2:7" s="3" customFormat="1">
      <c r="B76" s="37">
        <f>'13. Desinvesteringen'!B78</f>
        <v>59</v>
      </c>
      <c r="D76" s="37" t="str">
        <f>'13. Desinvesteringen'!C78</f>
        <v>02 Gasontvangststations</v>
      </c>
      <c r="E76" s="37">
        <f>'13. Desinvesteringen'!D78</f>
        <v>1992</v>
      </c>
      <c r="F76" s="42">
        <f>'13. Desinvesteringen'!E78</f>
        <v>79800.429999999993</v>
      </c>
      <c r="G76" s="37">
        <f>'13. Desinvesteringen'!G78</f>
        <v>2020</v>
      </c>
    </row>
    <row r="77" spans="2:7" s="3" customFormat="1">
      <c r="B77" s="37">
        <f>'13. Desinvesteringen'!B79</f>
        <v>60</v>
      </c>
      <c r="D77" s="37" t="str">
        <f>'13. Desinvesteringen'!C79</f>
        <v>02 Gasontvangststations</v>
      </c>
      <c r="E77" s="37">
        <f>'13. Desinvesteringen'!D79</f>
        <v>1995</v>
      </c>
      <c r="F77" s="42">
        <f>'13. Desinvesteringen'!E79</f>
        <v>121494.29</v>
      </c>
      <c r="G77" s="37">
        <f>'13. Desinvesteringen'!G79</f>
        <v>2020</v>
      </c>
    </row>
    <row r="78" spans="2:7" s="3" customFormat="1">
      <c r="B78" s="37">
        <f>'13. Desinvesteringen'!B80</f>
        <v>61</v>
      </c>
      <c r="D78" s="37" t="str">
        <f>'13. Desinvesteringen'!C80</f>
        <v>02 Gasontvangststations</v>
      </c>
      <c r="E78" s="37">
        <f>'13. Desinvesteringen'!D80</f>
        <v>1998</v>
      </c>
      <c r="F78" s="42">
        <f>'13. Desinvesteringen'!E80</f>
        <v>45471.44</v>
      </c>
      <c r="G78" s="37">
        <f>'13. Desinvesteringen'!G80</f>
        <v>2020</v>
      </c>
    </row>
    <row r="79" spans="2:7" s="3" customFormat="1">
      <c r="B79" s="37">
        <f>'13. Desinvesteringen'!B81</f>
        <v>62</v>
      </c>
      <c r="D79" s="37" t="str">
        <f>'13. Desinvesteringen'!C81</f>
        <v>02 Gasontvangststations</v>
      </c>
      <c r="E79" s="37">
        <f>'13. Desinvesteringen'!D81</f>
        <v>2002</v>
      </c>
      <c r="F79" s="42">
        <f>'13. Desinvesteringen'!E81</f>
        <v>10346.200000000001</v>
      </c>
      <c r="G79" s="37">
        <f>'13. Desinvesteringen'!G81</f>
        <v>2020</v>
      </c>
    </row>
    <row r="80" spans="2:7" s="3" customFormat="1">
      <c r="B80" s="37">
        <f>'13. Desinvesteringen'!B82</f>
        <v>63</v>
      </c>
      <c r="D80" s="37" t="str">
        <f>'13. Desinvesteringen'!C82</f>
        <v>02 Gasontvangststations</v>
      </c>
      <c r="E80" s="37">
        <f>'13. Desinvesteringen'!D82</f>
        <v>2003</v>
      </c>
      <c r="F80" s="42">
        <f>'13. Desinvesteringen'!E82</f>
        <v>10560.43</v>
      </c>
      <c r="G80" s="37">
        <f>'13. Desinvesteringen'!G82</f>
        <v>2020</v>
      </c>
    </row>
    <row r="81" spans="2:7" s="3" customFormat="1">
      <c r="B81" s="37">
        <f>'13. Desinvesteringen'!B83</f>
        <v>64</v>
      </c>
      <c r="D81" s="37" t="str">
        <f>'13. Desinvesteringen'!C83</f>
        <v>02 Gasontvangststations</v>
      </c>
      <c r="E81" s="37">
        <f>'13. Desinvesteringen'!D83</f>
        <v>2004</v>
      </c>
      <c r="F81" s="42">
        <f>'13. Desinvesteringen'!E83</f>
        <v>65494.31</v>
      </c>
      <c r="G81" s="37">
        <f>'13. Desinvesteringen'!G83</f>
        <v>2020</v>
      </c>
    </row>
    <row r="82" spans="2:7" s="3" customFormat="1">
      <c r="B82" s="37">
        <f>'13. Desinvesteringen'!B84</f>
        <v>65</v>
      </c>
      <c r="D82" s="37" t="str">
        <f>'13. Desinvesteringen'!C84</f>
        <v>02 Gasontvangststations</v>
      </c>
      <c r="E82" s="37">
        <f>'13. Desinvesteringen'!D84</f>
        <v>2006</v>
      </c>
      <c r="F82" s="42">
        <f>'13. Desinvesteringen'!E84</f>
        <v>28786.400000000001</v>
      </c>
      <c r="G82" s="37">
        <f>'13. Desinvesteringen'!G84</f>
        <v>2020</v>
      </c>
    </row>
    <row r="83" spans="2:7" s="3" customFormat="1">
      <c r="B83" s="37">
        <f>'13. Desinvesteringen'!B85</f>
        <v>66</v>
      </c>
      <c r="D83" s="37" t="str">
        <f>'13. Desinvesteringen'!C85</f>
        <v>02 Gasontvangststations</v>
      </c>
      <c r="E83" s="37">
        <f>'13. Desinvesteringen'!D85</f>
        <v>2008</v>
      </c>
      <c r="F83" s="42">
        <f>'13. Desinvesteringen'!E85</f>
        <v>159796.69</v>
      </c>
      <c r="G83" s="37">
        <f>'13. Desinvesteringen'!G85</f>
        <v>2020</v>
      </c>
    </row>
    <row r="84" spans="2:7" s="3" customFormat="1">
      <c r="B84" s="37">
        <f>'13. Desinvesteringen'!B86</f>
        <v>67</v>
      </c>
      <c r="D84" s="37" t="str">
        <f>'13. Desinvesteringen'!C86</f>
        <v>02 Gasontvangststations</v>
      </c>
      <c r="E84" s="37">
        <f>'13. Desinvesteringen'!D86</f>
        <v>2011</v>
      </c>
      <c r="F84" s="42">
        <f>'13. Desinvesteringen'!E86</f>
        <v>54172.756048000003</v>
      </c>
      <c r="G84" s="37">
        <f>'13. Desinvesteringen'!G86</f>
        <v>2020</v>
      </c>
    </row>
    <row r="85" spans="2:7" s="3" customFormat="1">
      <c r="B85" s="37">
        <f>'13. Desinvesteringen'!B87</f>
        <v>68</v>
      </c>
      <c r="D85" s="37" t="str">
        <f>'13. Desinvesteringen'!C87</f>
        <v>02 Gasontvangststations</v>
      </c>
      <c r="E85" s="37">
        <f>'13. Desinvesteringen'!D87</f>
        <v>2012</v>
      </c>
      <c r="F85" s="42">
        <f>'13. Desinvesteringen'!E87</f>
        <v>16860.795606</v>
      </c>
      <c r="G85" s="37">
        <f>'13. Desinvesteringen'!G87</f>
        <v>2020</v>
      </c>
    </row>
    <row r="86" spans="2:7" s="3" customFormat="1">
      <c r="B86" s="37">
        <f>'13. Desinvesteringen'!B88</f>
        <v>69</v>
      </c>
      <c r="D86" s="37" t="str">
        <f>'13. Desinvesteringen'!C88</f>
        <v>02 Gasontvangststations</v>
      </c>
      <c r="E86" s="37">
        <f>'13. Desinvesteringen'!D88</f>
        <v>2015</v>
      </c>
      <c r="F86" s="42">
        <f>'13. Desinvesteringen'!E88</f>
        <v>15275.23848</v>
      </c>
      <c r="G86" s="37">
        <f>'13. Desinvesteringen'!G88</f>
        <v>2020</v>
      </c>
    </row>
    <row r="87" spans="2:7" s="3" customFormat="1">
      <c r="B87" s="37">
        <f>'13. Desinvesteringen'!B89</f>
        <v>70</v>
      </c>
      <c r="D87" s="37" t="str">
        <f>'13. Desinvesteringen'!C89</f>
        <v>04 Terreinen</v>
      </c>
      <c r="E87" s="37">
        <f>'13. Desinvesteringen'!D89</f>
        <v>1967</v>
      </c>
      <c r="F87" s="42">
        <f>'13. Desinvesteringen'!E89</f>
        <v>74013.37</v>
      </c>
      <c r="G87" s="37">
        <f>'13. Desinvesteringen'!G89</f>
        <v>2020</v>
      </c>
    </row>
    <row r="88" spans="2:7" s="3" customFormat="1">
      <c r="B88" s="37">
        <f>'13. Desinvesteringen'!B90</f>
        <v>71</v>
      </c>
      <c r="D88" s="37" t="str">
        <f>'13. Desinvesteringen'!C90</f>
        <v>06 Utiliteitsgebouwen</v>
      </c>
      <c r="E88" s="37">
        <f>'13. Desinvesteringen'!D90</f>
        <v>1961</v>
      </c>
      <c r="F88" s="42">
        <f>'13. Desinvesteringen'!E90</f>
        <v>92634.240000000005</v>
      </c>
      <c r="G88" s="37">
        <f>'13. Desinvesteringen'!G90</f>
        <v>2020</v>
      </c>
    </row>
    <row r="89" spans="2:7" s="3" customFormat="1">
      <c r="B89" s="37">
        <f>'13. Desinvesteringen'!B91</f>
        <v>72</v>
      </c>
      <c r="D89" s="37" t="str">
        <f>'13. Desinvesteringen'!C91</f>
        <v>06 Utiliteitsgebouwen</v>
      </c>
      <c r="E89" s="37">
        <f>'13. Desinvesteringen'!D91</f>
        <v>1968</v>
      </c>
      <c r="F89" s="42">
        <f>'13. Desinvesteringen'!E91</f>
        <v>153440.79</v>
      </c>
      <c r="G89" s="37">
        <f>'13. Desinvesteringen'!G91</f>
        <v>2020</v>
      </c>
    </row>
    <row r="90" spans="2:7" s="3" customFormat="1">
      <c r="B90" s="37">
        <f>'13. Desinvesteringen'!B92</f>
        <v>73</v>
      </c>
      <c r="D90" s="37" t="str">
        <f>'13. Desinvesteringen'!C92</f>
        <v>06 Utiliteitsgebouwen</v>
      </c>
      <c r="E90" s="37">
        <f>'13. Desinvesteringen'!D92</f>
        <v>1992</v>
      </c>
      <c r="F90" s="42">
        <f>'13. Desinvesteringen'!E92</f>
        <v>267309.21999999997</v>
      </c>
      <c r="G90" s="37">
        <f>'13. Desinvesteringen'!G92</f>
        <v>2020</v>
      </c>
    </row>
    <row r="91" spans="2:7" s="3" customFormat="1">
      <c r="B91" s="37">
        <f>'13. Desinvesteringen'!B93</f>
        <v>74</v>
      </c>
      <c r="D91" s="37" t="str">
        <f>'13. Desinvesteringen'!C93</f>
        <v>06 Utiliteitsgebouwen</v>
      </c>
      <c r="E91" s="37">
        <f>'13. Desinvesteringen'!D93</f>
        <v>2003</v>
      </c>
      <c r="F91" s="42">
        <f>'13. Desinvesteringen'!E93</f>
        <v>40177</v>
      </c>
      <c r="G91" s="37">
        <f>'13. Desinvesteringen'!G93</f>
        <v>2020</v>
      </c>
    </row>
    <row r="92" spans="2:7" s="3" customFormat="1">
      <c r="B92" s="37">
        <f>'13. Desinvesteringen'!B94</f>
        <v>75</v>
      </c>
      <c r="D92" s="37" t="str">
        <f>'13. Desinvesteringen'!C94</f>
        <v>06 Utiliteitsgebouwen</v>
      </c>
      <c r="E92" s="37">
        <f>'13. Desinvesteringen'!D94</f>
        <v>2005</v>
      </c>
      <c r="F92" s="42">
        <f>'13. Desinvesteringen'!E94</f>
        <v>186030.7</v>
      </c>
      <c r="G92" s="37">
        <f>'13. Desinvesteringen'!G94</f>
        <v>2020</v>
      </c>
    </row>
    <row r="93" spans="2:7" s="3" customFormat="1">
      <c r="B93" s="37">
        <f>'13. Desinvesteringen'!B95</f>
        <v>76</v>
      </c>
      <c r="D93" s="37" t="str">
        <f>'13. Desinvesteringen'!C95</f>
        <v>06 Utiliteitsgebouwen</v>
      </c>
      <c r="E93" s="37">
        <f>'13. Desinvesteringen'!D95</f>
        <v>2010</v>
      </c>
      <c r="F93" s="42">
        <f>'13. Desinvesteringen'!E95</f>
        <v>242998.14437600001</v>
      </c>
      <c r="G93" s="37">
        <f>'13. Desinvesteringen'!G95</f>
        <v>2020</v>
      </c>
    </row>
    <row r="94" spans="2:7" s="3" customFormat="1">
      <c r="B94" s="37">
        <f>'13. Desinvesteringen'!B96</f>
        <v>77</v>
      </c>
      <c r="D94" s="37" t="str">
        <f>'13. Desinvesteringen'!C96</f>
        <v>06 Utiliteitsgebouwen</v>
      </c>
      <c r="E94" s="37">
        <f>'13. Desinvesteringen'!D96</f>
        <v>2012</v>
      </c>
      <c r="F94" s="42">
        <f>'13. Desinvesteringen'!E96</f>
        <v>156496.05558799999</v>
      </c>
      <c r="G94" s="37">
        <f>'13. Desinvesteringen'!G96</f>
        <v>2020</v>
      </c>
    </row>
    <row r="95" spans="2:7" s="3" customFormat="1">
      <c r="B95" s="37">
        <f>'13. Desinvesteringen'!B97</f>
        <v>78</v>
      </c>
      <c r="D95" s="37" t="str">
        <f>'13. Desinvesteringen'!C97</f>
        <v>08 Inrichting gebouwen</v>
      </c>
      <c r="E95" s="37">
        <f>'13. Desinvesteringen'!D97</f>
        <v>2017</v>
      </c>
      <c r="F95" s="42">
        <f>'13. Desinvesteringen'!E97</f>
        <v>41550.210188999998</v>
      </c>
      <c r="G95" s="37">
        <f>'13. Desinvesteringen'!G97</f>
        <v>2020</v>
      </c>
    </row>
    <row r="96" spans="2:7" s="3" customFormat="1">
      <c r="B96" s="37">
        <f>'13. Desinvesteringen'!B98</f>
        <v>79</v>
      </c>
      <c r="D96" s="37" t="str">
        <f>'13. Desinvesteringen'!C98</f>
        <v>09 Bedrijfsinventaris</v>
      </c>
      <c r="E96" s="37">
        <f>'13. Desinvesteringen'!D98</f>
        <v>2003</v>
      </c>
      <c r="F96" s="42">
        <f>'13. Desinvesteringen'!E98</f>
        <v>5549.99</v>
      </c>
      <c r="G96" s="37">
        <f>'13. Desinvesteringen'!G98</f>
        <v>2020</v>
      </c>
    </row>
    <row r="97" spans="2:7" s="3" customFormat="1">
      <c r="B97" s="37">
        <f>'13. Desinvesteringen'!B99</f>
        <v>80</v>
      </c>
      <c r="D97" s="37" t="str">
        <f>'13. Desinvesteringen'!C99</f>
        <v>10 Gereedschap</v>
      </c>
      <c r="E97" s="37">
        <f>'13. Desinvesteringen'!D99</f>
        <v>1998</v>
      </c>
      <c r="F97" s="42">
        <f>'13. Desinvesteringen'!E99</f>
        <v>366600.87</v>
      </c>
      <c r="G97" s="37">
        <f>'13. Desinvesteringen'!G99</f>
        <v>2020</v>
      </c>
    </row>
    <row r="98" spans="2:7" s="3" customFormat="1">
      <c r="B98" s="37">
        <f>'13. Desinvesteringen'!B100</f>
        <v>81</v>
      </c>
      <c r="D98" s="37" t="str">
        <f>'13. Desinvesteringen'!C100</f>
        <v>10 Gereedschap</v>
      </c>
      <c r="E98" s="37">
        <f>'13. Desinvesteringen'!D100</f>
        <v>1999</v>
      </c>
      <c r="F98" s="42">
        <f>'13. Desinvesteringen'!E100</f>
        <v>268665.56</v>
      </c>
      <c r="G98" s="37">
        <f>'13. Desinvesteringen'!G100</f>
        <v>2020</v>
      </c>
    </row>
    <row r="99" spans="2:7" s="3" customFormat="1">
      <c r="B99" s="37">
        <f>'13. Desinvesteringen'!B101</f>
        <v>82</v>
      </c>
      <c r="D99" s="37" t="str">
        <f>'13. Desinvesteringen'!C101</f>
        <v>10 Gereedschap</v>
      </c>
      <c r="E99" s="37">
        <f>'13. Desinvesteringen'!D101</f>
        <v>2000</v>
      </c>
      <c r="F99" s="42">
        <f>'13. Desinvesteringen'!E101</f>
        <v>92489.12</v>
      </c>
      <c r="G99" s="37">
        <f>'13. Desinvesteringen'!G101</f>
        <v>2020</v>
      </c>
    </row>
    <row r="100" spans="2:7" s="3" customFormat="1">
      <c r="B100" s="37">
        <f>'13. Desinvesteringen'!B102</f>
        <v>83</v>
      </c>
      <c r="D100" s="37" t="str">
        <f>'13. Desinvesteringen'!C102</f>
        <v>15 Compressorstations (TT-BT-AT)</v>
      </c>
      <c r="E100" s="37">
        <f>'13. Desinvesteringen'!D102</f>
        <v>1971</v>
      </c>
      <c r="F100" s="42">
        <f>'13. Desinvesteringen'!E102</f>
        <v>739448.2</v>
      </c>
      <c r="G100" s="37">
        <f>'13. Desinvesteringen'!G102</f>
        <v>2020</v>
      </c>
    </row>
    <row r="101" spans="2:7" s="3" customFormat="1">
      <c r="B101" s="37">
        <f>'13. Desinvesteringen'!B103</f>
        <v>84</v>
      </c>
      <c r="D101" s="37" t="str">
        <f>'13. Desinvesteringen'!C103</f>
        <v>15 Compressorstations (TT-BT-AT)</v>
      </c>
      <c r="E101" s="37">
        <f>'13. Desinvesteringen'!D103</f>
        <v>1977</v>
      </c>
      <c r="F101" s="42">
        <f>'13. Desinvesteringen'!E103</f>
        <v>68166.3</v>
      </c>
      <c r="G101" s="37">
        <f>'13. Desinvesteringen'!G103</f>
        <v>2020</v>
      </c>
    </row>
    <row r="102" spans="2:7" s="3" customFormat="1">
      <c r="B102" s="37">
        <f>'13. Desinvesteringen'!B104</f>
        <v>85</v>
      </c>
      <c r="D102" s="37" t="str">
        <f>'13. Desinvesteringen'!C104</f>
        <v>15 Compressorstations (TT-BT-AT)</v>
      </c>
      <c r="E102" s="37">
        <f>'13. Desinvesteringen'!D104</f>
        <v>1994</v>
      </c>
      <c r="F102" s="42">
        <f>'13. Desinvesteringen'!E104</f>
        <v>376175.8</v>
      </c>
      <c r="G102" s="37">
        <f>'13. Desinvesteringen'!G104</f>
        <v>2020</v>
      </c>
    </row>
    <row r="103" spans="2:7" s="3" customFormat="1">
      <c r="B103" s="37">
        <f>'13. Desinvesteringen'!B105</f>
        <v>86</v>
      </c>
      <c r="D103" s="37" t="str">
        <f>'13. Desinvesteringen'!C105</f>
        <v>15 Compressorstations (TT-BT-AT)</v>
      </c>
      <c r="E103" s="37">
        <f>'13. Desinvesteringen'!D105</f>
        <v>1995</v>
      </c>
      <c r="F103" s="42">
        <f>'13. Desinvesteringen'!E105</f>
        <v>1191241.1299999999</v>
      </c>
      <c r="G103" s="37">
        <f>'13. Desinvesteringen'!G105</f>
        <v>2020</v>
      </c>
    </row>
    <row r="104" spans="2:7" s="3" customFormat="1">
      <c r="B104" s="37">
        <f>'13. Desinvesteringen'!B106</f>
        <v>87</v>
      </c>
      <c r="D104" s="37" t="str">
        <f>'13. Desinvesteringen'!C106</f>
        <v>15 Compressorstations (TT-BT-AT)</v>
      </c>
      <c r="E104" s="37">
        <f>'13. Desinvesteringen'!D106</f>
        <v>1996</v>
      </c>
      <c r="F104" s="42">
        <f>'13. Desinvesteringen'!E106</f>
        <v>60266.55</v>
      </c>
      <c r="G104" s="37">
        <f>'13. Desinvesteringen'!G106</f>
        <v>2020</v>
      </c>
    </row>
    <row r="105" spans="2:7" s="3" customFormat="1">
      <c r="B105" s="37">
        <f>'13. Desinvesteringen'!B107</f>
        <v>88</v>
      </c>
      <c r="D105" s="37" t="str">
        <f>'13. Desinvesteringen'!C107</f>
        <v>15 Compressorstations (TT-BT-AT)</v>
      </c>
      <c r="E105" s="37">
        <f>'13. Desinvesteringen'!D107</f>
        <v>1998</v>
      </c>
      <c r="F105" s="42">
        <f>'13. Desinvesteringen'!E107</f>
        <v>117092.84999999999</v>
      </c>
      <c r="G105" s="37">
        <f>'13. Desinvesteringen'!G107</f>
        <v>2020</v>
      </c>
    </row>
    <row r="106" spans="2:7" s="3" customFormat="1">
      <c r="B106" s="37">
        <f>'13. Desinvesteringen'!B108</f>
        <v>89</v>
      </c>
      <c r="D106" s="37" t="str">
        <f>'13. Desinvesteringen'!C108</f>
        <v>15 Compressorstations (TT-BT-AT)</v>
      </c>
      <c r="E106" s="37">
        <f>'13. Desinvesteringen'!D108</f>
        <v>2008</v>
      </c>
      <c r="F106" s="42">
        <f>'13. Desinvesteringen'!E108</f>
        <v>526456.12101200002</v>
      </c>
      <c r="G106" s="37">
        <f>'13. Desinvesteringen'!G108</f>
        <v>2020</v>
      </c>
    </row>
    <row r="107" spans="2:7" s="3" customFormat="1">
      <c r="B107" s="37">
        <f>'13. Desinvesteringen'!B109</f>
        <v>90</v>
      </c>
      <c r="D107" s="37" t="str">
        <f>'13. Desinvesteringen'!C109</f>
        <v>15 Compressorstations (TT-BT-AT)</v>
      </c>
      <c r="E107" s="37">
        <f>'13. Desinvesteringen'!D109</f>
        <v>2010</v>
      </c>
      <c r="F107" s="42">
        <f>'13. Desinvesteringen'!E109</f>
        <v>488182.154064</v>
      </c>
      <c r="G107" s="37">
        <f>'13. Desinvesteringen'!G109</f>
        <v>2020</v>
      </c>
    </row>
    <row r="108" spans="2:7" s="3" customFormat="1">
      <c r="B108" s="37">
        <f>'13. Desinvesteringen'!B110</f>
        <v>91</v>
      </c>
      <c r="D108" s="37" t="str">
        <f>'13. Desinvesteringen'!C110</f>
        <v>15 Compressorstations (TT-BT-AT)</v>
      </c>
      <c r="E108" s="37">
        <f>'13. Desinvesteringen'!D110</f>
        <v>2015</v>
      </c>
      <c r="F108" s="42">
        <f>'13. Desinvesteringen'!E110</f>
        <v>95260.246860999992</v>
      </c>
      <c r="G108" s="37">
        <f>'13. Desinvesteringen'!G110</f>
        <v>2020</v>
      </c>
    </row>
    <row r="109" spans="2:7" s="3" customFormat="1">
      <c r="B109" s="37">
        <f>'13. Desinvesteringen'!B111</f>
        <v>92</v>
      </c>
      <c r="D109" s="37" t="str">
        <f>'13. Desinvesteringen'!C111</f>
        <v>15 Compressorstations (TT-BT-AT) (gaschromatografen en comptabele meters)</v>
      </c>
      <c r="E109" s="37">
        <f>'13. Desinvesteringen'!D111</f>
        <v>1998</v>
      </c>
      <c r="F109" s="42">
        <f>'13. Desinvesteringen'!E111</f>
        <v>127735.64</v>
      </c>
      <c r="G109" s="37">
        <f>'13. Desinvesteringen'!G111</f>
        <v>2020</v>
      </c>
    </row>
    <row r="110" spans="2:7" s="3" customFormat="1">
      <c r="B110" s="37">
        <f>'13. Desinvesteringen'!B112</f>
        <v>93</v>
      </c>
      <c r="D110" s="37" t="str">
        <f>'13. Desinvesteringen'!C112</f>
        <v>16 LNG installaties</v>
      </c>
      <c r="E110" s="37">
        <f>'13. Desinvesteringen'!D112</f>
        <v>1977</v>
      </c>
      <c r="F110" s="42">
        <f>'13. Desinvesteringen'!E112</f>
        <v>146130.37</v>
      </c>
      <c r="G110" s="37">
        <f>'13. Desinvesteringen'!G112</f>
        <v>2020</v>
      </c>
    </row>
    <row r="111" spans="2:7" s="3" customFormat="1">
      <c r="B111" s="37">
        <f>'13. Desinvesteringen'!B113</f>
        <v>94</v>
      </c>
      <c r="D111" s="37" t="str">
        <f>'13. Desinvesteringen'!C113</f>
        <v>17 Mengstations</v>
      </c>
      <c r="E111" s="37">
        <f>'13. Desinvesteringen'!D113</f>
        <v>1993</v>
      </c>
      <c r="F111" s="42">
        <f>'13. Desinvesteringen'!E113</f>
        <v>2269257</v>
      </c>
      <c r="G111" s="37">
        <f>'13. Desinvesteringen'!G113</f>
        <v>2020</v>
      </c>
    </row>
    <row r="112" spans="2:7" s="3" customFormat="1">
      <c r="B112" s="37">
        <f>'13. Desinvesteringen'!B114</f>
        <v>95</v>
      </c>
      <c r="D112" s="37" t="str">
        <f>'13. Desinvesteringen'!C114</f>
        <v>20 Kantoorgebouwen</v>
      </c>
      <c r="E112" s="37">
        <f>'13. Desinvesteringen'!D114</f>
        <v>1997</v>
      </c>
      <c r="F112" s="42">
        <f>'13. Desinvesteringen'!E114</f>
        <v>4810.9799999999996</v>
      </c>
      <c r="G112" s="37">
        <f>'13. Desinvesteringen'!G114</f>
        <v>2020</v>
      </c>
    </row>
    <row r="113" spans="2:7" s="3" customFormat="1">
      <c r="B113" s="37">
        <f>'13. Desinvesteringen'!B115</f>
        <v>96</v>
      </c>
      <c r="D113" s="37" t="str">
        <f>'13. Desinvesteringen'!C115</f>
        <v>21 Hoofdtransportleiding</v>
      </c>
      <c r="E113" s="37">
        <f>'13. Desinvesteringen'!D115</f>
        <v>1964</v>
      </c>
      <c r="F113" s="42">
        <f>'13. Desinvesteringen'!E115</f>
        <v>109225.21</v>
      </c>
      <c r="G113" s="37">
        <f>'13. Desinvesteringen'!G115</f>
        <v>2020</v>
      </c>
    </row>
    <row r="114" spans="2:7" s="3" customFormat="1">
      <c r="B114" s="37">
        <f>'13. Desinvesteringen'!B116</f>
        <v>97</v>
      </c>
      <c r="D114" s="37" t="str">
        <f>'13. Desinvesteringen'!C116</f>
        <v>21 Hoofdtransportleiding</v>
      </c>
      <c r="E114" s="37">
        <f>'13. Desinvesteringen'!D116</f>
        <v>1965</v>
      </c>
      <c r="F114" s="42">
        <f>'13. Desinvesteringen'!E116</f>
        <v>79354.039999999994</v>
      </c>
      <c r="G114" s="37">
        <f>'13. Desinvesteringen'!G116</f>
        <v>2020</v>
      </c>
    </row>
    <row r="115" spans="2:7" s="3" customFormat="1">
      <c r="B115" s="37">
        <f>'13. Desinvesteringen'!B117</f>
        <v>98</v>
      </c>
      <c r="D115" s="37" t="str">
        <f>'13. Desinvesteringen'!C117</f>
        <v>21 Hoofdtransportleiding</v>
      </c>
      <c r="E115" s="37">
        <f>'13. Desinvesteringen'!D117</f>
        <v>1969</v>
      </c>
      <c r="F115" s="42">
        <f>'13. Desinvesteringen'!E117</f>
        <v>160000</v>
      </c>
      <c r="G115" s="37">
        <f>'13. Desinvesteringen'!G117</f>
        <v>2020</v>
      </c>
    </row>
    <row r="116" spans="2:7" s="3" customFormat="1">
      <c r="B116" s="37">
        <f>'13. Desinvesteringen'!B118</f>
        <v>99</v>
      </c>
      <c r="D116" s="37" t="str">
        <f>'13. Desinvesteringen'!C118</f>
        <v>21 Hoofdtransportleiding</v>
      </c>
      <c r="E116" s="37">
        <f>'13. Desinvesteringen'!D118</f>
        <v>1970</v>
      </c>
      <c r="F116" s="42">
        <f>'13. Desinvesteringen'!E118</f>
        <v>1644.48</v>
      </c>
      <c r="G116" s="37">
        <f>'13. Desinvesteringen'!G118</f>
        <v>2020</v>
      </c>
    </row>
    <row r="117" spans="2:7" s="3" customFormat="1">
      <c r="B117" s="37">
        <f>'13. Desinvesteringen'!B119</f>
        <v>100</v>
      </c>
      <c r="D117" s="37" t="str">
        <f>'13. Desinvesteringen'!C119</f>
        <v>21 Hoofdtransportleiding</v>
      </c>
      <c r="E117" s="37">
        <f>'13. Desinvesteringen'!D119</f>
        <v>1971</v>
      </c>
      <c r="F117" s="42">
        <f>'13. Desinvesteringen'!E119</f>
        <v>104672.38</v>
      </c>
      <c r="G117" s="37">
        <f>'13. Desinvesteringen'!G119</f>
        <v>2020</v>
      </c>
    </row>
    <row r="118" spans="2:7" s="3" customFormat="1">
      <c r="B118" s="37">
        <f>'13. Desinvesteringen'!B120</f>
        <v>101</v>
      </c>
      <c r="D118" s="37" t="str">
        <f>'13. Desinvesteringen'!C120</f>
        <v>21 Hoofdtransportleiding</v>
      </c>
      <c r="E118" s="37">
        <f>'13. Desinvesteringen'!D120</f>
        <v>1972</v>
      </c>
      <c r="F118" s="42">
        <f>'13. Desinvesteringen'!E120</f>
        <v>6833.93</v>
      </c>
      <c r="G118" s="37">
        <f>'13. Desinvesteringen'!G120</f>
        <v>2020</v>
      </c>
    </row>
    <row r="119" spans="2:7" s="3" customFormat="1">
      <c r="B119" s="37">
        <f>'13. Desinvesteringen'!B121</f>
        <v>102</v>
      </c>
      <c r="D119" s="37" t="str">
        <f>'13. Desinvesteringen'!C121</f>
        <v>21 Hoofdtransportleiding</v>
      </c>
      <c r="E119" s="37">
        <f>'13. Desinvesteringen'!D121</f>
        <v>1974</v>
      </c>
      <c r="F119" s="42">
        <f>'13. Desinvesteringen'!E121</f>
        <v>78733.03</v>
      </c>
      <c r="G119" s="37">
        <f>'13. Desinvesteringen'!G121</f>
        <v>2020</v>
      </c>
    </row>
    <row r="120" spans="2:7" s="3" customFormat="1">
      <c r="B120" s="37">
        <f>'13. Desinvesteringen'!B122</f>
        <v>103</v>
      </c>
      <c r="D120" s="37" t="str">
        <f>'13. Desinvesteringen'!C122</f>
        <v>21 Hoofdtransportleiding</v>
      </c>
      <c r="E120" s="37">
        <f>'13. Desinvesteringen'!D122</f>
        <v>1975</v>
      </c>
      <c r="F120" s="42">
        <f>'13. Desinvesteringen'!E122</f>
        <v>8893.32</v>
      </c>
      <c r="G120" s="37">
        <f>'13. Desinvesteringen'!G122</f>
        <v>2020</v>
      </c>
    </row>
    <row r="121" spans="2:7" s="3" customFormat="1">
      <c r="B121" s="37">
        <f>'13. Desinvesteringen'!B123</f>
        <v>104</v>
      </c>
      <c r="D121" s="37" t="str">
        <f>'13. Desinvesteringen'!C123</f>
        <v>21 Hoofdtransportleiding</v>
      </c>
      <c r="E121" s="37">
        <f>'13. Desinvesteringen'!D123</f>
        <v>1978</v>
      </c>
      <c r="F121" s="42">
        <f>'13. Desinvesteringen'!E123</f>
        <v>174538.66</v>
      </c>
      <c r="G121" s="37">
        <f>'13. Desinvesteringen'!G123</f>
        <v>2020</v>
      </c>
    </row>
    <row r="122" spans="2:7" s="3" customFormat="1">
      <c r="B122" s="37">
        <f>'13. Desinvesteringen'!B124</f>
        <v>105</v>
      </c>
      <c r="D122" s="37" t="str">
        <f>'13. Desinvesteringen'!C124</f>
        <v>21 Hoofdtransportleiding</v>
      </c>
      <c r="E122" s="37">
        <f>'13. Desinvesteringen'!D124</f>
        <v>1983</v>
      </c>
      <c r="F122" s="42">
        <f>'13. Desinvesteringen'!E124</f>
        <v>14249.66</v>
      </c>
      <c r="G122" s="37">
        <f>'13. Desinvesteringen'!G124</f>
        <v>2020</v>
      </c>
    </row>
    <row r="123" spans="2:7" s="3" customFormat="1">
      <c r="B123" s="37">
        <f>'13. Desinvesteringen'!B125</f>
        <v>106</v>
      </c>
      <c r="D123" s="37" t="str">
        <f>'13. Desinvesteringen'!C125</f>
        <v>21 Hoofdtransportleiding</v>
      </c>
      <c r="E123" s="37">
        <f>'13. Desinvesteringen'!D125</f>
        <v>1988</v>
      </c>
      <c r="F123" s="42">
        <f>'13. Desinvesteringen'!E125</f>
        <v>44968.09</v>
      </c>
      <c r="G123" s="37">
        <f>'13. Desinvesteringen'!G125</f>
        <v>2020</v>
      </c>
    </row>
    <row r="124" spans="2:7" s="3" customFormat="1">
      <c r="B124" s="37">
        <f>'13. Desinvesteringen'!B126</f>
        <v>107</v>
      </c>
      <c r="D124" s="37" t="str">
        <f>'13. Desinvesteringen'!C126</f>
        <v>21 Hoofdtransportleiding</v>
      </c>
      <c r="E124" s="37">
        <f>'13. Desinvesteringen'!D126</f>
        <v>1995</v>
      </c>
      <c r="F124" s="42">
        <f>'13. Desinvesteringen'!E126</f>
        <v>7512.54</v>
      </c>
      <c r="G124" s="37">
        <f>'13. Desinvesteringen'!G126</f>
        <v>2020</v>
      </c>
    </row>
    <row r="125" spans="2:7" s="3" customFormat="1">
      <c r="B125" s="37">
        <f>'13. Desinvesteringen'!B127</f>
        <v>108</v>
      </c>
      <c r="D125" s="37" t="str">
        <f>'13. Desinvesteringen'!C127</f>
        <v>21 Hoofdtransportleiding</v>
      </c>
      <c r="E125" s="37">
        <f>'13. Desinvesteringen'!D127</f>
        <v>2004</v>
      </c>
      <c r="F125" s="42">
        <f>'13. Desinvesteringen'!E127</f>
        <v>187756.39</v>
      </c>
      <c r="G125" s="37">
        <f>'13. Desinvesteringen'!G127</f>
        <v>2020</v>
      </c>
    </row>
    <row r="126" spans="2:7" s="3" customFormat="1">
      <c r="B126" s="37">
        <f>'13. Desinvesteringen'!B128</f>
        <v>109</v>
      </c>
      <c r="D126" s="37" t="str">
        <f>'13. Desinvesteringen'!C128</f>
        <v>21 Hoofdtransportleiding (waterkruisingen)</v>
      </c>
      <c r="E126" s="37">
        <f>'13. Desinvesteringen'!D128</f>
        <v>1971</v>
      </c>
      <c r="F126" s="42">
        <f>'13. Desinvesteringen'!E128</f>
        <v>21999.06</v>
      </c>
      <c r="G126" s="37">
        <f>'13. Desinvesteringen'!G128</f>
        <v>2020</v>
      </c>
    </row>
    <row r="127" spans="2:7" s="3" customFormat="1">
      <c r="B127" s="37">
        <f>'13. Desinvesteringen'!B129</f>
        <v>110</v>
      </c>
      <c r="D127" s="37" t="str">
        <f>'13. Desinvesteringen'!C129</f>
        <v>33 Exportstations</v>
      </c>
      <c r="E127" s="37">
        <f>'13. Desinvesteringen'!D129</f>
        <v>2004</v>
      </c>
      <c r="F127" s="42">
        <f>'13. Desinvesteringen'!E129</f>
        <v>2028.6</v>
      </c>
      <c r="G127" s="37">
        <f>'13. Desinvesteringen'!G129</f>
        <v>2020</v>
      </c>
    </row>
    <row r="128" spans="2:7" s="3" customFormat="1">
      <c r="B128" s="37">
        <f>'13. Desinvesteringen'!B130</f>
        <v>111</v>
      </c>
      <c r="D128" s="37" t="str">
        <f>'13. Desinvesteringen'!C130</f>
        <v>33 Exportstations</v>
      </c>
      <c r="E128" s="37">
        <f>'13. Desinvesteringen'!D130</f>
        <v>2011</v>
      </c>
      <c r="F128" s="42">
        <f>'13. Desinvesteringen'!E130</f>
        <v>603616.46129999997</v>
      </c>
      <c r="G128" s="37">
        <f>'13. Desinvesteringen'!G130</f>
        <v>2020</v>
      </c>
    </row>
    <row r="129" spans="2:7" s="3" customFormat="1">
      <c r="B129" s="37">
        <f>'13. Desinvesteringen'!B131</f>
        <v>112</v>
      </c>
      <c r="D129" s="37" t="str">
        <f>'13. Desinvesteringen'!C131</f>
        <v>34 Reduceerstations</v>
      </c>
      <c r="E129" s="37">
        <f>'13. Desinvesteringen'!D131</f>
        <v>1998</v>
      </c>
      <c r="F129" s="42">
        <f>'13. Desinvesteringen'!E131</f>
        <v>500000</v>
      </c>
      <c r="G129" s="37">
        <f>'13. Desinvesteringen'!G131</f>
        <v>2020</v>
      </c>
    </row>
    <row r="130" spans="2:7" s="3" customFormat="1">
      <c r="B130" s="37">
        <f>'13. Desinvesteringen'!B132</f>
        <v>113</v>
      </c>
      <c r="D130" s="37" t="str">
        <f>'13. Desinvesteringen'!C132</f>
        <v>34 Reduceerstations</v>
      </c>
      <c r="E130" s="37">
        <f>'13. Desinvesteringen'!D132</f>
        <v>2004</v>
      </c>
      <c r="F130" s="42">
        <f>'13. Desinvesteringen'!E132</f>
        <v>45527.519999999997</v>
      </c>
      <c r="G130" s="37">
        <f>'13. Desinvesteringen'!G132</f>
        <v>2020</v>
      </c>
    </row>
    <row r="131" spans="2:7" s="3" customFormat="1">
      <c r="B131" s="37">
        <f>'13. Desinvesteringen'!B133</f>
        <v>114</v>
      </c>
      <c r="D131" s="37" t="str">
        <f>'13. Desinvesteringen'!C133</f>
        <v>34 Reduceerstations</v>
      </c>
      <c r="E131" s="37">
        <f>'13. Desinvesteringen'!D133</f>
        <v>2005</v>
      </c>
      <c r="F131" s="42">
        <f>'13. Desinvesteringen'!E133</f>
        <v>9959.0400000000009</v>
      </c>
      <c r="G131" s="37">
        <f>'13. Desinvesteringen'!G133</f>
        <v>2020</v>
      </c>
    </row>
    <row r="132" spans="2:7" s="3" customFormat="1">
      <c r="B132" s="37">
        <f>'13. Desinvesteringen'!B134</f>
        <v>115</v>
      </c>
      <c r="D132" s="37" t="str">
        <f>'13. Desinvesteringen'!C134</f>
        <v>34 Reduceerstations</v>
      </c>
      <c r="E132" s="37">
        <f>'13. Desinvesteringen'!D134</f>
        <v>2016</v>
      </c>
      <c r="F132" s="42">
        <f>'13. Desinvesteringen'!E134</f>
        <v>855977.36259199993</v>
      </c>
      <c r="G132" s="37">
        <f>'13. Desinvesteringen'!G134</f>
        <v>2020</v>
      </c>
    </row>
    <row r="133" spans="2:7" s="3" customFormat="1">
      <c r="B133" s="37">
        <f>'13. Desinvesteringen'!B135</f>
        <v>116</v>
      </c>
      <c r="D133" s="37" t="str">
        <f>'13. Desinvesteringen'!C135</f>
        <v>35 Injectiestations</v>
      </c>
      <c r="E133" s="37">
        <f>'13. Desinvesteringen'!D135</f>
        <v>2016</v>
      </c>
      <c r="F133" s="42">
        <f>'13. Desinvesteringen'!E135</f>
        <v>778785.35750399996</v>
      </c>
      <c r="G133" s="37">
        <f>'13. Desinvesteringen'!G135</f>
        <v>2020</v>
      </c>
    </row>
    <row r="134" spans="2:7" s="3" customFormat="1">
      <c r="B134" s="37">
        <f>'13. Desinvesteringen'!B136</f>
        <v>117</v>
      </c>
      <c r="D134" s="37" t="str">
        <f>'13. Desinvesteringen'!C136</f>
        <v>36 Luchtscheidingsunit</v>
      </c>
      <c r="E134" s="37">
        <f>'13. Desinvesteringen'!D136</f>
        <v>1988</v>
      </c>
      <c r="F134" s="42">
        <f>'13. Desinvesteringen'!E136</f>
        <v>2894954.5</v>
      </c>
      <c r="G134" s="37">
        <f>'13. Desinvesteringen'!G136</f>
        <v>2020</v>
      </c>
    </row>
    <row r="135" spans="2:7" s="3" customFormat="1">
      <c r="B135" s="37">
        <f>'13. Desinvesteringen'!B137</f>
        <v>118</v>
      </c>
      <c r="D135" s="37" t="str">
        <f>'13. Desinvesteringen'!C137</f>
        <v>37 ICT middelen 1</v>
      </c>
      <c r="E135" s="37">
        <f>'13. Desinvesteringen'!D137</f>
        <v>2016</v>
      </c>
      <c r="F135" s="42">
        <f>'13. Desinvesteringen'!E137</f>
        <v>362355.80583999999</v>
      </c>
      <c r="G135" s="37">
        <f>'13. Desinvesteringen'!G137</f>
        <v>2020</v>
      </c>
    </row>
    <row r="136" spans="2:7" s="3" customFormat="1">
      <c r="B136" s="37">
        <f>'13. Desinvesteringen'!B138</f>
        <v>119</v>
      </c>
      <c r="D136" s="37" t="str">
        <f>'13. Desinvesteringen'!C138</f>
        <v>41 Stikstofbuffer</v>
      </c>
      <c r="E136" s="37">
        <f>'13. Desinvesteringen'!D138</f>
        <v>2012</v>
      </c>
      <c r="F136" s="42">
        <f>'13. Desinvesteringen'!E138</f>
        <v>2282230.9217790002</v>
      </c>
      <c r="G136" s="37">
        <f>'13. Desinvesteringen'!G138</f>
        <v>2020</v>
      </c>
    </row>
    <row r="137" spans="2:7" s="3" customFormat="1">
      <c r="B137" s="37">
        <f>'13. Desinvesteringen'!B139</f>
        <v>120</v>
      </c>
      <c r="D137" s="37" t="str">
        <f>'13. Desinvesteringen'!C139</f>
        <v>01 Regionale leidingen</v>
      </c>
      <c r="E137" s="37">
        <f>'13. Desinvesteringen'!D139</f>
        <v>1950</v>
      </c>
      <c r="F137" s="42">
        <f>'13. Desinvesteringen'!E139</f>
        <v>107805.84</v>
      </c>
      <c r="G137" s="37">
        <f>'13. Desinvesteringen'!G139</f>
        <v>2021</v>
      </c>
    </row>
    <row r="138" spans="2:7" s="3" customFormat="1">
      <c r="B138" s="37">
        <f>'13. Desinvesteringen'!B140</f>
        <v>121</v>
      </c>
      <c r="D138" s="37" t="str">
        <f>'13. Desinvesteringen'!C140</f>
        <v>01 Regionale leidingen</v>
      </c>
      <c r="E138" s="37">
        <f>'13. Desinvesteringen'!D140</f>
        <v>1953</v>
      </c>
      <c r="F138" s="42">
        <f>'13. Desinvesteringen'!E140</f>
        <v>55835.41</v>
      </c>
      <c r="G138" s="37">
        <f>'13. Desinvesteringen'!G140</f>
        <v>2021</v>
      </c>
    </row>
    <row r="139" spans="2:7" s="3" customFormat="1">
      <c r="B139" s="37">
        <f>'13. Desinvesteringen'!B141</f>
        <v>122</v>
      </c>
      <c r="D139" s="37" t="str">
        <f>'13. Desinvesteringen'!C141</f>
        <v>01 Regionale leidingen</v>
      </c>
      <c r="E139" s="37">
        <f>'13. Desinvesteringen'!D141</f>
        <v>1962</v>
      </c>
      <c r="F139" s="42">
        <f>'13. Desinvesteringen'!E141</f>
        <v>40000</v>
      </c>
      <c r="G139" s="37">
        <f>'13. Desinvesteringen'!G141</f>
        <v>2021</v>
      </c>
    </row>
    <row r="140" spans="2:7" s="3" customFormat="1">
      <c r="B140" s="37">
        <f>'13. Desinvesteringen'!B142</f>
        <v>123</v>
      </c>
      <c r="D140" s="37" t="str">
        <f>'13. Desinvesteringen'!C142</f>
        <v>01 Regionale leidingen</v>
      </c>
      <c r="E140" s="37">
        <f>'13. Desinvesteringen'!D142</f>
        <v>1965</v>
      </c>
      <c r="F140" s="42">
        <f>'13. Desinvesteringen'!E142</f>
        <v>25702.75</v>
      </c>
      <c r="G140" s="37">
        <f>'13. Desinvesteringen'!G142</f>
        <v>2021</v>
      </c>
    </row>
    <row r="141" spans="2:7" s="3" customFormat="1">
      <c r="B141" s="37">
        <f>'13. Desinvesteringen'!B143</f>
        <v>124</v>
      </c>
      <c r="D141" s="37" t="str">
        <f>'13. Desinvesteringen'!C143</f>
        <v>01 Regionale leidingen</v>
      </c>
      <c r="E141" s="37">
        <f>'13. Desinvesteringen'!D143</f>
        <v>1966</v>
      </c>
      <c r="F141" s="42">
        <f>'13. Desinvesteringen'!E143</f>
        <v>109434.39</v>
      </c>
      <c r="G141" s="37">
        <f>'13. Desinvesteringen'!G143</f>
        <v>2021</v>
      </c>
    </row>
    <row r="142" spans="2:7" s="3" customFormat="1">
      <c r="B142" s="37">
        <f>'13. Desinvesteringen'!B144</f>
        <v>125</v>
      </c>
      <c r="D142" s="37" t="str">
        <f>'13. Desinvesteringen'!C144</f>
        <v>01 Regionale leidingen</v>
      </c>
      <c r="E142" s="37">
        <f>'13. Desinvesteringen'!D144</f>
        <v>1967</v>
      </c>
      <c r="F142" s="42">
        <f>'13. Desinvesteringen'!E144</f>
        <v>190675.34999999998</v>
      </c>
      <c r="G142" s="37">
        <f>'13. Desinvesteringen'!G144</f>
        <v>2021</v>
      </c>
    </row>
    <row r="143" spans="2:7" s="3" customFormat="1">
      <c r="B143" s="37">
        <f>'13. Desinvesteringen'!B145</f>
        <v>126</v>
      </c>
      <c r="D143" s="37" t="str">
        <f>'13. Desinvesteringen'!C145</f>
        <v>01 Regionale leidingen</v>
      </c>
      <c r="E143" s="37">
        <f>'13. Desinvesteringen'!D145</f>
        <v>1968</v>
      </c>
      <c r="F143" s="42">
        <f>'13. Desinvesteringen'!E145</f>
        <v>99063.760000000009</v>
      </c>
      <c r="G143" s="37">
        <f>'13. Desinvesteringen'!G145</f>
        <v>2021</v>
      </c>
    </row>
    <row r="144" spans="2:7" s="3" customFormat="1">
      <c r="B144" s="37">
        <f>'13. Desinvesteringen'!B146</f>
        <v>127</v>
      </c>
      <c r="D144" s="37" t="str">
        <f>'13. Desinvesteringen'!C146</f>
        <v>01 Regionale leidingen</v>
      </c>
      <c r="E144" s="37">
        <f>'13. Desinvesteringen'!D146</f>
        <v>1969</v>
      </c>
      <c r="F144" s="42">
        <f>'13. Desinvesteringen'!E146</f>
        <v>91756</v>
      </c>
      <c r="G144" s="37">
        <f>'13. Desinvesteringen'!G146</f>
        <v>2021</v>
      </c>
    </row>
    <row r="145" spans="2:7" s="3" customFormat="1">
      <c r="B145" s="37">
        <f>'13. Desinvesteringen'!B147</f>
        <v>128</v>
      </c>
      <c r="D145" s="37" t="str">
        <f>'13. Desinvesteringen'!C147</f>
        <v>01 Regionale leidingen</v>
      </c>
      <c r="E145" s="37">
        <f>'13. Desinvesteringen'!D147</f>
        <v>1970</v>
      </c>
      <c r="F145" s="42">
        <f>'13. Desinvesteringen'!E147</f>
        <v>226775.59999999998</v>
      </c>
      <c r="G145" s="37">
        <f>'13. Desinvesteringen'!G147</f>
        <v>2021</v>
      </c>
    </row>
    <row r="146" spans="2:7" s="3" customFormat="1">
      <c r="B146" s="37">
        <f>'13. Desinvesteringen'!B148</f>
        <v>129</v>
      </c>
      <c r="D146" s="37" t="str">
        <f>'13. Desinvesteringen'!C148</f>
        <v>01 Regionale leidingen</v>
      </c>
      <c r="E146" s="37">
        <f>'13. Desinvesteringen'!D148</f>
        <v>1971</v>
      </c>
      <c r="F146" s="42">
        <f>'13. Desinvesteringen'!E148</f>
        <v>280880.57</v>
      </c>
      <c r="G146" s="37">
        <f>'13. Desinvesteringen'!G148</f>
        <v>2021</v>
      </c>
    </row>
    <row r="147" spans="2:7" s="3" customFormat="1">
      <c r="B147" s="37">
        <f>'13. Desinvesteringen'!B149</f>
        <v>130</v>
      </c>
      <c r="D147" s="37" t="str">
        <f>'13. Desinvesteringen'!C149</f>
        <v>01 Regionale leidingen</v>
      </c>
      <c r="E147" s="37">
        <f>'13. Desinvesteringen'!D149</f>
        <v>1972</v>
      </c>
      <c r="F147" s="42">
        <f>'13. Desinvesteringen'!E149</f>
        <v>113518.65</v>
      </c>
      <c r="G147" s="37">
        <f>'13. Desinvesteringen'!G149</f>
        <v>2021</v>
      </c>
    </row>
    <row r="148" spans="2:7" s="3" customFormat="1">
      <c r="B148" s="37">
        <f>'13. Desinvesteringen'!B150</f>
        <v>131</v>
      </c>
      <c r="D148" s="37" t="str">
        <f>'13. Desinvesteringen'!C150</f>
        <v>01 Regionale leidingen</v>
      </c>
      <c r="E148" s="37">
        <f>'13. Desinvesteringen'!D150</f>
        <v>1973</v>
      </c>
      <c r="F148" s="42">
        <f>'13. Desinvesteringen'!E150</f>
        <v>71403.600000000006</v>
      </c>
      <c r="G148" s="37">
        <f>'13. Desinvesteringen'!G150</f>
        <v>2021</v>
      </c>
    </row>
    <row r="149" spans="2:7" s="3" customFormat="1">
      <c r="B149" s="37">
        <f>'13. Desinvesteringen'!B151</f>
        <v>132</v>
      </c>
      <c r="D149" s="37" t="str">
        <f>'13. Desinvesteringen'!C151</f>
        <v>01 Regionale leidingen</v>
      </c>
      <c r="E149" s="37">
        <f>'13. Desinvesteringen'!D151</f>
        <v>1975</v>
      </c>
      <c r="F149" s="42">
        <f>'13. Desinvesteringen'!E151</f>
        <v>19198.080000000002</v>
      </c>
      <c r="G149" s="37">
        <f>'13. Desinvesteringen'!G151</f>
        <v>2021</v>
      </c>
    </row>
    <row r="150" spans="2:7" s="3" customFormat="1">
      <c r="B150" s="37">
        <f>'13. Desinvesteringen'!B152</f>
        <v>133</v>
      </c>
      <c r="D150" s="37" t="str">
        <f>'13. Desinvesteringen'!C152</f>
        <v>01 Regionale leidingen</v>
      </c>
      <c r="E150" s="37">
        <f>'13. Desinvesteringen'!D152</f>
        <v>1979</v>
      </c>
      <c r="F150" s="42">
        <f>'13. Desinvesteringen'!E152</f>
        <v>42081.31</v>
      </c>
      <c r="G150" s="37">
        <f>'13. Desinvesteringen'!G152</f>
        <v>2021</v>
      </c>
    </row>
    <row r="151" spans="2:7" s="3" customFormat="1">
      <c r="B151" s="37">
        <f>'13. Desinvesteringen'!B153</f>
        <v>134</v>
      </c>
      <c r="D151" s="37" t="str">
        <f>'13. Desinvesteringen'!C153</f>
        <v>01 Regionale leidingen</v>
      </c>
      <c r="E151" s="37">
        <f>'13. Desinvesteringen'!D153</f>
        <v>1991</v>
      </c>
      <c r="F151" s="42">
        <f>'13. Desinvesteringen'!E153</f>
        <v>38721.65</v>
      </c>
      <c r="G151" s="37">
        <f>'13. Desinvesteringen'!G153</f>
        <v>2021</v>
      </c>
    </row>
    <row r="152" spans="2:7" s="3" customFormat="1">
      <c r="B152" s="37">
        <f>'13. Desinvesteringen'!B154</f>
        <v>135</v>
      </c>
      <c r="D152" s="37" t="str">
        <f>'13. Desinvesteringen'!C154</f>
        <v>01 Regionale leidingen</v>
      </c>
      <c r="E152" s="37">
        <f>'13. Desinvesteringen'!D154</f>
        <v>1992</v>
      </c>
      <c r="F152" s="42">
        <f>'13. Desinvesteringen'!E154</f>
        <v>55514.82</v>
      </c>
      <c r="G152" s="37">
        <f>'13. Desinvesteringen'!G154</f>
        <v>2021</v>
      </c>
    </row>
    <row r="153" spans="2:7" s="3" customFormat="1">
      <c r="B153" s="37">
        <f>'13. Desinvesteringen'!B155</f>
        <v>136</v>
      </c>
      <c r="D153" s="37" t="str">
        <f>'13. Desinvesteringen'!C155</f>
        <v>01 Regionale leidingen</v>
      </c>
      <c r="E153" s="37">
        <f>'13. Desinvesteringen'!D155</f>
        <v>1994</v>
      </c>
      <c r="F153" s="42">
        <f>'13. Desinvesteringen'!E155</f>
        <v>23050.77</v>
      </c>
      <c r="G153" s="37">
        <f>'13. Desinvesteringen'!G155</f>
        <v>2021</v>
      </c>
    </row>
    <row r="154" spans="2:7" s="3" customFormat="1">
      <c r="B154" s="37">
        <f>'13. Desinvesteringen'!B156</f>
        <v>137</v>
      </c>
      <c r="D154" s="37" t="str">
        <f>'13. Desinvesteringen'!C156</f>
        <v>01 Regionale leidingen</v>
      </c>
      <c r="E154" s="37">
        <f>'13. Desinvesteringen'!D156</f>
        <v>1997</v>
      </c>
      <c r="F154" s="42">
        <f>'13. Desinvesteringen'!E156</f>
        <v>27362.14</v>
      </c>
      <c r="G154" s="37">
        <f>'13. Desinvesteringen'!G156</f>
        <v>2021</v>
      </c>
    </row>
    <row r="155" spans="2:7" s="3" customFormat="1">
      <c r="B155" s="37">
        <f>'13. Desinvesteringen'!B157</f>
        <v>138</v>
      </c>
      <c r="D155" s="37" t="str">
        <f>'13. Desinvesteringen'!C157</f>
        <v>01 Regionale leidingen</v>
      </c>
      <c r="E155" s="37">
        <f>'13. Desinvesteringen'!D157</f>
        <v>2004</v>
      </c>
      <c r="F155" s="42">
        <f>'13. Desinvesteringen'!E157</f>
        <v>151657.73000000001</v>
      </c>
      <c r="G155" s="37">
        <f>'13. Desinvesteringen'!G157</f>
        <v>2021</v>
      </c>
    </row>
    <row r="156" spans="2:7" s="3" customFormat="1">
      <c r="B156" s="37">
        <f>'13. Desinvesteringen'!B158</f>
        <v>139</v>
      </c>
      <c r="D156" s="37" t="str">
        <f>'13. Desinvesteringen'!C158</f>
        <v>01 Regionale leidingen</v>
      </c>
      <c r="E156" s="37">
        <f>'13. Desinvesteringen'!D158</f>
        <v>2007</v>
      </c>
      <c r="F156" s="42">
        <f>'13. Desinvesteringen'!E158</f>
        <v>2827.55</v>
      </c>
      <c r="G156" s="37">
        <f>'13. Desinvesteringen'!G158</f>
        <v>2021</v>
      </c>
    </row>
    <row r="157" spans="2:7" s="3" customFormat="1">
      <c r="B157" s="37">
        <f>'13. Desinvesteringen'!B159</f>
        <v>140</v>
      </c>
      <c r="D157" s="37" t="str">
        <f>'13. Desinvesteringen'!C159</f>
        <v>01 Regionale leidingen</v>
      </c>
      <c r="E157" s="37">
        <f>'13. Desinvesteringen'!D159</f>
        <v>2009</v>
      </c>
      <c r="F157" s="42">
        <f>'13. Desinvesteringen'!E159</f>
        <v>124313.99</v>
      </c>
      <c r="G157" s="37">
        <f>'13. Desinvesteringen'!G159</f>
        <v>2021</v>
      </c>
    </row>
    <row r="158" spans="2:7" s="3" customFormat="1">
      <c r="B158" s="37">
        <f>'13. Desinvesteringen'!B160</f>
        <v>141</v>
      </c>
      <c r="D158" s="37" t="str">
        <f>'13. Desinvesteringen'!C160</f>
        <v>01 Regionale leidingen</v>
      </c>
      <c r="E158" s="37">
        <f>'13. Desinvesteringen'!D160</f>
        <v>2010</v>
      </c>
      <c r="F158" s="42">
        <f>'13. Desinvesteringen'!E160</f>
        <v>268395.78855748021</v>
      </c>
      <c r="G158" s="37">
        <f>'13. Desinvesteringen'!G160</f>
        <v>2021</v>
      </c>
    </row>
    <row r="159" spans="2:7" s="3" customFormat="1">
      <c r="B159" s="37">
        <f>'13. Desinvesteringen'!B161</f>
        <v>142</v>
      </c>
      <c r="D159" s="37" t="str">
        <f>'13. Desinvesteringen'!C161</f>
        <v>01 Regionale leidingen</v>
      </c>
      <c r="E159" s="37">
        <f>'13. Desinvesteringen'!D161</f>
        <v>2011</v>
      </c>
      <c r="F159" s="42">
        <f>'13. Desinvesteringen'!E161</f>
        <v>64375.815051532467</v>
      </c>
      <c r="G159" s="37">
        <f>'13. Desinvesteringen'!G161</f>
        <v>2021</v>
      </c>
    </row>
    <row r="160" spans="2:7" s="3" customFormat="1">
      <c r="B160" s="37">
        <f>'13. Desinvesteringen'!B162</f>
        <v>143</v>
      </c>
      <c r="D160" s="37" t="str">
        <f>'13. Desinvesteringen'!C162</f>
        <v>01 Regionale leidingen</v>
      </c>
      <c r="E160" s="37">
        <f>'13. Desinvesteringen'!D162</f>
        <v>2013</v>
      </c>
      <c r="F160" s="42">
        <f>'13. Desinvesteringen'!E162</f>
        <v>398931.4021603408</v>
      </c>
      <c r="G160" s="37">
        <f>'13. Desinvesteringen'!G162</f>
        <v>2021</v>
      </c>
    </row>
    <row r="161" spans="2:7" s="3" customFormat="1">
      <c r="B161" s="37">
        <f>'13. Desinvesteringen'!B163</f>
        <v>144</v>
      </c>
      <c r="D161" s="37" t="str">
        <f>'13. Desinvesteringen'!C163</f>
        <v>01 Regionale leidingen</v>
      </c>
      <c r="E161" s="37">
        <f>'13. Desinvesteringen'!D163</f>
        <v>2014</v>
      </c>
      <c r="F161" s="42">
        <f>'13. Desinvesteringen'!E163</f>
        <v>536.92166709422554</v>
      </c>
      <c r="G161" s="37">
        <f>'13. Desinvesteringen'!G163</f>
        <v>2021</v>
      </c>
    </row>
    <row r="162" spans="2:7" s="3" customFormat="1">
      <c r="B162" s="37">
        <f>'13. Desinvesteringen'!B164</f>
        <v>145</v>
      </c>
      <c r="D162" s="37" t="str">
        <f>'13. Desinvesteringen'!C164</f>
        <v>01 Regionale leidingen</v>
      </c>
      <c r="E162" s="37">
        <f>'13. Desinvesteringen'!D164</f>
        <v>2018</v>
      </c>
      <c r="F162" s="42">
        <f>'13. Desinvesteringen'!E164</f>
        <v>1020326.7510328252</v>
      </c>
      <c r="G162" s="37">
        <f>'13. Desinvesteringen'!G164</f>
        <v>2021</v>
      </c>
    </row>
    <row r="163" spans="2:7" s="3" customFormat="1">
      <c r="B163" s="37">
        <f>'13. Desinvesteringen'!B165</f>
        <v>146</v>
      </c>
      <c r="D163" s="37" t="str">
        <f>'13. Desinvesteringen'!C165</f>
        <v>01 Regionale leidingen</v>
      </c>
      <c r="E163" s="37">
        <f>'13. Desinvesteringen'!D165</f>
        <v>2019</v>
      </c>
      <c r="F163" s="42">
        <f>'13. Desinvesteringen'!E165</f>
        <v>11951.372469743606</v>
      </c>
      <c r="G163" s="37">
        <f>'13. Desinvesteringen'!G165</f>
        <v>2021</v>
      </c>
    </row>
    <row r="164" spans="2:7" s="3" customFormat="1">
      <c r="B164" s="37">
        <f>'13. Desinvesteringen'!B166</f>
        <v>147</v>
      </c>
      <c r="D164" s="37" t="str">
        <f>'13. Desinvesteringen'!C166</f>
        <v>02 Gasontvangststations</v>
      </c>
      <c r="E164" s="37">
        <f>'13. Desinvesteringen'!D166</f>
        <v>1965</v>
      </c>
      <c r="F164" s="42">
        <f>'13. Desinvesteringen'!E166</f>
        <v>37085.920000000006</v>
      </c>
      <c r="G164" s="37">
        <f>'13. Desinvesteringen'!G166</f>
        <v>2021</v>
      </c>
    </row>
    <row r="165" spans="2:7" s="3" customFormat="1">
      <c r="B165" s="37">
        <f>'13. Desinvesteringen'!B167</f>
        <v>148</v>
      </c>
      <c r="D165" s="37" t="str">
        <f>'13. Desinvesteringen'!C167</f>
        <v>02 Gasontvangststations</v>
      </c>
      <c r="E165" s="37">
        <f>'13. Desinvesteringen'!D167</f>
        <v>1966</v>
      </c>
      <c r="F165" s="42">
        <f>'13. Desinvesteringen'!E167</f>
        <v>191229.55</v>
      </c>
      <c r="G165" s="37">
        <f>'13. Desinvesteringen'!G167</f>
        <v>2021</v>
      </c>
    </row>
    <row r="166" spans="2:7" s="3" customFormat="1">
      <c r="B166" s="37">
        <f>'13. Desinvesteringen'!B168</f>
        <v>149</v>
      </c>
      <c r="D166" s="37" t="str">
        <f>'13. Desinvesteringen'!C168</f>
        <v>02 Gasontvangststations</v>
      </c>
      <c r="E166" s="37">
        <f>'13. Desinvesteringen'!D168</f>
        <v>1967</v>
      </c>
      <c r="F166" s="42">
        <f>'13. Desinvesteringen'!E168</f>
        <v>221505.32</v>
      </c>
      <c r="G166" s="37">
        <f>'13. Desinvesteringen'!G168</f>
        <v>2021</v>
      </c>
    </row>
    <row r="167" spans="2:7" s="3" customFormat="1">
      <c r="B167" s="37">
        <f>'13. Desinvesteringen'!B169</f>
        <v>150</v>
      </c>
      <c r="D167" s="37" t="str">
        <f>'13. Desinvesteringen'!C169</f>
        <v>02 Gasontvangststations</v>
      </c>
      <c r="E167" s="37">
        <f>'13. Desinvesteringen'!D169</f>
        <v>1968</v>
      </c>
      <c r="F167" s="42">
        <f>'13. Desinvesteringen'!E169</f>
        <v>138671.18999999997</v>
      </c>
      <c r="G167" s="37">
        <f>'13. Desinvesteringen'!G169</f>
        <v>2021</v>
      </c>
    </row>
    <row r="168" spans="2:7" s="3" customFormat="1">
      <c r="B168" s="37">
        <f>'13. Desinvesteringen'!B170</f>
        <v>151</v>
      </c>
      <c r="D168" s="37" t="str">
        <f>'13. Desinvesteringen'!C170</f>
        <v>02 Gasontvangststations</v>
      </c>
      <c r="E168" s="37">
        <f>'13. Desinvesteringen'!D170</f>
        <v>1969</v>
      </c>
      <c r="F168" s="42">
        <f>'13. Desinvesteringen'!E170</f>
        <v>252663.02</v>
      </c>
      <c r="G168" s="37">
        <f>'13. Desinvesteringen'!G170</f>
        <v>2021</v>
      </c>
    </row>
    <row r="169" spans="2:7" s="3" customFormat="1">
      <c r="B169" s="37">
        <f>'13. Desinvesteringen'!B171</f>
        <v>152</v>
      </c>
      <c r="D169" s="37" t="str">
        <f>'13. Desinvesteringen'!C171</f>
        <v>02 Gasontvangststations</v>
      </c>
      <c r="E169" s="37">
        <f>'13. Desinvesteringen'!D171</f>
        <v>1970</v>
      </c>
      <c r="F169" s="42">
        <f>'13. Desinvesteringen'!E171</f>
        <v>111949.98</v>
      </c>
      <c r="G169" s="37">
        <f>'13. Desinvesteringen'!G171</f>
        <v>2021</v>
      </c>
    </row>
    <row r="170" spans="2:7" s="3" customFormat="1">
      <c r="B170" s="37">
        <f>'13. Desinvesteringen'!B172</f>
        <v>153</v>
      </c>
      <c r="D170" s="37" t="str">
        <f>'13. Desinvesteringen'!C172</f>
        <v>02 Gasontvangststations</v>
      </c>
      <c r="E170" s="37">
        <f>'13. Desinvesteringen'!D172</f>
        <v>1971</v>
      </c>
      <c r="F170" s="42">
        <f>'13. Desinvesteringen'!E172</f>
        <v>158788.27000000002</v>
      </c>
      <c r="G170" s="37">
        <f>'13. Desinvesteringen'!G172</f>
        <v>2021</v>
      </c>
    </row>
    <row r="171" spans="2:7" s="3" customFormat="1">
      <c r="B171" s="37">
        <f>'13. Desinvesteringen'!B173</f>
        <v>154</v>
      </c>
      <c r="D171" s="37" t="str">
        <f>'13. Desinvesteringen'!C173</f>
        <v>02 Gasontvangststations</v>
      </c>
      <c r="E171" s="37">
        <f>'13. Desinvesteringen'!D173</f>
        <v>1972</v>
      </c>
      <c r="F171" s="42">
        <f>'13. Desinvesteringen'!E173</f>
        <v>241793.13</v>
      </c>
      <c r="G171" s="37">
        <f>'13. Desinvesteringen'!G173</f>
        <v>2021</v>
      </c>
    </row>
    <row r="172" spans="2:7" s="3" customFormat="1">
      <c r="B172" s="37">
        <f>'13. Desinvesteringen'!B174</f>
        <v>155</v>
      </c>
      <c r="D172" s="37" t="str">
        <f>'13. Desinvesteringen'!C174</f>
        <v>02 Gasontvangststations</v>
      </c>
      <c r="E172" s="37">
        <f>'13. Desinvesteringen'!D174</f>
        <v>1973</v>
      </c>
      <c r="F172" s="42">
        <f>'13. Desinvesteringen'!E174</f>
        <v>16917.16</v>
      </c>
      <c r="G172" s="37">
        <f>'13. Desinvesteringen'!G174</f>
        <v>2021</v>
      </c>
    </row>
    <row r="173" spans="2:7" s="3" customFormat="1">
      <c r="B173" s="37">
        <f>'13. Desinvesteringen'!B175</f>
        <v>156</v>
      </c>
      <c r="D173" s="37" t="str">
        <f>'13. Desinvesteringen'!C175</f>
        <v>02 Gasontvangststations</v>
      </c>
      <c r="E173" s="37">
        <f>'13. Desinvesteringen'!D175</f>
        <v>1974</v>
      </c>
      <c r="F173" s="42">
        <f>'13. Desinvesteringen'!E175</f>
        <v>19498.32</v>
      </c>
      <c r="G173" s="37">
        <f>'13. Desinvesteringen'!G175</f>
        <v>2021</v>
      </c>
    </row>
    <row r="174" spans="2:7" s="3" customFormat="1">
      <c r="B174" s="37">
        <f>'13. Desinvesteringen'!B176</f>
        <v>157</v>
      </c>
      <c r="D174" s="37" t="str">
        <f>'13. Desinvesteringen'!C176</f>
        <v>02 Gasontvangststations</v>
      </c>
      <c r="E174" s="37">
        <f>'13. Desinvesteringen'!D176</f>
        <v>1975</v>
      </c>
      <c r="F174" s="42">
        <f>'13. Desinvesteringen'!E176</f>
        <v>136362.09</v>
      </c>
      <c r="G174" s="37">
        <f>'13. Desinvesteringen'!G176</f>
        <v>2021</v>
      </c>
    </row>
    <row r="175" spans="2:7" s="3" customFormat="1">
      <c r="B175" s="37">
        <f>'13. Desinvesteringen'!B177</f>
        <v>158</v>
      </c>
      <c r="D175" s="37" t="str">
        <f>'13. Desinvesteringen'!C177</f>
        <v>02 Gasontvangststations</v>
      </c>
      <c r="E175" s="37">
        <f>'13. Desinvesteringen'!D177</f>
        <v>1976</v>
      </c>
      <c r="F175" s="42">
        <f>'13. Desinvesteringen'!E177</f>
        <v>95438.5</v>
      </c>
      <c r="G175" s="37">
        <f>'13. Desinvesteringen'!G177</f>
        <v>2021</v>
      </c>
    </row>
    <row r="176" spans="2:7" s="3" customFormat="1">
      <c r="B176" s="37">
        <f>'13. Desinvesteringen'!B178</f>
        <v>159</v>
      </c>
      <c r="D176" s="37" t="str">
        <f>'13. Desinvesteringen'!C178</f>
        <v>02 Gasontvangststations</v>
      </c>
      <c r="E176" s="37">
        <f>'13. Desinvesteringen'!D178</f>
        <v>1977</v>
      </c>
      <c r="F176" s="42">
        <f>'13. Desinvesteringen'!E178</f>
        <v>60014.03</v>
      </c>
      <c r="G176" s="37">
        <f>'13. Desinvesteringen'!G178</f>
        <v>2021</v>
      </c>
    </row>
    <row r="177" spans="2:7" s="3" customFormat="1">
      <c r="B177" s="37">
        <f>'13. Desinvesteringen'!B179</f>
        <v>160</v>
      </c>
      <c r="D177" s="37" t="str">
        <f>'13. Desinvesteringen'!C179</f>
        <v>02 Gasontvangststations</v>
      </c>
      <c r="E177" s="37">
        <f>'13. Desinvesteringen'!D179</f>
        <v>1978</v>
      </c>
      <c r="F177" s="42">
        <f>'13. Desinvesteringen'!E179</f>
        <v>16510.61</v>
      </c>
      <c r="G177" s="37">
        <f>'13. Desinvesteringen'!G179</f>
        <v>2021</v>
      </c>
    </row>
    <row r="178" spans="2:7" s="3" customFormat="1">
      <c r="B178" s="37">
        <f>'13. Desinvesteringen'!B180</f>
        <v>161</v>
      </c>
      <c r="D178" s="37" t="str">
        <f>'13. Desinvesteringen'!C180</f>
        <v>02 Gasontvangststations</v>
      </c>
      <c r="E178" s="37">
        <f>'13. Desinvesteringen'!D180</f>
        <v>1979</v>
      </c>
      <c r="F178" s="42">
        <f>'13. Desinvesteringen'!E180</f>
        <v>38157.51</v>
      </c>
      <c r="G178" s="37">
        <f>'13. Desinvesteringen'!G180</f>
        <v>2021</v>
      </c>
    </row>
    <row r="179" spans="2:7" s="3" customFormat="1">
      <c r="B179" s="37">
        <f>'13. Desinvesteringen'!B181</f>
        <v>162</v>
      </c>
      <c r="D179" s="37" t="str">
        <f>'13. Desinvesteringen'!C181</f>
        <v>02 Gasontvangststations</v>
      </c>
      <c r="E179" s="37">
        <f>'13. Desinvesteringen'!D181</f>
        <v>1986</v>
      </c>
      <c r="F179" s="42">
        <f>'13. Desinvesteringen'!E181</f>
        <v>109742.65</v>
      </c>
      <c r="G179" s="37">
        <f>'13. Desinvesteringen'!G181</f>
        <v>2021</v>
      </c>
    </row>
    <row r="180" spans="2:7" s="3" customFormat="1">
      <c r="B180" s="37">
        <f>'13. Desinvesteringen'!B182</f>
        <v>163</v>
      </c>
      <c r="D180" s="37" t="str">
        <f>'13. Desinvesteringen'!C182</f>
        <v>02 Gasontvangststations</v>
      </c>
      <c r="E180" s="37">
        <f>'13. Desinvesteringen'!D182</f>
        <v>1989</v>
      </c>
      <c r="F180" s="42">
        <f>'13. Desinvesteringen'!E182</f>
        <v>13251.86</v>
      </c>
      <c r="G180" s="37">
        <f>'13. Desinvesteringen'!G182</f>
        <v>2021</v>
      </c>
    </row>
    <row r="181" spans="2:7" s="3" customFormat="1">
      <c r="B181" s="37">
        <f>'13. Desinvesteringen'!B183</f>
        <v>164</v>
      </c>
      <c r="D181" s="37" t="str">
        <f>'13. Desinvesteringen'!C183</f>
        <v>02 Gasontvangststations</v>
      </c>
      <c r="E181" s="37">
        <f>'13. Desinvesteringen'!D183</f>
        <v>1991</v>
      </c>
      <c r="F181" s="42">
        <f>'13. Desinvesteringen'!E183</f>
        <v>8107.24</v>
      </c>
      <c r="G181" s="37">
        <f>'13. Desinvesteringen'!G183</f>
        <v>2021</v>
      </c>
    </row>
    <row r="182" spans="2:7" s="3" customFormat="1">
      <c r="B182" s="37">
        <f>'13. Desinvesteringen'!B184</f>
        <v>165</v>
      </c>
      <c r="D182" s="37" t="str">
        <f>'13. Desinvesteringen'!C184</f>
        <v>02 Gasontvangststations</v>
      </c>
      <c r="E182" s="37">
        <f>'13. Desinvesteringen'!D184</f>
        <v>1992</v>
      </c>
      <c r="F182" s="42">
        <f>'13. Desinvesteringen'!E184</f>
        <v>876626.98</v>
      </c>
      <c r="G182" s="37">
        <f>'13. Desinvesteringen'!G184</f>
        <v>2021</v>
      </c>
    </row>
    <row r="183" spans="2:7" s="3" customFormat="1">
      <c r="B183" s="37">
        <f>'13. Desinvesteringen'!B185</f>
        <v>166</v>
      </c>
      <c r="D183" s="37" t="str">
        <f>'13. Desinvesteringen'!C185</f>
        <v>02 Gasontvangststations</v>
      </c>
      <c r="E183" s="37">
        <f>'13. Desinvesteringen'!D185</f>
        <v>1993</v>
      </c>
      <c r="F183" s="42">
        <f>'13. Desinvesteringen'!E185</f>
        <v>6193.19</v>
      </c>
      <c r="G183" s="37">
        <f>'13. Desinvesteringen'!G185</f>
        <v>2021</v>
      </c>
    </row>
    <row r="184" spans="2:7" s="3" customFormat="1">
      <c r="B184" s="37">
        <f>'13. Desinvesteringen'!B186</f>
        <v>167</v>
      </c>
      <c r="D184" s="37" t="str">
        <f>'13. Desinvesteringen'!C186</f>
        <v>02 Gasontvangststations</v>
      </c>
      <c r="E184" s="37">
        <f>'13. Desinvesteringen'!D186</f>
        <v>1995</v>
      </c>
      <c r="F184" s="42">
        <f>'13. Desinvesteringen'!E186</f>
        <v>8440.31</v>
      </c>
      <c r="G184" s="37">
        <f>'13. Desinvesteringen'!G186</f>
        <v>2021</v>
      </c>
    </row>
    <row r="185" spans="2:7" s="3" customFormat="1">
      <c r="B185" s="37">
        <f>'13. Desinvesteringen'!B187</f>
        <v>168</v>
      </c>
      <c r="D185" s="37" t="str">
        <f>'13. Desinvesteringen'!C187</f>
        <v>02 Gasontvangststations</v>
      </c>
      <c r="E185" s="37">
        <f>'13. Desinvesteringen'!D187</f>
        <v>1996</v>
      </c>
      <c r="F185" s="42">
        <f>'13. Desinvesteringen'!E187</f>
        <v>6633.93</v>
      </c>
      <c r="G185" s="37">
        <f>'13. Desinvesteringen'!G187</f>
        <v>2021</v>
      </c>
    </row>
    <row r="186" spans="2:7" s="3" customFormat="1">
      <c r="B186" s="37">
        <f>'13. Desinvesteringen'!B188</f>
        <v>169</v>
      </c>
      <c r="D186" s="37" t="str">
        <f>'13. Desinvesteringen'!C188</f>
        <v>02 Gasontvangststations</v>
      </c>
      <c r="E186" s="37">
        <f>'13. Desinvesteringen'!D188</f>
        <v>1998</v>
      </c>
      <c r="F186" s="42">
        <f>'13. Desinvesteringen'!E188</f>
        <v>10371.369999999999</v>
      </c>
      <c r="G186" s="37">
        <f>'13. Desinvesteringen'!G188</f>
        <v>2021</v>
      </c>
    </row>
    <row r="187" spans="2:7" s="3" customFormat="1">
      <c r="B187" s="37">
        <f>'13. Desinvesteringen'!B189</f>
        <v>170</v>
      </c>
      <c r="D187" s="37" t="str">
        <f>'13. Desinvesteringen'!C189</f>
        <v>02 Gasontvangststations</v>
      </c>
      <c r="E187" s="37">
        <f>'13. Desinvesteringen'!D189</f>
        <v>1999</v>
      </c>
      <c r="F187" s="42">
        <f>'13. Desinvesteringen'!E189</f>
        <v>4737.3</v>
      </c>
      <c r="G187" s="37">
        <f>'13. Desinvesteringen'!G189</f>
        <v>2021</v>
      </c>
    </row>
    <row r="188" spans="2:7" s="3" customFormat="1">
      <c r="B188" s="37">
        <f>'13. Desinvesteringen'!B190</f>
        <v>171</v>
      </c>
      <c r="D188" s="37" t="str">
        <f>'13. Desinvesteringen'!C190</f>
        <v>02 Gasontvangststations</v>
      </c>
      <c r="E188" s="37">
        <f>'13. Desinvesteringen'!D190</f>
        <v>2002</v>
      </c>
      <c r="F188" s="42">
        <f>'13. Desinvesteringen'!E190</f>
        <v>49679.41</v>
      </c>
      <c r="G188" s="37">
        <f>'13. Desinvesteringen'!G190</f>
        <v>2021</v>
      </c>
    </row>
    <row r="189" spans="2:7" s="3" customFormat="1">
      <c r="B189" s="37">
        <f>'13. Desinvesteringen'!B191</f>
        <v>172</v>
      </c>
      <c r="D189" s="37" t="str">
        <f>'13. Desinvesteringen'!C191</f>
        <v>02 Gasontvangststations</v>
      </c>
      <c r="E189" s="37">
        <f>'13. Desinvesteringen'!D191</f>
        <v>2003</v>
      </c>
      <c r="F189" s="42">
        <f>'13. Desinvesteringen'!E191</f>
        <v>42948.94</v>
      </c>
      <c r="G189" s="37">
        <f>'13. Desinvesteringen'!G191</f>
        <v>2021</v>
      </c>
    </row>
    <row r="190" spans="2:7" s="3" customFormat="1">
      <c r="B190" s="37">
        <f>'13. Desinvesteringen'!B192</f>
        <v>173</v>
      </c>
      <c r="D190" s="37" t="str">
        <f>'13. Desinvesteringen'!C192</f>
        <v>02 Gasontvangststations</v>
      </c>
      <c r="E190" s="37">
        <f>'13. Desinvesteringen'!D192</f>
        <v>2005</v>
      </c>
      <c r="F190" s="42">
        <f>'13. Desinvesteringen'!E192</f>
        <v>108188.81</v>
      </c>
      <c r="G190" s="37">
        <f>'13. Desinvesteringen'!G192</f>
        <v>2021</v>
      </c>
    </row>
    <row r="191" spans="2:7" s="3" customFormat="1">
      <c r="B191" s="37">
        <f>'13. Desinvesteringen'!B193</f>
        <v>174</v>
      </c>
      <c r="D191" s="37" t="str">
        <f>'13. Desinvesteringen'!C193</f>
        <v>02 Gasontvangststations</v>
      </c>
      <c r="E191" s="37">
        <f>'13. Desinvesteringen'!D193</f>
        <v>2007</v>
      </c>
      <c r="F191" s="42">
        <f>'13. Desinvesteringen'!E193</f>
        <v>209399.48</v>
      </c>
      <c r="G191" s="37">
        <f>'13. Desinvesteringen'!G193</f>
        <v>2021</v>
      </c>
    </row>
    <row r="192" spans="2:7" s="3" customFormat="1">
      <c r="B192" s="37">
        <f>'13. Desinvesteringen'!B194</f>
        <v>175</v>
      </c>
      <c r="D192" s="37" t="str">
        <f>'13. Desinvesteringen'!C194</f>
        <v>02 Gasontvangststations</v>
      </c>
      <c r="E192" s="37">
        <f>'13. Desinvesteringen'!D194</f>
        <v>2011</v>
      </c>
      <c r="F192" s="42">
        <f>'13. Desinvesteringen'!E194</f>
        <v>326231.77348609408</v>
      </c>
      <c r="G192" s="37">
        <f>'13. Desinvesteringen'!G194</f>
        <v>2021</v>
      </c>
    </row>
    <row r="193" spans="2:7" s="3" customFormat="1">
      <c r="B193" s="37">
        <f>'13. Desinvesteringen'!B195</f>
        <v>176</v>
      </c>
      <c r="D193" s="37" t="str">
        <f>'13. Desinvesteringen'!C195</f>
        <v>02 Gasontvangststations</v>
      </c>
      <c r="E193" s="37">
        <f>'13. Desinvesteringen'!D195</f>
        <v>2012</v>
      </c>
      <c r="F193" s="42">
        <f>'13. Desinvesteringen'!E195</f>
        <v>304764.16110630898</v>
      </c>
      <c r="G193" s="37">
        <f>'13. Desinvesteringen'!G195</f>
        <v>2021</v>
      </c>
    </row>
    <row r="194" spans="2:7" s="3" customFormat="1">
      <c r="B194" s="37">
        <f>'13. Desinvesteringen'!B196</f>
        <v>177</v>
      </c>
      <c r="D194" s="37" t="str">
        <f>'13. Desinvesteringen'!C196</f>
        <v>02 Gasontvangststations</v>
      </c>
      <c r="E194" s="37">
        <f>'13. Desinvesteringen'!D196</f>
        <v>2013</v>
      </c>
      <c r="F194" s="42">
        <f>'13. Desinvesteringen'!E196</f>
        <v>38943.678871327982</v>
      </c>
      <c r="G194" s="37">
        <f>'13. Desinvesteringen'!G196</f>
        <v>2021</v>
      </c>
    </row>
    <row r="195" spans="2:7" s="3" customFormat="1">
      <c r="B195" s="37">
        <f>'13. Desinvesteringen'!B197</f>
        <v>178</v>
      </c>
      <c r="D195" s="37" t="str">
        <f>'13. Desinvesteringen'!C197</f>
        <v>02 Gasontvangststations</v>
      </c>
      <c r="E195" s="37">
        <f>'13. Desinvesteringen'!D197</f>
        <v>2018</v>
      </c>
      <c r="F195" s="42">
        <f>'13. Desinvesteringen'!E197</f>
        <v>24781.746230975445</v>
      </c>
      <c r="G195" s="37">
        <f>'13. Desinvesteringen'!G197</f>
        <v>2021</v>
      </c>
    </row>
    <row r="196" spans="2:7" s="3" customFormat="1">
      <c r="B196" s="37">
        <f>'13. Desinvesteringen'!B198</f>
        <v>179</v>
      </c>
      <c r="D196" s="37" t="str">
        <f>'13. Desinvesteringen'!C198</f>
        <v>04 Terreinen</v>
      </c>
      <c r="E196" s="37">
        <f>'13. Desinvesteringen'!D198</f>
        <v>1956</v>
      </c>
      <c r="F196" s="42">
        <f>'13. Desinvesteringen'!E198</f>
        <v>10811.2</v>
      </c>
      <c r="G196" s="37">
        <f>'13. Desinvesteringen'!G198</f>
        <v>2021</v>
      </c>
    </row>
    <row r="197" spans="2:7" s="3" customFormat="1">
      <c r="B197" s="37">
        <f>'13. Desinvesteringen'!B199</f>
        <v>180</v>
      </c>
      <c r="D197" s="37" t="str">
        <f>'13. Desinvesteringen'!C199</f>
        <v>04 Terreinen</v>
      </c>
      <c r="E197" s="37">
        <f>'13. Desinvesteringen'!D199</f>
        <v>1968</v>
      </c>
      <c r="F197" s="42">
        <f>'13. Desinvesteringen'!E199</f>
        <v>73172.06</v>
      </c>
      <c r="G197" s="37">
        <f>'13. Desinvesteringen'!G199</f>
        <v>2021</v>
      </c>
    </row>
    <row r="198" spans="2:7" s="3" customFormat="1">
      <c r="B198" s="37">
        <f>'13. Desinvesteringen'!B200</f>
        <v>181</v>
      </c>
      <c r="D198" s="37" t="str">
        <f>'13. Desinvesteringen'!C200</f>
        <v>04 Terreinen</v>
      </c>
      <c r="E198" s="37">
        <f>'13. Desinvesteringen'!D200</f>
        <v>1979</v>
      </c>
      <c r="F198" s="42">
        <f>'13. Desinvesteringen'!E200</f>
        <v>1664.95</v>
      </c>
      <c r="G198" s="37">
        <f>'13. Desinvesteringen'!G200</f>
        <v>2021</v>
      </c>
    </row>
    <row r="199" spans="2:7" s="3" customFormat="1">
      <c r="B199" s="37">
        <f>'13. Desinvesteringen'!B201</f>
        <v>182</v>
      </c>
      <c r="D199" s="37" t="str">
        <f>'13. Desinvesteringen'!C201</f>
        <v>04 Terreinen</v>
      </c>
      <c r="E199" s="37">
        <f>'13. Desinvesteringen'!D201</f>
        <v>1986</v>
      </c>
      <c r="F199" s="42">
        <f>'13. Desinvesteringen'!E201</f>
        <v>216560.83000000002</v>
      </c>
      <c r="G199" s="37">
        <f>'13. Desinvesteringen'!G201</f>
        <v>2021</v>
      </c>
    </row>
    <row r="200" spans="2:7" s="3" customFormat="1">
      <c r="B200" s="37">
        <f>'13. Desinvesteringen'!B202</f>
        <v>183</v>
      </c>
      <c r="D200" s="37" t="str">
        <f>'13. Desinvesteringen'!C202</f>
        <v>04 Terreinen</v>
      </c>
      <c r="E200" s="37">
        <f>'13. Desinvesteringen'!D202</f>
        <v>2012</v>
      </c>
      <c r="F200" s="42">
        <f>'13. Desinvesteringen'!E202</f>
        <v>492468.36169150769</v>
      </c>
      <c r="G200" s="37">
        <f>'13. Desinvesteringen'!G202</f>
        <v>2021</v>
      </c>
    </row>
    <row r="201" spans="2:7" s="3" customFormat="1">
      <c r="B201" s="37">
        <f>'13. Desinvesteringen'!B203</f>
        <v>184</v>
      </c>
      <c r="D201" s="37" t="str">
        <f>'13. Desinvesteringen'!C203</f>
        <v>05 Wegen en terreinvoorzieningen</v>
      </c>
      <c r="E201" s="37">
        <f>'13. Desinvesteringen'!D203</f>
        <v>1998</v>
      </c>
      <c r="F201" s="42">
        <f>'13. Desinvesteringen'!E203</f>
        <v>95295.21</v>
      </c>
      <c r="G201" s="37">
        <f>'13. Desinvesteringen'!G203</f>
        <v>2021</v>
      </c>
    </row>
    <row r="202" spans="2:7" s="3" customFormat="1">
      <c r="B202" s="37">
        <f>'13. Desinvesteringen'!B204</f>
        <v>185</v>
      </c>
      <c r="D202" s="37" t="str">
        <f>'13. Desinvesteringen'!C204</f>
        <v>05 Wegen en terreinvoorzieningen</v>
      </c>
      <c r="E202" s="37">
        <f>'13. Desinvesteringen'!D204</f>
        <v>2007</v>
      </c>
      <c r="F202" s="42">
        <f>'13. Desinvesteringen'!E204</f>
        <v>13693.71</v>
      </c>
      <c r="G202" s="37">
        <f>'13. Desinvesteringen'!G204</f>
        <v>2021</v>
      </c>
    </row>
    <row r="203" spans="2:7" s="3" customFormat="1">
      <c r="B203" s="37">
        <f>'13. Desinvesteringen'!B205</f>
        <v>186</v>
      </c>
      <c r="D203" s="37" t="str">
        <f>'13. Desinvesteringen'!C205</f>
        <v>05 Wegen en terreinvoorzieningen</v>
      </c>
      <c r="E203" s="37">
        <f>'13. Desinvesteringen'!D205</f>
        <v>2016</v>
      </c>
      <c r="F203" s="42">
        <f>'13. Desinvesteringen'!E205</f>
        <v>32624.757655515543</v>
      </c>
      <c r="G203" s="37">
        <f>'13. Desinvesteringen'!G205</f>
        <v>2021</v>
      </c>
    </row>
    <row r="204" spans="2:7" s="3" customFormat="1">
      <c r="B204" s="37">
        <f>'13. Desinvesteringen'!B206</f>
        <v>187</v>
      </c>
      <c r="D204" s="37" t="str">
        <f>'13. Desinvesteringen'!C206</f>
        <v>05 Wegen en terreinvoorzieningen</v>
      </c>
      <c r="E204" s="37">
        <f>'13. Desinvesteringen'!D206</f>
        <v>2018</v>
      </c>
      <c r="F204" s="42">
        <f>'13. Desinvesteringen'!E206</f>
        <v>538732.54828671971</v>
      </c>
      <c r="G204" s="37">
        <f>'13. Desinvesteringen'!G206</f>
        <v>2021</v>
      </c>
    </row>
    <row r="205" spans="2:7" s="3" customFormat="1">
      <c r="B205" s="37">
        <f>'13. Desinvesteringen'!B207</f>
        <v>188</v>
      </c>
      <c r="D205" s="37" t="str">
        <f>'13. Desinvesteringen'!C207</f>
        <v>06 Utiliteitsgebouwen</v>
      </c>
      <c r="E205" s="37">
        <f>'13. Desinvesteringen'!D207</f>
        <v>1980</v>
      </c>
      <c r="F205" s="42">
        <f>'13. Desinvesteringen'!E207</f>
        <v>15535.76</v>
      </c>
      <c r="G205" s="37">
        <f>'13. Desinvesteringen'!G207</f>
        <v>2021</v>
      </c>
    </row>
    <row r="206" spans="2:7" s="3" customFormat="1">
      <c r="B206" s="37">
        <f>'13. Desinvesteringen'!B208</f>
        <v>189</v>
      </c>
      <c r="D206" s="37" t="str">
        <f>'13. Desinvesteringen'!C208</f>
        <v>06 Utiliteitsgebouwen</v>
      </c>
      <c r="E206" s="37">
        <f>'13. Desinvesteringen'!D208</f>
        <v>2005</v>
      </c>
      <c r="F206" s="42">
        <f>'13. Desinvesteringen'!E208</f>
        <v>95475</v>
      </c>
      <c r="G206" s="37">
        <f>'13. Desinvesteringen'!G208</f>
        <v>2021</v>
      </c>
    </row>
    <row r="207" spans="2:7" s="3" customFormat="1">
      <c r="B207" s="37">
        <f>'13. Desinvesteringen'!B209</f>
        <v>190</v>
      </c>
      <c r="D207" s="37" t="str">
        <f>'13. Desinvesteringen'!C209</f>
        <v>06 Utiliteitsgebouwen</v>
      </c>
      <c r="E207" s="37">
        <f>'13. Desinvesteringen'!D209</f>
        <v>2006</v>
      </c>
      <c r="F207" s="42">
        <f>'13. Desinvesteringen'!E209</f>
        <v>43750.75</v>
      </c>
      <c r="G207" s="37">
        <f>'13. Desinvesteringen'!G209</f>
        <v>2021</v>
      </c>
    </row>
    <row r="208" spans="2:7" s="3" customFormat="1">
      <c r="B208" s="37">
        <f>'13. Desinvesteringen'!B210</f>
        <v>191</v>
      </c>
      <c r="D208" s="37" t="str">
        <f>'13. Desinvesteringen'!C210</f>
        <v>06 Utiliteitsgebouwen</v>
      </c>
      <c r="E208" s="37">
        <f>'13. Desinvesteringen'!D210</f>
        <v>2010</v>
      </c>
      <c r="F208" s="42">
        <f>'13. Desinvesteringen'!E210</f>
        <v>8444.43</v>
      </c>
      <c r="G208" s="37">
        <f>'13. Desinvesteringen'!G210</f>
        <v>2021</v>
      </c>
    </row>
    <row r="209" spans="2:7" s="3" customFormat="1">
      <c r="B209" s="37">
        <f>'13. Desinvesteringen'!B211</f>
        <v>192</v>
      </c>
      <c r="D209" s="37" t="str">
        <f>'13. Desinvesteringen'!C211</f>
        <v>06 Utiliteitsgebouwen (LNG)</v>
      </c>
      <c r="E209" s="37">
        <f>'13. Desinvesteringen'!D211</f>
        <v>2006</v>
      </c>
      <c r="F209" s="42">
        <f>'13. Desinvesteringen'!E211</f>
        <v>213008.69</v>
      </c>
      <c r="G209" s="37">
        <f>'13. Desinvesteringen'!G211</f>
        <v>2021</v>
      </c>
    </row>
    <row r="210" spans="2:7" s="3" customFormat="1">
      <c r="B210" s="37">
        <f>'13. Desinvesteringen'!B212</f>
        <v>193</v>
      </c>
      <c r="D210" s="37" t="str">
        <f>'13. Desinvesteringen'!C212</f>
        <v>08 Inrichting gebouwen</v>
      </c>
      <c r="E210" s="37">
        <f>'13. Desinvesteringen'!D212</f>
        <v>1995</v>
      </c>
      <c r="F210" s="42">
        <f>'13. Desinvesteringen'!E212</f>
        <v>21404.81</v>
      </c>
      <c r="G210" s="37">
        <f>'13. Desinvesteringen'!G212</f>
        <v>2021</v>
      </c>
    </row>
    <row r="211" spans="2:7" s="3" customFormat="1">
      <c r="B211" s="37">
        <f>'13. Desinvesteringen'!B213</f>
        <v>194</v>
      </c>
      <c r="D211" s="37" t="str">
        <f>'13. Desinvesteringen'!C213</f>
        <v>08 Inrichting gebouwen</v>
      </c>
      <c r="E211" s="37">
        <f>'13. Desinvesteringen'!D213</f>
        <v>1999</v>
      </c>
      <c r="F211" s="42">
        <f>'13. Desinvesteringen'!E213</f>
        <v>41263.57</v>
      </c>
      <c r="G211" s="37">
        <f>'13. Desinvesteringen'!G213</f>
        <v>2021</v>
      </c>
    </row>
    <row r="212" spans="2:7" s="3" customFormat="1">
      <c r="B212" s="37">
        <f>'13. Desinvesteringen'!B214</f>
        <v>195</v>
      </c>
      <c r="D212" s="37" t="str">
        <f>'13. Desinvesteringen'!C214</f>
        <v>08 Inrichting gebouwen</v>
      </c>
      <c r="E212" s="37">
        <f>'13. Desinvesteringen'!D214</f>
        <v>2004</v>
      </c>
      <c r="F212" s="42">
        <f>'13. Desinvesteringen'!E214</f>
        <v>25586.77</v>
      </c>
      <c r="G212" s="37">
        <f>'13. Desinvesteringen'!G214</f>
        <v>2021</v>
      </c>
    </row>
    <row r="213" spans="2:7" s="3" customFormat="1">
      <c r="B213" s="37">
        <f>'13. Desinvesteringen'!B215</f>
        <v>196</v>
      </c>
      <c r="D213" s="37" t="str">
        <f>'13. Desinvesteringen'!C215</f>
        <v>08 Inrichting gebouwen</v>
      </c>
      <c r="E213" s="37">
        <f>'13. Desinvesteringen'!D215</f>
        <v>2007</v>
      </c>
      <c r="F213" s="42">
        <f>'13. Desinvesteringen'!E215</f>
        <v>72524.09</v>
      </c>
      <c r="G213" s="37">
        <f>'13. Desinvesteringen'!G215</f>
        <v>2021</v>
      </c>
    </row>
    <row r="214" spans="2:7" s="3" customFormat="1">
      <c r="B214" s="37">
        <f>'13. Desinvesteringen'!B216</f>
        <v>197</v>
      </c>
      <c r="D214" s="37" t="str">
        <f>'13. Desinvesteringen'!C216</f>
        <v>08 Inrichting gebouwen</v>
      </c>
      <c r="E214" s="37">
        <f>'13. Desinvesteringen'!D216</f>
        <v>2009</v>
      </c>
      <c r="F214" s="42">
        <f>'13. Desinvesteringen'!E216</f>
        <v>43757.98</v>
      </c>
      <c r="G214" s="37">
        <f>'13. Desinvesteringen'!G216</f>
        <v>2021</v>
      </c>
    </row>
    <row r="215" spans="2:7" s="3" customFormat="1">
      <c r="B215" s="37">
        <f>'13. Desinvesteringen'!B217</f>
        <v>198</v>
      </c>
      <c r="D215" s="37" t="str">
        <f>'13. Desinvesteringen'!C217</f>
        <v>08 Inrichting gebouwen</v>
      </c>
      <c r="E215" s="37">
        <f>'13. Desinvesteringen'!D217</f>
        <v>2018</v>
      </c>
      <c r="F215" s="42">
        <f>'13. Desinvesteringen'!E217</f>
        <v>92063.762018898677</v>
      </c>
      <c r="G215" s="37">
        <f>'13. Desinvesteringen'!G217</f>
        <v>2021</v>
      </c>
    </row>
    <row r="216" spans="2:7" s="3" customFormat="1">
      <c r="B216" s="37">
        <f>'13. Desinvesteringen'!B218</f>
        <v>199</v>
      </c>
      <c r="D216" s="37" t="str">
        <f>'13. Desinvesteringen'!C218</f>
        <v>09 Bedrijfsinventaris</v>
      </c>
      <c r="E216" s="37">
        <f>'13. Desinvesteringen'!D218</f>
        <v>1999</v>
      </c>
      <c r="F216" s="42">
        <f>'13. Desinvesteringen'!E218</f>
        <v>23628.5</v>
      </c>
      <c r="G216" s="37">
        <f>'13. Desinvesteringen'!G218</f>
        <v>2021</v>
      </c>
    </row>
    <row r="217" spans="2:7" s="3" customFormat="1">
      <c r="B217" s="37">
        <f>'13. Desinvesteringen'!B219</f>
        <v>200</v>
      </c>
      <c r="D217" s="37" t="str">
        <f>'13. Desinvesteringen'!C219</f>
        <v>09 Bedrijfsinventaris</v>
      </c>
      <c r="E217" s="37">
        <f>'13. Desinvesteringen'!D219</f>
        <v>2003</v>
      </c>
      <c r="F217" s="42">
        <f>'13. Desinvesteringen'!E219</f>
        <v>5549.99</v>
      </c>
      <c r="G217" s="37">
        <f>'13. Desinvesteringen'!G219</f>
        <v>2021</v>
      </c>
    </row>
    <row r="218" spans="2:7" s="3" customFormat="1">
      <c r="B218" s="37">
        <f>'13. Desinvesteringen'!B220</f>
        <v>201</v>
      </c>
      <c r="D218" s="37" t="str">
        <f>'13. Desinvesteringen'!C220</f>
        <v>09 Bedrijfsinventaris</v>
      </c>
      <c r="E218" s="37">
        <f>'13. Desinvesteringen'!D220</f>
        <v>2004</v>
      </c>
      <c r="F218" s="42">
        <f>'13. Desinvesteringen'!E220</f>
        <v>7075.25</v>
      </c>
      <c r="G218" s="37">
        <f>'13. Desinvesteringen'!G220</f>
        <v>2021</v>
      </c>
    </row>
    <row r="219" spans="2:7" s="3" customFormat="1">
      <c r="B219" s="37">
        <f>'13. Desinvesteringen'!B221</f>
        <v>202</v>
      </c>
      <c r="D219" s="37" t="str">
        <f>'13. Desinvesteringen'!C221</f>
        <v>09 Bedrijfsinventaris</v>
      </c>
      <c r="E219" s="37">
        <f>'13. Desinvesteringen'!D221</f>
        <v>2011</v>
      </c>
      <c r="F219" s="42">
        <f>'13. Desinvesteringen'!E221</f>
        <v>32592.1</v>
      </c>
      <c r="G219" s="37">
        <f>'13. Desinvesteringen'!G221</f>
        <v>2021</v>
      </c>
    </row>
    <row r="220" spans="2:7" s="3" customFormat="1">
      <c r="B220" s="37">
        <f>'13. Desinvesteringen'!B222</f>
        <v>203</v>
      </c>
      <c r="D220" s="37" t="str">
        <f>'13. Desinvesteringen'!C222</f>
        <v>09 Bedrijfsinventaris</v>
      </c>
      <c r="E220" s="37">
        <f>'13. Desinvesteringen'!D222</f>
        <v>2012</v>
      </c>
      <c r="F220" s="42">
        <f>'13. Desinvesteringen'!E222</f>
        <v>47594.894530059231</v>
      </c>
      <c r="G220" s="37">
        <f>'13. Desinvesteringen'!G222</f>
        <v>2021</v>
      </c>
    </row>
    <row r="221" spans="2:7" s="3" customFormat="1">
      <c r="B221" s="37">
        <f>'13. Desinvesteringen'!B223</f>
        <v>204</v>
      </c>
      <c r="D221" s="37" t="str">
        <f>'13. Desinvesteringen'!C223</f>
        <v>09 Bedrijfsinventaris</v>
      </c>
      <c r="E221" s="37">
        <f>'13. Desinvesteringen'!D223</f>
        <v>2017</v>
      </c>
      <c r="F221" s="42">
        <f>'13. Desinvesteringen'!E223</f>
        <v>30787.351220734221</v>
      </c>
      <c r="G221" s="37">
        <f>'13. Desinvesteringen'!G223</f>
        <v>2021</v>
      </c>
    </row>
    <row r="222" spans="2:7" s="3" customFormat="1">
      <c r="B222" s="37">
        <f>'13. Desinvesteringen'!B224</f>
        <v>205</v>
      </c>
      <c r="D222" s="37" t="str">
        <f>'13. Desinvesteringen'!C224</f>
        <v>09 Bedrijfsinventaris</v>
      </c>
      <c r="E222" s="37">
        <f>'13. Desinvesteringen'!D224</f>
        <v>2018</v>
      </c>
      <c r="F222" s="42">
        <f>'13. Desinvesteringen'!E224</f>
        <v>15158.814286337998</v>
      </c>
      <c r="G222" s="37">
        <f>'13. Desinvesteringen'!G224</f>
        <v>2021</v>
      </c>
    </row>
    <row r="223" spans="2:7" s="3" customFormat="1">
      <c r="B223" s="37">
        <f>'13. Desinvesteringen'!B225</f>
        <v>206</v>
      </c>
      <c r="D223" s="37" t="str">
        <f>'13. Desinvesteringen'!C225</f>
        <v>10 Gereedschap</v>
      </c>
      <c r="E223" s="37">
        <f>'13. Desinvesteringen'!D225</f>
        <v>2011</v>
      </c>
      <c r="F223" s="42">
        <f>'13. Desinvesteringen'!E225</f>
        <v>327059.9632444483</v>
      </c>
      <c r="G223" s="37">
        <f>'13. Desinvesteringen'!G225</f>
        <v>2021</v>
      </c>
    </row>
    <row r="224" spans="2:7" s="3" customFormat="1">
      <c r="B224" s="37">
        <f>'13. Desinvesteringen'!B226</f>
        <v>207</v>
      </c>
      <c r="D224" s="37" t="str">
        <f>'13. Desinvesteringen'!C226</f>
        <v>10 Gereedschap</v>
      </c>
      <c r="E224" s="37">
        <f>'13. Desinvesteringen'!D226</f>
        <v>2011</v>
      </c>
      <c r="F224" s="42">
        <f>'13. Desinvesteringen'!E226</f>
        <v>204205.26050762061</v>
      </c>
      <c r="G224" s="37">
        <f>'13. Desinvesteringen'!G226</f>
        <v>2021</v>
      </c>
    </row>
    <row r="225" spans="2:7" s="3" customFormat="1">
      <c r="B225" s="37">
        <f>'13. Desinvesteringen'!B227</f>
        <v>208</v>
      </c>
      <c r="D225" s="37" t="str">
        <f>'13. Desinvesteringen'!C227</f>
        <v>15 Compressorstations (TT-BT-AT)</v>
      </c>
      <c r="E225" s="37">
        <f>'13. Desinvesteringen'!D227</f>
        <v>1970</v>
      </c>
      <c r="F225" s="42">
        <f>'13. Desinvesteringen'!E227</f>
        <v>200671.11000000002</v>
      </c>
      <c r="G225" s="37">
        <f>'13. Desinvesteringen'!G227</f>
        <v>2021</v>
      </c>
    </row>
    <row r="226" spans="2:7" s="3" customFormat="1">
      <c r="B226" s="37">
        <f>'13. Desinvesteringen'!B228</f>
        <v>209</v>
      </c>
      <c r="D226" s="37" t="str">
        <f>'13. Desinvesteringen'!C228</f>
        <v>15 Compressorstations (TT-BT-AT)</v>
      </c>
      <c r="E226" s="37">
        <f>'13. Desinvesteringen'!D228</f>
        <v>1971</v>
      </c>
      <c r="F226" s="42">
        <f>'13. Desinvesteringen'!E228</f>
        <v>31459.45</v>
      </c>
      <c r="G226" s="37">
        <f>'13. Desinvesteringen'!G228</f>
        <v>2021</v>
      </c>
    </row>
    <row r="227" spans="2:7" s="3" customFormat="1">
      <c r="B227" s="37">
        <f>'13. Desinvesteringen'!B229</f>
        <v>210</v>
      </c>
      <c r="D227" s="37" t="str">
        <f>'13. Desinvesteringen'!C229</f>
        <v>15 Compressorstations (TT-BT-AT)</v>
      </c>
      <c r="E227" s="37">
        <f>'13. Desinvesteringen'!D229</f>
        <v>1974</v>
      </c>
      <c r="F227" s="42">
        <f>'13. Desinvesteringen'!E229</f>
        <v>37307.01</v>
      </c>
      <c r="G227" s="37">
        <f>'13. Desinvesteringen'!G229</f>
        <v>2021</v>
      </c>
    </row>
    <row r="228" spans="2:7" s="3" customFormat="1">
      <c r="B228" s="37">
        <f>'13. Desinvesteringen'!B230</f>
        <v>211</v>
      </c>
      <c r="D228" s="37" t="str">
        <f>'13. Desinvesteringen'!C230</f>
        <v>15 Compressorstations (TT-BT-AT)</v>
      </c>
      <c r="E228" s="37">
        <f>'13. Desinvesteringen'!D230</f>
        <v>1977</v>
      </c>
      <c r="F228" s="42">
        <f>'13. Desinvesteringen'!E230</f>
        <v>56993.78</v>
      </c>
      <c r="G228" s="37">
        <f>'13. Desinvesteringen'!G230</f>
        <v>2021</v>
      </c>
    </row>
    <row r="229" spans="2:7" s="3" customFormat="1">
      <c r="B229" s="37">
        <f>'13. Desinvesteringen'!B231</f>
        <v>212</v>
      </c>
      <c r="D229" s="37" t="str">
        <f>'13. Desinvesteringen'!C231</f>
        <v>15 Compressorstations (TT-BT-AT)</v>
      </c>
      <c r="E229" s="37">
        <f>'13. Desinvesteringen'!D231</f>
        <v>1987</v>
      </c>
      <c r="F229" s="42">
        <f>'13. Desinvesteringen'!E231</f>
        <v>30140.38</v>
      </c>
      <c r="G229" s="37">
        <f>'13. Desinvesteringen'!G231</f>
        <v>2021</v>
      </c>
    </row>
    <row r="230" spans="2:7" s="3" customFormat="1">
      <c r="B230" s="37">
        <f>'13. Desinvesteringen'!B232</f>
        <v>213</v>
      </c>
      <c r="D230" s="37" t="str">
        <f>'13. Desinvesteringen'!C232</f>
        <v>15 Compressorstations (TT-BT-AT)</v>
      </c>
      <c r="E230" s="37">
        <f>'13. Desinvesteringen'!D232</f>
        <v>2006</v>
      </c>
      <c r="F230" s="42">
        <f>'13. Desinvesteringen'!E232</f>
        <v>220824.52000000002</v>
      </c>
      <c r="G230" s="37">
        <f>'13. Desinvesteringen'!G232</f>
        <v>2021</v>
      </c>
    </row>
    <row r="231" spans="2:7" s="3" customFormat="1">
      <c r="B231" s="37">
        <f>'13. Desinvesteringen'!B233</f>
        <v>214</v>
      </c>
      <c r="D231" s="37" t="str">
        <f>'13. Desinvesteringen'!C233</f>
        <v>15 Compressorstations (TT-BT-AT)</v>
      </c>
      <c r="E231" s="37">
        <f>'13. Desinvesteringen'!D233</f>
        <v>2007</v>
      </c>
      <c r="F231" s="42">
        <f>'13. Desinvesteringen'!E233</f>
        <v>118615.11181912628</v>
      </c>
      <c r="G231" s="37">
        <f>'13. Desinvesteringen'!G233</f>
        <v>2021</v>
      </c>
    </row>
    <row r="232" spans="2:7" s="3" customFormat="1">
      <c r="B232" s="37">
        <f>'13. Desinvesteringen'!B234</f>
        <v>215</v>
      </c>
      <c r="D232" s="37" t="str">
        <f>'13. Desinvesteringen'!C234</f>
        <v>15 Compressorstations (TT-BT-AT)</v>
      </c>
      <c r="E232" s="37">
        <f>'13. Desinvesteringen'!D234</f>
        <v>2009</v>
      </c>
      <c r="F232" s="42">
        <f>'13. Desinvesteringen'!E234</f>
        <v>36749.480000000003</v>
      </c>
      <c r="G232" s="37">
        <f>'13. Desinvesteringen'!G234</f>
        <v>2021</v>
      </c>
    </row>
    <row r="233" spans="2:7" s="3" customFormat="1">
      <c r="B233" s="37">
        <f>'13. Desinvesteringen'!B235</f>
        <v>216</v>
      </c>
      <c r="D233" s="37" t="str">
        <f>'13. Desinvesteringen'!C235</f>
        <v>15 Compressorstations (TT-BT-AT)</v>
      </c>
      <c r="E233" s="37">
        <f>'13. Desinvesteringen'!D235</f>
        <v>2010</v>
      </c>
      <c r="F233" s="42">
        <f>'13. Desinvesteringen'!E235</f>
        <v>16852.444769673708</v>
      </c>
      <c r="G233" s="37">
        <f>'13. Desinvesteringen'!G235</f>
        <v>2021</v>
      </c>
    </row>
    <row r="234" spans="2:7" s="3" customFormat="1">
      <c r="B234" s="37">
        <f>'13. Desinvesteringen'!B236</f>
        <v>217</v>
      </c>
      <c r="D234" s="37" t="str">
        <f>'13. Desinvesteringen'!C236</f>
        <v>15 Compressorstations (TT-BT-AT)</v>
      </c>
      <c r="E234" s="37">
        <f>'13. Desinvesteringen'!D236</f>
        <v>2011</v>
      </c>
      <c r="F234" s="42">
        <f>'13. Desinvesteringen'!E236</f>
        <v>161240.22989045532</v>
      </c>
      <c r="G234" s="37">
        <f>'13. Desinvesteringen'!G236</f>
        <v>2021</v>
      </c>
    </row>
    <row r="235" spans="2:7" s="3" customFormat="1">
      <c r="B235" s="37">
        <f>'13. Desinvesteringen'!B237</f>
        <v>218</v>
      </c>
      <c r="D235" s="37" t="str">
        <f>'13. Desinvesteringen'!C237</f>
        <v>16 LNG installaties</v>
      </c>
      <c r="E235" s="37">
        <f>'13. Desinvesteringen'!D237</f>
        <v>1977</v>
      </c>
      <c r="F235" s="42">
        <f>'13. Desinvesteringen'!E237</f>
        <v>35828970.149999999</v>
      </c>
      <c r="G235" s="37">
        <f>'13. Desinvesteringen'!G237</f>
        <v>2021</v>
      </c>
    </row>
    <row r="236" spans="2:7" s="3" customFormat="1">
      <c r="B236" s="37">
        <f>'13. Desinvesteringen'!B238</f>
        <v>219</v>
      </c>
      <c r="D236" s="37" t="str">
        <f>'13. Desinvesteringen'!C238</f>
        <v>16 LNG installaties</v>
      </c>
      <c r="E236" s="37">
        <f>'13. Desinvesteringen'!D238</f>
        <v>1998</v>
      </c>
      <c r="F236" s="42">
        <f>'13. Desinvesteringen'!E238</f>
        <v>75833.259999999995</v>
      </c>
      <c r="G236" s="37">
        <f>'13. Desinvesteringen'!G238</f>
        <v>2021</v>
      </c>
    </row>
    <row r="237" spans="2:7" s="3" customFormat="1">
      <c r="B237" s="37">
        <f>'13. Desinvesteringen'!B239</f>
        <v>220</v>
      </c>
      <c r="D237" s="37" t="str">
        <f>'13. Desinvesteringen'!C239</f>
        <v>16 LNG installaties</v>
      </c>
      <c r="E237" s="37">
        <f>'13. Desinvesteringen'!D239</f>
        <v>2004</v>
      </c>
      <c r="F237" s="42">
        <f>'13. Desinvesteringen'!E239</f>
        <v>698617.72</v>
      </c>
      <c r="G237" s="37">
        <f>'13. Desinvesteringen'!G239</f>
        <v>2021</v>
      </c>
    </row>
    <row r="238" spans="2:7" s="3" customFormat="1">
      <c r="B238" s="37">
        <f>'13. Desinvesteringen'!B240</f>
        <v>221</v>
      </c>
      <c r="D238" s="37" t="str">
        <f>'13. Desinvesteringen'!C240</f>
        <v>16 LNG installaties</v>
      </c>
      <c r="E238" s="37">
        <f>'13. Desinvesteringen'!D240</f>
        <v>2006</v>
      </c>
      <c r="F238" s="42">
        <f>'13. Desinvesteringen'!E240</f>
        <v>134414.63</v>
      </c>
      <c r="G238" s="37">
        <f>'13. Desinvesteringen'!G240</f>
        <v>2021</v>
      </c>
    </row>
    <row r="239" spans="2:7" s="3" customFormat="1">
      <c r="B239" s="37">
        <f>'13. Desinvesteringen'!B241</f>
        <v>222</v>
      </c>
      <c r="D239" s="37" t="str">
        <f>'13. Desinvesteringen'!C241</f>
        <v>16 LNG installaties</v>
      </c>
      <c r="E239" s="37">
        <f>'13. Desinvesteringen'!D241</f>
        <v>2007</v>
      </c>
      <c r="F239" s="42">
        <f>'13. Desinvesteringen'!E241</f>
        <v>295840.56</v>
      </c>
      <c r="G239" s="37">
        <f>'13. Desinvesteringen'!G241</f>
        <v>2021</v>
      </c>
    </row>
    <row r="240" spans="2:7" s="3" customFormat="1">
      <c r="B240" s="37">
        <f>'13. Desinvesteringen'!B242</f>
        <v>223</v>
      </c>
      <c r="D240" s="37" t="str">
        <f>'13. Desinvesteringen'!C242</f>
        <v>16 LNG installaties</v>
      </c>
      <c r="E240" s="37">
        <f>'13. Desinvesteringen'!D242</f>
        <v>2008</v>
      </c>
      <c r="F240" s="42">
        <f>'13. Desinvesteringen'!E242</f>
        <v>422693.60000000003</v>
      </c>
      <c r="G240" s="37">
        <f>'13. Desinvesteringen'!G242</f>
        <v>2021</v>
      </c>
    </row>
    <row r="241" spans="2:7" s="3" customFormat="1">
      <c r="B241" s="37">
        <f>'13. Desinvesteringen'!B243</f>
        <v>224</v>
      </c>
      <c r="D241" s="37" t="str">
        <f>'13. Desinvesteringen'!C243</f>
        <v>16 LNG installaties</v>
      </c>
      <c r="E241" s="37">
        <f>'13. Desinvesteringen'!D243</f>
        <v>2009</v>
      </c>
      <c r="F241" s="42">
        <f>'13. Desinvesteringen'!E243</f>
        <v>7501964.5199999996</v>
      </c>
      <c r="G241" s="37">
        <f>'13. Desinvesteringen'!G243</f>
        <v>2021</v>
      </c>
    </row>
    <row r="242" spans="2:7" s="3" customFormat="1">
      <c r="B242" s="37">
        <f>'13. Desinvesteringen'!B244</f>
        <v>225</v>
      </c>
      <c r="D242" s="37" t="str">
        <f>'13. Desinvesteringen'!C244</f>
        <v>16 LNG installaties</v>
      </c>
      <c r="E242" s="37">
        <f>'13. Desinvesteringen'!D244</f>
        <v>2010</v>
      </c>
      <c r="F242" s="42">
        <f>'13. Desinvesteringen'!E244</f>
        <v>1044433.3749015761</v>
      </c>
      <c r="G242" s="37">
        <f>'13. Desinvesteringen'!G244</f>
        <v>2021</v>
      </c>
    </row>
    <row r="243" spans="2:7" s="3" customFormat="1">
      <c r="B243" s="37">
        <f>'13. Desinvesteringen'!B245</f>
        <v>226</v>
      </c>
      <c r="D243" s="37" t="str">
        <f>'13. Desinvesteringen'!C245</f>
        <v>16 LNG installaties</v>
      </c>
      <c r="E243" s="37">
        <f>'13. Desinvesteringen'!D245</f>
        <v>2011</v>
      </c>
      <c r="F243" s="42">
        <f>'13. Desinvesteringen'!E245</f>
        <v>55479.276483167145</v>
      </c>
      <c r="G243" s="37">
        <f>'13. Desinvesteringen'!G245</f>
        <v>2021</v>
      </c>
    </row>
    <row r="244" spans="2:7" s="3" customFormat="1">
      <c r="B244" s="37">
        <f>'13. Desinvesteringen'!B246</f>
        <v>227</v>
      </c>
      <c r="D244" s="37" t="str">
        <f>'13. Desinvesteringen'!C246</f>
        <v>16 LNG installaties</v>
      </c>
      <c r="E244" s="37">
        <f>'13. Desinvesteringen'!D246</f>
        <v>2012</v>
      </c>
      <c r="F244" s="42">
        <f>'13. Desinvesteringen'!E246</f>
        <v>3622072.4393920866</v>
      </c>
      <c r="G244" s="37">
        <f>'13. Desinvesteringen'!G246</f>
        <v>2021</v>
      </c>
    </row>
    <row r="245" spans="2:7" s="3" customFormat="1">
      <c r="B245" s="37">
        <f>'13. Desinvesteringen'!B247</f>
        <v>228</v>
      </c>
      <c r="D245" s="37" t="str">
        <f>'13. Desinvesteringen'!C247</f>
        <v>16 LNG installaties</v>
      </c>
      <c r="E245" s="37">
        <f>'13. Desinvesteringen'!D247</f>
        <v>2013</v>
      </c>
      <c r="F245" s="42">
        <f>'13. Desinvesteringen'!E247</f>
        <v>3696661.0956130447</v>
      </c>
      <c r="G245" s="37">
        <f>'13. Desinvesteringen'!G247</f>
        <v>2021</v>
      </c>
    </row>
    <row r="246" spans="2:7" s="3" customFormat="1">
      <c r="B246" s="37">
        <f>'13. Desinvesteringen'!B248</f>
        <v>229</v>
      </c>
      <c r="D246" s="37" t="str">
        <f>'13. Desinvesteringen'!C248</f>
        <v>16 LNG installaties</v>
      </c>
      <c r="E246" s="37">
        <f>'13. Desinvesteringen'!D248</f>
        <v>2014</v>
      </c>
      <c r="F246" s="42">
        <f>'13. Desinvesteringen'!E248</f>
        <v>-211261.47377242689</v>
      </c>
      <c r="G246" s="37">
        <f>'13. Desinvesteringen'!G248</f>
        <v>2021</v>
      </c>
    </row>
    <row r="247" spans="2:7" s="3" customFormat="1">
      <c r="B247" s="37">
        <f>'13. Desinvesteringen'!B249</f>
        <v>230</v>
      </c>
      <c r="D247" s="37" t="str">
        <f>'13. Desinvesteringen'!C249</f>
        <v>16 LNG installaties</v>
      </c>
      <c r="E247" s="37">
        <f>'13. Desinvesteringen'!D249</f>
        <v>2015</v>
      </c>
      <c r="F247" s="42">
        <f>'13. Desinvesteringen'!E249</f>
        <v>1410348.6255901323</v>
      </c>
      <c r="G247" s="37">
        <f>'13. Desinvesteringen'!G249</f>
        <v>2021</v>
      </c>
    </row>
    <row r="248" spans="2:7" s="3" customFormat="1">
      <c r="B248" s="37">
        <f>'13. Desinvesteringen'!B250</f>
        <v>231</v>
      </c>
      <c r="D248" s="37" t="str">
        <f>'13. Desinvesteringen'!C250</f>
        <v>16 LNG installaties</v>
      </c>
      <c r="E248" s="37">
        <f>'13. Desinvesteringen'!D250</f>
        <v>2016</v>
      </c>
      <c r="F248" s="42">
        <f>'13. Desinvesteringen'!E250</f>
        <v>1210083.3299999998</v>
      </c>
      <c r="G248" s="37">
        <f>'13. Desinvesteringen'!G250</f>
        <v>2021</v>
      </c>
    </row>
    <row r="249" spans="2:7" s="3" customFormat="1">
      <c r="B249" s="37">
        <f>'13. Desinvesteringen'!B251</f>
        <v>232</v>
      </c>
      <c r="D249" s="37" t="str">
        <f>'13. Desinvesteringen'!C251</f>
        <v>16 LNG installaties</v>
      </c>
      <c r="E249" s="37">
        <f>'13. Desinvesteringen'!D251</f>
        <v>2016</v>
      </c>
      <c r="F249" s="42">
        <f>'13. Desinvesteringen'!E251</f>
        <v>4463010.1800000006</v>
      </c>
      <c r="G249" s="37">
        <f>'13. Desinvesteringen'!G251</f>
        <v>2021</v>
      </c>
    </row>
    <row r="250" spans="2:7" s="3" customFormat="1">
      <c r="B250" s="37">
        <f>'13. Desinvesteringen'!B252</f>
        <v>233</v>
      </c>
      <c r="D250" s="37" t="str">
        <f>'13. Desinvesteringen'!C252</f>
        <v>17 Mengstations</v>
      </c>
      <c r="E250" s="37">
        <f>'13. Desinvesteringen'!D252</f>
        <v>1993</v>
      </c>
      <c r="F250" s="42">
        <f>'13. Desinvesteringen'!E252</f>
        <v>7214.43</v>
      </c>
      <c r="G250" s="37">
        <f>'13. Desinvesteringen'!G252</f>
        <v>2021</v>
      </c>
    </row>
    <row r="251" spans="2:7" s="3" customFormat="1">
      <c r="B251" s="37">
        <f>'13. Desinvesteringen'!B253</f>
        <v>234</v>
      </c>
      <c r="D251" s="37" t="str">
        <f>'13. Desinvesteringen'!C253</f>
        <v>17 Mengstations</v>
      </c>
      <c r="E251" s="37">
        <f>'13. Desinvesteringen'!D253</f>
        <v>2006</v>
      </c>
      <c r="F251" s="42">
        <f>'13. Desinvesteringen'!E253</f>
        <v>90670.522605892213</v>
      </c>
      <c r="G251" s="37">
        <f>'13. Desinvesteringen'!G253</f>
        <v>2021</v>
      </c>
    </row>
    <row r="252" spans="2:7" s="3" customFormat="1">
      <c r="B252" s="37">
        <f>'13. Desinvesteringen'!B254</f>
        <v>235</v>
      </c>
      <c r="D252" s="37" t="str">
        <f>'13. Desinvesteringen'!C254</f>
        <v>17 Mengstations</v>
      </c>
      <c r="E252" s="37">
        <f>'13. Desinvesteringen'!D254</f>
        <v>2007</v>
      </c>
      <c r="F252" s="42">
        <f>'13. Desinvesteringen'!E254</f>
        <v>15457.31</v>
      </c>
      <c r="G252" s="37">
        <f>'13. Desinvesteringen'!G254</f>
        <v>2021</v>
      </c>
    </row>
    <row r="253" spans="2:7" s="3" customFormat="1">
      <c r="B253" s="37">
        <f>'13. Desinvesteringen'!B255</f>
        <v>236</v>
      </c>
      <c r="D253" s="37" t="str">
        <f>'13. Desinvesteringen'!C255</f>
        <v>17 Mengstations</v>
      </c>
      <c r="E253" s="37">
        <f>'13. Desinvesteringen'!D255</f>
        <v>2011</v>
      </c>
      <c r="F253" s="42">
        <f>'13. Desinvesteringen'!E255</f>
        <v>17709.499967104181</v>
      </c>
      <c r="G253" s="37">
        <f>'13. Desinvesteringen'!G255</f>
        <v>2021</v>
      </c>
    </row>
    <row r="254" spans="2:7" s="3" customFormat="1">
      <c r="B254" s="37">
        <f>'13. Desinvesteringen'!B256</f>
        <v>237</v>
      </c>
      <c r="D254" s="37" t="str">
        <f>'13. Desinvesteringen'!C256</f>
        <v>20 Kantoorgebouwen</v>
      </c>
      <c r="E254" s="37">
        <f>'13. Desinvesteringen'!D256</f>
        <v>1998</v>
      </c>
      <c r="F254" s="42">
        <f>'13. Desinvesteringen'!E256</f>
        <v>1145228.3699999999</v>
      </c>
      <c r="G254" s="37">
        <f>'13. Desinvesteringen'!G256</f>
        <v>2021</v>
      </c>
    </row>
    <row r="255" spans="2:7" s="3" customFormat="1">
      <c r="B255" s="37">
        <f>'13. Desinvesteringen'!B257</f>
        <v>238</v>
      </c>
      <c r="D255" s="37" t="str">
        <f>'13. Desinvesteringen'!C257</f>
        <v>20 Kantoorgebouwen</v>
      </c>
      <c r="E255" s="37">
        <f>'13. Desinvesteringen'!D257</f>
        <v>2002</v>
      </c>
      <c r="F255" s="42">
        <f>'13. Desinvesteringen'!E257</f>
        <v>207275.81</v>
      </c>
      <c r="G255" s="37">
        <f>'13. Desinvesteringen'!G257</f>
        <v>2021</v>
      </c>
    </row>
    <row r="256" spans="2:7" s="3" customFormat="1">
      <c r="B256" s="37">
        <f>'13. Desinvesteringen'!B258</f>
        <v>239</v>
      </c>
      <c r="D256" s="37" t="str">
        <f>'13. Desinvesteringen'!C258</f>
        <v>20 Kantoorgebouwen</v>
      </c>
      <c r="E256" s="37">
        <f>'13. Desinvesteringen'!D258</f>
        <v>2004</v>
      </c>
      <c r="F256" s="42">
        <f>'13. Desinvesteringen'!E258</f>
        <v>114452.9</v>
      </c>
      <c r="G256" s="37">
        <f>'13. Desinvesteringen'!G258</f>
        <v>2021</v>
      </c>
    </row>
    <row r="257" spans="2:7" s="3" customFormat="1">
      <c r="B257" s="37">
        <f>'13. Desinvesteringen'!B259</f>
        <v>240</v>
      </c>
      <c r="D257" s="37" t="str">
        <f>'13. Desinvesteringen'!C259</f>
        <v>20 Kantoorgebouwen</v>
      </c>
      <c r="E257" s="37">
        <f>'13. Desinvesteringen'!D259</f>
        <v>2005</v>
      </c>
      <c r="F257" s="42">
        <f>'13. Desinvesteringen'!E259</f>
        <v>188996.13</v>
      </c>
      <c r="G257" s="37">
        <f>'13. Desinvesteringen'!G259</f>
        <v>2021</v>
      </c>
    </row>
    <row r="258" spans="2:7" s="3" customFormat="1">
      <c r="B258" s="37">
        <f>'13. Desinvesteringen'!B260</f>
        <v>241</v>
      </c>
      <c r="D258" s="37" t="str">
        <f>'13. Desinvesteringen'!C260</f>
        <v>20 Kantoorgebouwen</v>
      </c>
      <c r="E258" s="37">
        <f>'13. Desinvesteringen'!D260</f>
        <v>2008</v>
      </c>
      <c r="F258" s="42">
        <f>'13. Desinvesteringen'!E260</f>
        <v>84567.28</v>
      </c>
      <c r="G258" s="37">
        <f>'13. Desinvesteringen'!G260</f>
        <v>2021</v>
      </c>
    </row>
    <row r="259" spans="2:7" s="3" customFormat="1">
      <c r="B259" s="37">
        <f>'13. Desinvesteringen'!B261</f>
        <v>242</v>
      </c>
      <c r="D259" s="37" t="str">
        <f>'13. Desinvesteringen'!C261</f>
        <v>20 Kantoorgebouwen</v>
      </c>
      <c r="E259" s="37">
        <f>'13. Desinvesteringen'!D261</f>
        <v>2009</v>
      </c>
      <c r="F259" s="42">
        <f>'13. Desinvesteringen'!E261</f>
        <v>163009.45000000001</v>
      </c>
      <c r="G259" s="37">
        <f>'13. Desinvesteringen'!G261</f>
        <v>2021</v>
      </c>
    </row>
    <row r="260" spans="2:7" s="3" customFormat="1">
      <c r="B260" s="37">
        <f>'13. Desinvesteringen'!B262</f>
        <v>243</v>
      </c>
      <c r="D260" s="37" t="str">
        <f>'13. Desinvesteringen'!C262</f>
        <v>20 Kantoorgebouwen</v>
      </c>
      <c r="E260" s="37">
        <f>'13. Desinvesteringen'!D262</f>
        <v>2010</v>
      </c>
      <c r="F260" s="42">
        <f>'13. Desinvesteringen'!E262</f>
        <v>137160.34344793225</v>
      </c>
      <c r="G260" s="37">
        <f>'13. Desinvesteringen'!G262</f>
        <v>2021</v>
      </c>
    </row>
    <row r="261" spans="2:7" s="3" customFormat="1">
      <c r="B261" s="37">
        <f>'13. Desinvesteringen'!B263</f>
        <v>244</v>
      </c>
      <c r="D261" s="37" t="str">
        <f>'13. Desinvesteringen'!C263</f>
        <v>20 Kantoorgebouwen</v>
      </c>
      <c r="E261" s="37">
        <f>'13. Desinvesteringen'!D263</f>
        <v>2011</v>
      </c>
      <c r="F261" s="42">
        <f>'13. Desinvesteringen'!E263</f>
        <v>28002.195226489926</v>
      </c>
      <c r="G261" s="37">
        <f>'13. Desinvesteringen'!G263</f>
        <v>2021</v>
      </c>
    </row>
    <row r="262" spans="2:7" s="3" customFormat="1">
      <c r="B262" s="37">
        <f>'13. Desinvesteringen'!B264</f>
        <v>245</v>
      </c>
      <c r="D262" s="37" t="str">
        <f>'13. Desinvesteringen'!C264</f>
        <v>20 Kantoorgebouwen</v>
      </c>
      <c r="E262" s="37">
        <f>'13. Desinvesteringen'!D264</f>
        <v>2012</v>
      </c>
      <c r="F262" s="42">
        <f>'13. Desinvesteringen'!E264</f>
        <v>418308.90169201128</v>
      </c>
      <c r="G262" s="37">
        <f>'13. Desinvesteringen'!G264</f>
        <v>2021</v>
      </c>
    </row>
    <row r="263" spans="2:7" s="3" customFormat="1">
      <c r="B263" s="37">
        <f>'13. Desinvesteringen'!B265</f>
        <v>246</v>
      </c>
      <c r="D263" s="37" t="str">
        <f>'13. Desinvesteringen'!C265</f>
        <v>20 Kantoorgebouwen</v>
      </c>
      <c r="E263" s="37">
        <f>'13. Desinvesteringen'!D265</f>
        <v>2012</v>
      </c>
      <c r="F263" s="42">
        <f>'13. Desinvesteringen'!E265</f>
        <v>34493.89</v>
      </c>
      <c r="G263" s="37">
        <f>'13. Desinvesteringen'!G265</f>
        <v>2021</v>
      </c>
    </row>
    <row r="264" spans="2:7" s="3" customFormat="1">
      <c r="B264" s="37">
        <f>'13. Desinvesteringen'!B266</f>
        <v>247</v>
      </c>
      <c r="D264" s="37" t="str">
        <f>'13. Desinvesteringen'!C266</f>
        <v>20 Kantoorgebouwen</v>
      </c>
      <c r="E264" s="37">
        <f>'13. Desinvesteringen'!D266</f>
        <v>2014</v>
      </c>
      <c r="F264" s="42">
        <f>'13. Desinvesteringen'!E266</f>
        <v>119209.70383364368</v>
      </c>
      <c r="G264" s="37">
        <f>'13. Desinvesteringen'!G266</f>
        <v>2021</v>
      </c>
    </row>
    <row r="265" spans="2:7" s="3" customFormat="1">
      <c r="B265" s="37">
        <f>'13. Desinvesteringen'!B267</f>
        <v>248</v>
      </c>
      <c r="D265" s="37" t="str">
        <f>'13. Desinvesteringen'!C267</f>
        <v>20 Kantoorgebouwen</v>
      </c>
      <c r="E265" s="37">
        <f>'13. Desinvesteringen'!D267</f>
        <v>2015</v>
      </c>
      <c r="F265" s="42">
        <f>'13. Desinvesteringen'!E267</f>
        <v>86744.489646918475</v>
      </c>
      <c r="G265" s="37">
        <f>'13. Desinvesteringen'!G267</f>
        <v>2021</v>
      </c>
    </row>
    <row r="266" spans="2:7" s="3" customFormat="1">
      <c r="B266" s="37">
        <f>'13. Desinvesteringen'!B268</f>
        <v>249</v>
      </c>
      <c r="D266" s="37" t="str">
        <f>'13. Desinvesteringen'!C268</f>
        <v>20 Kantoorgebouwen</v>
      </c>
      <c r="E266" s="37">
        <f>'13. Desinvesteringen'!D268</f>
        <v>2016</v>
      </c>
      <c r="F266" s="42">
        <f>'13. Desinvesteringen'!E268</f>
        <v>872938.23153047287</v>
      </c>
      <c r="G266" s="37">
        <f>'13. Desinvesteringen'!G268</f>
        <v>2021</v>
      </c>
    </row>
    <row r="267" spans="2:7" s="3" customFormat="1">
      <c r="B267" s="37">
        <f>'13. Desinvesteringen'!B269</f>
        <v>250</v>
      </c>
      <c r="D267" s="37" t="str">
        <f>'13. Desinvesteringen'!C269</f>
        <v>20 Kantoorgebouwen</v>
      </c>
      <c r="E267" s="37">
        <f>'13. Desinvesteringen'!D269</f>
        <v>2018</v>
      </c>
      <c r="F267" s="42">
        <f>'13. Desinvesteringen'!E269</f>
        <v>318444.09968867822</v>
      </c>
      <c r="G267" s="37">
        <f>'13. Desinvesteringen'!G269</f>
        <v>2021</v>
      </c>
    </row>
    <row r="268" spans="2:7" s="3" customFormat="1">
      <c r="B268" s="37">
        <f>'13. Desinvesteringen'!B270</f>
        <v>251</v>
      </c>
      <c r="D268" s="37" t="str">
        <f>'13. Desinvesteringen'!C270</f>
        <v>20 Kantoorgebouwen</v>
      </c>
      <c r="E268" s="37">
        <f>'13. Desinvesteringen'!D270</f>
        <v>2019</v>
      </c>
      <c r="F268" s="42">
        <f>'13. Desinvesteringen'!E270</f>
        <v>470203.71904289688</v>
      </c>
      <c r="G268" s="37">
        <f>'13. Desinvesteringen'!G270</f>
        <v>2021</v>
      </c>
    </row>
    <row r="269" spans="2:7" s="3" customFormat="1">
      <c r="B269" s="37">
        <f>'13. Desinvesteringen'!B271</f>
        <v>252</v>
      </c>
      <c r="D269" s="37" t="str">
        <f>'13. Desinvesteringen'!C271</f>
        <v>21 Hoofdtransportleiding</v>
      </c>
      <c r="E269" s="37">
        <f>'13. Desinvesteringen'!D271</f>
        <v>1964</v>
      </c>
      <c r="F269" s="42">
        <f>'13. Desinvesteringen'!E271</f>
        <v>1904</v>
      </c>
      <c r="G269" s="37">
        <f>'13. Desinvesteringen'!G271</f>
        <v>2021</v>
      </c>
    </row>
    <row r="270" spans="2:7" s="3" customFormat="1">
      <c r="B270" s="37">
        <f>'13. Desinvesteringen'!B272</f>
        <v>253</v>
      </c>
      <c r="D270" s="37" t="str">
        <f>'13. Desinvesteringen'!C272</f>
        <v>21 Hoofdtransportleiding</v>
      </c>
      <c r="E270" s="37">
        <f>'13. Desinvesteringen'!D272</f>
        <v>1966</v>
      </c>
      <c r="F270" s="42">
        <f>'13. Desinvesteringen'!E272</f>
        <v>360</v>
      </c>
      <c r="G270" s="37">
        <f>'13. Desinvesteringen'!G272</f>
        <v>2021</v>
      </c>
    </row>
    <row r="271" spans="2:7" s="3" customFormat="1">
      <c r="B271" s="37">
        <f>'13. Desinvesteringen'!B273</f>
        <v>254</v>
      </c>
      <c r="D271" s="37" t="str">
        <f>'13. Desinvesteringen'!C273</f>
        <v>21 Hoofdtransportleiding</v>
      </c>
      <c r="E271" s="37">
        <f>'13. Desinvesteringen'!D273</f>
        <v>1967</v>
      </c>
      <c r="F271" s="42">
        <f>'13. Desinvesteringen'!E273</f>
        <v>168</v>
      </c>
      <c r="G271" s="37">
        <f>'13. Desinvesteringen'!G273</f>
        <v>2021</v>
      </c>
    </row>
    <row r="272" spans="2:7" s="3" customFormat="1">
      <c r="B272" s="37">
        <f>'13. Desinvesteringen'!B274</f>
        <v>255</v>
      </c>
      <c r="D272" s="37" t="str">
        <f>'13. Desinvesteringen'!C274</f>
        <v>21 Hoofdtransportleiding</v>
      </c>
      <c r="E272" s="37">
        <f>'13. Desinvesteringen'!D274</f>
        <v>1968</v>
      </c>
      <c r="F272" s="42">
        <f>'13. Desinvesteringen'!E274</f>
        <v>10784</v>
      </c>
      <c r="G272" s="37">
        <f>'13. Desinvesteringen'!G274</f>
        <v>2021</v>
      </c>
    </row>
    <row r="273" spans="2:7" s="3" customFormat="1">
      <c r="B273" s="37">
        <f>'13. Desinvesteringen'!B275</f>
        <v>256</v>
      </c>
      <c r="D273" s="37" t="str">
        <f>'13. Desinvesteringen'!C275</f>
        <v>21 Hoofdtransportleiding</v>
      </c>
      <c r="E273" s="37">
        <f>'13. Desinvesteringen'!D275</f>
        <v>1969</v>
      </c>
      <c r="F273" s="42">
        <f>'13. Desinvesteringen'!E275</f>
        <v>528</v>
      </c>
      <c r="G273" s="37">
        <f>'13. Desinvesteringen'!G275</f>
        <v>2021</v>
      </c>
    </row>
    <row r="274" spans="2:7" s="3" customFormat="1">
      <c r="B274" s="37">
        <f>'13. Desinvesteringen'!B276</f>
        <v>257</v>
      </c>
      <c r="D274" s="37" t="str">
        <f>'13. Desinvesteringen'!C276</f>
        <v>21 Hoofdtransportleiding</v>
      </c>
      <c r="E274" s="37">
        <f>'13. Desinvesteringen'!D276</f>
        <v>1970</v>
      </c>
      <c r="F274" s="42">
        <f>'13. Desinvesteringen'!E276</f>
        <v>126766.11</v>
      </c>
      <c r="G274" s="37">
        <f>'13. Desinvesteringen'!G276</f>
        <v>2021</v>
      </c>
    </row>
    <row r="275" spans="2:7" s="3" customFormat="1">
      <c r="B275" s="37">
        <f>'13. Desinvesteringen'!B277</f>
        <v>258</v>
      </c>
      <c r="D275" s="37" t="str">
        <f>'13. Desinvesteringen'!C277</f>
        <v>21 Hoofdtransportleiding</v>
      </c>
      <c r="E275" s="37">
        <f>'13. Desinvesteringen'!D277</f>
        <v>1971</v>
      </c>
      <c r="F275" s="42">
        <f>'13. Desinvesteringen'!E277</f>
        <v>13448</v>
      </c>
      <c r="G275" s="37">
        <f>'13. Desinvesteringen'!G277</f>
        <v>2021</v>
      </c>
    </row>
    <row r="276" spans="2:7" s="3" customFormat="1">
      <c r="B276" s="37">
        <f>'13. Desinvesteringen'!B278</f>
        <v>259</v>
      </c>
      <c r="D276" s="37" t="str">
        <f>'13. Desinvesteringen'!C278</f>
        <v>21 Hoofdtransportleiding</v>
      </c>
      <c r="E276" s="37">
        <f>'13. Desinvesteringen'!D278</f>
        <v>1972</v>
      </c>
      <c r="F276" s="42">
        <f>'13. Desinvesteringen'!E278</f>
        <v>3048</v>
      </c>
      <c r="G276" s="37">
        <f>'13. Desinvesteringen'!G278</f>
        <v>2021</v>
      </c>
    </row>
    <row r="277" spans="2:7" s="3" customFormat="1">
      <c r="B277" s="37">
        <f>'13. Desinvesteringen'!B279</f>
        <v>260</v>
      </c>
      <c r="D277" s="37" t="str">
        <f>'13. Desinvesteringen'!C279</f>
        <v>21 Hoofdtransportleiding</v>
      </c>
      <c r="E277" s="37">
        <f>'13. Desinvesteringen'!D279</f>
        <v>1973</v>
      </c>
      <c r="F277" s="42">
        <f>'13. Desinvesteringen'!E279</f>
        <v>216</v>
      </c>
      <c r="G277" s="37">
        <f>'13. Desinvesteringen'!G279</f>
        <v>2021</v>
      </c>
    </row>
    <row r="278" spans="2:7" s="3" customFormat="1">
      <c r="B278" s="37">
        <f>'13. Desinvesteringen'!B280</f>
        <v>261</v>
      </c>
      <c r="D278" s="37" t="str">
        <f>'13. Desinvesteringen'!C280</f>
        <v>21 Hoofdtransportleiding</v>
      </c>
      <c r="E278" s="37">
        <f>'13. Desinvesteringen'!D280</f>
        <v>1974</v>
      </c>
      <c r="F278" s="42">
        <f>'13. Desinvesteringen'!E280</f>
        <v>3688</v>
      </c>
      <c r="G278" s="37">
        <f>'13. Desinvesteringen'!G280</f>
        <v>2021</v>
      </c>
    </row>
    <row r="279" spans="2:7" s="3" customFormat="1">
      <c r="B279" s="37">
        <f>'13. Desinvesteringen'!B281</f>
        <v>262</v>
      </c>
      <c r="D279" s="37" t="str">
        <f>'13. Desinvesteringen'!C281</f>
        <v>21 Hoofdtransportleiding</v>
      </c>
      <c r="E279" s="37">
        <f>'13. Desinvesteringen'!D281</f>
        <v>1975</v>
      </c>
      <c r="F279" s="42">
        <f>'13. Desinvesteringen'!E281</f>
        <v>4480.3200000000006</v>
      </c>
      <c r="G279" s="37">
        <f>'13. Desinvesteringen'!G281</f>
        <v>2021</v>
      </c>
    </row>
    <row r="280" spans="2:7" s="3" customFormat="1">
      <c r="B280" s="37">
        <f>'13. Desinvesteringen'!B282</f>
        <v>263</v>
      </c>
      <c r="D280" s="37" t="str">
        <f>'13. Desinvesteringen'!C282</f>
        <v>21 Hoofdtransportleiding</v>
      </c>
      <c r="E280" s="37">
        <f>'13. Desinvesteringen'!D282</f>
        <v>1977</v>
      </c>
      <c r="F280" s="42">
        <f>'13. Desinvesteringen'!E282</f>
        <v>745.37</v>
      </c>
      <c r="G280" s="37">
        <f>'13. Desinvesteringen'!G282</f>
        <v>2021</v>
      </c>
    </row>
    <row r="281" spans="2:7" s="3" customFormat="1">
      <c r="B281" s="37">
        <f>'13. Desinvesteringen'!B283</f>
        <v>264</v>
      </c>
      <c r="D281" s="37" t="str">
        <f>'13. Desinvesteringen'!C283</f>
        <v>21 Hoofdtransportleiding</v>
      </c>
      <c r="E281" s="37">
        <f>'13. Desinvesteringen'!D283</f>
        <v>1978</v>
      </c>
      <c r="F281" s="42">
        <f>'13. Desinvesteringen'!E283</f>
        <v>25825.9</v>
      </c>
      <c r="G281" s="37">
        <f>'13. Desinvesteringen'!G283</f>
        <v>2021</v>
      </c>
    </row>
    <row r="282" spans="2:7" s="3" customFormat="1">
      <c r="B282" s="37">
        <f>'13. Desinvesteringen'!B284</f>
        <v>265</v>
      </c>
      <c r="D282" s="37" t="str">
        <f>'13. Desinvesteringen'!C284</f>
        <v>21 Hoofdtransportleiding</v>
      </c>
      <c r="E282" s="37">
        <f>'13. Desinvesteringen'!D284</f>
        <v>1980</v>
      </c>
      <c r="F282" s="42">
        <f>'13. Desinvesteringen'!E284</f>
        <v>1675.53</v>
      </c>
      <c r="G282" s="37">
        <f>'13. Desinvesteringen'!G284</f>
        <v>2021</v>
      </c>
    </row>
    <row r="283" spans="2:7" s="3" customFormat="1">
      <c r="B283" s="37">
        <f>'13. Desinvesteringen'!B285</f>
        <v>266</v>
      </c>
      <c r="D283" s="37" t="str">
        <f>'13. Desinvesteringen'!C285</f>
        <v>21 Hoofdtransportleiding</v>
      </c>
      <c r="E283" s="37">
        <f>'13. Desinvesteringen'!D285</f>
        <v>1981</v>
      </c>
      <c r="F283" s="42">
        <f>'13. Desinvesteringen'!E285</f>
        <v>2145.67</v>
      </c>
      <c r="G283" s="37">
        <f>'13. Desinvesteringen'!G285</f>
        <v>2021</v>
      </c>
    </row>
    <row r="284" spans="2:7" s="3" customFormat="1">
      <c r="B284" s="37">
        <f>'13. Desinvesteringen'!B286</f>
        <v>267</v>
      </c>
      <c r="D284" s="37" t="str">
        <f>'13. Desinvesteringen'!C286</f>
        <v>21 Hoofdtransportleiding</v>
      </c>
      <c r="E284" s="37">
        <f>'13. Desinvesteringen'!D286</f>
        <v>1983</v>
      </c>
      <c r="F284" s="42">
        <f>'13. Desinvesteringen'!E286</f>
        <v>47940.21</v>
      </c>
      <c r="G284" s="37">
        <f>'13. Desinvesteringen'!G286</f>
        <v>2021</v>
      </c>
    </row>
    <row r="285" spans="2:7" s="3" customFormat="1">
      <c r="B285" s="37">
        <f>'13. Desinvesteringen'!B287</f>
        <v>268</v>
      </c>
      <c r="D285" s="37" t="str">
        <f>'13. Desinvesteringen'!C287</f>
        <v>21 Hoofdtransportleiding</v>
      </c>
      <c r="E285" s="37">
        <f>'13. Desinvesteringen'!D287</f>
        <v>1984</v>
      </c>
      <c r="F285" s="42">
        <f>'13. Desinvesteringen'!E287</f>
        <v>3028.66</v>
      </c>
      <c r="G285" s="37">
        <f>'13. Desinvesteringen'!G287</f>
        <v>2021</v>
      </c>
    </row>
    <row r="286" spans="2:7" s="3" customFormat="1">
      <c r="B286" s="37">
        <f>'13. Desinvesteringen'!B288</f>
        <v>269</v>
      </c>
      <c r="D286" s="37" t="str">
        <f>'13. Desinvesteringen'!C288</f>
        <v>21 Hoofdtransportleiding</v>
      </c>
      <c r="E286" s="37">
        <f>'13. Desinvesteringen'!D288</f>
        <v>1985</v>
      </c>
      <c r="F286" s="42">
        <f>'13. Desinvesteringen'!E288</f>
        <v>5162.49</v>
      </c>
      <c r="G286" s="37">
        <f>'13. Desinvesteringen'!G288</f>
        <v>2021</v>
      </c>
    </row>
    <row r="287" spans="2:7" s="3" customFormat="1">
      <c r="B287" s="37">
        <f>'13. Desinvesteringen'!B289</f>
        <v>270</v>
      </c>
      <c r="D287" s="37" t="str">
        <f>'13. Desinvesteringen'!C289</f>
        <v>21 Hoofdtransportleiding</v>
      </c>
      <c r="E287" s="37">
        <f>'13. Desinvesteringen'!D289</f>
        <v>1986</v>
      </c>
      <c r="F287" s="42">
        <f>'13. Desinvesteringen'!E289</f>
        <v>6123683.1800000006</v>
      </c>
      <c r="G287" s="37">
        <f>'13. Desinvesteringen'!G289</f>
        <v>2021</v>
      </c>
    </row>
    <row r="288" spans="2:7" s="3" customFormat="1">
      <c r="B288" s="37">
        <f>'13. Desinvesteringen'!B290</f>
        <v>271</v>
      </c>
      <c r="D288" s="37" t="str">
        <f>'13. Desinvesteringen'!C290</f>
        <v>21 Hoofdtransportleiding</v>
      </c>
      <c r="E288" s="37">
        <f>'13. Desinvesteringen'!D290</f>
        <v>1987</v>
      </c>
      <c r="F288" s="42">
        <f>'13. Desinvesteringen'!E290</f>
        <v>5769.73</v>
      </c>
      <c r="G288" s="37">
        <f>'13. Desinvesteringen'!G290</f>
        <v>2021</v>
      </c>
    </row>
    <row r="289" spans="2:7" s="3" customFormat="1">
      <c r="B289" s="37">
        <f>'13. Desinvesteringen'!B291</f>
        <v>272</v>
      </c>
      <c r="D289" s="37" t="str">
        <f>'13. Desinvesteringen'!C291</f>
        <v>21 Hoofdtransportleiding</v>
      </c>
      <c r="E289" s="37">
        <f>'13. Desinvesteringen'!D291</f>
        <v>1988</v>
      </c>
      <c r="F289" s="42">
        <f>'13. Desinvesteringen'!E291</f>
        <v>2251.5500000000002</v>
      </c>
      <c r="G289" s="37">
        <f>'13. Desinvesteringen'!G291</f>
        <v>2021</v>
      </c>
    </row>
    <row r="290" spans="2:7" s="3" customFormat="1">
      <c r="B290" s="37">
        <f>'13. Desinvesteringen'!B292</f>
        <v>273</v>
      </c>
      <c r="D290" s="37" t="str">
        <f>'13. Desinvesteringen'!C292</f>
        <v>21 Hoofdtransportleiding</v>
      </c>
      <c r="E290" s="37">
        <f>'13. Desinvesteringen'!D292</f>
        <v>1990</v>
      </c>
      <c r="F290" s="42">
        <f>'13. Desinvesteringen'!E292</f>
        <v>2264.98</v>
      </c>
      <c r="G290" s="37">
        <f>'13. Desinvesteringen'!G292</f>
        <v>2021</v>
      </c>
    </row>
    <row r="291" spans="2:7" s="3" customFormat="1">
      <c r="B291" s="37">
        <f>'13. Desinvesteringen'!B293</f>
        <v>274</v>
      </c>
      <c r="D291" s="37" t="str">
        <f>'13. Desinvesteringen'!C293</f>
        <v>21 Hoofdtransportleiding</v>
      </c>
      <c r="E291" s="37">
        <f>'13. Desinvesteringen'!D293</f>
        <v>1991</v>
      </c>
      <c r="F291" s="42">
        <f>'13. Desinvesteringen'!E293</f>
        <v>212044.27000000002</v>
      </c>
      <c r="G291" s="37">
        <f>'13. Desinvesteringen'!G293</f>
        <v>2021</v>
      </c>
    </row>
    <row r="292" spans="2:7" s="3" customFormat="1">
      <c r="B292" s="37">
        <f>'13. Desinvesteringen'!B294</f>
        <v>275</v>
      </c>
      <c r="D292" s="37" t="str">
        <f>'13. Desinvesteringen'!C294</f>
        <v>21 Hoofdtransportleiding</v>
      </c>
      <c r="E292" s="37">
        <f>'13. Desinvesteringen'!D294</f>
        <v>1992</v>
      </c>
      <c r="F292" s="42">
        <f>'13. Desinvesteringen'!E294</f>
        <v>17214.810000000001</v>
      </c>
      <c r="G292" s="37">
        <f>'13. Desinvesteringen'!G294</f>
        <v>2021</v>
      </c>
    </row>
    <row r="293" spans="2:7" s="3" customFormat="1">
      <c r="B293" s="37">
        <f>'13. Desinvesteringen'!B295</f>
        <v>276</v>
      </c>
      <c r="D293" s="37" t="str">
        <f>'13. Desinvesteringen'!C295</f>
        <v>21 Hoofdtransportleiding</v>
      </c>
      <c r="E293" s="37">
        <f>'13. Desinvesteringen'!D295</f>
        <v>1993</v>
      </c>
      <c r="F293" s="42">
        <f>'13. Desinvesteringen'!E295</f>
        <v>955.02</v>
      </c>
      <c r="G293" s="37">
        <f>'13. Desinvesteringen'!G295</f>
        <v>2021</v>
      </c>
    </row>
    <row r="294" spans="2:7" s="3" customFormat="1">
      <c r="B294" s="37">
        <f>'13. Desinvesteringen'!B296</f>
        <v>277</v>
      </c>
      <c r="D294" s="37" t="str">
        <f>'13. Desinvesteringen'!C296</f>
        <v>21 Hoofdtransportleiding</v>
      </c>
      <c r="E294" s="37">
        <f>'13. Desinvesteringen'!D296</f>
        <v>1994</v>
      </c>
      <c r="F294" s="42">
        <f>'13. Desinvesteringen'!E296</f>
        <v>2215.4899999999998</v>
      </c>
      <c r="G294" s="37">
        <f>'13. Desinvesteringen'!G296</f>
        <v>2021</v>
      </c>
    </row>
    <row r="295" spans="2:7" s="3" customFormat="1">
      <c r="B295" s="37">
        <f>'13. Desinvesteringen'!B297</f>
        <v>278</v>
      </c>
      <c r="D295" s="37" t="str">
        <f>'13. Desinvesteringen'!C297</f>
        <v>21 Hoofdtransportleiding</v>
      </c>
      <c r="E295" s="37">
        <f>'13. Desinvesteringen'!D297</f>
        <v>1995</v>
      </c>
      <c r="F295" s="42">
        <f>'13. Desinvesteringen'!E297</f>
        <v>2202.9899999999998</v>
      </c>
      <c r="G295" s="37">
        <f>'13. Desinvesteringen'!G297</f>
        <v>2021</v>
      </c>
    </row>
    <row r="296" spans="2:7" s="3" customFormat="1">
      <c r="B296" s="37">
        <f>'13. Desinvesteringen'!B298</f>
        <v>279</v>
      </c>
      <c r="D296" s="37" t="str">
        <f>'13. Desinvesteringen'!C298</f>
        <v>21 Hoofdtransportleiding</v>
      </c>
      <c r="E296" s="37">
        <f>'13. Desinvesteringen'!D298</f>
        <v>1996</v>
      </c>
      <c r="F296" s="42">
        <f>'13. Desinvesteringen'!E298</f>
        <v>25933.81</v>
      </c>
      <c r="G296" s="37">
        <f>'13. Desinvesteringen'!G298</f>
        <v>2021</v>
      </c>
    </row>
    <row r="297" spans="2:7" s="3" customFormat="1">
      <c r="B297" s="37">
        <f>'13. Desinvesteringen'!B299</f>
        <v>280</v>
      </c>
      <c r="D297" s="37" t="str">
        <f>'13. Desinvesteringen'!C299</f>
        <v>21 Hoofdtransportleiding</v>
      </c>
      <c r="E297" s="37">
        <f>'13. Desinvesteringen'!D299</f>
        <v>1998</v>
      </c>
      <c r="F297" s="42">
        <f>'13. Desinvesteringen'!E299</f>
        <v>218.17</v>
      </c>
      <c r="G297" s="37">
        <f>'13. Desinvesteringen'!G299</f>
        <v>2021</v>
      </c>
    </row>
    <row r="298" spans="2:7" s="3" customFormat="1">
      <c r="B298" s="37">
        <f>'13. Desinvesteringen'!B300</f>
        <v>281</v>
      </c>
      <c r="D298" s="37" t="str">
        <f>'13. Desinvesteringen'!C300</f>
        <v>21 Hoofdtransportleiding</v>
      </c>
      <c r="E298" s="37">
        <f>'13. Desinvesteringen'!D300</f>
        <v>2000</v>
      </c>
      <c r="F298" s="42">
        <f>'13. Desinvesteringen'!E300</f>
        <v>3336.46</v>
      </c>
      <c r="G298" s="37">
        <f>'13. Desinvesteringen'!G300</f>
        <v>2021</v>
      </c>
    </row>
    <row r="299" spans="2:7" s="3" customFormat="1">
      <c r="B299" s="37">
        <f>'13. Desinvesteringen'!B301</f>
        <v>282</v>
      </c>
      <c r="D299" s="37" t="str">
        <f>'13. Desinvesteringen'!C301</f>
        <v>21 Hoofdtransportleiding</v>
      </c>
      <c r="E299" s="37">
        <f>'13. Desinvesteringen'!D301</f>
        <v>2001</v>
      </c>
      <c r="F299" s="42">
        <f>'13. Desinvesteringen'!E301</f>
        <v>7332.67</v>
      </c>
      <c r="G299" s="37">
        <f>'13. Desinvesteringen'!G301</f>
        <v>2021</v>
      </c>
    </row>
    <row r="300" spans="2:7" s="3" customFormat="1">
      <c r="B300" s="37">
        <f>'13. Desinvesteringen'!B302</f>
        <v>283</v>
      </c>
      <c r="D300" s="37" t="str">
        <f>'13. Desinvesteringen'!C302</f>
        <v>21 Hoofdtransportleiding</v>
      </c>
      <c r="E300" s="37">
        <f>'13. Desinvesteringen'!D302</f>
        <v>2004</v>
      </c>
      <c r="F300" s="42">
        <f>'13. Desinvesteringen'!E302</f>
        <v>32470.219999999998</v>
      </c>
      <c r="G300" s="37">
        <f>'13. Desinvesteringen'!G302</f>
        <v>2021</v>
      </c>
    </row>
    <row r="301" spans="2:7" s="3" customFormat="1">
      <c r="B301" s="37">
        <f>'13. Desinvesteringen'!B303</f>
        <v>284</v>
      </c>
      <c r="D301" s="37" t="str">
        <f>'13. Desinvesteringen'!C303</f>
        <v>21 Hoofdtransportleiding</v>
      </c>
      <c r="E301" s="37">
        <f>'13. Desinvesteringen'!D303</f>
        <v>2007</v>
      </c>
      <c r="F301" s="42">
        <f>'13. Desinvesteringen'!E303</f>
        <v>36698.050000000003</v>
      </c>
      <c r="G301" s="37">
        <f>'13. Desinvesteringen'!G303</f>
        <v>2021</v>
      </c>
    </row>
    <row r="302" spans="2:7" s="3" customFormat="1">
      <c r="B302" s="37">
        <f>'13. Desinvesteringen'!B304</f>
        <v>285</v>
      </c>
      <c r="D302" s="37" t="str">
        <f>'13. Desinvesteringen'!C304</f>
        <v>21 Hoofdtransportleiding</v>
      </c>
      <c r="E302" s="37">
        <f>'13. Desinvesteringen'!D304</f>
        <v>2007</v>
      </c>
      <c r="F302" s="42">
        <f>'13. Desinvesteringen'!E304</f>
        <v>814.86374062264201</v>
      </c>
      <c r="G302" s="37">
        <f>'13. Desinvesteringen'!G304</f>
        <v>2021</v>
      </c>
    </row>
    <row r="303" spans="2:7" s="3" customFormat="1">
      <c r="B303" s="37">
        <f>'13. Desinvesteringen'!B305</f>
        <v>286</v>
      </c>
      <c r="D303" s="37" t="str">
        <f>'13. Desinvesteringen'!C305</f>
        <v>21 Hoofdtransportleiding</v>
      </c>
      <c r="E303" s="37">
        <f>'13. Desinvesteringen'!D305</f>
        <v>2008</v>
      </c>
      <c r="F303" s="42">
        <f>'13. Desinvesteringen'!E305</f>
        <v>1697.82</v>
      </c>
      <c r="G303" s="37">
        <f>'13. Desinvesteringen'!G305</f>
        <v>2021</v>
      </c>
    </row>
    <row r="304" spans="2:7" s="3" customFormat="1">
      <c r="B304" s="37">
        <f>'13. Desinvesteringen'!B306</f>
        <v>287</v>
      </c>
      <c r="D304" s="37" t="str">
        <f>'13. Desinvesteringen'!C306</f>
        <v>21 Hoofdtransportleiding</v>
      </c>
      <c r="E304" s="37">
        <f>'13. Desinvesteringen'!D306</f>
        <v>2009</v>
      </c>
      <c r="F304" s="42">
        <f>'13. Desinvesteringen'!E306</f>
        <v>306.17</v>
      </c>
      <c r="G304" s="37">
        <f>'13. Desinvesteringen'!G306</f>
        <v>2021</v>
      </c>
    </row>
    <row r="305" spans="2:7" s="3" customFormat="1">
      <c r="B305" s="37">
        <f>'13. Desinvesteringen'!B307</f>
        <v>288</v>
      </c>
      <c r="D305" s="37" t="str">
        <f>'13. Desinvesteringen'!C307</f>
        <v>21 Hoofdtransportleiding</v>
      </c>
      <c r="E305" s="37">
        <f>'13. Desinvesteringen'!D307</f>
        <v>2013</v>
      </c>
      <c r="F305" s="42">
        <f>'13. Desinvesteringen'!E307</f>
        <v>111081.36098285067</v>
      </c>
      <c r="G305" s="37">
        <f>'13. Desinvesteringen'!G307</f>
        <v>2021</v>
      </c>
    </row>
    <row r="306" spans="2:7" s="3" customFormat="1">
      <c r="B306" s="37">
        <f>'13. Desinvesteringen'!B308</f>
        <v>289</v>
      </c>
      <c r="D306" s="37" t="str">
        <f>'13. Desinvesteringen'!C308</f>
        <v>21 Hoofdtransportleiding</v>
      </c>
      <c r="E306" s="37">
        <f>'13. Desinvesteringen'!D308</f>
        <v>2015</v>
      </c>
      <c r="F306" s="42">
        <f>'13. Desinvesteringen'!E308</f>
        <v>10546.74451914087</v>
      </c>
      <c r="G306" s="37">
        <f>'13. Desinvesteringen'!G308</f>
        <v>2021</v>
      </c>
    </row>
    <row r="307" spans="2:7" s="3" customFormat="1">
      <c r="B307" s="37">
        <f>'13. Desinvesteringen'!B309</f>
        <v>290</v>
      </c>
      <c r="D307" s="37" t="str">
        <f>'13. Desinvesteringen'!C309</f>
        <v>21 Hoofdtransportleiding</v>
      </c>
      <c r="E307" s="37">
        <f>'13. Desinvesteringen'!D309</f>
        <v>2016</v>
      </c>
      <c r="F307" s="42">
        <f>'13. Desinvesteringen'!E309</f>
        <v>23513.843749704858</v>
      </c>
      <c r="G307" s="37">
        <f>'13. Desinvesteringen'!G309</f>
        <v>2021</v>
      </c>
    </row>
    <row r="308" spans="2:7" s="3" customFormat="1">
      <c r="B308" s="37">
        <f>'13. Desinvesteringen'!B310</f>
        <v>291</v>
      </c>
      <c r="D308" s="37" t="str">
        <f>'13. Desinvesteringen'!C310</f>
        <v>23 Brigittaleiding</v>
      </c>
      <c r="E308" s="37">
        <f>'13. Desinvesteringen'!D310</f>
        <v>1980</v>
      </c>
      <c r="F308" s="42">
        <f>'13. Desinvesteringen'!E310</f>
        <v>634.20000000000005</v>
      </c>
      <c r="G308" s="37">
        <f>'13. Desinvesteringen'!G310</f>
        <v>2021</v>
      </c>
    </row>
    <row r="309" spans="2:7" s="3" customFormat="1">
      <c r="B309" s="37">
        <f>'13. Desinvesteringen'!B311</f>
        <v>292</v>
      </c>
      <c r="D309" s="37" t="str">
        <f>'13. Desinvesteringen'!C311</f>
        <v>23 Brigittaleiding</v>
      </c>
      <c r="E309" s="37">
        <f>'13. Desinvesteringen'!D311</f>
        <v>1995</v>
      </c>
      <c r="F309" s="42">
        <f>'13. Desinvesteringen'!E311</f>
        <v>3276.15</v>
      </c>
      <c r="G309" s="37">
        <f>'13. Desinvesteringen'!G311</f>
        <v>2021</v>
      </c>
    </row>
    <row r="310" spans="2:7" s="3" customFormat="1">
      <c r="B310" s="37">
        <f>'13. Desinvesteringen'!B312</f>
        <v>293</v>
      </c>
      <c r="D310" s="37" t="str">
        <f>'13. Desinvesteringen'!C312</f>
        <v>32 M&amp;R stations</v>
      </c>
      <c r="E310" s="37">
        <f>'13. Desinvesteringen'!D312</f>
        <v>1964</v>
      </c>
      <c r="F310" s="42">
        <f>'13. Desinvesteringen'!E312</f>
        <v>6186.9699999999993</v>
      </c>
      <c r="G310" s="37">
        <f>'13. Desinvesteringen'!G312</f>
        <v>2021</v>
      </c>
    </row>
    <row r="311" spans="2:7" s="3" customFormat="1">
      <c r="B311" s="37">
        <f>'13. Desinvesteringen'!B313</f>
        <v>294</v>
      </c>
      <c r="D311" s="37" t="str">
        <f>'13. Desinvesteringen'!C313</f>
        <v>32 M&amp;R stations</v>
      </c>
      <c r="E311" s="37">
        <f>'13. Desinvesteringen'!D313</f>
        <v>1966</v>
      </c>
      <c r="F311" s="42">
        <f>'13. Desinvesteringen'!E313</f>
        <v>944.59</v>
      </c>
      <c r="G311" s="37">
        <f>'13. Desinvesteringen'!G313</f>
        <v>2021</v>
      </c>
    </row>
    <row r="312" spans="2:7" s="3" customFormat="1">
      <c r="B312" s="37">
        <f>'13. Desinvesteringen'!B314</f>
        <v>295</v>
      </c>
      <c r="D312" s="37" t="str">
        <f>'13. Desinvesteringen'!C314</f>
        <v>32 M&amp;R stations</v>
      </c>
      <c r="E312" s="37">
        <f>'13. Desinvesteringen'!D314</f>
        <v>1967</v>
      </c>
      <c r="F312" s="42">
        <f>'13. Desinvesteringen'!E314</f>
        <v>5645.93</v>
      </c>
      <c r="G312" s="37">
        <f>'13. Desinvesteringen'!G314</f>
        <v>2021</v>
      </c>
    </row>
    <row r="313" spans="2:7" s="3" customFormat="1">
      <c r="B313" s="37">
        <f>'13. Desinvesteringen'!B315</f>
        <v>296</v>
      </c>
      <c r="D313" s="37" t="str">
        <f>'13. Desinvesteringen'!C315</f>
        <v>32 M&amp;R stations</v>
      </c>
      <c r="E313" s="37">
        <f>'13. Desinvesteringen'!D315</f>
        <v>1972</v>
      </c>
      <c r="F313" s="42">
        <f>'13. Desinvesteringen'!E315</f>
        <v>33239.620000000003</v>
      </c>
      <c r="G313" s="37">
        <f>'13. Desinvesteringen'!G315</f>
        <v>2021</v>
      </c>
    </row>
    <row r="314" spans="2:7" s="3" customFormat="1">
      <c r="B314" s="37">
        <f>'13. Desinvesteringen'!B316</f>
        <v>297</v>
      </c>
      <c r="D314" s="37" t="str">
        <f>'13. Desinvesteringen'!C316</f>
        <v>32 M&amp;R stations</v>
      </c>
      <c r="E314" s="37">
        <f>'13. Desinvesteringen'!D316</f>
        <v>1973</v>
      </c>
      <c r="F314" s="42">
        <f>'13. Desinvesteringen'!E316</f>
        <v>126124.84</v>
      </c>
      <c r="G314" s="37">
        <f>'13. Desinvesteringen'!G316</f>
        <v>2021</v>
      </c>
    </row>
    <row r="315" spans="2:7" s="3" customFormat="1">
      <c r="B315" s="37">
        <f>'13. Desinvesteringen'!B317</f>
        <v>298</v>
      </c>
      <c r="D315" s="37" t="str">
        <f>'13. Desinvesteringen'!C317</f>
        <v>32 M&amp;R stations</v>
      </c>
      <c r="E315" s="37">
        <f>'13. Desinvesteringen'!D317</f>
        <v>1974</v>
      </c>
      <c r="F315" s="42">
        <f>'13. Desinvesteringen'!E317</f>
        <v>12379.830000000002</v>
      </c>
      <c r="G315" s="37">
        <f>'13. Desinvesteringen'!G317</f>
        <v>2021</v>
      </c>
    </row>
    <row r="316" spans="2:7" s="3" customFormat="1">
      <c r="B316" s="37">
        <f>'13. Desinvesteringen'!B318</f>
        <v>299</v>
      </c>
      <c r="D316" s="37" t="str">
        <f>'13. Desinvesteringen'!C318</f>
        <v>32 M&amp;R stations</v>
      </c>
      <c r="E316" s="37">
        <f>'13. Desinvesteringen'!D318</f>
        <v>1996</v>
      </c>
      <c r="F316" s="42">
        <f>'13. Desinvesteringen'!E318</f>
        <v>4334.99</v>
      </c>
      <c r="G316" s="37">
        <f>'13. Desinvesteringen'!G318</f>
        <v>2021</v>
      </c>
    </row>
    <row r="317" spans="2:7" s="3" customFormat="1">
      <c r="B317" s="37">
        <f>'13. Desinvesteringen'!B319</f>
        <v>300</v>
      </c>
      <c r="D317" s="37" t="str">
        <f>'13. Desinvesteringen'!C319</f>
        <v>32 M&amp;R stations</v>
      </c>
      <c r="E317" s="37">
        <f>'13. Desinvesteringen'!D319</f>
        <v>2004</v>
      </c>
      <c r="F317" s="42">
        <f>'13. Desinvesteringen'!E319</f>
        <v>3261.03</v>
      </c>
      <c r="G317" s="37">
        <f>'13. Desinvesteringen'!G319</f>
        <v>2021</v>
      </c>
    </row>
    <row r="318" spans="2:7" s="3" customFormat="1">
      <c r="B318" s="37">
        <f>'13. Desinvesteringen'!B320</f>
        <v>301</v>
      </c>
      <c r="D318" s="37" t="str">
        <f>'13. Desinvesteringen'!C320</f>
        <v>32 M&amp;R stations</v>
      </c>
      <c r="E318" s="37">
        <f>'13. Desinvesteringen'!D320</f>
        <v>2005</v>
      </c>
      <c r="F318" s="42">
        <f>'13. Desinvesteringen'!E320</f>
        <v>6498.35</v>
      </c>
      <c r="G318" s="37">
        <f>'13. Desinvesteringen'!G320</f>
        <v>2021</v>
      </c>
    </row>
    <row r="319" spans="2:7" s="3" customFormat="1">
      <c r="B319" s="37">
        <f>'13. Desinvesteringen'!B321</f>
        <v>302</v>
      </c>
      <c r="D319" s="37" t="str">
        <f>'13. Desinvesteringen'!C321</f>
        <v>33 Exportstations</v>
      </c>
      <c r="E319" s="37">
        <f>'13. Desinvesteringen'!D321</f>
        <v>1966</v>
      </c>
      <c r="F319" s="42">
        <f>'13. Desinvesteringen'!E321</f>
        <v>9693.7099999999991</v>
      </c>
      <c r="G319" s="37">
        <f>'13. Desinvesteringen'!G321</f>
        <v>2021</v>
      </c>
    </row>
    <row r="320" spans="2:7" s="3" customFormat="1">
      <c r="B320" s="37">
        <f>'13. Desinvesteringen'!B322</f>
        <v>303</v>
      </c>
      <c r="D320" s="37" t="str">
        <f>'13. Desinvesteringen'!C322</f>
        <v>33 Exportstations</v>
      </c>
      <c r="E320" s="37">
        <f>'13. Desinvesteringen'!D322</f>
        <v>1975</v>
      </c>
      <c r="F320" s="42">
        <f>'13. Desinvesteringen'!E322</f>
        <v>41515.949999999997</v>
      </c>
      <c r="G320" s="37">
        <f>'13. Desinvesteringen'!G322</f>
        <v>2021</v>
      </c>
    </row>
    <row r="321" spans="2:7" s="3" customFormat="1">
      <c r="B321" s="37">
        <f>'13. Desinvesteringen'!B323</f>
        <v>304</v>
      </c>
      <c r="D321" s="37" t="str">
        <f>'13. Desinvesteringen'!C323</f>
        <v>33 Exportstations</v>
      </c>
      <c r="E321" s="37">
        <f>'13. Desinvesteringen'!D323</f>
        <v>1998</v>
      </c>
      <c r="F321" s="42">
        <f>'13. Desinvesteringen'!E323</f>
        <v>15977.01</v>
      </c>
      <c r="G321" s="37">
        <f>'13. Desinvesteringen'!G323</f>
        <v>2021</v>
      </c>
    </row>
    <row r="322" spans="2:7" s="3" customFormat="1">
      <c r="B322" s="37">
        <f>'13. Desinvesteringen'!B324</f>
        <v>305</v>
      </c>
      <c r="D322" s="37" t="str">
        <f>'13. Desinvesteringen'!C324</f>
        <v>33 Exportstations</v>
      </c>
      <c r="E322" s="37">
        <f>'13. Desinvesteringen'!D324</f>
        <v>2006</v>
      </c>
      <c r="F322" s="42">
        <f>'13. Desinvesteringen'!E324</f>
        <v>102233.51999999999</v>
      </c>
      <c r="G322" s="37">
        <f>'13. Desinvesteringen'!G324</f>
        <v>2021</v>
      </c>
    </row>
    <row r="323" spans="2:7" s="3" customFormat="1">
      <c r="B323" s="37">
        <f>'13. Desinvesteringen'!B325</f>
        <v>306</v>
      </c>
      <c r="D323" s="37" t="str">
        <f>'13. Desinvesteringen'!C325</f>
        <v>34 Reduceerstations</v>
      </c>
      <c r="E323" s="37">
        <f>'13. Desinvesteringen'!D325</f>
        <v>1986</v>
      </c>
      <c r="F323" s="42">
        <f>'13. Desinvesteringen'!E325</f>
        <v>11474.46</v>
      </c>
      <c r="G323" s="37">
        <f>'13. Desinvesteringen'!G325</f>
        <v>2021</v>
      </c>
    </row>
    <row r="324" spans="2:7" s="3" customFormat="1">
      <c r="B324" s="37">
        <f>'13. Desinvesteringen'!B326</f>
        <v>307</v>
      </c>
      <c r="D324" s="37" t="str">
        <f>'13. Desinvesteringen'!C326</f>
        <v>34 Reduceerstations</v>
      </c>
      <c r="E324" s="37">
        <f>'13. Desinvesteringen'!D326</f>
        <v>1996</v>
      </c>
      <c r="F324" s="42">
        <f>'13. Desinvesteringen'!E326</f>
        <v>3094.13</v>
      </c>
      <c r="G324" s="37">
        <f>'13. Desinvesteringen'!G326</f>
        <v>2021</v>
      </c>
    </row>
    <row r="325" spans="2:7" s="3" customFormat="1">
      <c r="B325" s="37">
        <f>'13. Desinvesteringen'!B327</f>
        <v>308</v>
      </c>
      <c r="D325" s="37" t="str">
        <f>'13. Desinvesteringen'!C327</f>
        <v>34 Reduceerstations</v>
      </c>
      <c r="E325" s="37">
        <f>'13. Desinvesteringen'!D327</f>
        <v>1997</v>
      </c>
      <c r="F325" s="42">
        <f>'13. Desinvesteringen'!E327</f>
        <v>31484.79</v>
      </c>
      <c r="G325" s="37">
        <f>'13. Desinvesteringen'!G327</f>
        <v>2021</v>
      </c>
    </row>
    <row r="326" spans="2:7" s="3" customFormat="1">
      <c r="B326" s="37">
        <f>'13. Desinvesteringen'!B328</f>
        <v>309</v>
      </c>
      <c r="D326" s="37" t="str">
        <f>'13. Desinvesteringen'!C328</f>
        <v>34 Reduceerstations</v>
      </c>
      <c r="E326" s="37">
        <f>'13. Desinvesteringen'!D328</f>
        <v>1998</v>
      </c>
      <c r="F326" s="42">
        <f>'13. Desinvesteringen'!E328</f>
        <v>1479.93</v>
      </c>
      <c r="G326" s="37">
        <f>'13. Desinvesteringen'!G328</f>
        <v>2021</v>
      </c>
    </row>
    <row r="327" spans="2:7" s="3" customFormat="1">
      <c r="B327" s="37">
        <f>'13. Desinvesteringen'!B329</f>
        <v>310</v>
      </c>
      <c r="D327" s="37" t="str">
        <f>'13. Desinvesteringen'!C329</f>
        <v>37 ICT middelen 1</v>
      </c>
      <c r="E327" s="37">
        <f>'13. Desinvesteringen'!D329</f>
        <v>2014</v>
      </c>
      <c r="F327" s="42">
        <f>'13. Desinvesteringen'!E329</f>
        <v>389821.72686058586</v>
      </c>
      <c r="G327" s="37">
        <f>'13. Desinvesteringen'!G329</f>
        <v>2021</v>
      </c>
    </row>
    <row r="328" spans="2:7" s="3" customFormat="1">
      <c r="B328" s="37">
        <f>'13. Desinvesteringen'!B330</f>
        <v>311</v>
      </c>
      <c r="D328" s="37" t="str">
        <f>'13. Desinvesteringen'!C330</f>
        <v>37 ICT middelen 1</v>
      </c>
      <c r="E328" s="37">
        <f>'13. Desinvesteringen'!D330</f>
        <v>2016</v>
      </c>
      <c r="F328" s="42">
        <f>'13. Desinvesteringen'!E330</f>
        <v>6703956.690605375</v>
      </c>
      <c r="G328" s="37">
        <f>'13. Desinvesteringen'!G330</f>
        <v>2021</v>
      </c>
    </row>
    <row r="329" spans="2:7" s="3" customFormat="1">
      <c r="B329" s="37">
        <f>'13. Desinvesteringen'!B331</f>
        <v>312</v>
      </c>
      <c r="D329" s="37" t="str">
        <f>'13. Desinvesteringen'!C331</f>
        <v>37 ICT middelen 1</v>
      </c>
      <c r="E329" s="37">
        <f>'13. Desinvesteringen'!D331</f>
        <v>2017</v>
      </c>
      <c r="F329" s="42">
        <f>'13. Desinvesteringen'!E331</f>
        <v>684727.21448209102</v>
      </c>
      <c r="G329" s="37">
        <f>'13. Desinvesteringen'!G331</f>
        <v>2021</v>
      </c>
    </row>
    <row r="330" spans="2:7" s="3" customFormat="1">
      <c r="B330" s="37">
        <f>'13. Desinvesteringen'!B332</f>
        <v>313</v>
      </c>
      <c r="D330" s="37" t="str">
        <f>'13. Desinvesteringen'!C332</f>
        <v>37 ICT middelen 1</v>
      </c>
      <c r="E330" s="37">
        <f>'13. Desinvesteringen'!D332</f>
        <v>2018</v>
      </c>
      <c r="F330" s="42">
        <f>'13. Desinvesteringen'!E332</f>
        <v>493959.41966385196</v>
      </c>
      <c r="G330" s="37">
        <f>'13. Desinvesteringen'!G332</f>
        <v>2021</v>
      </c>
    </row>
    <row r="331" spans="2:7" s="3" customFormat="1">
      <c r="B331" s="37">
        <f>'13. Desinvesteringen'!B333</f>
        <v>314</v>
      </c>
      <c r="D331" s="37" t="str">
        <f>'13. Desinvesteringen'!C333</f>
        <v>37 ICT middelen 1</v>
      </c>
      <c r="E331" s="37">
        <f>'13. Desinvesteringen'!D333</f>
        <v>2019</v>
      </c>
      <c r="F331" s="42">
        <f>'13. Desinvesteringen'!E333</f>
        <v>890860.60513630731</v>
      </c>
      <c r="G331" s="37">
        <f>'13. Desinvesteringen'!G333</f>
        <v>2021</v>
      </c>
    </row>
    <row r="332" spans="2:7" s="3" customFormat="1">
      <c r="B332" s="37">
        <f>'13. Desinvesteringen'!B334</f>
        <v>315</v>
      </c>
      <c r="D332" s="37" t="str">
        <f>'13. Desinvesteringen'!C334</f>
        <v>38 ICT middelen 2</v>
      </c>
      <c r="E332" s="37">
        <f>'13. Desinvesteringen'!D334</f>
        <v>2019</v>
      </c>
      <c r="F332" s="42">
        <f>'13. Desinvesteringen'!E334</f>
        <v>211448.77498552162</v>
      </c>
      <c r="G332" s="37">
        <f>'13. Desinvesteringen'!G334</f>
        <v>2021</v>
      </c>
    </row>
    <row r="333" spans="2:7" s="3" customFormat="1">
      <c r="B333" s="37">
        <f>'13. Desinvesteringen'!B335</f>
        <v>316</v>
      </c>
      <c r="D333" s="37" t="str">
        <f>'13. Desinvesteringen'!C335</f>
        <v>01 Regionale leidingen</v>
      </c>
      <c r="E333" s="37">
        <f>'13. Desinvesteringen'!D335</f>
        <v>1949</v>
      </c>
      <c r="F333" s="42">
        <f>'13. Desinvesteringen'!E335</f>
        <v>160877.82</v>
      </c>
      <c r="G333" s="37">
        <f>'13. Desinvesteringen'!G335</f>
        <v>2022</v>
      </c>
    </row>
    <row r="334" spans="2:7" s="3" customFormat="1">
      <c r="B334" s="37">
        <f>'13. Desinvesteringen'!B336</f>
        <v>317</v>
      </c>
      <c r="D334" s="37" t="str">
        <f>'13. Desinvesteringen'!C336</f>
        <v>01 Regionale leidingen</v>
      </c>
      <c r="E334" s="37">
        <f>'13. Desinvesteringen'!D336</f>
        <v>1951</v>
      </c>
      <c r="F334" s="42">
        <f>'13. Desinvesteringen'!E336</f>
        <v>84605.79</v>
      </c>
      <c r="G334" s="37">
        <f>'13. Desinvesteringen'!G336</f>
        <v>2022</v>
      </c>
    </row>
    <row r="335" spans="2:7" s="3" customFormat="1">
      <c r="B335" s="37">
        <f>'13. Desinvesteringen'!B337</f>
        <v>318</v>
      </c>
      <c r="D335" s="37" t="str">
        <f>'13. Desinvesteringen'!C337</f>
        <v>01 Regionale leidingen</v>
      </c>
      <c r="E335" s="37">
        <f>'13. Desinvesteringen'!D337</f>
        <v>1955</v>
      </c>
      <c r="F335" s="42">
        <f>'13. Desinvesteringen'!E337</f>
        <v>144.74</v>
      </c>
      <c r="G335" s="37">
        <f>'13. Desinvesteringen'!G337</f>
        <v>2022</v>
      </c>
    </row>
    <row r="336" spans="2:7" s="3" customFormat="1">
      <c r="B336" s="37">
        <f>'13. Desinvesteringen'!B338</f>
        <v>319</v>
      </c>
      <c r="D336" s="37" t="str">
        <f>'13. Desinvesteringen'!C338</f>
        <v>01 Regionale leidingen</v>
      </c>
      <c r="E336" s="37">
        <f>'13. Desinvesteringen'!D338</f>
        <v>1960</v>
      </c>
      <c r="F336" s="42">
        <f>'13. Desinvesteringen'!E338</f>
        <v>0.01</v>
      </c>
      <c r="G336" s="37">
        <f>'13. Desinvesteringen'!G338</f>
        <v>2022</v>
      </c>
    </row>
    <row r="337" spans="2:7" s="3" customFormat="1">
      <c r="B337" s="37">
        <f>'13. Desinvesteringen'!B339</f>
        <v>320</v>
      </c>
      <c r="D337" s="37" t="str">
        <f>'13. Desinvesteringen'!C339</f>
        <v>01 Regionale leidingen</v>
      </c>
      <c r="E337" s="37">
        <f>'13. Desinvesteringen'!D339</f>
        <v>1964</v>
      </c>
      <c r="F337" s="42">
        <f>'13. Desinvesteringen'!E339</f>
        <v>30000</v>
      </c>
      <c r="G337" s="37">
        <f>'13. Desinvesteringen'!G339</f>
        <v>2022</v>
      </c>
    </row>
    <row r="338" spans="2:7" s="3" customFormat="1">
      <c r="B338" s="37">
        <f>'13. Desinvesteringen'!B340</f>
        <v>321</v>
      </c>
      <c r="D338" s="37" t="str">
        <f>'13. Desinvesteringen'!C340</f>
        <v>01 Regionale leidingen</v>
      </c>
      <c r="E338" s="37">
        <f>'13. Desinvesteringen'!D340</f>
        <v>1965</v>
      </c>
      <c r="F338" s="42">
        <f>'13. Desinvesteringen'!E340</f>
        <v>138426.70000000001</v>
      </c>
      <c r="G338" s="37">
        <f>'13. Desinvesteringen'!G340</f>
        <v>2022</v>
      </c>
    </row>
    <row r="339" spans="2:7" s="3" customFormat="1">
      <c r="B339" s="37">
        <f>'13. Desinvesteringen'!B341</f>
        <v>322</v>
      </c>
      <c r="D339" s="37" t="str">
        <f>'13. Desinvesteringen'!C341</f>
        <v>01 Regionale leidingen</v>
      </c>
      <c r="E339" s="37">
        <f>'13. Desinvesteringen'!D341</f>
        <v>1966</v>
      </c>
      <c r="F339" s="42">
        <f>'13. Desinvesteringen'!E341</f>
        <v>234290.08</v>
      </c>
      <c r="G339" s="37">
        <f>'13. Desinvesteringen'!G341</f>
        <v>2022</v>
      </c>
    </row>
    <row r="340" spans="2:7" s="3" customFormat="1">
      <c r="B340" s="37">
        <f>'13. Desinvesteringen'!B342</f>
        <v>323</v>
      </c>
      <c r="D340" s="37" t="str">
        <f>'13. Desinvesteringen'!C342</f>
        <v>01 Regionale leidingen</v>
      </c>
      <c r="E340" s="37">
        <f>'13. Desinvesteringen'!D342</f>
        <v>1967</v>
      </c>
      <c r="F340" s="42">
        <f>'13. Desinvesteringen'!E342</f>
        <v>91461.86</v>
      </c>
      <c r="G340" s="37">
        <f>'13. Desinvesteringen'!G342</f>
        <v>2022</v>
      </c>
    </row>
    <row r="341" spans="2:7" s="3" customFormat="1">
      <c r="B341" s="37">
        <f>'13. Desinvesteringen'!B343</f>
        <v>324</v>
      </c>
      <c r="D341" s="37" t="str">
        <f>'13. Desinvesteringen'!C343</f>
        <v>01 Regionale leidingen</v>
      </c>
      <c r="E341" s="37">
        <f>'13. Desinvesteringen'!D343</f>
        <v>1968</v>
      </c>
      <c r="F341" s="42">
        <f>'13. Desinvesteringen'!E343</f>
        <v>48585.87</v>
      </c>
      <c r="G341" s="37">
        <f>'13. Desinvesteringen'!G343</f>
        <v>2022</v>
      </c>
    </row>
    <row r="342" spans="2:7" s="3" customFormat="1">
      <c r="B342" s="37">
        <f>'13. Desinvesteringen'!B344</f>
        <v>325</v>
      </c>
      <c r="D342" s="37" t="str">
        <f>'13. Desinvesteringen'!C344</f>
        <v>01 Regionale leidingen</v>
      </c>
      <c r="E342" s="37">
        <f>'13. Desinvesteringen'!D344</f>
        <v>1969</v>
      </c>
      <c r="F342" s="42">
        <f>'13. Desinvesteringen'!E344</f>
        <v>78148.28</v>
      </c>
      <c r="G342" s="37">
        <f>'13. Desinvesteringen'!G344</f>
        <v>2022</v>
      </c>
    </row>
    <row r="343" spans="2:7" s="3" customFormat="1">
      <c r="B343" s="37">
        <f>'13. Desinvesteringen'!B345</f>
        <v>326</v>
      </c>
      <c r="D343" s="37" t="str">
        <f>'13. Desinvesteringen'!C345</f>
        <v>01 Regionale leidingen</v>
      </c>
      <c r="E343" s="37">
        <f>'13. Desinvesteringen'!D345</f>
        <v>1970</v>
      </c>
      <c r="F343" s="42">
        <f>'13. Desinvesteringen'!E345</f>
        <v>107313.68999999999</v>
      </c>
      <c r="G343" s="37">
        <f>'13. Desinvesteringen'!G345</f>
        <v>2022</v>
      </c>
    </row>
    <row r="344" spans="2:7" s="3" customFormat="1">
      <c r="B344" s="37">
        <f>'13. Desinvesteringen'!B346</f>
        <v>327</v>
      </c>
      <c r="D344" s="37" t="str">
        <f>'13. Desinvesteringen'!C346</f>
        <v>01 Regionale leidingen</v>
      </c>
      <c r="E344" s="37">
        <f>'13. Desinvesteringen'!D346</f>
        <v>1971</v>
      </c>
      <c r="F344" s="42">
        <f>'13. Desinvesteringen'!E346</f>
        <v>63212.38</v>
      </c>
      <c r="G344" s="37">
        <f>'13. Desinvesteringen'!G346</f>
        <v>2022</v>
      </c>
    </row>
    <row r="345" spans="2:7" s="3" customFormat="1">
      <c r="B345" s="37">
        <f>'13. Desinvesteringen'!B347</f>
        <v>328</v>
      </c>
      <c r="D345" s="37" t="str">
        <f>'13. Desinvesteringen'!C347</f>
        <v>01 Regionale leidingen</v>
      </c>
      <c r="E345" s="37">
        <f>'13. Desinvesteringen'!D347</f>
        <v>1972</v>
      </c>
      <c r="F345" s="42">
        <f>'13. Desinvesteringen'!E347</f>
        <v>191127.04000000001</v>
      </c>
      <c r="G345" s="37">
        <f>'13. Desinvesteringen'!G347</f>
        <v>2022</v>
      </c>
    </row>
    <row r="346" spans="2:7" s="3" customFormat="1">
      <c r="B346" s="37">
        <f>'13. Desinvesteringen'!B348</f>
        <v>329</v>
      </c>
      <c r="D346" s="37" t="str">
        <f>'13. Desinvesteringen'!C348</f>
        <v>01 Regionale leidingen</v>
      </c>
      <c r="E346" s="37">
        <f>'13. Desinvesteringen'!D348</f>
        <v>1973</v>
      </c>
      <c r="F346" s="42">
        <f>'13. Desinvesteringen'!E348</f>
        <v>149822.34</v>
      </c>
      <c r="G346" s="37">
        <f>'13. Desinvesteringen'!G348</f>
        <v>2022</v>
      </c>
    </row>
    <row r="347" spans="2:7" s="3" customFormat="1">
      <c r="B347" s="37">
        <f>'13. Desinvesteringen'!B349</f>
        <v>330</v>
      </c>
      <c r="D347" s="37" t="str">
        <f>'13. Desinvesteringen'!C349</f>
        <v>01 Regionale leidingen</v>
      </c>
      <c r="E347" s="37">
        <f>'13. Desinvesteringen'!D349</f>
        <v>1974</v>
      </c>
      <c r="F347" s="42">
        <f>'13. Desinvesteringen'!E349</f>
        <v>54981.1</v>
      </c>
      <c r="G347" s="37">
        <f>'13. Desinvesteringen'!G349</f>
        <v>2022</v>
      </c>
    </row>
    <row r="348" spans="2:7" s="3" customFormat="1">
      <c r="B348" s="37">
        <f>'13. Desinvesteringen'!B350</f>
        <v>331</v>
      </c>
      <c r="D348" s="37" t="str">
        <f>'13. Desinvesteringen'!C350</f>
        <v>01 Regionale leidingen</v>
      </c>
      <c r="E348" s="37">
        <f>'13. Desinvesteringen'!D350</f>
        <v>1975</v>
      </c>
      <c r="F348" s="42">
        <f>'13. Desinvesteringen'!E350</f>
        <v>42603.9</v>
      </c>
      <c r="G348" s="37">
        <f>'13. Desinvesteringen'!G350</f>
        <v>2022</v>
      </c>
    </row>
    <row r="349" spans="2:7" s="3" customFormat="1">
      <c r="B349" s="37">
        <f>'13. Desinvesteringen'!B351</f>
        <v>332</v>
      </c>
      <c r="D349" s="37" t="str">
        <f>'13. Desinvesteringen'!C351</f>
        <v>01 Regionale leidingen</v>
      </c>
      <c r="E349" s="37">
        <f>'13. Desinvesteringen'!D351</f>
        <v>1976</v>
      </c>
      <c r="F349" s="42">
        <f>'13. Desinvesteringen'!E351</f>
        <v>96350.659999999989</v>
      </c>
      <c r="G349" s="37">
        <f>'13. Desinvesteringen'!G351</f>
        <v>2022</v>
      </c>
    </row>
    <row r="350" spans="2:7" s="3" customFormat="1">
      <c r="B350" s="37">
        <f>'13. Desinvesteringen'!B352</f>
        <v>333</v>
      </c>
      <c r="D350" s="37" t="str">
        <f>'13. Desinvesteringen'!C352</f>
        <v>01 Regionale leidingen</v>
      </c>
      <c r="E350" s="37">
        <f>'13. Desinvesteringen'!D352</f>
        <v>1977</v>
      </c>
      <c r="F350" s="42">
        <f>'13. Desinvesteringen'!E352</f>
        <v>40000</v>
      </c>
      <c r="G350" s="37">
        <f>'13. Desinvesteringen'!G352</f>
        <v>2022</v>
      </c>
    </row>
    <row r="351" spans="2:7" s="3" customFormat="1">
      <c r="B351" s="37">
        <f>'13. Desinvesteringen'!B353</f>
        <v>334</v>
      </c>
      <c r="D351" s="37" t="str">
        <f>'13. Desinvesteringen'!C353</f>
        <v>01 Regionale leidingen</v>
      </c>
      <c r="E351" s="37">
        <f>'13. Desinvesteringen'!D353</f>
        <v>1980</v>
      </c>
      <c r="F351" s="42">
        <f>'13. Desinvesteringen'!E353</f>
        <v>120440.92</v>
      </c>
      <c r="G351" s="37">
        <f>'13. Desinvesteringen'!G353</f>
        <v>2022</v>
      </c>
    </row>
    <row r="352" spans="2:7" s="3" customFormat="1">
      <c r="B352" s="37">
        <f>'13. Desinvesteringen'!B354</f>
        <v>335</v>
      </c>
      <c r="D352" s="37" t="str">
        <f>'13. Desinvesteringen'!C354</f>
        <v>01 Regionale leidingen</v>
      </c>
      <c r="E352" s="37">
        <f>'13. Desinvesteringen'!D354</f>
        <v>1986</v>
      </c>
      <c r="F352" s="42">
        <f>'13. Desinvesteringen'!E354</f>
        <v>522.41999999999996</v>
      </c>
      <c r="G352" s="37">
        <f>'13. Desinvesteringen'!G354</f>
        <v>2022</v>
      </c>
    </row>
    <row r="353" spans="2:7" s="3" customFormat="1">
      <c r="B353" s="37">
        <f>'13. Desinvesteringen'!B355</f>
        <v>336</v>
      </c>
      <c r="D353" s="37" t="str">
        <f>'13. Desinvesteringen'!C355</f>
        <v>01 Regionale leidingen</v>
      </c>
      <c r="E353" s="37">
        <f>'13. Desinvesteringen'!D355</f>
        <v>1987</v>
      </c>
      <c r="F353" s="42">
        <f>'13. Desinvesteringen'!E355</f>
        <v>53825.87</v>
      </c>
      <c r="G353" s="37">
        <f>'13. Desinvesteringen'!G355</f>
        <v>2022</v>
      </c>
    </row>
    <row r="354" spans="2:7" s="3" customFormat="1">
      <c r="B354" s="37">
        <f>'13. Desinvesteringen'!B356</f>
        <v>337</v>
      </c>
      <c r="D354" s="37" t="str">
        <f>'13. Desinvesteringen'!C356</f>
        <v>01 Regionale leidingen</v>
      </c>
      <c r="E354" s="37">
        <f>'13. Desinvesteringen'!D356</f>
        <v>1991</v>
      </c>
      <c r="F354" s="42">
        <f>'13. Desinvesteringen'!E356</f>
        <v>27309.98</v>
      </c>
      <c r="G354" s="37">
        <f>'13. Desinvesteringen'!G356</f>
        <v>2022</v>
      </c>
    </row>
    <row r="355" spans="2:7" s="3" customFormat="1">
      <c r="B355" s="37">
        <f>'13. Desinvesteringen'!B357</f>
        <v>338</v>
      </c>
      <c r="D355" s="37" t="str">
        <f>'13. Desinvesteringen'!C357</f>
        <v>01 Regionale leidingen</v>
      </c>
      <c r="E355" s="37">
        <f>'13. Desinvesteringen'!D357</f>
        <v>1994</v>
      </c>
      <c r="F355" s="42">
        <f>'13. Desinvesteringen'!E357</f>
        <v>108598.45</v>
      </c>
      <c r="G355" s="37">
        <f>'13. Desinvesteringen'!G357</f>
        <v>2022</v>
      </c>
    </row>
    <row r="356" spans="2:7" s="3" customFormat="1">
      <c r="B356" s="37">
        <f>'13. Desinvesteringen'!B358</f>
        <v>339</v>
      </c>
      <c r="D356" s="37" t="str">
        <f>'13. Desinvesteringen'!C358</f>
        <v>01 Regionale leidingen</v>
      </c>
      <c r="E356" s="37">
        <f>'13. Desinvesteringen'!D358</f>
        <v>1995</v>
      </c>
      <c r="F356" s="42">
        <f>'13. Desinvesteringen'!E358</f>
        <v>22977.040000000001</v>
      </c>
      <c r="G356" s="37">
        <f>'13. Desinvesteringen'!G358</f>
        <v>2022</v>
      </c>
    </row>
    <row r="357" spans="2:7" s="3" customFormat="1">
      <c r="B357" s="37">
        <f>'13. Desinvesteringen'!B359</f>
        <v>340</v>
      </c>
      <c r="D357" s="37" t="str">
        <f>'13. Desinvesteringen'!C359</f>
        <v>01 Regionale leidingen</v>
      </c>
      <c r="E357" s="37">
        <f>'13. Desinvesteringen'!D359</f>
        <v>1997</v>
      </c>
      <c r="F357" s="42">
        <f>'13. Desinvesteringen'!E359</f>
        <v>4863.96</v>
      </c>
      <c r="G357" s="37">
        <f>'13. Desinvesteringen'!G359</f>
        <v>2022</v>
      </c>
    </row>
    <row r="358" spans="2:7" s="3" customFormat="1">
      <c r="B358" s="37">
        <f>'13. Desinvesteringen'!B360</f>
        <v>341</v>
      </c>
      <c r="D358" s="37" t="str">
        <f>'13. Desinvesteringen'!C360</f>
        <v>01 Regionale leidingen</v>
      </c>
      <c r="E358" s="37">
        <f>'13. Desinvesteringen'!D360</f>
        <v>2001</v>
      </c>
      <c r="F358" s="42">
        <f>'13. Desinvesteringen'!E360</f>
        <v>6708.79</v>
      </c>
      <c r="G358" s="37">
        <f>'13. Desinvesteringen'!G360</f>
        <v>2022</v>
      </c>
    </row>
    <row r="359" spans="2:7" s="3" customFormat="1">
      <c r="B359" s="37">
        <f>'13. Desinvesteringen'!B361</f>
        <v>342</v>
      </c>
      <c r="D359" s="37" t="str">
        <f>'13. Desinvesteringen'!C361</f>
        <v>01 Regionale leidingen</v>
      </c>
      <c r="E359" s="37">
        <f>'13. Desinvesteringen'!D361</f>
        <v>2002</v>
      </c>
      <c r="F359" s="42">
        <f>'13. Desinvesteringen'!E361</f>
        <v>4460.3999999999996</v>
      </c>
      <c r="G359" s="37">
        <f>'13. Desinvesteringen'!G361</f>
        <v>2022</v>
      </c>
    </row>
    <row r="360" spans="2:7" s="3" customFormat="1">
      <c r="B360" s="37">
        <f>'13. Desinvesteringen'!B362</f>
        <v>343</v>
      </c>
      <c r="D360" s="37" t="str">
        <f>'13. Desinvesteringen'!C362</f>
        <v>01 Regionale leidingen</v>
      </c>
      <c r="E360" s="37">
        <f>'13. Desinvesteringen'!D362</f>
        <v>2004</v>
      </c>
      <c r="F360" s="42">
        <f>'13. Desinvesteringen'!E362</f>
        <v>111686.38999999998</v>
      </c>
      <c r="G360" s="37">
        <f>'13. Desinvesteringen'!G362</f>
        <v>2022</v>
      </c>
    </row>
    <row r="361" spans="2:7" s="3" customFormat="1">
      <c r="B361" s="37">
        <f>'13. Desinvesteringen'!B363</f>
        <v>344</v>
      </c>
      <c r="D361" s="37" t="str">
        <f>'13. Desinvesteringen'!C363</f>
        <v>01 Regionale leidingen</v>
      </c>
      <c r="E361" s="37">
        <f>'13. Desinvesteringen'!D363</f>
        <v>2005</v>
      </c>
      <c r="F361" s="42">
        <f>'13. Desinvesteringen'!E363</f>
        <v>24040.95</v>
      </c>
      <c r="G361" s="37">
        <f>'13. Desinvesteringen'!G363</f>
        <v>2022</v>
      </c>
    </row>
    <row r="362" spans="2:7" s="3" customFormat="1">
      <c r="B362" s="37">
        <f>'13. Desinvesteringen'!B364</f>
        <v>345</v>
      </c>
      <c r="D362" s="37" t="str">
        <f>'13. Desinvesteringen'!C364</f>
        <v>01 Regionale leidingen</v>
      </c>
      <c r="E362" s="37">
        <f>'13. Desinvesteringen'!D364</f>
        <v>2009</v>
      </c>
      <c r="F362" s="42">
        <f>'13. Desinvesteringen'!E364</f>
        <v>382357.44</v>
      </c>
      <c r="G362" s="37">
        <f>'13. Desinvesteringen'!G364</f>
        <v>2022</v>
      </c>
    </row>
    <row r="363" spans="2:7" s="3" customFormat="1">
      <c r="B363" s="37">
        <f>'13. Desinvesteringen'!B365</f>
        <v>346</v>
      </c>
      <c r="D363" s="37" t="str">
        <f>'13. Desinvesteringen'!C365</f>
        <v>01 Regionale leidingen</v>
      </c>
      <c r="E363" s="37">
        <f>'13. Desinvesteringen'!D365</f>
        <v>2010</v>
      </c>
      <c r="F363" s="42">
        <f>'13. Desinvesteringen'!E365</f>
        <v>161319.04441174126</v>
      </c>
      <c r="G363" s="37">
        <f>'13. Desinvesteringen'!G365</f>
        <v>2022</v>
      </c>
    </row>
    <row r="364" spans="2:7" s="3" customFormat="1">
      <c r="B364" s="37">
        <f>'13. Desinvesteringen'!B366</f>
        <v>347</v>
      </c>
      <c r="D364" s="37" t="str">
        <f>'13. Desinvesteringen'!C366</f>
        <v>01 Regionale leidingen</v>
      </c>
      <c r="E364" s="37">
        <f>'13. Desinvesteringen'!D366</f>
        <v>2011</v>
      </c>
      <c r="F364" s="42">
        <f>'13. Desinvesteringen'!E366</f>
        <v>58878.280274353092</v>
      </c>
      <c r="G364" s="37">
        <f>'13. Desinvesteringen'!G366</f>
        <v>2022</v>
      </c>
    </row>
    <row r="365" spans="2:7" s="3" customFormat="1">
      <c r="B365" s="37">
        <f>'13. Desinvesteringen'!B367</f>
        <v>348</v>
      </c>
      <c r="D365" s="37" t="str">
        <f>'13. Desinvesteringen'!C367</f>
        <v>01 Regionale leidingen</v>
      </c>
      <c r="E365" s="37">
        <f>'13. Desinvesteringen'!D367</f>
        <v>2012</v>
      </c>
      <c r="F365" s="42">
        <f>'13. Desinvesteringen'!E367</f>
        <v>93953.985920705352</v>
      </c>
      <c r="G365" s="37">
        <f>'13. Desinvesteringen'!G367</f>
        <v>2022</v>
      </c>
    </row>
    <row r="366" spans="2:7" s="3" customFormat="1">
      <c r="B366" s="37">
        <f>'13. Desinvesteringen'!B368</f>
        <v>349</v>
      </c>
      <c r="D366" s="37" t="str">
        <f>'13. Desinvesteringen'!C368</f>
        <v>01 Regionale leidingen</v>
      </c>
      <c r="E366" s="37">
        <f>'13. Desinvesteringen'!D368</f>
        <v>2013</v>
      </c>
      <c r="F366" s="42">
        <f>'13. Desinvesteringen'!E368</f>
        <v>168956.89717004116</v>
      </c>
      <c r="G366" s="37">
        <f>'13. Desinvesteringen'!G368</f>
        <v>2022</v>
      </c>
    </row>
    <row r="367" spans="2:7" s="3" customFormat="1">
      <c r="B367" s="37">
        <f>'13. Desinvesteringen'!B369</f>
        <v>350</v>
      </c>
      <c r="D367" s="37" t="str">
        <f>'13. Desinvesteringen'!C369</f>
        <v>02 Gasontvangststations</v>
      </c>
      <c r="E367" s="37">
        <f>'13. Desinvesteringen'!D369</f>
        <v>1965</v>
      </c>
      <c r="F367" s="42">
        <f>'13. Desinvesteringen'!E369</f>
        <v>59962.48</v>
      </c>
      <c r="G367" s="37">
        <f>'13. Desinvesteringen'!G369</f>
        <v>2022</v>
      </c>
    </row>
    <row r="368" spans="2:7" s="3" customFormat="1">
      <c r="B368" s="37">
        <f>'13. Desinvesteringen'!B370</f>
        <v>351</v>
      </c>
      <c r="D368" s="37" t="str">
        <f>'13. Desinvesteringen'!C370</f>
        <v>02 Gasontvangststations</v>
      </c>
      <c r="E368" s="37">
        <f>'13. Desinvesteringen'!D370</f>
        <v>1966</v>
      </c>
      <c r="F368" s="42">
        <f>'13. Desinvesteringen'!E370</f>
        <v>318047.64</v>
      </c>
      <c r="G368" s="37">
        <f>'13. Desinvesteringen'!G370</f>
        <v>2022</v>
      </c>
    </row>
    <row r="369" spans="2:7" s="3" customFormat="1">
      <c r="B369" s="37">
        <f>'13. Desinvesteringen'!B371</f>
        <v>352</v>
      </c>
      <c r="D369" s="37" t="str">
        <f>'13. Desinvesteringen'!C371</f>
        <v>02 Gasontvangststations</v>
      </c>
      <c r="E369" s="37">
        <f>'13. Desinvesteringen'!D371</f>
        <v>1967</v>
      </c>
      <c r="F369" s="42">
        <f>'13. Desinvesteringen'!E371</f>
        <v>109472.13</v>
      </c>
      <c r="G369" s="37">
        <f>'13. Desinvesteringen'!G371</f>
        <v>2022</v>
      </c>
    </row>
    <row r="370" spans="2:7" s="3" customFormat="1">
      <c r="B370" s="37">
        <f>'13. Desinvesteringen'!B372</f>
        <v>353</v>
      </c>
      <c r="D370" s="37" t="str">
        <f>'13. Desinvesteringen'!C372</f>
        <v>02 Gasontvangststations</v>
      </c>
      <c r="E370" s="37">
        <f>'13. Desinvesteringen'!D372</f>
        <v>1968</v>
      </c>
      <c r="F370" s="42">
        <f>'13. Desinvesteringen'!E372</f>
        <v>205157.75</v>
      </c>
      <c r="G370" s="37">
        <f>'13. Desinvesteringen'!G372</f>
        <v>2022</v>
      </c>
    </row>
    <row r="371" spans="2:7" s="3" customFormat="1">
      <c r="B371" s="37">
        <f>'13. Desinvesteringen'!B373</f>
        <v>354</v>
      </c>
      <c r="D371" s="37" t="str">
        <f>'13. Desinvesteringen'!C373</f>
        <v>02 Gasontvangststations</v>
      </c>
      <c r="E371" s="37">
        <f>'13. Desinvesteringen'!D373</f>
        <v>1969</v>
      </c>
      <c r="F371" s="42">
        <f>'13. Desinvesteringen'!E373</f>
        <v>384223.42</v>
      </c>
      <c r="G371" s="37">
        <f>'13. Desinvesteringen'!G373</f>
        <v>2022</v>
      </c>
    </row>
    <row r="372" spans="2:7" s="3" customFormat="1">
      <c r="B372" s="37">
        <f>'13. Desinvesteringen'!B374</f>
        <v>355</v>
      </c>
      <c r="D372" s="37" t="str">
        <f>'13. Desinvesteringen'!C374</f>
        <v>02 Gasontvangststations</v>
      </c>
      <c r="E372" s="37">
        <f>'13. Desinvesteringen'!D374</f>
        <v>1970</v>
      </c>
      <c r="F372" s="42">
        <f>'13. Desinvesteringen'!E374</f>
        <v>158864.33000000002</v>
      </c>
      <c r="G372" s="37">
        <f>'13. Desinvesteringen'!G374</f>
        <v>2022</v>
      </c>
    </row>
    <row r="373" spans="2:7" s="3" customFormat="1">
      <c r="B373" s="37">
        <f>'13. Desinvesteringen'!B375</f>
        <v>356</v>
      </c>
      <c r="D373" s="37" t="str">
        <f>'13. Desinvesteringen'!C375</f>
        <v>02 Gasontvangststations</v>
      </c>
      <c r="E373" s="37">
        <f>'13. Desinvesteringen'!D375</f>
        <v>1971</v>
      </c>
      <c r="F373" s="42">
        <f>'13. Desinvesteringen'!E375</f>
        <v>262805.23</v>
      </c>
      <c r="G373" s="37">
        <f>'13. Desinvesteringen'!G375</f>
        <v>2022</v>
      </c>
    </row>
    <row r="374" spans="2:7" s="3" customFormat="1">
      <c r="B374" s="37">
        <f>'13. Desinvesteringen'!B376</f>
        <v>357</v>
      </c>
      <c r="D374" s="37" t="str">
        <f>'13. Desinvesteringen'!C376</f>
        <v>02 Gasontvangststations</v>
      </c>
      <c r="E374" s="37">
        <f>'13. Desinvesteringen'!D376</f>
        <v>1972</v>
      </c>
      <c r="F374" s="42">
        <f>'13. Desinvesteringen'!E376</f>
        <v>114985.86000000002</v>
      </c>
      <c r="G374" s="37">
        <f>'13. Desinvesteringen'!G376</f>
        <v>2022</v>
      </c>
    </row>
    <row r="375" spans="2:7" s="3" customFormat="1">
      <c r="B375" s="37">
        <f>'13. Desinvesteringen'!B377</f>
        <v>358</v>
      </c>
      <c r="D375" s="37" t="str">
        <f>'13. Desinvesteringen'!C377</f>
        <v>02 Gasontvangststations</v>
      </c>
      <c r="E375" s="37">
        <f>'13. Desinvesteringen'!D377</f>
        <v>1973</v>
      </c>
      <c r="F375" s="42">
        <f>'13. Desinvesteringen'!E377</f>
        <v>120091.87999999999</v>
      </c>
      <c r="G375" s="37">
        <f>'13. Desinvesteringen'!G377</f>
        <v>2022</v>
      </c>
    </row>
    <row r="376" spans="2:7" s="3" customFormat="1">
      <c r="B376" s="37">
        <f>'13. Desinvesteringen'!B378</f>
        <v>359</v>
      </c>
      <c r="D376" s="37" t="str">
        <f>'13. Desinvesteringen'!C378</f>
        <v>02 Gasontvangststations</v>
      </c>
      <c r="E376" s="37">
        <f>'13. Desinvesteringen'!D378</f>
        <v>1974</v>
      </c>
      <c r="F376" s="42">
        <f>'13. Desinvesteringen'!E378</f>
        <v>93174.06</v>
      </c>
      <c r="G376" s="37">
        <f>'13. Desinvesteringen'!G378</f>
        <v>2022</v>
      </c>
    </row>
    <row r="377" spans="2:7" s="3" customFormat="1">
      <c r="B377" s="37">
        <f>'13. Desinvesteringen'!B379</f>
        <v>360</v>
      </c>
      <c r="D377" s="37" t="str">
        <f>'13. Desinvesteringen'!C379</f>
        <v>02 Gasontvangststations</v>
      </c>
      <c r="E377" s="37">
        <f>'13. Desinvesteringen'!D379</f>
        <v>1975</v>
      </c>
      <c r="F377" s="42">
        <f>'13. Desinvesteringen'!E379</f>
        <v>4893.67</v>
      </c>
      <c r="G377" s="37">
        <f>'13. Desinvesteringen'!G379</f>
        <v>2022</v>
      </c>
    </row>
    <row r="378" spans="2:7" s="3" customFormat="1">
      <c r="B378" s="37">
        <f>'13. Desinvesteringen'!B380</f>
        <v>361</v>
      </c>
      <c r="D378" s="37" t="str">
        <f>'13. Desinvesteringen'!C380</f>
        <v>02 Gasontvangststations</v>
      </c>
      <c r="E378" s="37">
        <f>'13. Desinvesteringen'!D380</f>
        <v>1976</v>
      </c>
      <c r="F378" s="42">
        <f>'13. Desinvesteringen'!E380</f>
        <v>22029.58</v>
      </c>
      <c r="G378" s="37">
        <f>'13. Desinvesteringen'!G380</f>
        <v>2022</v>
      </c>
    </row>
    <row r="379" spans="2:7" s="3" customFormat="1">
      <c r="B379" s="37">
        <f>'13. Desinvesteringen'!B381</f>
        <v>362</v>
      </c>
      <c r="D379" s="37" t="str">
        <f>'13. Desinvesteringen'!C381</f>
        <v>02 Gasontvangststations</v>
      </c>
      <c r="E379" s="37">
        <f>'13. Desinvesteringen'!D381</f>
        <v>1977</v>
      </c>
      <c r="F379" s="42">
        <f>'13. Desinvesteringen'!E381</f>
        <v>46858.65</v>
      </c>
      <c r="G379" s="37">
        <f>'13. Desinvesteringen'!G381</f>
        <v>2022</v>
      </c>
    </row>
    <row r="380" spans="2:7" s="3" customFormat="1">
      <c r="B380" s="37">
        <f>'13. Desinvesteringen'!B382</f>
        <v>363</v>
      </c>
      <c r="D380" s="37" t="str">
        <f>'13. Desinvesteringen'!C382</f>
        <v>02 Gasontvangststations</v>
      </c>
      <c r="E380" s="37">
        <f>'13. Desinvesteringen'!D382</f>
        <v>1979</v>
      </c>
      <c r="F380" s="42">
        <f>'13. Desinvesteringen'!E382</f>
        <v>5905.65</v>
      </c>
      <c r="G380" s="37">
        <f>'13. Desinvesteringen'!G382</f>
        <v>2022</v>
      </c>
    </row>
    <row r="381" spans="2:7" s="3" customFormat="1">
      <c r="B381" s="37">
        <f>'13. Desinvesteringen'!B383</f>
        <v>364</v>
      </c>
      <c r="D381" s="37" t="str">
        <f>'13. Desinvesteringen'!C383</f>
        <v>02 Gasontvangststations</v>
      </c>
      <c r="E381" s="37">
        <f>'13. Desinvesteringen'!D383</f>
        <v>1980</v>
      </c>
      <c r="F381" s="42">
        <f>'13. Desinvesteringen'!E383</f>
        <v>150815.79</v>
      </c>
      <c r="G381" s="37">
        <f>'13. Desinvesteringen'!G383</f>
        <v>2022</v>
      </c>
    </row>
    <row r="382" spans="2:7" s="3" customFormat="1">
      <c r="B382" s="37">
        <f>'13. Desinvesteringen'!B384</f>
        <v>365</v>
      </c>
      <c r="D382" s="37" t="str">
        <f>'13. Desinvesteringen'!C384</f>
        <v>02 Gasontvangststations</v>
      </c>
      <c r="E382" s="37">
        <f>'13. Desinvesteringen'!D384</f>
        <v>1981</v>
      </c>
      <c r="F382" s="42">
        <f>'13. Desinvesteringen'!E384</f>
        <v>32315.9</v>
      </c>
      <c r="G382" s="37">
        <f>'13. Desinvesteringen'!G384</f>
        <v>2022</v>
      </c>
    </row>
    <row r="383" spans="2:7" s="3" customFormat="1">
      <c r="B383" s="37">
        <f>'13. Desinvesteringen'!B385</f>
        <v>366</v>
      </c>
      <c r="D383" s="37" t="str">
        <f>'13. Desinvesteringen'!C385</f>
        <v>02 Gasontvangststations</v>
      </c>
      <c r="E383" s="37">
        <f>'13. Desinvesteringen'!D385</f>
        <v>1982</v>
      </c>
      <c r="F383" s="42">
        <f>'13. Desinvesteringen'!E385</f>
        <v>8847.35</v>
      </c>
      <c r="G383" s="37">
        <f>'13. Desinvesteringen'!G385</f>
        <v>2022</v>
      </c>
    </row>
    <row r="384" spans="2:7" s="3" customFormat="1">
      <c r="B384" s="37">
        <f>'13. Desinvesteringen'!B386</f>
        <v>367</v>
      </c>
      <c r="D384" s="37" t="str">
        <f>'13. Desinvesteringen'!C386</f>
        <v>02 Gasontvangststations</v>
      </c>
      <c r="E384" s="37">
        <f>'13. Desinvesteringen'!D386</f>
        <v>1984</v>
      </c>
      <c r="F384" s="42">
        <f>'13. Desinvesteringen'!E386</f>
        <v>4950.9399999999996</v>
      </c>
      <c r="G384" s="37">
        <f>'13. Desinvesteringen'!G386</f>
        <v>2022</v>
      </c>
    </row>
    <row r="385" spans="2:7" s="3" customFormat="1">
      <c r="B385" s="37">
        <f>'13. Desinvesteringen'!B387</f>
        <v>368</v>
      </c>
      <c r="D385" s="37" t="str">
        <f>'13. Desinvesteringen'!C387</f>
        <v>02 Gasontvangststations</v>
      </c>
      <c r="E385" s="37">
        <f>'13. Desinvesteringen'!D387</f>
        <v>1989</v>
      </c>
      <c r="F385" s="42">
        <f>'13. Desinvesteringen'!E387</f>
        <v>51009.69</v>
      </c>
      <c r="G385" s="37">
        <f>'13. Desinvesteringen'!G387</f>
        <v>2022</v>
      </c>
    </row>
    <row r="386" spans="2:7" s="3" customFormat="1">
      <c r="B386" s="37">
        <f>'13. Desinvesteringen'!B388</f>
        <v>369</v>
      </c>
      <c r="D386" s="37" t="str">
        <f>'13. Desinvesteringen'!C388</f>
        <v>02 Gasontvangststations</v>
      </c>
      <c r="E386" s="37">
        <f>'13. Desinvesteringen'!D388</f>
        <v>1990</v>
      </c>
      <c r="F386" s="42">
        <f>'13. Desinvesteringen'!E388</f>
        <v>160044.32</v>
      </c>
      <c r="G386" s="37">
        <f>'13. Desinvesteringen'!G388</f>
        <v>2022</v>
      </c>
    </row>
    <row r="387" spans="2:7" s="3" customFormat="1">
      <c r="B387" s="37">
        <f>'13. Desinvesteringen'!B389</f>
        <v>370</v>
      </c>
      <c r="D387" s="37" t="str">
        <f>'13. Desinvesteringen'!C389</f>
        <v>02 Gasontvangststations</v>
      </c>
      <c r="E387" s="37">
        <f>'13. Desinvesteringen'!D389</f>
        <v>1991</v>
      </c>
      <c r="F387" s="42">
        <f>'13. Desinvesteringen'!E389</f>
        <v>8034.15</v>
      </c>
      <c r="G387" s="37">
        <f>'13. Desinvesteringen'!G389</f>
        <v>2022</v>
      </c>
    </row>
    <row r="388" spans="2:7" s="3" customFormat="1">
      <c r="B388" s="37">
        <f>'13. Desinvesteringen'!B390</f>
        <v>371</v>
      </c>
      <c r="D388" s="37" t="str">
        <f>'13. Desinvesteringen'!C390</f>
        <v>02 Gasontvangststations</v>
      </c>
      <c r="E388" s="37">
        <f>'13. Desinvesteringen'!D390</f>
        <v>1992</v>
      </c>
      <c r="F388" s="42">
        <f>'13. Desinvesteringen'!E390</f>
        <v>21906.92</v>
      </c>
      <c r="G388" s="37">
        <f>'13. Desinvesteringen'!G390</f>
        <v>2022</v>
      </c>
    </row>
    <row r="389" spans="2:7" s="3" customFormat="1">
      <c r="B389" s="37">
        <f>'13. Desinvesteringen'!B391</f>
        <v>372</v>
      </c>
      <c r="D389" s="37" t="str">
        <f>'13. Desinvesteringen'!C391</f>
        <v>02 Gasontvangststations</v>
      </c>
      <c r="E389" s="37">
        <f>'13. Desinvesteringen'!D391</f>
        <v>1993</v>
      </c>
      <c r="F389" s="42">
        <f>'13. Desinvesteringen'!E391</f>
        <v>15863.25</v>
      </c>
      <c r="G389" s="37">
        <f>'13. Desinvesteringen'!G391</f>
        <v>2022</v>
      </c>
    </row>
    <row r="390" spans="2:7" s="3" customFormat="1">
      <c r="B390" s="37">
        <f>'13. Desinvesteringen'!B392</f>
        <v>373</v>
      </c>
      <c r="D390" s="37" t="str">
        <f>'13. Desinvesteringen'!C392</f>
        <v>02 Gasontvangststations</v>
      </c>
      <c r="E390" s="37">
        <f>'13. Desinvesteringen'!D392</f>
        <v>1994</v>
      </c>
      <c r="F390" s="42">
        <f>'13. Desinvesteringen'!E392</f>
        <v>51450.05</v>
      </c>
      <c r="G390" s="37">
        <f>'13. Desinvesteringen'!G392</f>
        <v>2022</v>
      </c>
    </row>
    <row r="391" spans="2:7" s="3" customFormat="1">
      <c r="B391" s="37">
        <f>'13. Desinvesteringen'!B393</f>
        <v>374</v>
      </c>
      <c r="D391" s="37" t="str">
        <f>'13. Desinvesteringen'!C393</f>
        <v>02 Gasontvangststations</v>
      </c>
      <c r="E391" s="37">
        <f>'13. Desinvesteringen'!D393</f>
        <v>1995</v>
      </c>
      <c r="F391" s="42">
        <f>'13. Desinvesteringen'!E393</f>
        <v>62522.97</v>
      </c>
      <c r="G391" s="37">
        <f>'13. Desinvesteringen'!G393</f>
        <v>2022</v>
      </c>
    </row>
    <row r="392" spans="2:7" s="3" customFormat="1">
      <c r="B392" s="37">
        <f>'13. Desinvesteringen'!B394</f>
        <v>375</v>
      </c>
      <c r="D392" s="37" t="str">
        <f>'13. Desinvesteringen'!C394</f>
        <v>02 Gasontvangststations</v>
      </c>
      <c r="E392" s="37">
        <f>'13. Desinvesteringen'!D394</f>
        <v>1996</v>
      </c>
      <c r="F392" s="42">
        <f>'13. Desinvesteringen'!E394</f>
        <v>16582.84</v>
      </c>
      <c r="G392" s="37">
        <f>'13. Desinvesteringen'!G394</f>
        <v>2022</v>
      </c>
    </row>
    <row r="393" spans="2:7" s="3" customFormat="1">
      <c r="B393" s="37">
        <f>'13. Desinvesteringen'!B395</f>
        <v>376</v>
      </c>
      <c r="D393" s="37" t="str">
        <f>'13. Desinvesteringen'!C395</f>
        <v>02 Gasontvangststations</v>
      </c>
      <c r="E393" s="37">
        <f>'13. Desinvesteringen'!D395</f>
        <v>1997</v>
      </c>
      <c r="F393" s="42">
        <f>'13. Desinvesteringen'!E395</f>
        <v>16150.88</v>
      </c>
      <c r="G393" s="37">
        <f>'13. Desinvesteringen'!G395</f>
        <v>2022</v>
      </c>
    </row>
    <row r="394" spans="2:7" s="3" customFormat="1">
      <c r="B394" s="37">
        <f>'13. Desinvesteringen'!B396</f>
        <v>377</v>
      </c>
      <c r="D394" s="37" t="str">
        <f>'13. Desinvesteringen'!C396</f>
        <v>02 Gasontvangststations</v>
      </c>
      <c r="E394" s="37">
        <f>'13. Desinvesteringen'!D396</f>
        <v>2000</v>
      </c>
      <c r="F394" s="42">
        <f>'13. Desinvesteringen'!E396</f>
        <v>11054.31</v>
      </c>
      <c r="G394" s="37">
        <f>'13. Desinvesteringen'!G396</f>
        <v>2022</v>
      </c>
    </row>
    <row r="395" spans="2:7" s="3" customFormat="1">
      <c r="B395" s="37">
        <f>'13. Desinvesteringen'!B397</f>
        <v>378</v>
      </c>
      <c r="D395" s="37" t="str">
        <f>'13. Desinvesteringen'!C397</f>
        <v>02 Gasontvangststations</v>
      </c>
      <c r="E395" s="37">
        <f>'13. Desinvesteringen'!D397</f>
        <v>2002</v>
      </c>
      <c r="F395" s="42">
        <f>'13. Desinvesteringen'!E397</f>
        <v>9572.0400000000009</v>
      </c>
      <c r="G395" s="37">
        <f>'13. Desinvesteringen'!G397</f>
        <v>2022</v>
      </c>
    </row>
    <row r="396" spans="2:7" s="3" customFormat="1">
      <c r="B396" s="37">
        <f>'13. Desinvesteringen'!B398</f>
        <v>379</v>
      </c>
      <c r="D396" s="37" t="str">
        <f>'13. Desinvesteringen'!C398</f>
        <v>02 Gasontvangststations</v>
      </c>
      <c r="E396" s="37">
        <f>'13. Desinvesteringen'!D398</f>
        <v>2003</v>
      </c>
      <c r="F396" s="42">
        <f>'13. Desinvesteringen'!E398</f>
        <v>37361.589999999997</v>
      </c>
      <c r="G396" s="37">
        <f>'13. Desinvesteringen'!G398</f>
        <v>2022</v>
      </c>
    </row>
    <row r="397" spans="2:7" s="3" customFormat="1">
      <c r="B397" s="37">
        <f>'13. Desinvesteringen'!B399</f>
        <v>380</v>
      </c>
      <c r="D397" s="37" t="str">
        <f>'13. Desinvesteringen'!C399</f>
        <v>02 Gasontvangststations</v>
      </c>
      <c r="E397" s="37">
        <f>'13. Desinvesteringen'!D399</f>
        <v>2005</v>
      </c>
      <c r="F397" s="42">
        <f>'13. Desinvesteringen'!E399</f>
        <v>13619.77</v>
      </c>
      <c r="G397" s="37">
        <f>'13. Desinvesteringen'!G399</f>
        <v>2022</v>
      </c>
    </row>
    <row r="398" spans="2:7" s="3" customFormat="1">
      <c r="B398" s="37">
        <f>'13. Desinvesteringen'!B400</f>
        <v>381</v>
      </c>
      <c r="D398" s="37" t="str">
        <f>'13. Desinvesteringen'!C400</f>
        <v>02 Gasontvangststations</v>
      </c>
      <c r="E398" s="37">
        <f>'13. Desinvesteringen'!D400</f>
        <v>2007</v>
      </c>
      <c r="F398" s="42">
        <f>'13. Desinvesteringen'!E400</f>
        <v>316887.66000000003</v>
      </c>
      <c r="G398" s="37">
        <f>'13. Desinvesteringen'!G400</f>
        <v>2022</v>
      </c>
    </row>
    <row r="399" spans="2:7" s="3" customFormat="1">
      <c r="B399" s="37">
        <f>'13. Desinvesteringen'!B401</f>
        <v>382</v>
      </c>
      <c r="D399" s="37" t="str">
        <f>'13. Desinvesteringen'!C401</f>
        <v>02 Gasontvangststations</v>
      </c>
      <c r="E399" s="37">
        <f>'13. Desinvesteringen'!D401</f>
        <v>2010</v>
      </c>
      <c r="F399" s="42">
        <f>'13. Desinvesteringen'!E401</f>
        <v>154710.54390000002</v>
      </c>
      <c r="G399" s="37">
        <f>'13. Desinvesteringen'!G401</f>
        <v>2022</v>
      </c>
    </row>
    <row r="400" spans="2:7" s="3" customFormat="1">
      <c r="B400" s="37">
        <f>'13. Desinvesteringen'!B402</f>
        <v>383</v>
      </c>
      <c r="D400" s="37" t="str">
        <f>'13. Desinvesteringen'!C402</f>
        <v>02 Gasontvangststations</v>
      </c>
      <c r="E400" s="37">
        <f>'13. Desinvesteringen'!D402</f>
        <v>2012</v>
      </c>
      <c r="F400" s="42">
        <f>'13. Desinvesteringen'!E402</f>
        <v>41792.986548232657</v>
      </c>
      <c r="G400" s="37">
        <f>'13. Desinvesteringen'!G402</f>
        <v>2022</v>
      </c>
    </row>
    <row r="401" spans="2:7" s="3" customFormat="1">
      <c r="B401" s="37">
        <f>'13. Desinvesteringen'!B403</f>
        <v>384</v>
      </c>
      <c r="D401" s="37" t="str">
        <f>'13. Desinvesteringen'!C403</f>
        <v>06 Utiliteitsgebouwen</v>
      </c>
      <c r="E401" s="37">
        <f>'13. Desinvesteringen'!D403</f>
        <v>1980</v>
      </c>
      <c r="F401" s="42">
        <f>'13. Desinvesteringen'!E403</f>
        <v>47081.56</v>
      </c>
      <c r="G401" s="37">
        <f>'13. Desinvesteringen'!G403</f>
        <v>2022</v>
      </c>
    </row>
    <row r="402" spans="2:7" s="3" customFormat="1">
      <c r="B402" s="37">
        <f>'13. Desinvesteringen'!B404</f>
        <v>385</v>
      </c>
      <c r="D402" s="37" t="str">
        <f>'13. Desinvesteringen'!C404</f>
        <v>15 Compressorstations (TT-BT-AT)</v>
      </c>
      <c r="E402" s="37">
        <f>'13. Desinvesteringen'!D404</f>
        <v>1970</v>
      </c>
      <c r="F402" s="42">
        <f>'13. Desinvesteringen'!E404</f>
        <v>81298.009999999995</v>
      </c>
      <c r="G402" s="37">
        <f>'13. Desinvesteringen'!G404</f>
        <v>2022</v>
      </c>
    </row>
    <row r="403" spans="2:7" s="3" customFormat="1">
      <c r="B403" s="37">
        <f>'13. Desinvesteringen'!B405</f>
        <v>386</v>
      </c>
      <c r="D403" s="37" t="str">
        <f>'13. Desinvesteringen'!C405</f>
        <v>15 Compressorstations (TT-BT-AT)</v>
      </c>
      <c r="E403" s="37">
        <f>'13. Desinvesteringen'!D405</f>
        <v>1971</v>
      </c>
      <c r="F403" s="42">
        <f>'13. Desinvesteringen'!E405</f>
        <v>86713.88</v>
      </c>
      <c r="G403" s="37">
        <f>'13. Desinvesteringen'!G405</f>
        <v>2022</v>
      </c>
    </row>
    <row r="404" spans="2:7" s="3" customFormat="1">
      <c r="B404" s="37">
        <f>'13. Desinvesteringen'!B406</f>
        <v>387</v>
      </c>
      <c r="D404" s="37" t="str">
        <f>'13. Desinvesteringen'!C406</f>
        <v>15 Compressorstations (TT-BT-AT)</v>
      </c>
      <c r="E404" s="37">
        <f>'13. Desinvesteringen'!D406</f>
        <v>1974</v>
      </c>
      <c r="F404" s="42">
        <f>'13. Desinvesteringen'!E406</f>
        <v>177923.75</v>
      </c>
      <c r="G404" s="37">
        <f>'13. Desinvesteringen'!G406</f>
        <v>2022</v>
      </c>
    </row>
    <row r="405" spans="2:7" s="3" customFormat="1">
      <c r="B405" s="37">
        <f>'13. Desinvesteringen'!B407</f>
        <v>388</v>
      </c>
      <c r="D405" s="37" t="str">
        <f>'13. Desinvesteringen'!C407</f>
        <v>15 Compressorstations (TT-BT-AT)</v>
      </c>
      <c r="E405" s="37">
        <f>'13. Desinvesteringen'!D407</f>
        <v>1997</v>
      </c>
      <c r="F405" s="42">
        <f>'13. Desinvesteringen'!E407</f>
        <v>15658.35</v>
      </c>
      <c r="G405" s="37">
        <f>'13. Desinvesteringen'!G407</f>
        <v>2022</v>
      </c>
    </row>
    <row r="406" spans="2:7" s="3" customFormat="1">
      <c r="B406" s="37">
        <f>'13. Desinvesteringen'!B408</f>
        <v>389</v>
      </c>
      <c r="D406" s="37" t="str">
        <f>'13. Desinvesteringen'!C408</f>
        <v>15 Compressorstations (TT-BT-AT)</v>
      </c>
      <c r="E406" s="37">
        <f>'13. Desinvesteringen'!D408</f>
        <v>2011</v>
      </c>
      <c r="F406" s="42">
        <f>'13. Desinvesteringen'!E408</f>
        <v>117399.27471035083</v>
      </c>
      <c r="G406" s="37">
        <f>'13. Desinvesteringen'!G408</f>
        <v>2022</v>
      </c>
    </row>
    <row r="407" spans="2:7" s="3" customFormat="1">
      <c r="B407" s="37">
        <f>'13. Desinvesteringen'!B409</f>
        <v>390</v>
      </c>
      <c r="D407" s="37" t="str">
        <f>'13. Desinvesteringen'!C409</f>
        <v>16 LNG installaties</v>
      </c>
      <c r="E407" s="37">
        <f>'13. Desinvesteringen'!D409</f>
        <v>1977</v>
      </c>
      <c r="F407" s="42">
        <f>'13. Desinvesteringen'!E409</f>
        <v>1111944.56</v>
      </c>
      <c r="G407" s="37">
        <f>'13. Desinvesteringen'!G409</f>
        <v>2022</v>
      </c>
    </row>
    <row r="408" spans="2:7" s="3" customFormat="1">
      <c r="B408" s="37">
        <f>'13. Desinvesteringen'!B410</f>
        <v>391</v>
      </c>
      <c r="D408" s="37" t="str">
        <f>'13. Desinvesteringen'!C410</f>
        <v>16 LNG installaties</v>
      </c>
      <c r="E408" s="37">
        <f>'13. Desinvesteringen'!D410</f>
        <v>1998</v>
      </c>
      <c r="F408" s="42">
        <f>'13. Desinvesteringen'!E410</f>
        <v>1841303.44</v>
      </c>
      <c r="G408" s="37">
        <f>'13. Desinvesteringen'!G410</f>
        <v>2022</v>
      </c>
    </row>
    <row r="409" spans="2:7" s="3" customFormat="1">
      <c r="B409" s="37">
        <f>'13. Desinvesteringen'!B411</f>
        <v>392</v>
      </c>
      <c r="D409" s="37" t="str">
        <f>'13. Desinvesteringen'!C411</f>
        <v>17 Mengstations</v>
      </c>
      <c r="E409" s="37">
        <f>'13. Desinvesteringen'!D411</f>
        <v>2019</v>
      </c>
      <c r="F409" s="42">
        <f>'13. Desinvesteringen'!E411</f>
        <v>64295.18960042399</v>
      </c>
      <c r="G409" s="37">
        <f>'13. Desinvesteringen'!G411</f>
        <v>2022</v>
      </c>
    </row>
    <row r="410" spans="2:7" s="3" customFormat="1">
      <c r="B410" s="37">
        <f>'13. Desinvesteringen'!B412</f>
        <v>393</v>
      </c>
      <c r="D410" s="37" t="str">
        <f>'13. Desinvesteringen'!C412</f>
        <v>21 Hoofdtransportleiding</v>
      </c>
      <c r="E410" s="37">
        <f>'13. Desinvesteringen'!D412</f>
        <v>1964</v>
      </c>
      <c r="F410" s="42">
        <f>'13. Desinvesteringen'!E412</f>
        <v>1445.34</v>
      </c>
      <c r="G410" s="37">
        <f>'13. Desinvesteringen'!G412</f>
        <v>2022</v>
      </c>
    </row>
    <row r="411" spans="2:7" s="3" customFormat="1">
      <c r="B411" s="37">
        <f>'13. Desinvesteringen'!B413</f>
        <v>394</v>
      </c>
      <c r="D411" s="37" t="str">
        <f>'13. Desinvesteringen'!C413</f>
        <v>21 Hoofdtransportleiding</v>
      </c>
      <c r="E411" s="37">
        <f>'13. Desinvesteringen'!D413</f>
        <v>1977</v>
      </c>
      <c r="F411" s="42">
        <f>'13. Desinvesteringen'!E413</f>
        <v>50000</v>
      </c>
      <c r="G411" s="37">
        <f>'13. Desinvesteringen'!G413</f>
        <v>2022</v>
      </c>
    </row>
    <row r="412" spans="2:7" s="3" customFormat="1">
      <c r="B412" s="37">
        <f>'13. Desinvesteringen'!B414</f>
        <v>395</v>
      </c>
      <c r="D412" s="37" t="str">
        <f>'13. Desinvesteringen'!C414</f>
        <v>21 Hoofdtransportleiding</v>
      </c>
      <c r="E412" s="37">
        <f>'13. Desinvesteringen'!D414</f>
        <v>1978</v>
      </c>
      <c r="F412" s="42">
        <f>'13. Desinvesteringen'!E414</f>
        <v>16458.09</v>
      </c>
      <c r="G412" s="37">
        <f>'13. Desinvesteringen'!G414</f>
        <v>2022</v>
      </c>
    </row>
    <row r="413" spans="2:7" s="3" customFormat="1">
      <c r="B413" s="37">
        <f>'13. Desinvesteringen'!B415</f>
        <v>396</v>
      </c>
      <c r="D413" s="37" t="str">
        <f>'13. Desinvesteringen'!C415</f>
        <v>21 Hoofdtransportleiding</v>
      </c>
      <c r="E413" s="37">
        <f>'13. Desinvesteringen'!D415</f>
        <v>1983</v>
      </c>
      <c r="F413" s="42">
        <f>'13. Desinvesteringen'!E415</f>
        <v>44290.400000000001</v>
      </c>
      <c r="G413" s="37">
        <f>'13. Desinvesteringen'!G415</f>
        <v>2022</v>
      </c>
    </row>
    <row r="414" spans="2:7" s="3" customFormat="1">
      <c r="B414" s="37">
        <f>'13. Desinvesteringen'!B416</f>
        <v>397</v>
      </c>
      <c r="D414" s="37" t="str">
        <f>'13. Desinvesteringen'!C416</f>
        <v>21 Hoofdtransportleiding</v>
      </c>
      <c r="E414" s="37">
        <f>'13. Desinvesteringen'!D416</f>
        <v>1987</v>
      </c>
      <c r="F414" s="42">
        <f>'13. Desinvesteringen'!E416</f>
        <v>90000</v>
      </c>
      <c r="G414" s="37">
        <f>'13. Desinvesteringen'!G416</f>
        <v>2022</v>
      </c>
    </row>
    <row r="415" spans="2:7" s="3" customFormat="1">
      <c r="B415" s="37">
        <f>'13. Desinvesteringen'!B417</f>
        <v>398</v>
      </c>
      <c r="D415" s="37" t="str">
        <f>'13. Desinvesteringen'!C417</f>
        <v>32 M&amp;R stations</v>
      </c>
      <c r="E415" s="37">
        <f>'13. Desinvesteringen'!D417</f>
        <v>1964</v>
      </c>
      <c r="F415" s="42">
        <f>'13. Desinvesteringen'!E417</f>
        <v>184143.09</v>
      </c>
      <c r="G415" s="37">
        <f>'13. Desinvesteringen'!G417</f>
        <v>2022</v>
      </c>
    </row>
    <row r="416" spans="2:7" s="3" customFormat="1">
      <c r="B416" s="37">
        <f>'13. Desinvesteringen'!B418</f>
        <v>399</v>
      </c>
      <c r="D416" s="37" t="str">
        <f>'13. Desinvesteringen'!C418</f>
        <v>32 M&amp;R stations</v>
      </c>
      <c r="E416" s="37">
        <f>'13. Desinvesteringen'!D418</f>
        <v>1967</v>
      </c>
      <c r="F416" s="42">
        <f>'13. Desinvesteringen'!E418</f>
        <v>477869.69</v>
      </c>
      <c r="G416" s="37">
        <f>'13. Desinvesteringen'!G418</f>
        <v>2022</v>
      </c>
    </row>
    <row r="417" spans="2:13" s="3" customFormat="1">
      <c r="B417" s="37">
        <f>'13. Desinvesteringen'!B419</f>
        <v>400</v>
      </c>
      <c r="D417" s="37" t="str">
        <f>'13. Desinvesteringen'!C419</f>
        <v>32 M&amp;R stations</v>
      </c>
      <c r="E417" s="37">
        <f>'13. Desinvesteringen'!D419</f>
        <v>1968</v>
      </c>
      <c r="F417" s="42">
        <f>'13. Desinvesteringen'!E419</f>
        <v>7990.16</v>
      </c>
      <c r="G417" s="37">
        <f>'13. Desinvesteringen'!G419</f>
        <v>2022</v>
      </c>
    </row>
    <row r="418" spans="2:13" s="3" customFormat="1">
      <c r="B418" s="37">
        <f>'13. Desinvesteringen'!B420</f>
        <v>401</v>
      </c>
      <c r="D418" s="37" t="str">
        <f>'13. Desinvesteringen'!C420</f>
        <v>32 M&amp;R stations</v>
      </c>
      <c r="E418" s="37">
        <f>'13. Desinvesteringen'!D420</f>
        <v>1969</v>
      </c>
      <c r="F418" s="42">
        <f>'13. Desinvesteringen'!E420</f>
        <v>64322.44</v>
      </c>
      <c r="G418" s="37">
        <f>'13. Desinvesteringen'!G420</f>
        <v>2022</v>
      </c>
    </row>
    <row r="419" spans="2:13" s="3" customFormat="1">
      <c r="B419" s="37">
        <f>'13. Desinvesteringen'!B421</f>
        <v>402</v>
      </c>
      <c r="D419" s="37" t="str">
        <f>'13. Desinvesteringen'!C421</f>
        <v>32 M&amp;R stations</v>
      </c>
      <c r="E419" s="37">
        <f>'13. Desinvesteringen'!D421</f>
        <v>1972</v>
      </c>
      <c r="F419" s="42">
        <f>'13. Desinvesteringen'!E421</f>
        <v>58241.78</v>
      </c>
      <c r="G419" s="37">
        <f>'13. Desinvesteringen'!G421</f>
        <v>2022</v>
      </c>
    </row>
    <row r="420" spans="2:13" s="3" customFormat="1">
      <c r="B420" s="37">
        <f>'13. Desinvesteringen'!B422</f>
        <v>403</v>
      </c>
      <c r="D420" s="37" t="str">
        <f>'13. Desinvesteringen'!C422</f>
        <v>32 M&amp;R stations</v>
      </c>
      <c r="E420" s="37">
        <f>'13. Desinvesteringen'!D422</f>
        <v>1974</v>
      </c>
      <c r="F420" s="42">
        <f>'13. Desinvesteringen'!E422</f>
        <v>117946.1</v>
      </c>
      <c r="G420" s="37">
        <f>'13. Desinvesteringen'!G422</f>
        <v>2022</v>
      </c>
    </row>
    <row r="421" spans="2:13" s="3" customFormat="1">
      <c r="B421" s="37">
        <f>'13. Desinvesteringen'!B423</f>
        <v>404</v>
      </c>
      <c r="D421" s="37" t="str">
        <f>'13. Desinvesteringen'!C423</f>
        <v>32 M&amp;R stations</v>
      </c>
      <c r="E421" s="37">
        <f>'13. Desinvesteringen'!D423</f>
        <v>1978</v>
      </c>
      <c r="F421" s="42">
        <f>'13. Desinvesteringen'!E423</f>
        <v>1289616.6000000001</v>
      </c>
      <c r="G421" s="37">
        <f>'13. Desinvesteringen'!G423</f>
        <v>2022</v>
      </c>
    </row>
    <row r="422" spans="2:13" s="3" customFormat="1">
      <c r="B422" s="37">
        <f>'13. Desinvesteringen'!B424</f>
        <v>405</v>
      </c>
      <c r="D422" s="37" t="str">
        <f>'13. Desinvesteringen'!C424</f>
        <v>32 M&amp;R stations</v>
      </c>
      <c r="E422" s="37">
        <f>'13. Desinvesteringen'!D424</f>
        <v>1995</v>
      </c>
      <c r="F422" s="42">
        <f>'13. Desinvesteringen'!E424</f>
        <v>15754.34</v>
      </c>
      <c r="G422" s="37">
        <f>'13. Desinvesteringen'!G424</f>
        <v>2022</v>
      </c>
    </row>
    <row r="423" spans="2:13" s="3" customFormat="1">
      <c r="B423" s="37">
        <f>'13. Desinvesteringen'!B425</f>
        <v>406</v>
      </c>
      <c r="D423" s="37" t="str">
        <f>'13. Desinvesteringen'!C425</f>
        <v>32 M&amp;R stations</v>
      </c>
      <c r="E423" s="37">
        <f>'13. Desinvesteringen'!D425</f>
        <v>2012</v>
      </c>
      <c r="F423" s="42">
        <f>'13. Desinvesteringen'!E425</f>
        <v>386956.48760918935</v>
      </c>
      <c r="G423" s="37">
        <f>'13. Desinvesteringen'!G425</f>
        <v>2022</v>
      </c>
    </row>
    <row r="424" spans="2:13" s="3" customFormat="1">
      <c r="B424" s="37">
        <f>'13. Desinvesteringen'!B426</f>
        <v>407</v>
      </c>
      <c r="D424" s="37" t="str">
        <f>'13. Desinvesteringen'!C426</f>
        <v>34 Reduceerstations</v>
      </c>
      <c r="E424" s="37">
        <f>'13. Desinvesteringen'!D426</f>
        <v>1986</v>
      </c>
      <c r="F424" s="42">
        <f>'13. Desinvesteringen'!E426</f>
        <v>29497.66</v>
      </c>
      <c r="G424" s="37">
        <f>'13. Desinvesteringen'!G426</f>
        <v>2022</v>
      </c>
      <c r="M424" s="89"/>
    </row>
    <row r="425" spans="2:13" s="230" customFormat="1">
      <c r="B425" s="37">
        <f>'13. Desinvesteringen'!B427</f>
        <v>408</v>
      </c>
      <c r="C425" s="3"/>
      <c r="D425" s="37" t="str">
        <f>'13. Desinvesteringen'!C427</f>
        <v>01 Regionale leidingen</v>
      </c>
      <c r="E425" s="37">
        <f>'13. Desinvesteringen'!D427</f>
        <v>1954</v>
      </c>
      <c r="F425" s="42">
        <f>'13. Desinvesteringen'!E427</f>
        <v>30000</v>
      </c>
      <c r="G425" s="37">
        <f>'13. Desinvesteringen'!G427</f>
        <v>2023</v>
      </c>
    </row>
    <row r="426" spans="2:13" s="230" customFormat="1">
      <c r="B426" s="37">
        <f>'13. Desinvesteringen'!B428</f>
        <v>409</v>
      </c>
      <c r="C426" s="3"/>
      <c r="D426" s="37" t="str">
        <f>'13. Desinvesteringen'!C428</f>
        <v>01 Regionale leidingen</v>
      </c>
      <c r="E426" s="37">
        <f>'13. Desinvesteringen'!D428</f>
        <v>1955</v>
      </c>
      <c r="F426" s="42">
        <f>'13. Desinvesteringen'!E428</f>
        <v>26680</v>
      </c>
      <c r="G426" s="37">
        <f>'13. Desinvesteringen'!G428</f>
        <v>2023</v>
      </c>
    </row>
    <row r="427" spans="2:13" s="230" customFormat="1">
      <c r="B427" s="37">
        <f>'13. Desinvesteringen'!B429</f>
        <v>410</v>
      </c>
      <c r="C427" s="3"/>
      <c r="D427" s="37" t="str">
        <f>'13. Desinvesteringen'!C429</f>
        <v>01 Regionale leidingen</v>
      </c>
      <c r="E427" s="37">
        <f>'13. Desinvesteringen'!D429</f>
        <v>1958</v>
      </c>
      <c r="F427" s="42">
        <f>'13. Desinvesteringen'!E429</f>
        <v>41066</v>
      </c>
      <c r="G427" s="37">
        <f>'13. Desinvesteringen'!G429</f>
        <v>2023</v>
      </c>
    </row>
    <row r="428" spans="2:13" s="230" customFormat="1">
      <c r="B428" s="37">
        <f>'13. Desinvesteringen'!B430</f>
        <v>411</v>
      </c>
      <c r="C428" s="3"/>
      <c r="D428" s="37" t="str">
        <f>'13. Desinvesteringen'!C430</f>
        <v>01 Regionale leidingen</v>
      </c>
      <c r="E428" s="37">
        <f>'13. Desinvesteringen'!D430</f>
        <v>1959</v>
      </c>
      <c r="F428" s="42">
        <f>'13. Desinvesteringen'!E430</f>
        <v>38260</v>
      </c>
      <c r="G428" s="37">
        <f>'13. Desinvesteringen'!G430</f>
        <v>2023</v>
      </c>
    </row>
    <row r="429" spans="2:13" s="230" customFormat="1">
      <c r="B429" s="37">
        <f>'13. Desinvesteringen'!B431</f>
        <v>412</v>
      </c>
      <c r="C429" s="3"/>
      <c r="D429" s="37" t="str">
        <f>'13. Desinvesteringen'!C431</f>
        <v>01 Regionale leidingen</v>
      </c>
      <c r="E429" s="37">
        <f>'13. Desinvesteringen'!D431</f>
        <v>1965</v>
      </c>
      <c r="F429" s="42">
        <f>'13. Desinvesteringen'!E431</f>
        <v>125091</v>
      </c>
      <c r="G429" s="37">
        <f>'13. Desinvesteringen'!G431</f>
        <v>2023</v>
      </c>
    </row>
    <row r="430" spans="2:13" s="230" customFormat="1">
      <c r="B430" s="37">
        <f>'13. Desinvesteringen'!B432</f>
        <v>413</v>
      </c>
      <c r="C430" s="3"/>
      <c r="D430" s="37" t="str">
        <f>'13. Desinvesteringen'!C432</f>
        <v>01 Regionale leidingen</v>
      </c>
      <c r="E430" s="37">
        <f>'13. Desinvesteringen'!D432</f>
        <v>1966</v>
      </c>
      <c r="F430" s="42">
        <f>'13. Desinvesteringen'!E432</f>
        <v>71100</v>
      </c>
      <c r="G430" s="37">
        <f>'13. Desinvesteringen'!G432</f>
        <v>2023</v>
      </c>
    </row>
    <row r="431" spans="2:13" s="230" customFormat="1">
      <c r="B431" s="37">
        <f>'13. Desinvesteringen'!B433</f>
        <v>414</v>
      </c>
      <c r="C431" s="3"/>
      <c r="D431" s="37" t="str">
        <f>'13. Desinvesteringen'!C433</f>
        <v>01 Regionale leidingen</v>
      </c>
      <c r="E431" s="37">
        <f>'13. Desinvesteringen'!D433</f>
        <v>1967</v>
      </c>
      <c r="F431" s="42">
        <f>'13. Desinvesteringen'!E433</f>
        <v>77488</v>
      </c>
      <c r="G431" s="37">
        <f>'13. Desinvesteringen'!G433</f>
        <v>2023</v>
      </c>
    </row>
    <row r="432" spans="2:13" s="230" customFormat="1">
      <c r="B432" s="37">
        <f>'13. Desinvesteringen'!B434</f>
        <v>415</v>
      </c>
      <c r="C432" s="3"/>
      <c r="D432" s="37" t="str">
        <f>'13. Desinvesteringen'!C434</f>
        <v>01 Regionale leidingen</v>
      </c>
      <c r="E432" s="37">
        <f>'13. Desinvesteringen'!D434</f>
        <v>1968</v>
      </c>
      <c r="F432" s="42">
        <f>'13. Desinvesteringen'!E434</f>
        <v>477209</v>
      </c>
      <c r="G432" s="37">
        <f>'13. Desinvesteringen'!G434</f>
        <v>2023</v>
      </c>
    </row>
    <row r="433" spans="2:7" s="230" customFormat="1">
      <c r="B433" s="37">
        <f>'13. Desinvesteringen'!B435</f>
        <v>416</v>
      </c>
      <c r="C433" s="3"/>
      <c r="D433" s="37" t="str">
        <f>'13. Desinvesteringen'!C435</f>
        <v>01 Regionale leidingen</v>
      </c>
      <c r="E433" s="37">
        <f>'13. Desinvesteringen'!D435</f>
        <v>1969</v>
      </c>
      <c r="F433" s="42">
        <f>'13. Desinvesteringen'!E435</f>
        <v>160414</v>
      </c>
      <c r="G433" s="37">
        <f>'13. Desinvesteringen'!G435</f>
        <v>2023</v>
      </c>
    </row>
    <row r="434" spans="2:7" s="230" customFormat="1">
      <c r="B434" s="37">
        <f>'13. Desinvesteringen'!B436</f>
        <v>417</v>
      </c>
      <c r="C434" s="3"/>
      <c r="D434" s="37" t="str">
        <f>'13. Desinvesteringen'!C436</f>
        <v>01 Regionale leidingen</v>
      </c>
      <c r="E434" s="37">
        <f>'13. Desinvesteringen'!D436</f>
        <v>1970</v>
      </c>
      <c r="F434" s="42">
        <f>'13. Desinvesteringen'!E436</f>
        <v>218021</v>
      </c>
      <c r="G434" s="37">
        <f>'13. Desinvesteringen'!G436</f>
        <v>2023</v>
      </c>
    </row>
    <row r="435" spans="2:7" s="230" customFormat="1">
      <c r="B435" s="37">
        <f>'13. Desinvesteringen'!B437</f>
        <v>418</v>
      </c>
      <c r="C435" s="3"/>
      <c r="D435" s="37" t="str">
        <f>'13. Desinvesteringen'!C437</f>
        <v>01 Regionale leidingen</v>
      </c>
      <c r="E435" s="37">
        <f>'13. Desinvesteringen'!D437</f>
        <v>1971</v>
      </c>
      <c r="F435" s="42">
        <f>'13. Desinvesteringen'!E437</f>
        <v>98792</v>
      </c>
      <c r="G435" s="37">
        <f>'13. Desinvesteringen'!G437</f>
        <v>2023</v>
      </c>
    </row>
    <row r="436" spans="2:7" s="230" customFormat="1">
      <c r="B436" s="37">
        <f>'13. Desinvesteringen'!B438</f>
        <v>419</v>
      </c>
      <c r="C436" s="3"/>
      <c r="D436" s="37" t="str">
        <f>'13. Desinvesteringen'!C438</f>
        <v>01 Regionale leidingen</v>
      </c>
      <c r="E436" s="37">
        <f>'13. Desinvesteringen'!D438</f>
        <v>1972</v>
      </c>
      <c r="F436" s="42">
        <f>'13. Desinvesteringen'!E438</f>
        <v>49371</v>
      </c>
      <c r="G436" s="37">
        <f>'13. Desinvesteringen'!G438</f>
        <v>2023</v>
      </c>
    </row>
    <row r="437" spans="2:7" s="230" customFormat="1">
      <c r="B437" s="37">
        <f>'13. Desinvesteringen'!B439</f>
        <v>420</v>
      </c>
      <c r="C437" s="3"/>
      <c r="D437" s="37" t="str">
        <f>'13. Desinvesteringen'!C439</f>
        <v>01 Regionale leidingen</v>
      </c>
      <c r="E437" s="37">
        <f>'13. Desinvesteringen'!D439</f>
        <v>1973</v>
      </c>
      <c r="F437" s="42">
        <f>'13. Desinvesteringen'!E439</f>
        <v>35155</v>
      </c>
      <c r="G437" s="37">
        <f>'13. Desinvesteringen'!G439</f>
        <v>2023</v>
      </c>
    </row>
    <row r="438" spans="2:7" s="230" customFormat="1">
      <c r="B438" s="37">
        <f>'13. Desinvesteringen'!B440</f>
        <v>421</v>
      </c>
      <c r="C438" s="3"/>
      <c r="D438" s="37" t="str">
        <f>'13. Desinvesteringen'!C440</f>
        <v>01 Regionale leidingen</v>
      </c>
      <c r="E438" s="37">
        <f>'13. Desinvesteringen'!D440</f>
        <v>1985</v>
      </c>
      <c r="F438" s="42">
        <f>'13. Desinvesteringen'!E440</f>
        <v>4444</v>
      </c>
      <c r="G438" s="37">
        <f>'13. Desinvesteringen'!G440</f>
        <v>2023</v>
      </c>
    </row>
    <row r="439" spans="2:7" s="230" customFormat="1">
      <c r="B439" s="37">
        <f>'13. Desinvesteringen'!B441</f>
        <v>422</v>
      </c>
      <c r="C439" s="3"/>
      <c r="D439" s="37" t="str">
        <f>'13. Desinvesteringen'!C441</f>
        <v>01 Regionale leidingen</v>
      </c>
      <c r="E439" s="37">
        <f>'13. Desinvesteringen'!D441</f>
        <v>1988</v>
      </c>
      <c r="F439" s="42">
        <f>'13. Desinvesteringen'!E441</f>
        <v>1378</v>
      </c>
      <c r="G439" s="37">
        <f>'13. Desinvesteringen'!G441</f>
        <v>2023</v>
      </c>
    </row>
    <row r="440" spans="2:7" s="230" customFormat="1">
      <c r="B440" s="37">
        <f>'13. Desinvesteringen'!B442</f>
        <v>423</v>
      </c>
      <c r="C440" s="3"/>
      <c r="D440" s="37" t="str">
        <f>'13. Desinvesteringen'!C442</f>
        <v>01 Regionale leidingen</v>
      </c>
      <c r="E440" s="37">
        <f>'13. Desinvesteringen'!D442</f>
        <v>1989</v>
      </c>
      <c r="F440" s="42">
        <f>'13. Desinvesteringen'!E442</f>
        <v>2017</v>
      </c>
      <c r="G440" s="37">
        <f>'13. Desinvesteringen'!G442</f>
        <v>2023</v>
      </c>
    </row>
    <row r="441" spans="2:7" s="230" customFormat="1">
      <c r="B441" s="37">
        <f>'13. Desinvesteringen'!B443</f>
        <v>424</v>
      </c>
      <c r="C441" s="3"/>
      <c r="D441" s="37" t="str">
        <f>'13. Desinvesteringen'!C443</f>
        <v>01 Regionale leidingen</v>
      </c>
      <c r="E441" s="37">
        <f>'13. Desinvesteringen'!D443</f>
        <v>1992</v>
      </c>
      <c r="F441" s="42">
        <f>'13. Desinvesteringen'!E443</f>
        <v>8976</v>
      </c>
      <c r="G441" s="37">
        <f>'13. Desinvesteringen'!G443</f>
        <v>2023</v>
      </c>
    </row>
    <row r="442" spans="2:7" s="230" customFormat="1">
      <c r="B442" s="37">
        <f>'13. Desinvesteringen'!B444</f>
        <v>425</v>
      </c>
      <c r="C442" s="3"/>
      <c r="D442" s="37" t="str">
        <f>'13. Desinvesteringen'!C444</f>
        <v>01 Regionale leidingen</v>
      </c>
      <c r="E442" s="37">
        <f>'13. Desinvesteringen'!D444</f>
        <v>1993</v>
      </c>
      <c r="F442" s="42">
        <f>'13. Desinvesteringen'!E444</f>
        <v>168038</v>
      </c>
      <c r="G442" s="37">
        <f>'13. Desinvesteringen'!G444</f>
        <v>2023</v>
      </c>
    </row>
    <row r="443" spans="2:7" s="230" customFormat="1">
      <c r="B443" s="37">
        <f>'13. Desinvesteringen'!B445</f>
        <v>426</v>
      </c>
      <c r="C443" s="3"/>
      <c r="D443" s="37" t="str">
        <f>'13. Desinvesteringen'!C445</f>
        <v>01 Regionale leidingen</v>
      </c>
      <c r="E443" s="37">
        <f>'13. Desinvesteringen'!D445</f>
        <v>1998</v>
      </c>
      <c r="F443" s="42">
        <f>'13. Desinvesteringen'!E445</f>
        <v>0</v>
      </c>
      <c r="G443" s="37">
        <f>'13. Desinvesteringen'!G445</f>
        <v>2023</v>
      </c>
    </row>
    <row r="444" spans="2:7" s="230" customFormat="1">
      <c r="B444" s="37">
        <f>'13. Desinvesteringen'!B446</f>
        <v>427</v>
      </c>
      <c r="C444" s="3"/>
      <c r="D444" s="37" t="str">
        <f>'13. Desinvesteringen'!C446</f>
        <v>01 Regionale leidingen</v>
      </c>
      <c r="E444" s="37">
        <f>'13. Desinvesteringen'!D446</f>
        <v>1999</v>
      </c>
      <c r="F444" s="42">
        <f>'13. Desinvesteringen'!E446</f>
        <v>34291</v>
      </c>
      <c r="G444" s="37">
        <f>'13. Desinvesteringen'!G446</f>
        <v>2023</v>
      </c>
    </row>
    <row r="445" spans="2:7" s="230" customFormat="1">
      <c r="B445" s="37">
        <f>'13. Desinvesteringen'!B447</f>
        <v>428</v>
      </c>
      <c r="C445" s="3"/>
      <c r="D445" s="37" t="str">
        <f>'13. Desinvesteringen'!C447</f>
        <v>01 Regionale leidingen</v>
      </c>
      <c r="E445" s="37">
        <f>'13. Desinvesteringen'!D447</f>
        <v>2002</v>
      </c>
      <c r="F445" s="42">
        <f>'13. Desinvesteringen'!E447</f>
        <v>15500</v>
      </c>
      <c r="G445" s="37">
        <f>'13. Desinvesteringen'!G447</f>
        <v>2023</v>
      </c>
    </row>
    <row r="446" spans="2:7" s="230" customFormat="1">
      <c r="B446" s="37">
        <f>'13. Desinvesteringen'!B448</f>
        <v>429</v>
      </c>
      <c r="C446" s="3"/>
      <c r="D446" s="37" t="str">
        <f>'13. Desinvesteringen'!C448</f>
        <v>01 Regionale leidingen</v>
      </c>
      <c r="E446" s="37">
        <f>'13. Desinvesteringen'!D448</f>
        <v>2004</v>
      </c>
      <c r="F446" s="42">
        <f>'13. Desinvesteringen'!E448</f>
        <v>43774</v>
      </c>
      <c r="G446" s="37">
        <f>'13. Desinvesteringen'!G448</f>
        <v>2023</v>
      </c>
    </row>
    <row r="447" spans="2:7" s="230" customFormat="1">
      <c r="B447" s="37">
        <f>'13. Desinvesteringen'!B449</f>
        <v>430</v>
      </c>
      <c r="C447" s="3"/>
      <c r="D447" s="37" t="str">
        <f>'13. Desinvesteringen'!C449</f>
        <v>01 Regionale leidingen</v>
      </c>
      <c r="E447" s="37">
        <f>'13. Desinvesteringen'!D449</f>
        <v>2005</v>
      </c>
      <c r="F447" s="42">
        <f>'13. Desinvesteringen'!E449</f>
        <v>54999</v>
      </c>
      <c r="G447" s="37">
        <f>'13. Desinvesteringen'!G449</f>
        <v>2023</v>
      </c>
    </row>
    <row r="448" spans="2:7" s="230" customFormat="1">
      <c r="B448" s="37">
        <f>'13. Desinvesteringen'!B450</f>
        <v>431</v>
      </c>
      <c r="C448" s="3"/>
      <c r="D448" s="37" t="str">
        <f>'13. Desinvesteringen'!C450</f>
        <v>01 Regionale leidingen</v>
      </c>
      <c r="E448" s="37">
        <f>'13. Desinvesteringen'!D450</f>
        <v>2006</v>
      </c>
      <c r="F448" s="42">
        <f>'13. Desinvesteringen'!E450</f>
        <v>10076</v>
      </c>
      <c r="G448" s="37">
        <f>'13. Desinvesteringen'!G450</f>
        <v>2023</v>
      </c>
    </row>
    <row r="449" spans="2:7" s="230" customFormat="1">
      <c r="B449" s="37">
        <f>'13. Desinvesteringen'!B451</f>
        <v>432</v>
      </c>
      <c r="C449" s="3"/>
      <c r="D449" s="37" t="str">
        <f>'13. Desinvesteringen'!C451</f>
        <v>01 Regionale leidingen</v>
      </c>
      <c r="E449" s="37">
        <f>'13. Desinvesteringen'!D451</f>
        <v>2009</v>
      </c>
      <c r="F449" s="42">
        <f>'13. Desinvesteringen'!E451</f>
        <v>378063</v>
      </c>
      <c r="G449" s="37">
        <f>'13. Desinvesteringen'!G451</f>
        <v>2023</v>
      </c>
    </row>
    <row r="450" spans="2:7" s="230" customFormat="1">
      <c r="B450" s="37">
        <f>'13. Desinvesteringen'!B452</f>
        <v>433</v>
      </c>
      <c r="C450" s="3"/>
      <c r="D450" s="37" t="str">
        <f>'13. Desinvesteringen'!C452</f>
        <v>01 Regionale leidingen</v>
      </c>
      <c r="E450" s="37">
        <f>'13. Desinvesteringen'!D452</f>
        <v>2011</v>
      </c>
      <c r="F450" s="42">
        <f>'13. Desinvesteringen'!E452</f>
        <v>17627</v>
      </c>
      <c r="G450" s="37">
        <f>'13. Desinvesteringen'!G452</f>
        <v>2023</v>
      </c>
    </row>
    <row r="451" spans="2:7" s="230" customFormat="1">
      <c r="B451" s="37">
        <f>'13. Desinvesteringen'!B453</f>
        <v>434</v>
      </c>
      <c r="C451" s="3"/>
      <c r="D451" s="37" t="str">
        <f>'13. Desinvesteringen'!C453</f>
        <v>01 Regionale leidingen</v>
      </c>
      <c r="E451" s="37">
        <f>'13. Desinvesteringen'!D453</f>
        <v>2012</v>
      </c>
      <c r="F451" s="42">
        <f>'13. Desinvesteringen'!E453</f>
        <v>388523</v>
      </c>
      <c r="G451" s="37">
        <f>'13. Desinvesteringen'!G453</f>
        <v>2023</v>
      </c>
    </row>
    <row r="452" spans="2:7" s="230" customFormat="1">
      <c r="B452" s="37">
        <f>'13. Desinvesteringen'!B454</f>
        <v>435</v>
      </c>
      <c r="C452" s="3"/>
      <c r="D452" s="37" t="str">
        <f>'13. Desinvesteringen'!C454</f>
        <v>02 Gasontvangststations</v>
      </c>
      <c r="E452" s="37">
        <f>'13. Desinvesteringen'!D454</f>
        <v>1965</v>
      </c>
      <c r="F452" s="42">
        <f>'13. Desinvesteringen'!E454</f>
        <v>15848</v>
      </c>
      <c r="G452" s="37">
        <f>'13. Desinvesteringen'!G454</f>
        <v>2023</v>
      </c>
    </row>
    <row r="453" spans="2:7" s="230" customFormat="1">
      <c r="B453" s="37">
        <f>'13. Desinvesteringen'!B455</f>
        <v>436</v>
      </c>
      <c r="C453" s="3"/>
      <c r="D453" s="37" t="str">
        <f>'13. Desinvesteringen'!C455</f>
        <v>02 Gasontvangststations</v>
      </c>
      <c r="E453" s="37">
        <f>'13. Desinvesteringen'!D455</f>
        <v>1966</v>
      </c>
      <c r="F453" s="42">
        <f>'13. Desinvesteringen'!E455</f>
        <v>120953</v>
      </c>
      <c r="G453" s="37">
        <f>'13. Desinvesteringen'!G455</f>
        <v>2023</v>
      </c>
    </row>
    <row r="454" spans="2:7" s="230" customFormat="1">
      <c r="B454" s="37">
        <f>'13. Desinvesteringen'!B456</f>
        <v>437</v>
      </c>
      <c r="C454" s="3"/>
      <c r="D454" s="37" t="str">
        <f>'13. Desinvesteringen'!C456</f>
        <v>02 Gasontvangststations</v>
      </c>
      <c r="E454" s="37">
        <f>'13. Desinvesteringen'!D456</f>
        <v>1967</v>
      </c>
      <c r="F454" s="42">
        <f>'13. Desinvesteringen'!E456</f>
        <v>165153</v>
      </c>
      <c r="G454" s="37">
        <f>'13. Desinvesteringen'!G456</f>
        <v>2023</v>
      </c>
    </row>
    <row r="455" spans="2:7" s="230" customFormat="1">
      <c r="B455" s="37">
        <f>'13. Desinvesteringen'!B457</f>
        <v>438</v>
      </c>
      <c r="C455" s="3"/>
      <c r="D455" s="37" t="str">
        <f>'13. Desinvesteringen'!C457</f>
        <v>02 Gasontvangststations</v>
      </c>
      <c r="E455" s="37">
        <f>'13. Desinvesteringen'!D457</f>
        <v>1968</v>
      </c>
      <c r="F455" s="42">
        <f>'13. Desinvesteringen'!E457</f>
        <v>28853</v>
      </c>
      <c r="G455" s="37">
        <f>'13. Desinvesteringen'!G457</f>
        <v>2023</v>
      </c>
    </row>
    <row r="456" spans="2:7" s="230" customFormat="1">
      <c r="B456" s="37">
        <f>'13. Desinvesteringen'!B458</f>
        <v>439</v>
      </c>
      <c r="C456" s="3"/>
      <c r="D456" s="37" t="str">
        <f>'13. Desinvesteringen'!C458</f>
        <v>02 Gasontvangststations</v>
      </c>
      <c r="E456" s="37">
        <f>'13. Desinvesteringen'!D458</f>
        <v>1969</v>
      </c>
      <c r="F456" s="42">
        <f>'13. Desinvesteringen'!E458</f>
        <v>89836</v>
      </c>
      <c r="G456" s="37">
        <f>'13. Desinvesteringen'!G458</f>
        <v>2023</v>
      </c>
    </row>
    <row r="457" spans="2:7" s="230" customFormat="1">
      <c r="B457" s="37">
        <f>'13. Desinvesteringen'!B459</f>
        <v>440</v>
      </c>
      <c r="C457" s="3"/>
      <c r="D457" s="37" t="str">
        <f>'13. Desinvesteringen'!C459</f>
        <v>02 Gasontvangststations</v>
      </c>
      <c r="E457" s="37">
        <f>'13. Desinvesteringen'!D459</f>
        <v>1970</v>
      </c>
      <c r="F457" s="42">
        <f>'13. Desinvesteringen'!E459</f>
        <v>72338</v>
      </c>
      <c r="G457" s="37">
        <f>'13. Desinvesteringen'!G459</f>
        <v>2023</v>
      </c>
    </row>
    <row r="458" spans="2:7" s="230" customFormat="1">
      <c r="B458" s="37">
        <f>'13. Desinvesteringen'!B460</f>
        <v>441</v>
      </c>
      <c r="C458" s="3"/>
      <c r="D458" s="37" t="str">
        <f>'13. Desinvesteringen'!C460</f>
        <v>02 Gasontvangststations</v>
      </c>
      <c r="E458" s="37">
        <f>'13. Desinvesteringen'!D460</f>
        <v>1971</v>
      </c>
      <c r="F458" s="42">
        <f>'13. Desinvesteringen'!E460</f>
        <v>139522</v>
      </c>
      <c r="G458" s="37">
        <f>'13. Desinvesteringen'!G460</f>
        <v>2023</v>
      </c>
    </row>
    <row r="459" spans="2:7" s="230" customFormat="1">
      <c r="B459" s="37">
        <f>'13. Desinvesteringen'!B461</f>
        <v>442</v>
      </c>
      <c r="C459" s="3"/>
      <c r="D459" s="37" t="str">
        <f>'13. Desinvesteringen'!C461</f>
        <v>02 Gasontvangststations</v>
      </c>
      <c r="E459" s="37">
        <f>'13. Desinvesteringen'!D461</f>
        <v>1972</v>
      </c>
      <c r="F459" s="42">
        <f>'13. Desinvesteringen'!E461</f>
        <v>67745</v>
      </c>
      <c r="G459" s="37">
        <f>'13. Desinvesteringen'!G461</f>
        <v>2023</v>
      </c>
    </row>
    <row r="460" spans="2:7" s="230" customFormat="1">
      <c r="B460" s="37">
        <f>'13. Desinvesteringen'!B462</f>
        <v>443</v>
      </c>
      <c r="C460" s="3"/>
      <c r="D460" s="37" t="str">
        <f>'13. Desinvesteringen'!C462</f>
        <v>02 Gasontvangststations</v>
      </c>
      <c r="E460" s="37">
        <f>'13. Desinvesteringen'!D462</f>
        <v>1973</v>
      </c>
      <c r="F460" s="42">
        <f>'13. Desinvesteringen'!E462</f>
        <v>44525</v>
      </c>
      <c r="G460" s="37">
        <f>'13. Desinvesteringen'!G462</f>
        <v>2023</v>
      </c>
    </row>
    <row r="461" spans="2:7" s="230" customFormat="1">
      <c r="B461" s="37">
        <f>'13. Desinvesteringen'!B463</f>
        <v>444</v>
      </c>
      <c r="C461" s="3"/>
      <c r="D461" s="37" t="str">
        <f>'13. Desinvesteringen'!C463</f>
        <v>02 Gasontvangststations</v>
      </c>
      <c r="E461" s="37">
        <f>'13. Desinvesteringen'!D463</f>
        <v>1974</v>
      </c>
      <c r="F461" s="42">
        <f>'13. Desinvesteringen'!E463</f>
        <v>39757</v>
      </c>
      <c r="G461" s="37">
        <f>'13. Desinvesteringen'!G463</f>
        <v>2023</v>
      </c>
    </row>
    <row r="462" spans="2:7" s="230" customFormat="1">
      <c r="B462" s="37">
        <f>'13. Desinvesteringen'!B464</f>
        <v>445</v>
      </c>
      <c r="C462" s="3"/>
      <c r="D462" s="37" t="str">
        <f>'13. Desinvesteringen'!C464</f>
        <v>02 Gasontvangststations</v>
      </c>
      <c r="E462" s="37">
        <f>'13. Desinvesteringen'!D464</f>
        <v>1976</v>
      </c>
      <c r="F462" s="42">
        <f>'13. Desinvesteringen'!E464</f>
        <v>3452</v>
      </c>
      <c r="G462" s="37">
        <f>'13. Desinvesteringen'!G464</f>
        <v>2023</v>
      </c>
    </row>
    <row r="463" spans="2:7" s="230" customFormat="1">
      <c r="B463" s="37">
        <f>'13. Desinvesteringen'!B465</f>
        <v>446</v>
      </c>
      <c r="C463" s="3"/>
      <c r="D463" s="37" t="str">
        <f>'13. Desinvesteringen'!C465</f>
        <v>02 Gasontvangststations</v>
      </c>
      <c r="E463" s="37">
        <f>'13. Desinvesteringen'!D465</f>
        <v>1979</v>
      </c>
      <c r="F463" s="42">
        <f>'13. Desinvesteringen'!E465</f>
        <v>44473</v>
      </c>
      <c r="G463" s="37">
        <f>'13. Desinvesteringen'!G465</f>
        <v>2023</v>
      </c>
    </row>
    <row r="464" spans="2:7" s="230" customFormat="1">
      <c r="B464" s="37">
        <f>'13. Desinvesteringen'!B466</f>
        <v>447</v>
      </c>
      <c r="C464" s="3"/>
      <c r="D464" s="37" t="str">
        <f>'13. Desinvesteringen'!C466</f>
        <v>02 Gasontvangststations</v>
      </c>
      <c r="E464" s="37">
        <f>'13. Desinvesteringen'!D466</f>
        <v>1980</v>
      </c>
      <c r="F464" s="42">
        <f>'13. Desinvesteringen'!E466</f>
        <v>55424</v>
      </c>
      <c r="G464" s="37">
        <f>'13. Desinvesteringen'!G466</f>
        <v>2023</v>
      </c>
    </row>
    <row r="465" spans="2:7" s="230" customFormat="1">
      <c r="B465" s="37">
        <f>'13. Desinvesteringen'!B467</f>
        <v>448</v>
      </c>
      <c r="C465" s="3"/>
      <c r="D465" s="37" t="str">
        <f>'13. Desinvesteringen'!C467</f>
        <v>02 Gasontvangststations</v>
      </c>
      <c r="E465" s="37">
        <f>'13. Desinvesteringen'!D467</f>
        <v>1983</v>
      </c>
      <c r="F465" s="42">
        <f>'13. Desinvesteringen'!E467</f>
        <v>83092</v>
      </c>
      <c r="G465" s="37">
        <f>'13. Desinvesteringen'!G467</f>
        <v>2023</v>
      </c>
    </row>
    <row r="466" spans="2:7" s="230" customFormat="1">
      <c r="B466" s="37">
        <f>'13. Desinvesteringen'!B468</f>
        <v>449</v>
      </c>
      <c r="C466" s="3"/>
      <c r="D466" s="37" t="str">
        <f>'13. Desinvesteringen'!C468</f>
        <v>02 Gasontvangststations</v>
      </c>
      <c r="E466" s="37">
        <f>'13. Desinvesteringen'!D468</f>
        <v>1986</v>
      </c>
      <c r="F466" s="42">
        <f>'13. Desinvesteringen'!E468</f>
        <v>7736</v>
      </c>
      <c r="G466" s="37">
        <f>'13. Desinvesteringen'!G468</f>
        <v>2023</v>
      </c>
    </row>
    <row r="467" spans="2:7" s="230" customFormat="1">
      <c r="B467" s="37">
        <f>'13. Desinvesteringen'!B469</f>
        <v>450</v>
      </c>
      <c r="C467" s="3"/>
      <c r="D467" s="37" t="str">
        <f>'13. Desinvesteringen'!C469</f>
        <v>02 Gasontvangststations</v>
      </c>
      <c r="E467" s="37">
        <f>'13. Desinvesteringen'!D469</f>
        <v>1990</v>
      </c>
      <c r="F467" s="42">
        <f>'13. Desinvesteringen'!E469</f>
        <v>2988</v>
      </c>
      <c r="G467" s="37">
        <f>'13. Desinvesteringen'!G469</f>
        <v>2023</v>
      </c>
    </row>
    <row r="468" spans="2:7" s="230" customFormat="1">
      <c r="B468" s="37">
        <f>'13. Desinvesteringen'!B470</f>
        <v>451</v>
      </c>
      <c r="C468" s="3"/>
      <c r="D468" s="37" t="str">
        <f>'13. Desinvesteringen'!C470</f>
        <v>02 Gasontvangststations</v>
      </c>
      <c r="E468" s="37">
        <f>'13. Desinvesteringen'!D470</f>
        <v>1992</v>
      </c>
      <c r="F468" s="42">
        <f>'13. Desinvesteringen'!E470</f>
        <v>6529</v>
      </c>
      <c r="G468" s="37">
        <f>'13. Desinvesteringen'!G470</f>
        <v>2023</v>
      </c>
    </row>
    <row r="469" spans="2:7" s="230" customFormat="1">
      <c r="B469" s="37">
        <f>'13. Desinvesteringen'!B471</f>
        <v>452</v>
      </c>
      <c r="C469" s="3"/>
      <c r="D469" s="37" t="str">
        <f>'13. Desinvesteringen'!C471</f>
        <v>02 Gasontvangststations</v>
      </c>
      <c r="E469" s="37">
        <f>'13. Desinvesteringen'!D471</f>
        <v>1993</v>
      </c>
      <c r="F469" s="42">
        <f>'13. Desinvesteringen'!E471</f>
        <v>204300</v>
      </c>
      <c r="G469" s="37">
        <f>'13. Desinvesteringen'!G471</f>
        <v>2023</v>
      </c>
    </row>
    <row r="470" spans="2:7" s="230" customFormat="1">
      <c r="B470" s="37">
        <f>'13. Desinvesteringen'!B472</f>
        <v>453</v>
      </c>
      <c r="C470" s="3"/>
      <c r="D470" s="37" t="str">
        <f>'13. Desinvesteringen'!C472</f>
        <v>02 Gasontvangststations</v>
      </c>
      <c r="E470" s="37">
        <f>'13. Desinvesteringen'!D472</f>
        <v>1995</v>
      </c>
      <c r="F470" s="42">
        <f>'13. Desinvesteringen'!E472</f>
        <v>9078</v>
      </c>
      <c r="G470" s="37">
        <f>'13. Desinvesteringen'!G472</f>
        <v>2023</v>
      </c>
    </row>
    <row r="471" spans="2:7" s="230" customFormat="1">
      <c r="B471" s="37">
        <f>'13. Desinvesteringen'!B473</f>
        <v>454</v>
      </c>
      <c r="C471" s="3"/>
      <c r="D471" s="37" t="str">
        <f>'13. Desinvesteringen'!C473</f>
        <v>02 Gasontvangststations</v>
      </c>
      <c r="E471" s="37">
        <f>'13. Desinvesteringen'!D473</f>
        <v>1997</v>
      </c>
      <c r="F471" s="42">
        <f>'13. Desinvesteringen'!E473</f>
        <v>9837</v>
      </c>
      <c r="G471" s="37">
        <f>'13. Desinvesteringen'!G473</f>
        <v>2023</v>
      </c>
    </row>
    <row r="472" spans="2:7" s="230" customFormat="1">
      <c r="B472" s="37">
        <f>'13. Desinvesteringen'!B474</f>
        <v>455</v>
      </c>
      <c r="C472" s="3"/>
      <c r="D472" s="37" t="str">
        <f>'13. Desinvesteringen'!C474</f>
        <v>02 Gasontvangststations</v>
      </c>
      <c r="E472" s="37">
        <f>'13. Desinvesteringen'!D474</f>
        <v>2003</v>
      </c>
      <c r="F472" s="42">
        <f>'13. Desinvesteringen'!E474</f>
        <v>18238</v>
      </c>
      <c r="G472" s="37">
        <f>'13. Desinvesteringen'!G474</f>
        <v>2023</v>
      </c>
    </row>
    <row r="473" spans="2:7" s="230" customFormat="1">
      <c r="B473" s="37">
        <f>'13. Desinvesteringen'!B475</f>
        <v>456</v>
      </c>
      <c r="C473" s="3"/>
      <c r="D473" s="37" t="str">
        <f>'13. Desinvesteringen'!C475</f>
        <v>02 Gasontvangststations</v>
      </c>
      <c r="E473" s="37">
        <f>'13. Desinvesteringen'!D475</f>
        <v>2005</v>
      </c>
      <c r="F473" s="42">
        <f>'13. Desinvesteringen'!E475</f>
        <v>24460</v>
      </c>
      <c r="G473" s="37">
        <f>'13. Desinvesteringen'!G475</f>
        <v>2023</v>
      </c>
    </row>
    <row r="474" spans="2:7" s="230" customFormat="1">
      <c r="B474" s="37">
        <f>'13. Desinvesteringen'!B476</f>
        <v>457</v>
      </c>
      <c r="C474" s="3"/>
      <c r="D474" s="37" t="str">
        <f>'13. Desinvesteringen'!C476</f>
        <v>02 Gasontvangststations</v>
      </c>
      <c r="E474" s="37">
        <f>'13. Desinvesteringen'!D476</f>
        <v>2007</v>
      </c>
      <c r="F474" s="42">
        <f>'13. Desinvesteringen'!E476</f>
        <v>58086</v>
      </c>
      <c r="G474" s="37">
        <f>'13. Desinvesteringen'!G476</f>
        <v>2023</v>
      </c>
    </row>
    <row r="475" spans="2:7" s="230" customFormat="1">
      <c r="B475" s="37">
        <f>'13. Desinvesteringen'!B477</f>
        <v>458</v>
      </c>
      <c r="C475" s="3"/>
      <c r="D475" s="37" t="str">
        <f>'13. Desinvesteringen'!C477</f>
        <v>02 Gasontvangststations</v>
      </c>
      <c r="E475" s="37">
        <f>'13. Desinvesteringen'!D477</f>
        <v>2009</v>
      </c>
      <c r="F475" s="42">
        <f>'13. Desinvesteringen'!E477</f>
        <v>26309</v>
      </c>
      <c r="G475" s="37">
        <f>'13. Desinvesteringen'!G477</f>
        <v>2023</v>
      </c>
    </row>
    <row r="476" spans="2:7" s="230" customFormat="1">
      <c r="B476" s="37">
        <f>'13. Desinvesteringen'!B478</f>
        <v>459</v>
      </c>
      <c r="C476" s="3"/>
      <c r="D476" s="37" t="str">
        <f>'13. Desinvesteringen'!C478</f>
        <v>06 Utiliteitsgebouwen</v>
      </c>
      <c r="E476" s="37">
        <f>'13. Desinvesteringen'!D478</f>
        <v>2007</v>
      </c>
      <c r="F476" s="42">
        <f>'13. Desinvesteringen'!E478</f>
        <v>70174</v>
      </c>
      <c r="G476" s="37">
        <f>'13. Desinvesteringen'!G478</f>
        <v>2023</v>
      </c>
    </row>
    <row r="477" spans="2:7" s="230" customFormat="1">
      <c r="B477" s="37">
        <f>'13. Desinvesteringen'!B479</f>
        <v>460</v>
      </c>
      <c r="C477" s="3"/>
      <c r="D477" s="37" t="str">
        <f>'13. Desinvesteringen'!C479</f>
        <v>09 Bedrijfsinventaris</v>
      </c>
      <c r="E477" s="37">
        <f>'13. Desinvesteringen'!D479</f>
        <v>2003</v>
      </c>
      <c r="F477" s="42">
        <f>'13. Desinvesteringen'!E479</f>
        <v>5550</v>
      </c>
      <c r="G477" s="37">
        <f>'13. Desinvesteringen'!G479</f>
        <v>2023</v>
      </c>
    </row>
    <row r="478" spans="2:7" s="230" customFormat="1">
      <c r="B478" s="37">
        <f>'13. Desinvesteringen'!B480</f>
        <v>461</v>
      </c>
      <c r="C478" s="3"/>
      <c r="D478" s="37" t="str">
        <f>'13. Desinvesteringen'!C480</f>
        <v>15 Compressorstations (KC)</v>
      </c>
      <c r="E478" s="37">
        <f>'13. Desinvesteringen'!D480</f>
        <v>1970</v>
      </c>
      <c r="F478" s="42">
        <f>'13. Desinvesteringen'!E480</f>
        <v>37182</v>
      </c>
      <c r="G478" s="37">
        <f>'13. Desinvesteringen'!G480</f>
        <v>2023</v>
      </c>
    </row>
    <row r="479" spans="2:7" s="230" customFormat="1">
      <c r="B479" s="37">
        <f>'13. Desinvesteringen'!B481</f>
        <v>462</v>
      </c>
      <c r="C479" s="3"/>
      <c r="D479" s="37" t="str">
        <f>'13. Desinvesteringen'!C481</f>
        <v>15 Compressorstations (KC)</v>
      </c>
      <c r="E479" s="37">
        <f>'13. Desinvesteringen'!D481</f>
        <v>1971</v>
      </c>
      <c r="F479" s="42">
        <f>'13. Desinvesteringen'!E481</f>
        <v>5302</v>
      </c>
      <c r="G479" s="37">
        <f>'13. Desinvesteringen'!G481</f>
        <v>2023</v>
      </c>
    </row>
    <row r="480" spans="2:7" s="230" customFormat="1">
      <c r="B480" s="37">
        <f>'13. Desinvesteringen'!B482</f>
        <v>463</v>
      </c>
      <c r="C480" s="3"/>
      <c r="D480" s="37" t="str">
        <f>'13. Desinvesteringen'!C482</f>
        <v>15 Compressorstations (TT-BT-AT)</v>
      </c>
      <c r="E480" s="37">
        <f>'13. Desinvesteringen'!D482</f>
        <v>1970</v>
      </c>
      <c r="F480" s="42">
        <f>'13. Desinvesteringen'!E482</f>
        <v>386046</v>
      </c>
      <c r="G480" s="37">
        <f>'13. Desinvesteringen'!G482</f>
        <v>2023</v>
      </c>
    </row>
    <row r="481" spans="2:7" s="230" customFormat="1">
      <c r="B481" s="37">
        <f>'13. Desinvesteringen'!B483</f>
        <v>464</v>
      </c>
      <c r="C481" s="3"/>
      <c r="D481" s="37" t="str">
        <f>'13. Desinvesteringen'!C483</f>
        <v>15 Compressorstations (TT-BT-AT)</v>
      </c>
      <c r="E481" s="37">
        <f>'13. Desinvesteringen'!D483</f>
        <v>1971</v>
      </c>
      <c r="F481" s="42">
        <f>'13. Desinvesteringen'!E483</f>
        <v>17164</v>
      </c>
      <c r="G481" s="37">
        <f>'13. Desinvesteringen'!G483</f>
        <v>2023</v>
      </c>
    </row>
    <row r="482" spans="2:7" s="230" customFormat="1">
      <c r="B482" s="37">
        <f>'13. Desinvesteringen'!B484</f>
        <v>465</v>
      </c>
      <c r="C482" s="3"/>
      <c r="D482" s="37" t="str">
        <f>'13. Desinvesteringen'!C484</f>
        <v>15 Compressorstations (TT-BT-AT)</v>
      </c>
      <c r="E482" s="37">
        <f>'13. Desinvesteringen'!D484</f>
        <v>1973</v>
      </c>
      <c r="F482" s="42">
        <f>'13. Desinvesteringen'!E484</f>
        <v>15941</v>
      </c>
      <c r="G482" s="37">
        <f>'13. Desinvesteringen'!G484</f>
        <v>2023</v>
      </c>
    </row>
    <row r="483" spans="2:7" s="230" customFormat="1">
      <c r="B483" s="37">
        <f>'13. Desinvesteringen'!B485</f>
        <v>466</v>
      </c>
      <c r="C483" s="3"/>
      <c r="D483" s="37" t="str">
        <f>'13. Desinvesteringen'!C485</f>
        <v>15 Compressorstations (TT-BT-AT)</v>
      </c>
      <c r="E483" s="37">
        <f>'13. Desinvesteringen'!D485</f>
        <v>1974</v>
      </c>
      <c r="F483" s="42">
        <f>'13. Desinvesteringen'!E485</f>
        <v>14358</v>
      </c>
      <c r="G483" s="37">
        <f>'13. Desinvesteringen'!G485</f>
        <v>2023</v>
      </c>
    </row>
    <row r="484" spans="2:7" s="230" customFormat="1">
      <c r="B484" s="37">
        <f>'13. Desinvesteringen'!B486</f>
        <v>467</v>
      </c>
      <c r="C484" s="3"/>
      <c r="D484" s="37" t="str">
        <f>'13. Desinvesteringen'!C486</f>
        <v>15 Compressorstations (TT-BT-AT)</v>
      </c>
      <c r="E484" s="37">
        <f>'13. Desinvesteringen'!D486</f>
        <v>1977</v>
      </c>
      <c r="F484" s="42">
        <f>'13. Desinvesteringen'!E486</f>
        <v>5493996</v>
      </c>
      <c r="G484" s="37">
        <f>'13. Desinvesteringen'!G486</f>
        <v>2023</v>
      </c>
    </row>
    <row r="485" spans="2:7" s="230" customFormat="1">
      <c r="B485" s="37">
        <f>'13. Desinvesteringen'!B487</f>
        <v>468</v>
      </c>
      <c r="C485" s="3"/>
      <c r="D485" s="37" t="str">
        <f>'13. Desinvesteringen'!C487</f>
        <v>15 Compressorstations (TT-BT-AT)</v>
      </c>
      <c r="E485" s="37">
        <f>'13. Desinvesteringen'!D487</f>
        <v>1978</v>
      </c>
      <c r="F485" s="42">
        <f>'13. Desinvesteringen'!E487</f>
        <v>488039</v>
      </c>
      <c r="G485" s="37">
        <f>'13. Desinvesteringen'!G487</f>
        <v>2023</v>
      </c>
    </row>
    <row r="486" spans="2:7" s="230" customFormat="1">
      <c r="B486" s="37">
        <f>'13. Desinvesteringen'!B488</f>
        <v>469</v>
      </c>
      <c r="C486" s="3"/>
      <c r="D486" s="37" t="str">
        <f>'13. Desinvesteringen'!C488</f>
        <v>15 Compressorstations (TT-BT-AT)</v>
      </c>
      <c r="E486" s="37">
        <f>'13. Desinvesteringen'!D488</f>
        <v>1980</v>
      </c>
      <c r="F486" s="42">
        <f>'13. Desinvesteringen'!E488</f>
        <v>1219567</v>
      </c>
      <c r="G486" s="37">
        <f>'13. Desinvesteringen'!G488</f>
        <v>2023</v>
      </c>
    </row>
    <row r="487" spans="2:7" s="230" customFormat="1">
      <c r="B487" s="37">
        <f>'13. Desinvesteringen'!B489</f>
        <v>470</v>
      </c>
      <c r="C487" s="3"/>
      <c r="D487" s="37" t="str">
        <f>'13. Desinvesteringen'!C489</f>
        <v>15 Compressorstations (TT-BT-AT)</v>
      </c>
      <c r="E487" s="37">
        <f>'13. Desinvesteringen'!D489</f>
        <v>1989</v>
      </c>
      <c r="F487" s="42">
        <f>'13. Desinvesteringen'!E489</f>
        <v>920373</v>
      </c>
      <c r="G487" s="37">
        <f>'13. Desinvesteringen'!G489</f>
        <v>2023</v>
      </c>
    </row>
    <row r="488" spans="2:7" s="230" customFormat="1">
      <c r="B488" s="37">
        <f>'13. Desinvesteringen'!B490</f>
        <v>471</v>
      </c>
      <c r="C488" s="3"/>
      <c r="D488" s="37" t="str">
        <f>'13. Desinvesteringen'!C490</f>
        <v>15 Compressorstations (TT-BT-AT)</v>
      </c>
      <c r="E488" s="37">
        <f>'13. Desinvesteringen'!D490</f>
        <v>1990</v>
      </c>
      <c r="F488" s="42">
        <f>'13. Desinvesteringen'!E490</f>
        <v>17770</v>
      </c>
      <c r="G488" s="37">
        <f>'13. Desinvesteringen'!G490</f>
        <v>2023</v>
      </c>
    </row>
    <row r="489" spans="2:7" s="230" customFormat="1">
      <c r="B489" s="37">
        <f>'13. Desinvesteringen'!B491</f>
        <v>472</v>
      </c>
      <c r="C489" s="3"/>
      <c r="D489" s="37" t="str">
        <f>'13. Desinvesteringen'!C491</f>
        <v>15 Compressorstations (TT-BT-AT)</v>
      </c>
      <c r="E489" s="37">
        <f>'13. Desinvesteringen'!D491</f>
        <v>1992</v>
      </c>
      <c r="F489" s="42">
        <f>'13. Desinvesteringen'!E491</f>
        <v>697451</v>
      </c>
      <c r="G489" s="37">
        <f>'13. Desinvesteringen'!G491</f>
        <v>2023</v>
      </c>
    </row>
    <row r="490" spans="2:7" s="230" customFormat="1">
      <c r="B490" s="37">
        <f>'13. Desinvesteringen'!B492</f>
        <v>473</v>
      </c>
      <c r="C490" s="3"/>
      <c r="D490" s="37" t="str">
        <f>'13. Desinvesteringen'!C492</f>
        <v>15 Compressorstations (TT-BT-AT)</v>
      </c>
      <c r="E490" s="37">
        <f>'13. Desinvesteringen'!D492</f>
        <v>1998</v>
      </c>
      <c r="F490" s="42">
        <f>'13. Desinvesteringen'!E492</f>
        <v>18065</v>
      </c>
      <c r="G490" s="37">
        <f>'13. Desinvesteringen'!G492</f>
        <v>2023</v>
      </c>
    </row>
    <row r="491" spans="2:7" s="230" customFormat="1">
      <c r="B491" s="37">
        <f>'13. Desinvesteringen'!B493</f>
        <v>474</v>
      </c>
      <c r="C491" s="3"/>
      <c r="D491" s="37" t="str">
        <f>'13. Desinvesteringen'!C493</f>
        <v>15 Compressorstations (TT-BT-AT)</v>
      </c>
      <c r="E491" s="37">
        <f>'13. Desinvesteringen'!D493</f>
        <v>2002</v>
      </c>
      <c r="F491" s="42">
        <f>'13. Desinvesteringen'!E493</f>
        <v>237214</v>
      </c>
      <c r="G491" s="37">
        <f>'13. Desinvesteringen'!G493</f>
        <v>2023</v>
      </c>
    </row>
    <row r="492" spans="2:7" s="230" customFormat="1">
      <c r="B492" s="37">
        <f>'13. Desinvesteringen'!B494</f>
        <v>475</v>
      </c>
      <c r="C492" s="3"/>
      <c r="D492" s="37" t="str">
        <f>'13. Desinvesteringen'!C494</f>
        <v>15 Compressorstations (TT-BT-AT)</v>
      </c>
      <c r="E492" s="37">
        <f>'13. Desinvesteringen'!D494</f>
        <v>2004</v>
      </c>
      <c r="F492" s="42">
        <f>'13. Desinvesteringen'!E494</f>
        <v>1858941</v>
      </c>
      <c r="G492" s="37">
        <f>'13. Desinvesteringen'!G494</f>
        <v>2023</v>
      </c>
    </row>
    <row r="493" spans="2:7" s="230" customFormat="1">
      <c r="B493" s="37">
        <f>'13. Desinvesteringen'!B495</f>
        <v>476</v>
      </c>
      <c r="C493" s="3"/>
      <c r="D493" s="37" t="str">
        <f>'13. Desinvesteringen'!C495</f>
        <v>15 Compressorstations (TT-BT-AT)</v>
      </c>
      <c r="E493" s="37">
        <f>'13. Desinvesteringen'!D495</f>
        <v>2005</v>
      </c>
      <c r="F493" s="42">
        <f>'13. Desinvesteringen'!E495</f>
        <v>189548</v>
      </c>
      <c r="G493" s="37">
        <f>'13. Desinvesteringen'!G495</f>
        <v>2023</v>
      </c>
    </row>
    <row r="494" spans="2:7" s="230" customFormat="1">
      <c r="B494" s="37">
        <f>'13. Desinvesteringen'!B496</f>
        <v>477</v>
      </c>
      <c r="C494" s="3"/>
      <c r="D494" s="37" t="str">
        <f>'13. Desinvesteringen'!C496</f>
        <v>15 Compressorstations (TT-BT-AT)</v>
      </c>
      <c r="E494" s="37">
        <f>'13. Desinvesteringen'!D496</f>
        <v>2006</v>
      </c>
      <c r="F494" s="42">
        <f>'13. Desinvesteringen'!E496</f>
        <v>43450</v>
      </c>
      <c r="G494" s="37">
        <f>'13. Desinvesteringen'!G496</f>
        <v>2023</v>
      </c>
    </row>
    <row r="495" spans="2:7" s="230" customFormat="1">
      <c r="B495" s="37">
        <f>'13. Desinvesteringen'!B497</f>
        <v>478</v>
      </c>
      <c r="C495" s="3"/>
      <c r="D495" s="37" t="str">
        <f>'13. Desinvesteringen'!C497</f>
        <v>15 Compressorstations (TT-BT-AT)</v>
      </c>
      <c r="E495" s="37">
        <f>'13. Desinvesteringen'!D497</f>
        <v>2008</v>
      </c>
      <c r="F495" s="42">
        <f>'13. Desinvesteringen'!E497</f>
        <v>2149449</v>
      </c>
      <c r="G495" s="37">
        <f>'13. Desinvesteringen'!G497</f>
        <v>2023</v>
      </c>
    </row>
    <row r="496" spans="2:7" s="230" customFormat="1">
      <c r="B496" s="37">
        <f>'13. Desinvesteringen'!B498</f>
        <v>479</v>
      </c>
      <c r="C496" s="3"/>
      <c r="D496" s="37" t="str">
        <f>'13. Desinvesteringen'!C498</f>
        <v>15 Compressorstations (TT-BT-AT)</v>
      </c>
      <c r="E496" s="37">
        <f>'13. Desinvesteringen'!D498</f>
        <v>2009</v>
      </c>
      <c r="F496" s="42">
        <f>'13. Desinvesteringen'!E498</f>
        <v>38325</v>
      </c>
      <c r="G496" s="37">
        <f>'13. Desinvesteringen'!G498</f>
        <v>2023</v>
      </c>
    </row>
    <row r="497" spans="2:7" s="230" customFormat="1">
      <c r="B497" s="37">
        <f>'13. Desinvesteringen'!B499</f>
        <v>480</v>
      </c>
      <c r="C497" s="3"/>
      <c r="D497" s="37" t="str">
        <f>'13. Desinvesteringen'!C499</f>
        <v>15 Compressorstations (TT-BT-AT)</v>
      </c>
      <c r="E497" s="37">
        <f>'13. Desinvesteringen'!D499</f>
        <v>2010</v>
      </c>
      <c r="F497" s="42">
        <f>'13. Desinvesteringen'!E499</f>
        <v>194639</v>
      </c>
      <c r="G497" s="37">
        <f>'13. Desinvesteringen'!G499</f>
        <v>2023</v>
      </c>
    </row>
    <row r="498" spans="2:7" s="230" customFormat="1">
      <c r="B498" s="37">
        <f>'13. Desinvesteringen'!B500</f>
        <v>481</v>
      </c>
      <c r="C498" s="3"/>
      <c r="D498" s="37" t="str">
        <f>'13. Desinvesteringen'!C500</f>
        <v>15 Compressorstations (TT-BT-AT)</v>
      </c>
      <c r="E498" s="37">
        <f>'13. Desinvesteringen'!D500</f>
        <v>2011</v>
      </c>
      <c r="F498" s="42">
        <f>'13. Desinvesteringen'!E500</f>
        <v>49243</v>
      </c>
      <c r="G498" s="37">
        <f>'13. Desinvesteringen'!G500</f>
        <v>2023</v>
      </c>
    </row>
    <row r="499" spans="2:7" s="230" customFormat="1">
      <c r="B499" s="37">
        <f>'13. Desinvesteringen'!B501</f>
        <v>482</v>
      </c>
      <c r="C499" s="3"/>
      <c r="D499" s="37" t="str">
        <f>'13. Desinvesteringen'!C501</f>
        <v>15 Compressorstations (TT-BT-AT)</v>
      </c>
      <c r="E499" s="37">
        <f>'13. Desinvesteringen'!D501</f>
        <v>2012</v>
      </c>
      <c r="F499" s="42">
        <f>'13. Desinvesteringen'!E501</f>
        <v>7253368</v>
      </c>
      <c r="G499" s="37">
        <f>'13. Desinvesteringen'!G501</f>
        <v>2023</v>
      </c>
    </row>
    <row r="500" spans="2:7" s="230" customFormat="1">
      <c r="B500" s="37">
        <f>'13. Desinvesteringen'!B502</f>
        <v>483</v>
      </c>
      <c r="C500" s="3"/>
      <c r="D500" s="37" t="str">
        <f>'13. Desinvesteringen'!C502</f>
        <v>15 Compressorstations (TT-BT-AT)</v>
      </c>
      <c r="E500" s="37">
        <f>'13. Desinvesteringen'!D502</f>
        <v>2014</v>
      </c>
      <c r="F500" s="42">
        <f>'13. Desinvesteringen'!E502</f>
        <v>746917</v>
      </c>
      <c r="G500" s="37">
        <f>'13. Desinvesteringen'!G502</f>
        <v>2023</v>
      </c>
    </row>
    <row r="501" spans="2:7" s="230" customFormat="1">
      <c r="B501" s="37">
        <f>'13. Desinvesteringen'!B503</f>
        <v>484</v>
      </c>
      <c r="C501" s="3"/>
      <c r="D501" s="37" t="str">
        <f>'13. Desinvesteringen'!C503</f>
        <v>15 Compressorstations (TT-BT-AT)</v>
      </c>
      <c r="E501" s="37">
        <f>'13. Desinvesteringen'!D503</f>
        <v>2015</v>
      </c>
      <c r="F501" s="42">
        <f>'13. Desinvesteringen'!E503</f>
        <v>411557</v>
      </c>
      <c r="G501" s="37">
        <f>'13. Desinvesteringen'!G503</f>
        <v>2023</v>
      </c>
    </row>
    <row r="502" spans="2:7" s="230" customFormat="1">
      <c r="B502" s="37">
        <f>'13. Desinvesteringen'!B504</f>
        <v>485</v>
      </c>
      <c r="C502" s="3"/>
      <c r="D502" s="37" t="str">
        <f>'13. Desinvesteringen'!C504</f>
        <v>15 Compressorstations (TT-BT-AT)</v>
      </c>
      <c r="E502" s="37">
        <f>'13. Desinvesteringen'!D504</f>
        <v>2016</v>
      </c>
      <c r="F502" s="42">
        <f>'13. Desinvesteringen'!E504</f>
        <v>136755</v>
      </c>
      <c r="G502" s="37">
        <f>'13. Desinvesteringen'!G504</f>
        <v>2023</v>
      </c>
    </row>
    <row r="503" spans="2:7" s="230" customFormat="1">
      <c r="B503" s="37">
        <f>'13. Desinvesteringen'!B505</f>
        <v>486</v>
      </c>
      <c r="C503" s="3"/>
      <c r="D503" s="37" t="str">
        <f>'13. Desinvesteringen'!C505</f>
        <v>16 LNG installaties</v>
      </c>
      <c r="E503" s="37">
        <f>'13. Desinvesteringen'!D505</f>
        <v>1977</v>
      </c>
      <c r="F503" s="42">
        <f>'13. Desinvesteringen'!E505</f>
        <v>804746</v>
      </c>
      <c r="G503" s="37">
        <f>'13. Desinvesteringen'!G505</f>
        <v>2023</v>
      </c>
    </row>
    <row r="504" spans="2:7" s="230" customFormat="1">
      <c r="B504" s="37">
        <f>'13. Desinvesteringen'!B506</f>
        <v>487</v>
      </c>
      <c r="C504" s="3"/>
      <c r="D504" s="37" t="str">
        <f>'13. Desinvesteringen'!C506</f>
        <v>17 Mengstations</v>
      </c>
      <c r="E504" s="37">
        <f>'13. Desinvesteringen'!D506</f>
        <v>1985</v>
      </c>
      <c r="F504" s="42">
        <f>'13. Desinvesteringen'!E506</f>
        <v>7919770</v>
      </c>
      <c r="G504" s="37">
        <f>'13. Desinvesteringen'!G506</f>
        <v>2023</v>
      </c>
    </row>
    <row r="505" spans="2:7" s="230" customFormat="1">
      <c r="B505" s="37">
        <f>'13. Desinvesteringen'!B507</f>
        <v>488</v>
      </c>
      <c r="C505" s="3"/>
      <c r="D505" s="37" t="str">
        <f>'13. Desinvesteringen'!C507</f>
        <v>17 Mengstations</v>
      </c>
      <c r="E505" s="37">
        <f>'13. Desinvesteringen'!D507</f>
        <v>1988</v>
      </c>
      <c r="F505" s="42">
        <f>'13. Desinvesteringen'!E507</f>
        <v>378309</v>
      </c>
      <c r="G505" s="37">
        <f>'13. Desinvesteringen'!G507</f>
        <v>2023</v>
      </c>
    </row>
    <row r="506" spans="2:7" s="230" customFormat="1">
      <c r="B506" s="37">
        <f>'13. Desinvesteringen'!B508</f>
        <v>489</v>
      </c>
      <c r="C506" s="3"/>
      <c r="D506" s="37" t="str">
        <f>'13. Desinvesteringen'!C508</f>
        <v>17 Mengstations</v>
      </c>
      <c r="E506" s="37">
        <f>'13. Desinvesteringen'!D508</f>
        <v>1990</v>
      </c>
      <c r="F506" s="42">
        <f>'13. Desinvesteringen'!E508</f>
        <v>29867</v>
      </c>
      <c r="G506" s="37">
        <f>'13. Desinvesteringen'!G508</f>
        <v>2023</v>
      </c>
    </row>
    <row r="507" spans="2:7" s="230" customFormat="1">
      <c r="B507" s="37">
        <f>'13. Desinvesteringen'!B509</f>
        <v>490</v>
      </c>
      <c r="C507" s="3"/>
      <c r="D507" s="37" t="str">
        <f>'13. Desinvesteringen'!C509</f>
        <v>17 Mengstations</v>
      </c>
      <c r="E507" s="37">
        <f>'13. Desinvesteringen'!D509</f>
        <v>1992</v>
      </c>
      <c r="F507" s="42">
        <f>'13. Desinvesteringen'!E509</f>
        <v>5605988</v>
      </c>
      <c r="G507" s="37">
        <f>'13. Desinvesteringen'!G509</f>
        <v>2023</v>
      </c>
    </row>
    <row r="508" spans="2:7" s="230" customFormat="1">
      <c r="B508" s="37">
        <f>'13. Desinvesteringen'!B510</f>
        <v>491</v>
      </c>
      <c r="C508" s="3"/>
      <c r="D508" s="37" t="str">
        <f>'13. Desinvesteringen'!C510</f>
        <v>17 Mengstations</v>
      </c>
      <c r="E508" s="37">
        <f>'13. Desinvesteringen'!D510</f>
        <v>1995</v>
      </c>
      <c r="F508" s="42">
        <f>'13. Desinvesteringen'!E510</f>
        <v>2552054</v>
      </c>
      <c r="G508" s="37">
        <f>'13. Desinvesteringen'!G510</f>
        <v>2023</v>
      </c>
    </row>
    <row r="509" spans="2:7" s="230" customFormat="1">
      <c r="B509" s="37">
        <f>'13. Desinvesteringen'!B511</f>
        <v>492</v>
      </c>
      <c r="C509" s="3"/>
      <c r="D509" s="37" t="str">
        <f>'13. Desinvesteringen'!C511</f>
        <v>17 Mengstations</v>
      </c>
      <c r="E509" s="37">
        <f>'13. Desinvesteringen'!D511</f>
        <v>1996</v>
      </c>
      <c r="F509" s="42">
        <f>'13. Desinvesteringen'!E511</f>
        <v>11549</v>
      </c>
      <c r="G509" s="37">
        <f>'13. Desinvesteringen'!G511</f>
        <v>2023</v>
      </c>
    </row>
    <row r="510" spans="2:7" s="230" customFormat="1">
      <c r="B510" s="37">
        <f>'13. Desinvesteringen'!B512</f>
        <v>493</v>
      </c>
      <c r="C510" s="3"/>
      <c r="D510" s="37" t="str">
        <f>'13. Desinvesteringen'!C512</f>
        <v>17 Mengstations</v>
      </c>
      <c r="E510" s="37">
        <f>'13. Desinvesteringen'!D512</f>
        <v>1998</v>
      </c>
      <c r="F510" s="42">
        <f>'13. Desinvesteringen'!E512</f>
        <v>28291</v>
      </c>
      <c r="G510" s="37">
        <f>'13. Desinvesteringen'!G512</f>
        <v>2023</v>
      </c>
    </row>
    <row r="511" spans="2:7" s="230" customFormat="1">
      <c r="B511" s="37">
        <f>'13. Desinvesteringen'!B513</f>
        <v>494</v>
      </c>
      <c r="C511" s="3"/>
      <c r="D511" s="37" t="str">
        <f>'13. Desinvesteringen'!C513</f>
        <v>17 Mengstations</v>
      </c>
      <c r="E511" s="37">
        <f>'13. Desinvesteringen'!D513</f>
        <v>2001</v>
      </c>
      <c r="F511" s="42">
        <f>'13. Desinvesteringen'!E513</f>
        <v>273838</v>
      </c>
      <c r="G511" s="37">
        <f>'13. Desinvesteringen'!G513</f>
        <v>2023</v>
      </c>
    </row>
    <row r="512" spans="2:7" s="230" customFormat="1">
      <c r="B512" s="37">
        <f>'13. Desinvesteringen'!B514</f>
        <v>495</v>
      </c>
      <c r="C512" s="3"/>
      <c r="D512" s="37" t="str">
        <f>'13. Desinvesteringen'!C514</f>
        <v>17 Mengstations</v>
      </c>
      <c r="E512" s="37">
        <f>'13. Desinvesteringen'!D514</f>
        <v>2003</v>
      </c>
      <c r="F512" s="42">
        <f>'13. Desinvesteringen'!E514</f>
        <v>35370</v>
      </c>
      <c r="G512" s="37">
        <f>'13. Desinvesteringen'!G514</f>
        <v>2023</v>
      </c>
    </row>
    <row r="513" spans="2:7" s="230" customFormat="1">
      <c r="B513" s="37">
        <f>'13. Desinvesteringen'!B515</f>
        <v>496</v>
      </c>
      <c r="C513" s="3"/>
      <c r="D513" s="37" t="str">
        <f>'13. Desinvesteringen'!C515</f>
        <v>17 Mengstations</v>
      </c>
      <c r="E513" s="37">
        <f>'13. Desinvesteringen'!D515</f>
        <v>2004</v>
      </c>
      <c r="F513" s="42">
        <f>'13. Desinvesteringen'!E515</f>
        <v>45503</v>
      </c>
      <c r="G513" s="37">
        <f>'13. Desinvesteringen'!G515</f>
        <v>2023</v>
      </c>
    </row>
    <row r="514" spans="2:7" s="230" customFormat="1">
      <c r="B514" s="37">
        <f>'13. Desinvesteringen'!B516</f>
        <v>497</v>
      </c>
      <c r="C514" s="3"/>
      <c r="D514" s="37" t="str">
        <f>'13. Desinvesteringen'!C516</f>
        <v>17 Mengstations</v>
      </c>
      <c r="E514" s="37">
        <f>'13. Desinvesteringen'!D516</f>
        <v>2005</v>
      </c>
      <c r="F514" s="42">
        <f>'13. Desinvesteringen'!E516</f>
        <v>165266</v>
      </c>
      <c r="G514" s="37">
        <f>'13. Desinvesteringen'!G516</f>
        <v>2023</v>
      </c>
    </row>
    <row r="515" spans="2:7" s="230" customFormat="1">
      <c r="B515" s="37">
        <f>'13. Desinvesteringen'!B517</f>
        <v>498</v>
      </c>
      <c r="C515" s="3"/>
      <c r="D515" s="37" t="str">
        <f>'13. Desinvesteringen'!C517</f>
        <v>17 Mengstations</v>
      </c>
      <c r="E515" s="37">
        <f>'13. Desinvesteringen'!D517</f>
        <v>2006</v>
      </c>
      <c r="F515" s="42">
        <f>'13. Desinvesteringen'!E517</f>
        <v>419198</v>
      </c>
      <c r="G515" s="37">
        <f>'13. Desinvesteringen'!G517</f>
        <v>2023</v>
      </c>
    </row>
    <row r="516" spans="2:7" s="230" customFormat="1">
      <c r="B516" s="37">
        <f>'13. Desinvesteringen'!B518</f>
        <v>499</v>
      </c>
      <c r="C516" s="3"/>
      <c r="D516" s="37" t="str">
        <f>'13. Desinvesteringen'!C518</f>
        <v>17 Mengstations</v>
      </c>
      <c r="E516" s="37">
        <f>'13. Desinvesteringen'!D518</f>
        <v>2007</v>
      </c>
      <c r="F516" s="42">
        <f>'13. Desinvesteringen'!E518</f>
        <v>1086511</v>
      </c>
      <c r="G516" s="37">
        <f>'13. Desinvesteringen'!G518</f>
        <v>2023</v>
      </c>
    </row>
    <row r="517" spans="2:7" s="230" customFormat="1">
      <c r="B517" s="37">
        <f>'13. Desinvesteringen'!B519</f>
        <v>500</v>
      </c>
      <c r="C517" s="3"/>
      <c r="D517" s="37" t="str">
        <f>'13. Desinvesteringen'!C519</f>
        <v>17 Mengstations</v>
      </c>
      <c r="E517" s="37">
        <f>'13. Desinvesteringen'!D519</f>
        <v>2008</v>
      </c>
      <c r="F517" s="42">
        <f>'13. Desinvesteringen'!E519</f>
        <v>1532964</v>
      </c>
      <c r="G517" s="37">
        <f>'13. Desinvesteringen'!G519</f>
        <v>2023</v>
      </c>
    </row>
    <row r="518" spans="2:7" s="230" customFormat="1">
      <c r="B518" s="37">
        <f>'13. Desinvesteringen'!B520</f>
        <v>501</v>
      </c>
      <c r="C518" s="3"/>
      <c r="D518" s="37" t="str">
        <f>'13. Desinvesteringen'!C520</f>
        <v>17 Mengstations</v>
      </c>
      <c r="E518" s="37">
        <f>'13. Desinvesteringen'!D520</f>
        <v>2009</v>
      </c>
      <c r="F518" s="42">
        <f>'13. Desinvesteringen'!E520</f>
        <v>100227</v>
      </c>
      <c r="G518" s="37">
        <f>'13. Desinvesteringen'!G520</f>
        <v>2023</v>
      </c>
    </row>
    <row r="519" spans="2:7" s="230" customFormat="1">
      <c r="B519" s="37">
        <f>'13. Desinvesteringen'!B521</f>
        <v>502</v>
      </c>
      <c r="C519" s="3"/>
      <c r="D519" s="37" t="str">
        <f>'13. Desinvesteringen'!C521</f>
        <v>17 Mengstations</v>
      </c>
      <c r="E519" s="37">
        <f>'13. Desinvesteringen'!D521</f>
        <v>2010</v>
      </c>
      <c r="F519" s="42">
        <f>'13. Desinvesteringen'!E521</f>
        <v>956327</v>
      </c>
      <c r="G519" s="37">
        <f>'13. Desinvesteringen'!G521</f>
        <v>2023</v>
      </c>
    </row>
    <row r="520" spans="2:7" s="230" customFormat="1">
      <c r="B520" s="37">
        <f>'13. Desinvesteringen'!B522</f>
        <v>503</v>
      </c>
      <c r="C520" s="3"/>
      <c r="D520" s="37" t="str">
        <f>'13. Desinvesteringen'!C522</f>
        <v>17 Mengstations</v>
      </c>
      <c r="E520" s="37">
        <f>'13. Desinvesteringen'!D522</f>
        <v>2011</v>
      </c>
      <c r="F520" s="42">
        <f>'13. Desinvesteringen'!E522</f>
        <v>1338329</v>
      </c>
      <c r="G520" s="37">
        <f>'13. Desinvesteringen'!G522</f>
        <v>2023</v>
      </c>
    </row>
    <row r="521" spans="2:7" s="230" customFormat="1">
      <c r="B521" s="37">
        <f>'13. Desinvesteringen'!B523</f>
        <v>504</v>
      </c>
      <c r="C521" s="3"/>
      <c r="D521" s="37" t="str">
        <f>'13. Desinvesteringen'!C523</f>
        <v>17 Mengstations</v>
      </c>
      <c r="E521" s="37">
        <f>'13. Desinvesteringen'!D523</f>
        <v>2012</v>
      </c>
      <c r="F521" s="42">
        <f>'13. Desinvesteringen'!E523</f>
        <v>479994</v>
      </c>
      <c r="G521" s="37">
        <f>'13. Desinvesteringen'!G523</f>
        <v>2023</v>
      </c>
    </row>
    <row r="522" spans="2:7" s="230" customFormat="1">
      <c r="B522" s="37">
        <f>'13. Desinvesteringen'!B524</f>
        <v>505</v>
      </c>
      <c r="C522" s="3"/>
      <c r="D522" s="37" t="str">
        <f>'13. Desinvesteringen'!C524</f>
        <v>17 Mengstations</v>
      </c>
      <c r="E522" s="37">
        <f>'13. Desinvesteringen'!D524</f>
        <v>2013</v>
      </c>
      <c r="F522" s="42">
        <f>'13. Desinvesteringen'!E524</f>
        <v>640497</v>
      </c>
      <c r="G522" s="37">
        <f>'13. Desinvesteringen'!G524</f>
        <v>2023</v>
      </c>
    </row>
    <row r="523" spans="2:7" s="230" customFormat="1">
      <c r="B523" s="37">
        <f>'13. Desinvesteringen'!B525</f>
        <v>506</v>
      </c>
      <c r="C523" s="3"/>
      <c r="D523" s="37" t="str">
        <f>'13. Desinvesteringen'!C525</f>
        <v>17 Mengstations</v>
      </c>
      <c r="E523" s="37">
        <f>'13. Desinvesteringen'!D525</f>
        <v>2014</v>
      </c>
      <c r="F523" s="42">
        <f>'13. Desinvesteringen'!E525</f>
        <v>1591</v>
      </c>
      <c r="G523" s="37">
        <f>'13. Desinvesteringen'!G525</f>
        <v>2023</v>
      </c>
    </row>
    <row r="524" spans="2:7" s="230" customFormat="1">
      <c r="B524" s="37">
        <f>'13. Desinvesteringen'!B526</f>
        <v>507</v>
      </c>
      <c r="C524" s="3"/>
      <c r="D524" s="37" t="str">
        <f>'13. Desinvesteringen'!C526</f>
        <v>17 Mengstations</v>
      </c>
      <c r="E524" s="37">
        <f>'13. Desinvesteringen'!D526</f>
        <v>2016</v>
      </c>
      <c r="F524" s="42">
        <f>'13. Desinvesteringen'!E526</f>
        <v>36980</v>
      </c>
      <c r="G524" s="37">
        <f>'13. Desinvesteringen'!G526</f>
        <v>2023</v>
      </c>
    </row>
    <row r="525" spans="2:7" s="230" customFormat="1">
      <c r="B525" s="37">
        <f>'13. Desinvesteringen'!B527</f>
        <v>508</v>
      </c>
      <c r="C525" s="3"/>
      <c r="D525" s="37" t="str">
        <f>'13. Desinvesteringen'!C527</f>
        <v>21 Hoofdtransportleiding</v>
      </c>
      <c r="E525" s="37">
        <f>'13. Desinvesteringen'!D527</f>
        <v>1964</v>
      </c>
      <c r="F525" s="42">
        <f>'13. Desinvesteringen'!E527</f>
        <v>3025</v>
      </c>
      <c r="G525" s="37">
        <f>'13. Desinvesteringen'!G527</f>
        <v>2023</v>
      </c>
    </row>
    <row r="526" spans="2:7" s="230" customFormat="1">
      <c r="B526" s="37">
        <f>'13. Desinvesteringen'!B528</f>
        <v>509</v>
      </c>
      <c r="C526" s="3"/>
      <c r="D526" s="37" t="str">
        <f>'13. Desinvesteringen'!C528</f>
        <v>21 Hoofdtransportleiding</v>
      </c>
      <c r="E526" s="37">
        <f>'13. Desinvesteringen'!D528</f>
        <v>1966</v>
      </c>
      <c r="F526" s="42">
        <f>'13. Desinvesteringen'!E528</f>
        <v>70000</v>
      </c>
      <c r="G526" s="37">
        <f>'13. Desinvesteringen'!G528</f>
        <v>2023</v>
      </c>
    </row>
    <row r="527" spans="2:7" s="230" customFormat="1">
      <c r="B527" s="37">
        <f>'13. Desinvesteringen'!B529</f>
        <v>510</v>
      </c>
      <c r="C527" s="3"/>
      <c r="D527" s="37" t="str">
        <f>'13. Desinvesteringen'!C529</f>
        <v>21 Hoofdtransportleiding</v>
      </c>
      <c r="E527" s="37">
        <f>'13. Desinvesteringen'!D529</f>
        <v>1967</v>
      </c>
      <c r="F527" s="42">
        <f>'13. Desinvesteringen'!E529</f>
        <v>7455</v>
      </c>
      <c r="G527" s="37">
        <f>'13. Desinvesteringen'!G529</f>
        <v>2023</v>
      </c>
    </row>
    <row r="528" spans="2:7" s="230" customFormat="1">
      <c r="B528" s="37">
        <f>'13. Desinvesteringen'!B530</f>
        <v>511</v>
      </c>
      <c r="C528" s="3"/>
      <c r="D528" s="37" t="str">
        <f>'13. Desinvesteringen'!C530</f>
        <v>21 Hoofdtransportleiding</v>
      </c>
      <c r="E528" s="37">
        <f>'13. Desinvesteringen'!D530</f>
        <v>1970</v>
      </c>
      <c r="F528" s="42">
        <f>'13. Desinvesteringen'!E530</f>
        <v>18136</v>
      </c>
      <c r="G528" s="37">
        <f>'13. Desinvesteringen'!G530</f>
        <v>2023</v>
      </c>
    </row>
    <row r="529" spans="2:7" s="230" customFormat="1">
      <c r="B529" s="37">
        <f>'13. Desinvesteringen'!B531</f>
        <v>512</v>
      </c>
      <c r="C529" s="3"/>
      <c r="D529" s="37" t="str">
        <f>'13. Desinvesteringen'!C531</f>
        <v>21 Hoofdtransportleiding</v>
      </c>
      <c r="E529" s="37">
        <f>'13. Desinvesteringen'!D531</f>
        <v>1971</v>
      </c>
      <c r="F529" s="42">
        <f>'13. Desinvesteringen'!E531</f>
        <v>9848</v>
      </c>
      <c r="G529" s="37">
        <f>'13. Desinvesteringen'!G531</f>
        <v>2023</v>
      </c>
    </row>
    <row r="530" spans="2:7" s="230" customFormat="1">
      <c r="B530" s="37">
        <f>'13. Desinvesteringen'!B532</f>
        <v>513</v>
      </c>
      <c r="C530" s="3"/>
      <c r="D530" s="37" t="str">
        <f>'13. Desinvesteringen'!C532</f>
        <v>21 Hoofdtransportleiding</v>
      </c>
      <c r="E530" s="37">
        <f>'13. Desinvesteringen'!D532</f>
        <v>1975</v>
      </c>
      <c r="F530" s="42">
        <f>'13. Desinvesteringen'!E532</f>
        <v>126847</v>
      </c>
      <c r="G530" s="37">
        <f>'13. Desinvesteringen'!G532</f>
        <v>2023</v>
      </c>
    </row>
    <row r="531" spans="2:7" s="230" customFormat="1">
      <c r="B531" s="37">
        <f>'13. Desinvesteringen'!B533</f>
        <v>514</v>
      </c>
      <c r="C531" s="3"/>
      <c r="D531" s="37" t="str">
        <f>'13. Desinvesteringen'!C533</f>
        <v>21 Hoofdtransportleiding</v>
      </c>
      <c r="E531" s="37">
        <f>'13. Desinvesteringen'!D533</f>
        <v>1976</v>
      </c>
      <c r="F531" s="42">
        <f>'13. Desinvesteringen'!E533</f>
        <v>34143</v>
      </c>
      <c r="G531" s="37">
        <f>'13. Desinvesteringen'!G533</f>
        <v>2023</v>
      </c>
    </row>
    <row r="532" spans="2:7" s="230" customFormat="1">
      <c r="B532" s="37">
        <f>'13. Desinvesteringen'!B534</f>
        <v>515</v>
      </c>
      <c r="C532" s="3"/>
      <c r="D532" s="37" t="str">
        <f>'13. Desinvesteringen'!C534</f>
        <v>21 Hoofdtransportleiding</v>
      </c>
      <c r="E532" s="37">
        <f>'13. Desinvesteringen'!D534</f>
        <v>1978</v>
      </c>
      <c r="F532" s="42">
        <f>'13. Desinvesteringen'!E534</f>
        <v>16987</v>
      </c>
      <c r="G532" s="37">
        <f>'13. Desinvesteringen'!G534</f>
        <v>2023</v>
      </c>
    </row>
    <row r="533" spans="2:7" s="230" customFormat="1">
      <c r="B533" s="37">
        <f>'13. Desinvesteringen'!B535</f>
        <v>516</v>
      </c>
      <c r="C533" s="3"/>
      <c r="D533" s="37" t="str">
        <f>'13. Desinvesteringen'!C535</f>
        <v>21 Hoofdtransportleiding</v>
      </c>
      <c r="E533" s="37">
        <f>'13. Desinvesteringen'!D535</f>
        <v>1980</v>
      </c>
      <c r="F533" s="42">
        <f>'13. Desinvesteringen'!E535</f>
        <v>18508</v>
      </c>
      <c r="G533" s="37">
        <f>'13. Desinvesteringen'!G535</f>
        <v>2023</v>
      </c>
    </row>
    <row r="534" spans="2:7" s="230" customFormat="1">
      <c r="B534" s="37">
        <f>'13. Desinvesteringen'!B536</f>
        <v>517</v>
      </c>
      <c r="C534" s="3"/>
      <c r="D534" s="37" t="str">
        <f>'13. Desinvesteringen'!C536</f>
        <v>21 Hoofdtransportleiding</v>
      </c>
      <c r="E534" s="37">
        <f>'13. Desinvesteringen'!D536</f>
        <v>1982</v>
      </c>
      <c r="F534" s="42">
        <f>'13. Desinvesteringen'!E536</f>
        <v>28372</v>
      </c>
      <c r="G534" s="37">
        <f>'13. Desinvesteringen'!G536</f>
        <v>2023</v>
      </c>
    </row>
    <row r="535" spans="2:7" s="230" customFormat="1">
      <c r="B535" s="37">
        <f>'13. Desinvesteringen'!B537</f>
        <v>518</v>
      </c>
      <c r="C535" s="3"/>
      <c r="D535" s="37" t="str">
        <f>'13. Desinvesteringen'!C537</f>
        <v>21 Hoofdtransportleiding</v>
      </c>
      <c r="E535" s="37">
        <f>'13. Desinvesteringen'!D537</f>
        <v>1986</v>
      </c>
      <c r="F535" s="42">
        <f>'13. Desinvesteringen'!E537</f>
        <v>22360</v>
      </c>
      <c r="G535" s="37">
        <f>'13. Desinvesteringen'!G537</f>
        <v>2023</v>
      </c>
    </row>
    <row r="536" spans="2:7" s="230" customFormat="1">
      <c r="B536" s="37">
        <f>'13. Desinvesteringen'!B538</f>
        <v>519</v>
      </c>
      <c r="C536" s="3"/>
      <c r="D536" s="37" t="str">
        <f>'13. Desinvesteringen'!C538</f>
        <v>21 Hoofdtransportleiding</v>
      </c>
      <c r="E536" s="37">
        <f>'13. Desinvesteringen'!D538</f>
        <v>1987</v>
      </c>
      <c r="F536" s="42">
        <f>'13. Desinvesteringen'!E538</f>
        <v>22132</v>
      </c>
      <c r="G536" s="37">
        <f>'13. Desinvesteringen'!G538</f>
        <v>2023</v>
      </c>
    </row>
    <row r="537" spans="2:7" s="230" customFormat="1">
      <c r="B537" s="37">
        <f>'13. Desinvesteringen'!B539</f>
        <v>520</v>
      </c>
      <c r="C537" s="3"/>
      <c r="D537" s="37" t="str">
        <f>'13. Desinvesteringen'!C539</f>
        <v>21 Hoofdtransportleiding</v>
      </c>
      <c r="E537" s="37">
        <f>'13. Desinvesteringen'!D539</f>
        <v>1993</v>
      </c>
      <c r="F537" s="42">
        <f>'13. Desinvesteringen'!E539</f>
        <v>24502</v>
      </c>
      <c r="G537" s="37">
        <f>'13. Desinvesteringen'!G539</f>
        <v>2023</v>
      </c>
    </row>
    <row r="538" spans="2:7" s="230" customFormat="1">
      <c r="B538" s="37">
        <f>'13. Desinvesteringen'!B540</f>
        <v>521</v>
      </c>
      <c r="C538" s="3"/>
      <c r="D538" s="37" t="str">
        <f>'13. Desinvesteringen'!C540</f>
        <v>21 Hoofdtransportleiding</v>
      </c>
      <c r="E538" s="37">
        <f>'13. Desinvesteringen'!D540</f>
        <v>1996</v>
      </c>
      <c r="F538" s="42">
        <f>'13. Desinvesteringen'!E540</f>
        <v>67710</v>
      </c>
      <c r="G538" s="37">
        <f>'13. Desinvesteringen'!G540</f>
        <v>2023</v>
      </c>
    </row>
    <row r="539" spans="2:7" s="230" customFormat="1">
      <c r="B539" s="37">
        <f>'13. Desinvesteringen'!B541</f>
        <v>522</v>
      </c>
      <c r="C539" s="3"/>
      <c r="D539" s="37" t="str">
        <f>'13. Desinvesteringen'!C541</f>
        <v>21 Hoofdtransportleiding</v>
      </c>
      <c r="E539" s="37">
        <f>'13. Desinvesteringen'!D541</f>
        <v>2002</v>
      </c>
      <c r="F539" s="42">
        <f>'13. Desinvesteringen'!E541</f>
        <v>278598</v>
      </c>
      <c r="G539" s="37">
        <f>'13. Desinvesteringen'!G541</f>
        <v>2023</v>
      </c>
    </row>
    <row r="540" spans="2:7" s="230" customFormat="1">
      <c r="B540" s="37">
        <f>'13. Desinvesteringen'!B542</f>
        <v>523</v>
      </c>
      <c r="C540" s="3"/>
      <c r="D540" s="37" t="str">
        <f>'13. Desinvesteringen'!C542</f>
        <v>21 Hoofdtransportleiding</v>
      </c>
      <c r="E540" s="37">
        <f>'13. Desinvesteringen'!D542</f>
        <v>2008</v>
      </c>
      <c r="F540" s="42">
        <f>'13. Desinvesteringen'!E542</f>
        <v>34070</v>
      </c>
      <c r="G540" s="37">
        <f>'13. Desinvesteringen'!G542</f>
        <v>2023</v>
      </c>
    </row>
    <row r="541" spans="2:7" s="230" customFormat="1">
      <c r="B541" s="37">
        <f>'13. Desinvesteringen'!B543</f>
        <v>524</v>
      </c>
      <c r="C541" s="3"/>
      <c r="D541" s="37" t="str">
        <f>'13. Desinvesteringen'!C543</f>
        <v>32 M&amp;R stations</v>
      </c>
      <c r="E541" s="37">
        <f>'13. Desinvesteringen'!D543</f>
        <v>1974</v>
      </c>
      <c r="F541" s="42">
        <f>'13. Desinvesteringen'!E543</f>
        <v>91446</v>
      </c>
      <c r="G541" s="37">
        <f>'13. Desinvesteringen'!G543</f>
        <v>2023</v>
      </c>
    </row>
    <row r="542" spans="2:7" s="230" customFormat="1">
      <c r="B542" s="37">
        <f>'13. Desinvesteringen'!B544</f>
        <v>525</v>
      </c>
      <c r="C542" s="3"/>
      <c r="D542" s="37" t="str">
        <f>'13. Desinvesteringen'!C544</f>
        <v>33 Exportstations</v>
      </c>
      <c r="E542" s="37">
        <f>'13. Desinvesteringen'!D544</f>
        <v>1966</v>
      </c>
      <c r="F542" s="42">
        <f>'13. Desinvesteringen'!E544</f>
        <v>5667</v>
      </c>
      <c r="G542" s="37">
        <f>'13. Desinvesteringen'!G544</f>
        <v>2023</v>
      </c>
    </row>
    <row r="543" spans="2:7" s="230" customFormat="1">
      <c r="B543" s="37">
        <f>'13. Desinvesteringen'!B545</f>
        <v>526</v>
      </c>
      <c r="C543" s="3"/>
      <c r="D543" s="37" t="str">
        <f>'13. Desinvesteringen'!C545</f>
        <v>33 Exportstations</v>
      </c>
      <c r="E543" s="37">
        <f>'13. Desinvesteringen'!D545</f>
        <v>1967</v>
      </c>
      <c r="F543" s="42">
        <f>'13. Desinvesteringen'!E545</f>
        <v>13495</v>
      </c>
      <c r="G543" s="37">
        <f>'13. Desinvesteringen'!G545</f>
        <v>2023</v>
      </c>
    </row>
    <row r="544" spans="2:7" s="230" customFormat="1">
      <c r="B544" s="37">
        <f>'13. Desinvesteringen'!B546</f>
        <v>527</v>
      </c>
      <c r="C544" s="3"/>
      <c r="D544" s="37" t="str">
        <f>'13. Desinvesteringen'!C546</f>
        <v>33 Exportstations</v>
      </c>
      <c r="E544" s="37">
        <f>'13. Desinvesteringen'!D546</f>
        <v>1972</v>
      </c>
      <c r="F544" s="42">
        <f>'13. Desinvesteringen'!E546</f>
        <v>7627</v>
      </c>
      <c r="G544" s="37">
        <f>'13. Desinvesteringen'!G546</f>
        <v>2023</v>
      </c>
    </row>
    <row r="545" spans="1:7" s="230" customFormat="1">
      <c r="B545" s="37">
        <f>'13. Desinvesteringen'!B547</f>
        <v>528</v>
      </c>
      <c r="C545" s="3"/>
      <c r="D545" s="37" t="str">
        <f>'13. Desinvesteringen'!C547</f>
        <v>33 Exportstations</v>
      </c>
      <c r="E545" s="37">
        <f>'13. Desinvesteringen'!D547</f>
        <v>1974</v>
      </c>
      <c r="F545" s="42">
        <f>'13. Desinvesteringen'!E547</f>
        <v>12366</v>
      </c>
      <c r="G545" s="37">
        <f>'13. Desinvesteringen'!G547</f>
        <v>2023</v>
      </c>
    </row>
    <row r="546" spans="1:7" s="230" customFormat="1">
      <c r="B546" s="37">
        <f>'13. Desinvesteringen'!B548</f>
        <v>529</v>
      </c>
      <c r="C546" s="3"/>
      <c r="D546" s="37" t="str">
        <f>'13. Desinvesteringen'!C548</f>
        <v>33 Exportstations</v>
      </c>
      <c r="E546" s="37">
        <f>'13. Desinvesteringen'!D548</f>
        <v>1975</v>
      </c>
      <c r="F546" s="42">
        <f>'13. Desinvesteringen'!E548</f>
        <v>28804</v>
      </c>
      <c r="G546" s="37">
        <f>'13. Desinvesteringen'!G548</f>
        <v>2023</v>
      </c>
    </row>
    <row r="547" spans="1:7" s="230" customFormat="1">
      <c r="B547" s="37">
        <f>'13. Desinvesteringen'!B549</f>
        <v>530</v>
      </c>
      <c r="C547" s="3"/>
      <c r="D547" s="37" t="str">
        <f>'13. Desinvesteringen'!C549</f>
        <v>34 Reduceerstations</v>
      </c>
      <c r="E547" s="37">
        <f>'13. Desinvesteringen'!D549</f>
        <v>1979</v>
      </c>
      <c r="F547" s="42">
        <f>'13. Desinvesteringen'!E549</f>
        <v>1824</v>
      </c>
      <c r="G547" s="37">
        <f>'13. Desinvesteringen'!G549</f>
        <v>2023</v>
      </c>
    </row>
    <row r="548" spans="1:7" s="230" customFormat="1">
      <c r="B548" s="37">
        <f>'13. Desinvesteringen'!B550</f>
        <v>531</v>
      </c>
      <c r="C548" s="3"/>
      <c r="D548" s="37" t="str">
        <f>'13. Desinvesteringen'!C550</f>
        <v>36 Luchtscheidingsunit</v>
      </c>
      <c r="E548" s="37">
        <f>'13. Desinvesteringen'!D550</f>
        <v>2007</v>
      </c>
      <c r="F548" s="42">
        <f>'13. Desinvesteringen'!E550</f>
        <v>4508703</v>
      </c>
      <c r="G548" s="37">
        <f>'13. Desinvesteringen'!G550</f>
        <v>2023</v>
      </c>
    </row>
    <row r="549" spans="1:7" s="340" customFormat="1">
      <c r="A549" s="230"/>
      <c r="B549" s="37">
        <f>'13. Desinvesteringen'!B551</f>
        <v>532</v>
      </c>
      <c r="C549" s="3"/>
      <c r="D549" s="37" t="str">
        <f>'13. Desinvesteringen'!C551</f>
        <v>01 Regionale leidingen</v>
      </c>
      <c r="E549" s="37">
        <f>'13. Desinvesteringen'!D551</f>
        <v>1946</v>
      </c>
      <c r="F549" s="42">
        <f>'13. Desinvesteringen'!E551</f>
        <v>881</v>
      </c>
      <c r="G549" s="37">
        <f>'13. Desinvesteringen'!G551</f>
        <v>2024</v>
      </c>
    </row>
    <row r="550" spans="1:7" s="340" customFormat="1">
      <c r="A550" s="230"/>
      <c r="B550" s="37">
        <f>'13. Desinvesteringen'!B552</f>
        <v>533</v>
      </c>
      <c r="C550" s="3"/>
      <c r="D550" s="37" t="str">
        <f>'13. Desinvesteringen'!C552</f>
        <v>01 Regionale leidingen</v>
      </c>
      <c r="E550" s="37">
        <f>'13. Desinvesteringen'!D552</f>
        <v>1949</v>
      </c>
      <c r="F550" s="42">
        <f>'13. Desinvesteringen'!E552</f>
        <v>4199</v>
      </c>
      <c r="G550" s="37">
        <f>'13. Desinvesteringen'!G552</f>
        <v>2024</v>
      </c>
    </row>
    <row r="551" spans="1:7" s="340" customFormat="1">
      <c r="A551" s="230"/>
      <c r="B551" s="37">
        <f>'13. Desinvesteringen'!B553</f>
        <v>534</v>
      </c>
      <c r="C551" s="3"/>
      <c r="D551" s="37" t="str">
        <f>'13. Desinvesteringen'!C553</f>
        <v>01 Regionale leidingen</v>
      </c>
      <c r="E551" s="37">
        <f>'13. Desinvesteringen'!D553</f>
        <v>1958</v>
      </c>
      <c r="F551" s="42">
        <f>'13. Desinvesteringen'!E553</f>
        <v>75794</v>
      </c>
      <c r="G551" s="37">
        <f>'13. Desinvesteringen'!G553</f>
        <v>2024</v>
      </c>
    </row>
    <row r="552" spans="1:7" s="340" customFormat="1">
      <c r="A552" s="230"/>
      <c r="B552" s="37">
        <f>'13. Desinvesteringen'!B554</f>
        <v>535</v>
      </c>
      <c r="C552" s="3"/>
      <c r="D552" s="37" t="str">
        <f>'13. Desinvesteringen'!C554</f>
        <v>01 Regionale leidingen</v>
      </c>
      <c r="E552" s="37">
        <f>'13. Desinvesteringen'!D554</f>
        <v>1961</v>
      </c>
      <c r="F552" s="42">
        <f>'13. Desinvesteringen'!E554</f>
        <v>43899</v>
      </c>
      <c r="G552" s="37">
        <f>'13. Desinvesteringen'!G554</f>
        <v>2024</v>
      </c>
    </row>
    <row r="553" spans="1:7" s="340" customFormat="1">
      <c r="A553" s="230"/>
      <c r="B553" s="37">
        <f>'13. Desinvesteringen'!B555</f>
        <v>536</v>
      </c>
      <c r="C553" s="3"/>
      <c r="D553" s="37" t="str">
        <f>'13. Desinvesteringen'!C555</f>
        <v>01 Regionale leidingen</v>
      </c>
      <c r="E553" s="37">
        <f>'13. Desinvesteringen'!D555</f>
        <v>1965</v>
      </c>
      <c r="F553" s="42">
        <f>'13. Desinvesteringen'!E555</f>
        <v>65000</v>
      </c>
      <c r="G553" s="37">
        <f>'13. Desinvesteringen'!G555</f>
        <v>2024</v>
      </c>
    </row>
    <row r="554" spans="1:7" s="340" customFormat="1">
      <c r="A554" s="230"/>
      <c r="B554" s="37">
        <f>'13. Desinvesteringen'!B556</f>
        <v>537</v>
      </c>
      <c r="C554" s="3"/>
      <c r="D554" s="37" t="str">
        <f>'13. Desinvesteringen'!C556</f>
        <v>01 Regionale leidingen</v>
      </c>
      <c r="E554" s="37">
        <f>'13. Desinvesteringen'!D556</f>
        <v>1966</v>
      </c>
      <c r="F554" s="42">
        <f>'13. Desinvesteringen'!E556</f>
        <v>84988</v>
      </c>
      <c r="G554" s="37">
        <f>'13. Desinvesteringen'!G556</f>
        <v>2024</v>
      </c>
    </row>
    <row r="555" spans="1:7" s="340" customFormat="1">
      <c r="A555" s="230"/>
      <c r="B555" s="37">
        <f>'13. Desinvesteringen'!B557</f>
        <v>538</v>
      </c>
      <c r="C555" s="3"/>
      <c r="D555" s="37" t="str">
        <f>'13. Desinvesteringen'!C557</f>
        <v>01 Regionale leidingen</v>
      </c>
      <c r="E555" s="37">
        <f>'13. Desinvesteringen'!D557</f>
        <v>1967</v>
      </c>
      <c r="F555" s="42">
        <f>'13. Desinvesteringen'!E557</f>
        <v>30000</v>
      </c>
      <c r="G555" s="37">
        <f>'13. Desinvesteringen'!G557</f>
        <v>2024</v>
      </c>
    </row>
    <row r="556" spans="1:7" s="340" customFormat="1">
      <c r="A556" s="230"/>
      <c r="B556" s="37">
        <f>'13. Desinvesteringen'!B558</f>
        <v>539</v>
      </c>
      <c r="C556" s="3"/>
      <c r="D556" s="37" t="str">
        <f>'13. Desinvesteringen'!C558</f>
        <v>01 Regionale leidingen</v>
      </c>
      <c r="E556" s="37">
        <f>'13. Desinvesteringen'!D558</f>
        <v>1968</v>
      </c>
      <c r="F556" s="42">
        <f>'13. Desinvesteringen'!E558</f>
        <v>135146</v>
      </c>
      <c r="G556" s="37">
        <f>'13. Desinvesteringen'!G558</f>
        <v>2024</v>
      </c>
    </row>
    <row r="557" spans="1:7" s="340" customFormat="1">
      <c r="A557" s="230"/>
      <c r="B557" s="37">
        <f>'13. Desinvesteringen'!B559</f>
        <v>540</v>
      </c>
      <c r="C557" s="3"/>
      <c r="D557" s="37" t="str">
        <f>'13. Desinvesteringen'!C559</f>
        <v>01 Regionale leidingen</v>
      </c>
      <c r="E557" s="37">
        <f>'13. Desinvesteringen'!D559</f>
        <v>1969</v>
      </c>
      <c r="F557" s="42">
        <f>'13. Desinvesteringen'!E559</f>
        <v>103785</v>
      </c>
      <c r="G557" s="37">
        <f>'13. Desinvesteringen'!G559</f>
        <v>2024</v>
      </c>
    </row>
    <row r="558" spans="1:7" s="340" customFormat="1">
      <c r="A558" s="230"/>
      <c r="B558" s="37">
        <f>'13. Desinvesteringen'!B560</f>
        <v>541</v>
      </c>
      <c r="C558" s="3"/>
      <c r="D558" s="37" t="str">
        <f>'13. Desinvesteringen'!C560</f>
        <v>01 Regionale leidingen</v>
      </c>
      <c r="E558" s="37">
        <f>'13. Desinvesteringen'!D560</f>
        <v>1970</v>
      </c>
      <c r="F558" s="42">
        <f>'13. Desinvesteringen'!E560</f>
        <v>60959</v>
      </c>
      <c r="G558" s="37">
        <f>'13. Desinvesteringen'!G560</f>
        <v>2024</v>
      </c>
    </row>
    <row r="559" spans="1:7" s="340" customFormat="1">
      <c r="A559" s="230"/>
      <c r="B559" s="37">
        <f>'13. Desinvesteringen'!B561</f>
        <v>542</v>
      </c>
      <c r="C559" s="3"/>
      <c r="D559" s="37" t="str">
        <f>'13. Desinvesteringen'!C561</f>
        <v>01 Regionale leidingen</v>
      </c>
      <c r="E559" s="37">
        <f>'13. Desinvesteringen'!D561</f>
        <v>1971</v>
      </c>
      <c r="F559" s="42">
        <f>'13. Desinvesteringen'!E561</f>
        <v>286240</v>
      </c>
      <c r="G559" s="37">
        <f>'13. Desinvesteringen'!G561</f>
        <v>2024</v>
      </c>
    </row>
    <row r="560" spans="1:7" s="340" customFormat="1">
      <c r="A560" s="230"/>
      <c r="B560" s="37">
        <f>'13. Desinvesteringen'!B562</f>
        <v>543</v>
      </c>
      <c r="C560" s="3"/>
      <c r="D560" s="37" t="str">
        <f>'13. Desinvesteringen'!C562</f>
        <v>01 Regionale leidingen</v>
      </c>
      <c r="E560" s="37">
        <f>'13. Desinvesteringen'!D562</f>
        <v>1972</v>
      </c>
      <c r="F560" s="42">
        <f>'13. Desinvesteringen'!E562</f>
        <v>71451</v>
      </c>
      <c r="G560" s="37">
        <f>'13. Desinvesteringen'!G562</f>
        <v>2024</v>
      </c>
    </row>
    <row r="561" spans="1:7" s="340" customFormat="1">
      <c r="A561" s="230"/>
      <c r="B561" s="37">
        <f>'13. Desinvesteringen'!B563</f>
        <v>544</v>
      </c>
      <c r="C561" s="3"/>
      <c r="D561" s="37" t="str">
        <f>'13. Desinvesteringen'!C563</f>
        <v>01 Regionale leidingen</v>
      </c>
      <c r="E561" s="37">
        <f>'13. Desinvesteringen'!D563</f>
        <v>1973</v>
      </c>
      <c r="F561" s="42">
        <f>'13. Desinvesteringen'!E563</f>
        <v>102767</v>
      </c>
      <c r="G561" s="37">
        <f>'13. Desinvesteringen'!G563</f>
        <v>2024</v>
      </c>
    </row>
    <row r="562" spans="1:7" s="340" customFormat="1">
      <c r="A562" s="230"/>
      <c r="B562" s="37">
        <f>'13. Desinvesteringen'!B564</f>
        <v>545</v>
      </c>
      <c r="C562" s="3"/>
      <c r="D562" s="37" t="str">
        <f>'13. Desinvesteringen'!C564</f>
        <v>01 Regionale leidingen</v>
      </c>
      <c r="E562" s="37">
        <f>'13. Desinvesteringen'!D564</f>
        <v>1974</v>
      </c>
      <c r="F562" s="42">
        <f>'13. Desinvesteringen'!E564</f>
        <v>39996</v>
      </c>
      <c r="G562" s="37">
        <f>'13. Desinvesteringen'!G564</f>
        <v>2024</v>
      </c>
    </row>
    <row r="563" spans="1:7" s="340" customFormat="1">
      <c r="A563" s="230"/>
      <c r="B563" s="37">
        <f>'13. Desinvesteringen'!B565</f>
        <v>546</v>
      </c>
      <c r="C563" s="3"/>
      <c r="D563" s="37" t="str">
        <f>'13. Desinvesteringen'!C565</f>
        <v>01 Regionale leidingen</v>
      </c>
      <c r="E563" s="37">
        <f>'13. Desinvesteringen'!D565</f>
        <v>1975</v>
      </c>
      <c r="F563" s="42">
        <f>'13. Desinvesteringen'!E565</f>
        <v>39996</v>
      </c>
      <c r="G563" s="37">
        <f>'13. Desinvesteringen'!G565</f>
        <v>2024</v>
      </c>
    </row>
    <row r="564" spans="1:7" s="340" customFormat="1">
      <c r="A564" s="230"/>
      <c r="B564" s="37">
        <f>'13. Desinvesteringen'!B566</f>
        <v>547</v>
      </c>
      <c r="C564" s="3"/>
      <c r="D564" s="37" t="str">
        <f>'13. Desinvesteringen'!C566</f>
        <v>01 Regionale leidingen</v>
      </c>
      <c r="E564" s="37">
        <f>'13. Desinvesteringen'!D566</f>
        <v>1976</v>
      </c>
      <c r="F564" s="42">
        <f>'13. Desinvesteringen'!E566</f>
        <v>230753</v>
      </c>
      <c r="G564" s="37">
        <f>'13. Desinvesteringen'!G566</f>
        <v>2024</v>
      </c>
    </row>
    <row r="565" spans="1:7" s="340" customFormat="1">
      <c r="A565" s="230"/>
      <c r="B565" s="37">
        <f>'13. Desinvesteringen'!B567</f>
        <v>548</v>
      </c>
      <c r="C565" s="3"/>
      <c r="D565" s="37" t="str">
        <f>'13. Desinvesteringen'!C567</f>
        <v>01 Regionale leidingen</v>
      </c>
      <c r="E565" s="37">
        <f>'13. Desinvesteringen'!D567</f>
        <v>1977</v>
      </c>
      <c r="F565" s="42">
        <f>'13. Desinvesteringen'!E567</f>
        <v>19732</v>
      </c>
      <c r="G565" s="37">
        <f>'13. Desinvesteringen'!G567</f>
        <v>2024</v>
      </c>
    </row>
    <row r="566" spans="1:7" s="340" customFormat="1">
      <c r="A566" s="230"/>
      <c r="B566" s="37">
        <f>'13. Desinvesteringen'!B568</f>
        <v>549</v>
      </c>
      <c r="C566" s="3"/>
      <c r="D566" s="37" t="str">
        <f>'13. Desinvesteringen'!C568</f>
        <v>01 Regionale leidingen</v>
      </c>
      <c r="E566" s="37">
        <f>'13. Desinvesteringen'!D568</f>
        <v>1979</v>
      </c>
      <c r="F566" s="42">
        <f>'13. Desinvesteringen'!E568</f>
        <v>1056</v>
      </c>
      <c r="G566" s="37">
        <f>'13. Desinvesteringen'!G568</f>
        <v>2024</v>
      </c>
    </row>
    <row r="567" spans="1:7" s="340" customFormat="1">
      <c r="A567" s="230"/>
      <c r="B567" s="37">
        <f>'13. Desinvesteringen'!B569</f>
        <v>550</v>
      </c>
      <c r="C567" s="3"/>
      <c r="D567" s="37" t="str">
        <f>'13. Desinvesteringen'!C569</f>
        <v>01 Regionale leidingen</v>
      </c>
      <c r="E567" s="37">
        <f>'13. Desinvesteringen'!D569</f>
        <v>1985</v>
      </c>
      <c r="F567" s="42">
        <f>'13. Desinvesteringen'!E569</f>
        <v>2726</v>
      </c>
      <c r="G567" s="37">
        <f>'13. Desinvesteringen'!G569</f>
        <v>2024</v>
      </c>
    </row>
    <row r="568" spans="1:7" s="340" customFormat="1">
      <c r="A568" s="230"/>
      <c r="B568" s="37">
        <f>'13. Desinvesteringen'!B570</f>
        <v>551</v>
      </c>
      <c r="C568" s="3"/>
      <c r="D568" s="37" t="str">
        <f>'13. Desinvesteringen'!C570</f>
        <v>01 Regionale leidingen</v>
      </c>
      <c r="E568" s="37">
        <f>'13. Desinvesteringen'!D570</f>
        <v>1988</v>
      </c>
      <c r="F568" s="42">
        <f>'13. Desinvesteringen'!E570</f>
        <v>14341</v>
      </c>
      <c r="G568" s="37">
        <f>'13. Desinvesteringen'!G570</f>
        <v>2024</v>
      </c>
    </row>
    <row r="569" spans="1:7" s="340" customFormat="1">
      <c r="A569" s="230"/>
      <c r="B569" s="37">
        <f>'13. Desinvesteringen'!B571</f>
        <v>552</v>
      </c>
      <c r="C569" s="3"/>
      <c r="D569" s="37" t="str">
        <f>'13. Desinvesteringen'!C571</f>
        <v>01 Regionale leidingen</v>
      </c>
      <c r="E569" s="37">
        <f>'13. Desinvesteringen'!D571</f>
        <v>1990</v>
      </c>
      <c r="F569" s="42">
        <f>'13. Desinvesteringen'!E571</f>
        <v>10387</v>
      </c>
      <c r="G569" s="37">
        <f>'13. Desinvesteringen'!G571</f>
        <v>2024</v>
      </c>
    </row>
    <row r="570" spans="1:7" s="340" customFormat="1">
      <c r="A570" s="230"/>
      <c r="B570" s="37">
        <f>'13. Desinvesteringen'!B572</f>
        <v>553</v>
      </c>
      <c r="C570" s="3"/>
      <c r="D570" s="37" t="str">
        <f>'13. Desinvesteringen'!C572</f>
        <v>01 Regionale leidingen</v>
      </c>
      <c r="E570" s="37">
        <f>'13. Desinvesteringen'!D572</f>
        <v>1992</v>
      </c>
      <c r="F570" s="42">
        <f>'13. Desinvesteringen'!E572</f>
        <v>127354</v>
      </c>
      <c r="G570" s="37">
        <f>'13. Desinvesteringen'!G572</f>
        <v>2024</v>
      </c>
    </row>
    <row r="571" spans="1:7" s="340" customFormat="1">
      <c r="A571" s="230"/>
      <c r="B571" s="37">
        <f>'13. Desinvesteringen'!B573</f>
        <v>554</v>
      </c>
      <c r="C571" s="3"/>
      <c r="D571" s="37" t="str">
        <f>'13. Desinvesteringen'!C573</f>
        <v>01 Regionale leidingen</v>
      </c>
      <c r="E571" s="37">
        <f>'13. Desinvesteringen'!D573</f>
        <v>1993</v>
      </c>
      <c r="F571" s="42">
        <f>'13. Desinvesteringen'!E573</f>
        <v>60000</v>
      </c>
      <c r="G571" s="37">
        <f>'13. Desinvesteringen'!G573</f>
        <v>2024</v>
      </c>
    </row>
    <row r="572" spans="1:7" s="340" customFormat="1">
      <c r="A572" s="230"/>
      <c r="B572" s="37">
        <f>'13. Desinvesteringen'!B574</f>
        <v>555</v>
      </c>
      <c r="C572" s="3"/>
      <c r="D572" s="37" t="str">
        <f>'13. Desinvesteringen'!C574</f>
        <v>01 Regionale leidingen</v>
      </c>
      <c r="E572" s="37">
        <f>'13. Desinvesteringen'!D574</f>
        <v>1998</v>
      </c>
      <c r="F572" s="42">
        <f>'13. Desinvesteringen'!E574</f>
        <v>7648</v>
      </c>
      <c r="G572" s="37">
        <f>'13. Desinvesteringen'!G574</f>
        <v>2024</v>
      </c>
    </row>
    <row r="573" spans="1:7" s="340" customFormat="1">
      <c r="A573" s="230"/>
      <c r="B573" s="37">
        <f>'13. Desinvesteringen'!B575</f>
        <v>556</v>
      </c>
      <c r="C573" s="3"/>
      <c r="D573" s="37" t="str">
        <f>'13. Desinvesteringen'!C575</f>
        <v>01 Regionale leidingen</v>
      </c>
      <c r="E573" s="37">
        <f>'13. Desinvesteringen'!D575</f>
        <v>2004</v>
      </c>
      <c r="F573" s="42">
        <f>'13. Desinvesteringen'!E575</f>
        <v>77652</v>
      </c>
      <c r="G573" s="37">
        <f>'13. Desinvesteringen'!G575</f>
        <v>2024</v>
      </c>
    </row>
    <row r="574" spans="1:7" s="340" customFormat="1">
      <c r="A574" s="230"/>
      <c r="B574" s="37">
        <f>'13. Desinvesteringen'!B576</f>
        <v>557</v>
      </c>
      <c r="C574" s="3"/>
      <c r="D574" s="37" t="str">
        <f>'13. Desinvesteringen'!C576</f>
        <v>01 Regionale leidingen</v>
      </c>
      <c r="E574" s="37">
        <f>'13. Desinvesteringen'!D576</f>
        <v>2006</v>
      </c>
      <c r="F574" s="42">
        <f>'13. Desinvesteringen'!E576</f>
        <v>5864</v>
      </c>
      <c r="G574" s="37">
        <f>'13. Desinvesteringen'!G576</f>
        <v>2024</v>
      </c>
    </row>
    <row r="575" spans="1:7" s="340" customFormat="1">
      <c r="A575" s="230"/>
      <c r="B575" s="37">
        <f>'13. Desinvesteringen'!B577</f>
        <v>558</v>
      </c>
      <c r="C575" s="3"/>
      <c r="D575" s="37" t="str">
        <f>'13. Desinvesteringen'!C577</f>
        <v>01 Regionale leidingen</v>
      </c>
      <c r="E575" s="37">
        <f>'13. Desinvesteringen'!D577</f>
        <v>2007</v>
      </c>
      <c r="F575" s="42">
        <f>'13. Desinvesteringen'!E577</f>
        <v>6736</v>
      </c>
      <c r="G575" s="37">
        <f>'13. Desinvesteringen'!G577</f>
        <v>2024</v>
      </c>
    </row>
    <row r="576" spans="1:7" s="340" customFormat="1">
      <c r="A576" s="230"/>
      <c r="B576" s="37">
        <f>'13. Desinvesteringen'!B578</f>
        <v>559</v>
      </c>
      <c r="C576" s="3"/>
      <c r="D576" s="37" t="str">
        <f>'13. Desinvesteringen'!C578</f>
        <v>01 Regionale leidingen</v>
      </c>
      <c r="E576" s="37">
        <f>'13. Desinvesteringen'!D578</f>
        <v>2009</v>
      </c>
      <c r="F576" s="42">
        <f>'13. Desinvesteringen'!E578</f>
        <v>396714</v>
      </c>
      <c r="G576" s="37">
        <f>'13. Desinvesteringen'!G578</f>
        <v>2024</v>
      </c>
    </row>
    <row r="577" spans="1:7" s="340" customFormat="1">
      <c r="A577" s="230"/>
      <c r="B577" s="37">
        <f>'13. Desinvesteringen'!B579</f>
        <v>560</v>
      </c>
      <c r="C577" s="3"/>
      <c r="D577" s="37" t="str">
        <f>'13. Desinvesteringen'!C579</f>
        <v>01 Regionale leidingen</v>
      </c>
      <c r="E577" s="37">
        <f>'13. Desinvesteringen'!D579</f>
        <v>2010</v>
      </c>
      <c r="F577" s="42">
        <f>'13. Desinvesteringen'!E579</f>
        <v>521890</v>
      </c>
      <c r="G577" s="37">
        <f>'13. Desinvesteringen'!G579</f>
        <v>2024</v>
      </c>
    </row>
    <row r="578" spans="1:7" s="340" customFormat="1">
      <c r="A578" s="230"/>
      <c r="B578" s="37">
        <f>'13. Desinvesteringen'!B580</f>
        <v>561</v>
      </c>
      <c r="C578" s="3"/>
      <c r="D578" s="37" t="str">
        <f>'13. Desinvesteringen'!C580</f>
        <v>01 Regionale leidingen</v>
      </c>
      <c r="E578" s="37">
        <f>'13. Desinvesteringen'!D580</f>
        <v>2011</v>
      </c>
      <c r="F578" s="42">
        <f>'13. Desinvesteringen'!E580</f>
        <v>3567</v>
      </c>
      <c r="G578" s="37">
        <f>'13. Desinvesteringen'!G580</f>
        <v>2024</v>
      </c>
    </row>
    <row r="579" spans="1:7" s="340" customFormat="1">
      <c r="A579" s="230"/>
      <c r="B579" s="37">
        <f>'13. Desinvesteringen'!B581</f>
        <v>562</v>
      </c>
      <c r="C579" s="3"/>
      <c r="D579" s="37" t="str">
        <f>'13. Desinvesteringen'!C581</f>
        <v>01 Regionale leidingen</v>
      </c>
      <c r="E579" s="37">
        <f>'13. Desinvesteringen'!D581</f>
        <v>2016</v>
      </c>
      <c r="F579" s="42">
        <f>'13. Desinvesteringen'!E581</f>
        <v>430924</v>
      </c>
      <c r="G579" s="37">
        <f>'13. Desinvesteringen'!G581</f>
        <v>2024</v>
      </c>
    </row>
    <row r="580" spans="1:7" s="340" customFormat="1">
      <c r="A580" s="230"/>
      <c r="B580" s="37">
        <f>'13. Desinvesteringen'!B582</f>
        <v>563</v>
      </c>
      <c r="C580" s="3"/>
      <c r="D580" s="37" t="str">
        <f>'13. Desinvesteringen'!C582</f>
        <v>02 Gasontvangststations</v>
      </c>
      <c r="E580" s="37">
        <f>'13. Desinvesteringen'!D582</f>
        <v>1967</v>
      </c>
      <c r="F580" s="42">
        <f>'13. Desinvesteringen'!E582</f>
        <v>70058</v>
      </c>
      <c r="G580" s="37">
        <f>'13. Desinvesteringen'!G582</f>
        <v>2024</v>
      </c>
    </row>
    <row r="581" spans="1:7" s="340" customFormat="1">
      <c r="A581" s="230"/>
      <c r="B581" s="37">
        <f>'13. Desinvesteringen'!B583</f>
        <v>564</v>
      </c>
      <c r="C581" s="3"/>
      <c r="D581" s="37" t="str">
        <f>'13. Desinvesteringen'!C583</f>
        <v>02 Gasontvangststations</v>
      </c>
      <c r="E581" s="37">
        <f>'13. Desinvesteringen'!D583</f>
        <v>1968</v>
      </c>
      <c r="F581" s="42">
        <f>'13. Desinvesteringen'!E583</f>
        <v>206807</v>
      </c>
      <c r="G581" s="37">
        <f>'13. Desinvesteringen'!G583</f>
        <v>2024</v>
      </c>
    </row>
    <row r="582" spans="1:7" s="340" customFormat="1">
      <c r="A582" s="230"/>
      <c r="B582" s="37">
        <f>'13. Desinvesteringen'!B584</f>
        <v>565</v>
      </c>
      <c r="C582" s="3"/>
      <c r="D582" s="37" t="str">
        <f>'13. Desinvesteringen'!C584</f>
        <v>02 Gasontvangststations</v>
      </c>
      <c r="E582" s="37">
        <f>'13. Desinvesteringen'!D584</f>
        <v>1969</v>
      </c>
      <c r="F582" s="42">
        <f>'13. Desinvesteringen'!E584</f>
        <v>39996</v>
      </c>
      <c r="G582" s="37">
        <f>'13. Desinvesteringen'!G584</f>
        <v>2024</v>
      </c>
    </row>
    <row r="583" spans="1:7" s="340" customFormat="1">
      <c r="A583" s="230"/>
      <c r="B583" s="37">
        <f>'13. Desinvesteringen'!B585</f>
        <v>566</v>
      </c>
      <c r="C583" s="3"/>
      <c r="D583" s="37" t="str">
        <f>'13. Desinvesteringen'!C585</f>
        <v>02 Gasontvangststations</v>
      </c>
      <c r="E583" s="37">
        <f>'13. Desinvesteringen'!D585</f>
        <v>1970</v>
      </c>
      <c r="F583" s="42">
        <f>'13. Desinvesteringen'!E585</f>
        <v>52402</v>
      </c>
      <c r="G583" s="37">
        <f>'13. Desinvesteringen'!G585</f>
        <v>2024</v>
      </c>
    </row>
    <row r="584" spans="1:7" s="340" customFormat="1">
      <c r="A584" s="230"/>
      <c r="B584" s="37">
        <f>'13. Desinvesteringen'!B586</f>
        <v>567</v>
      </c>
      <c r="C584" s="3"/>
      <c r="D584" s="37" t="str">
        <f>'13. Desinvesteringen'!C586</f>
        <v>02 Gasontvangststations</v>
      </c>
      <c r="E584" s="37">
        <f>'13. Desinvesteringen'!D586</f>
        <v>1971</v>
      </c>
      <c r="F584" s="42">
        <f>'13. Desinvesteringen'!E586</f>
        <v>153301</v>
      </c>
      <c r="G584" s="37">
        <f>'13. Desinvesteringen'!G586</f>
        <v>2024</v>
      </c>
    </row>
    <row r="585" spans="1:7" s="340" customFormat="1">
      <c r="A585" s="230"/>
      <c r="B585" s="37">
        <f>'13. Desinvesteringen'!B587</f>
        <v>568</v>
      </c>
      <c r="C585" s="3"/>
      <c r="D585" s="37" t="str">
        <f>'13. Desinvesteringen'!C587</f>
        <v>02 Gasontvangststations</v>
      </c>
      <c r="E585" s="37">
        <f>'13. Desinvesteringen'!D587</f>
        <v>1972</v>
      </c>
      <c r="F585" s="42">
        <f>'13. Desinvesteringen'!E587</f>
        <v>23945</v>
      </c>
      <c r="G585" s="37">
        <f>'13. Desinvesteringen'!G587</f>
        <v>2024</v>
      </c>
    </row>
    <row r="586" spans="1:7" s="340" customFormat="1">
      <c r="A586" s="230"/>
      <c r="B586" s="37">
        <f>'13. Desinvesteringen'!B588</f>
        <v>569</v>
      </c>
      <c r="C586" s="3"/>
      <c r="D586" s="37" t="str">
        <f>'13. Desinvesteringen'!C588</f>
        <v>02 Gasontvangststations</v>
      </c>
      <c r="E586" s="37">
        <f>'13. Desinvesteringen'!D588</f>
        <v>1975</v>
      </c>
      <c r="F586" s="42">
        <f>'13. Desinvesteringen'!E588</f>
        <v>31096</v>
      </c>
      <c r="G586" s="37">
        <f>'13. Desinvesteringen'!G588</f>
        <v>2024</v>
      </c>
    </row>
    <row r="587" spans="1:7" s="340" customFormat="1">
      <c r="A587" s="230"/>
      <c r="B587" s="37">
        <f>'13. Desinvesteringen'!B589</f>
        <v>570</v>
      </c>
      <c r="C587" s="3"/>
      <c r="D587" s="37" t="str">
        <f>'13. Desinvesteringen'!C589</f>
        <v>02 Gasontvangststations</v>
      </c>
      <c r="E587" s="37">
        <f>'13. Desinvesteringen'!D589</f>
        <v>1976</v>
      </c>
      <c r="F587" s="42">
        <f>'13. Desinvesteringen'!E589</f>
        <v>12426</v>
      </c>
      <c r="G587" s="37">
        <f>'13. Desinvesteringen'!G589</f>
        <v>2024</v>
      </c>
    </row>
    <row r="588" spans="1:7" s="340" customFormat="1">
      <c r="A588" s="230"/>
      <c r="B588" s="37">
        <f>'13. Desinvesteringen'!B590</f>
        <v>571</v>
      </c>
      <c r="C588" s="3"/>
      <c r="D588" s="37" t="str">
        <f>'13. Desinvesteringen'!C590</f>
        <v>02 Gasontvangststations</v>
      </c>
      <c r="E588" s="37">
        <f>'13. Desinvesteringen'!D590</f>
        <v>1981</v>
      </c>
      <c r="F588" s="42">
        <f>'13. Desinvesteringen'!E590</f>
        <v>34690</v>
      </c>
      <c r="G588" s="37">
        <f>'13. Desinvesteringen'!G590</f>
        <v>2024</v>
      </c>
    </row>
    <row r="589" spans="1:7" s="340" customFormat="1">
      <c r="A589" s="230"/>
      <c r="B589" s="37">
        <f>'13. Desinvesteringen'!B591</f>
        <v>572</v>
      </c>
      <c r="C589" s="3"/>
      <c r="D589" s="37" t="str">
        <f>'13. Desinvesteringen'!C591</f>
        <v>02 Gasontvangststations</v>
      </c>
      <c r="E589" s="37">
        <f>'13. Desinvesteringen'!D591</f>
        <v>1986</v>
      </c>
      <c r="F589" s="42">
        <f>'13. Desinvesteringen'!E591</f>
        <v>78186</v>
      </c>
      <c r="G589" s="37">
        <f>'13. Desinvesteringen'!G591</f>
        <v>2024</v>
      </c>
    </row>
    <row r="590" spans="1:7" s="340" customFormat="1">
      <c r="A590" s="230"/>
      <c r="B590" s="37">
        <f>'13. Desinvesteringen'!B592</f>
        <v>573</v>
      </c>
      <c r="C590" s="3"/>
      <c r="D590" s="37" t="str">
        <f>'13. Desinvesteringen'!C592</f>
        <v>02 Gasontvangststations</v>
      </c>
      <c r="E590" s="37">
        <f>'13. Desinvesteringen'!D592</f>
        <v>1997</v>
      </c>
      <c r="F590" s="42">
        <f>'13. Desinvesteringen'!E592</f>
        <v>184270</v>
      </c>
      <c r="G590" s="37">
        <f>'13. Desinvesteringen'!G592</f>
        <v>2024</v>
      </c>
    </row>
    <row r="591" spans="1:7" s="340" customFormat="1">
      <c r="A591" s="230"/>
      <c r="B591" s="37">
        <f>'13. Desinvesteringen'!B593</f>
        <v>574</v>
      </c>
      <c r="C591" s="3"/>
      <c r="D591" s="37" t="str">
        <f>'13. Desinvesteringen'!C593</f>
        <v>02 Gasontvangststations</v>
      </c>
      <c r="E591" s="37">
        <f>'13. Desinvesteringen'!D593</f>
        <v>1998</v>
      </c>
      <c r="F591" s="42">
        <f>'13. Desinvesteringen'!E593</f>
        <v>20568</v>
      </c>
      <c r="G591" s="37">
        <f>'13. Desinvesteringen'!G593</f>
        <v>2024</v>
      </c>
    </row>
    <row r="592" spans="1:7" s="340" customFormat="1">
      <c r="A592" s="230"/>
      <c r="B592" s="37">
        <f>'13. Desinvesteringen'!B594</f>
        <v>575</v>
      </c>
      <c r="C592" s="3"/>
      <c r="D592" s="37" t="str">
        <f>'13. Desinvesteringen'!C594</f>
        <v>02 Gasontvangststations</v>
      </c>
      <c r="E592" s="37">
        <f>'13. Desinvesteringen'!D594</f>
        <v>2000</v>
      </c>
      <c r="F592" s="42">
        <f>'13. Desinvesteringen'!E594</f>
        <v>11269</v>
      </c>
      <c r="G592" s="37">
        <f>'13. Desinvesteringen'!G594</f>
        <v>2024</v>
      </c>
    </row>
    <row r="593" spans="1:7" s="340" customFormat="1">
      <c r="A593" s="230"/>
      <c r="B593" s="37">
        <f>'13. Desinvesteringen'!B595</f>
        <v>576</v>
      </c>
      <c r="C593" s="3"/>
      <c r="D593" s="37" t="str">
        <f>'13. Desinvesteringen'!C595</f>
        <v>02 Gasontvangststations</v>
      </c>
      <c r="E593" s="37">
        <f>'13. Desinvesteringen'!D595</f>
        <v>2001</v>
      </c>
      <c r="F593" s="42">
        <f>'13. Desinvesteringen'!E595</f>
        <v>144463</v>
      </c>
      <c r="G593" s="37">
        <f>'13. Desinvesteringen'!G595</f>
        <v>2024</v>
      </c>
    </row>
    <row r="594" spans="1:7" s="340" customFormat="1">
      <c r="A594" s="230"/>
      <c r="B594" s="37">
        <f>'13. Desinvesteringen'!B596</f>
        <v>577</v>
      </c>
      <c r="C594" s="3"/>
      <c r="D594" s="37" t="str">
        <f>'13. Desinvesteringen'!C596</f>
        <v>02 Gasontvangststations</v>
      </c>
      <c r="E594" s="37">
        <f>'13. Desinvesteringen'!D596</f>
        <v>2007</v>
      </c>
      <c r="F594" s="42">
        <f>'13. Desinvesteringen'!E596</f>
        <v>38479</v>
      </c>
      <c r="G594" s="37">
        <f>'13. Desinvesteringen'!G596</f>
        <v>2024</v>
      </c>
    </row>
    <row r="595" spans="1:7" s="340" customFormat="1">
      <c r="A595" s="230"/>
      <c r="B595" s="37">
        <f>'13. Desinvesteringen'!B597</f>
        <v>578</v>
      </c>
      <c r="C595" s="3"/>
      <c r="D595" s="37" t="str">
        <f>'13. Desinvesteringen'!C597</f>
        <v>02 Gasontvangststations</v>
      </c>
      <c r="E595" s="37">
        <f>'13. Desinvesteringen'!D597</f>
        <v>2010</v>
      </c>
      <c r="F595" s="42">
        <f>'13. Desinvesteringen'!E597</f>
        <v>29130</v>
      </c>
      <c r="G595" s="37">
        <f>'13. Desinvesteringen'!G597</f>
        <v>2024</v>
      </c>
    </row>
    <row r="596" spans="1:7" s="340" customFormat="1">
      <c r="A596" s="230"/>
      <c r="B596" s="37">
        <f>'13. Desinvesteringen'!B598</f>
        <v>579</v>
      </c>
      <c r="C596" s="3"/>
      <c r="D596" s="37" t="str">
        <f>'13. Desinvesteringen'!C598</f>
        <v>02 Gasontvangststations</v>
      </c>
      <c r="E596" s="37">
        <f>'13. Desinvesteringen'!D598</f>
        <v>2011</v>
      </c>
      <c r="F596" s="42">
        <f>'13. Desinvesteringen'!E598</f>
        <v>108631</v>
      </c>
      <c r="G596" s="37">
        <f>'13. Desinvesteringen'!G598</f>
        <v>2024</v>
      </c>
    </row>
    <row r="597" spans="1:7" s="340" customFormat="1">
      <c r="A597" s="230"/>
      <c r="B597" s="37">
        <f>'13. Desinvesteringen'!B599</f>
        <v>580</v>
      </c>
      <c r="C597" s="3"/>
      <c r="D597" s="37" t="str">
        <f>'13. Desinvesteringen'!C599</f>
        <v>02 Gasontvangststations</v>
      </c>
      <c r="E597" s="37">
        <f>'13. Desinvesteringen'!D599</f>
        <v>2017</v>
      </c>
      <c r="F597" s="42">
        <f>'13. Desinvesteringen'!E599</f>
        <v>46060</v>
      </c>
      <c r="G597" s="37">
        <f>'13. Desinvesteringen'!G599</f>
        <v>2024</v>
      </c>
    </row>
    <row r="598" spans="1:7" s="340" customFormat="1">
      <c r="A598" s="230"/>
      <c r="B598" s="37">
        <f>'13. Desinvesteringen'!B600</f>
        <v>581</v>
      </c>
      <c r="C598" s="3"/>
      <c r="D598" s="37" t="str">
        <f>'13. Desinvesteringen'!C600</f>
        <v>02 Gasontvangststations</v>
      </c>
      <c r="E598" s="37">
        <f>'13. Desinvesteringen'!D600</f>
        <v>2020</v>
      </c>
      <c r="F598" s="42">
        <f>'13. Desinvesteringen'!E600</f>
        <v>17034</v>
      </c>
      <c r="G598" s="37">
        <f>'13. Desinvesteringen'!G600</f>
        <v>2024</v>
      </c>
    </row>
    <row r="599" spans="1:7" s="340" customFormat="1">
      <c r="A599" s="230"/>
      <c r="B599" s="37">
        <f>'13. Desinvesteringen'!B601</f>
        <v>582</v>
      </c>
      <c r="C599" s="3"/>
      <c r="D599" s="37" t="str">
        <f>'13. Desinvesteringen'!C601</f>
        <v>03 Verremeting</v>
      </c>
      <c r="E599" s="37">
        <f>'13. Desinvesteringen'!D601</f>
        <v>1998</v>
      </c>
      <c r="F599" s="42">
        <f>'13. Desinvesteringen'!E601</f>
        <v>62195</v>
      </c>
      <c r="G599" s="37">
        <f>'13. Desinvesteringen'!G601</f>
        <v>2024</v>
      </c>
    </row>
    <row r="600" spans="1:7" s="340" customFormat="1">
      <c r="A600" s="230"/>
      <c r="B600" s="37">
        <f>'13. Desinvesteringen'!B602</f>
        <v>583</v>
      </c>
      <c r="C600" s="3"/>
      <c r="D600" s="37" t="str">
        <f>'13. Desinvesteringen'!C602</f>
        <v>06 Utiliteitsgebouwen</v>
      </c>
      <c r="E600" s="37">
        <f>'13. Desinvesteringen'!D602</f>
        <v>1996</v>
      </c>
      <c r="F600" s="42">
        <f>'13. Desinvesteringen'!E602</f>
        <v>646376</v>
      </c>
      <c r="G600" s="37">
        <f>'13. Desinvesteringen'!G602</f>
        <v>2024</v>
      </c>
    </row>
    <row r="601" spans="1:7" s="340" customFormat="1">
      <c r="A601" s="230"/>
      <c r="B601" s="37">
        <f>'13. Desinvesteringen'!B603</f>
        <v>584</v>
      </c>
      <c r="C601" s="3"/>
      <c r="D601" s="37" t="str">
        <f>'13. Desinvesteringen'!C603</f>
        <v>06 Utiliteitsgebouwen</v>
      </c>
      <c r="E601" s="37">
        <f>'13. Desinvesteringen'!D603</f>
        <v>1998</v>
      </c>
      <c r="F601" s="42">
        <f>'13. Desinvesteringen'!E603</f>
        <v>1710727</v>
      </c>
      <c r="G601" s="37">
        <f>'13. Desinvesteringen'!G603</f>
        <v>2024</v>
      </c>
    </row>
    <row r="602" spans="1:7" s="340" customFormat="1">
      <c r="A602" s="230"/>
      <c r="B602" s="37">
        <f>'13. Desinvesteringen'!B604</f>
        <v>585</v>
      </c>
      <c r="C602" s="3"/>
      <c r="D602" s="37" t="str">
        <f>'13. Desinvesteringen'!C604</f>
        <v>06 Utiliteitsgebouwen</v>
      </c>
      <c r="E602" s="37">
        <f>'13. Desinvesteringen'!D604</f>
        <v>2005</v>
      </c>
      <c r="F602" s="42">
        <f>'13. Desinvesteringen'!E604</f>
        <v>29127</v>
      </c>
      <c r="G602" s="37">
        <f>'13. Desinvesteringen'!G604</f>
        <v>2024</v>
      </c>
    </row>
    <row r="603" spans="1:7" s="340" customFormat="1">
      <c r="A603" s="230"/>
      <c r="B603" s="37">
        <f>'13. Desinvesteringen'!B605</f>
        <v>586</v>
      </c>
      <c r="C603" s="3"/>
      <c r="D603" s="37" t="str">
        <f>'13. Desinvesteringen'!C605</f>
        <v>06 Utiliteitsgebouwen</v>
      </c>
      <c r="E603" s="37">
        <f>'13. Desinvesteringen'!D605</f>
        <v>2007</v>
      </c>
      <c r="F603" s="42">
        <f>'13. Desinvesteringen'!E605</f>
        <v>249780</v>
      </c>
      <c r="G603" s="37">
        <f>'13. Desinvesteringen'!G605</f>
        <v>2024</v>
      </c>
    </row>
    <row r="604" spans="1:7" s="340" customFormat="1">
      <c r="A604" s="230"/>
      <c r="B604" s="37">
        <f>'13. Desinvesteringen'!B606</f>
        <v>587</v>
      </c>
      <c r="C604" s="3"/>
      <c r="D604" s="37" t="str">
        <f>'13. Desinvesteringen'!C606</f>
        <v>06 Utiliteitsgebouwen</v>
      </c>
      <c r="E604" s="37">
        <f>'13. Desinvesteringen'!D606</f>
        <v>2008</v>
      </c>
      <c r="F604" s="42">
        <f>'13. Desinvesteringen'!E606</f>
        <v>157410</v>
      </c>
      <c r="G604" s="37">
        <f>'13. Desinvesteringen'!G606</f>
        <v>2024</v>
      </c>
    </row>
    <row r="605" spans="1:7" s="340" customFormat="1">
      <c r="A605" s="230"/>
      <c r="B605" s="37">
        <f>'13. Desinvesteringen'!B607</f>
        <v>588</v>
      </c>
      <c r="C605" s="3"/>
      <c r="D605" s="37" t="str">
        <f>'13. Desinvesteringen'!C607</f>
        <v>06 Utiliteitsgebouwen</v>
      </c>
      <c r="E605" s="37">
        <f>'13. Desinvesteringen'!D607</f>
        <v>2009</v>
      </c>
      <c r="F605" s="42">
        <f>'13. Desinvesteringen'!E607</f>
        <v>96928</v>
      </c>
      <c r="G605" s="37">
        <f>'13. Desinvesteringen'!G607</f>
        <v>2024</v>
      </c>
    </row>
    <row r="606" spans="1:7" s="340" customFormat="1">
      <c r="A606" s="230"/>
      <c r="B606" s="37">
        <f>'13. Desinvesteringen'!B608</f>
        <v>589</v>
      </c>
      <c r="C606" s="3"/>
      <c r="D606" s="37" t="str">
        <f>'13. Desinvesteringen'!C608</f>
        <v>06 Utiliteitsgebouwen</v>
      </c>
      <c r="E606" s="37">
        <f>'13. Desinvesteringen'!D608</f>
        <v>2010</v>
      </c>
      <c r="F606" s="42">
        <f>'13. Desinvesteringen'!E608</f>
        <v>706017</v>
      </c>
      <c r="G606" s="37">
        <f>'13. Desinvesteringen'!G608</f>
        <v>2024</v>
      </c>
    </row>
    <row r="607" spans="1:7" s="340" customFormat="1">
      <c r="A607" s="230"/>
      <c r="B607" s="37">
        <f>'13. Desinvesteringen'!B609</f>
        <v>590</v>
      </c>
      <c r="C607" s="3"/>
      <c r="D607" s="37" t="str">
        <f>'13. Desinvesteringen'!C609</f>
        <v>08 Inrichting gebouwen</v>
      </c>
      <c r="E607" s="37">
        <f>'13. Desinvesteringen'!D609</f>
        <v>1998</v>
      </c>
      <c r="F607" s="42">
        <f>'13. Desinvesteringen'!E609</f>
        <v>85531</v>
      </c>
      <c r="G607" s="37">
        <f>'13. Desinvesteringen'!G609</f>
        <v>2024</v>
      </c>
    </row>
    <row r="608" spans="1:7" s="340" customFormat="1">
      <c r="A608" s="230"/>
      <c r="B608" s="37">
        <f>'13. Desinvesteringen'!B610</f>
        <v>591</v>
      </c>
      <c r="C608" s="3"/>
      <c r="D608" s="37" t="str">
        <f>'13. Desinvesteringen'!C610</f>
        <v>08 Inrichting gebouwen</v>
      </c>
      <c r="E608" s="37">
        <f>'13. Desinvesteringen'!D610</f>
        <v>2001</v>
      </c>
      <c r="F608" s="42">
        <f>'13. Desinvesteringen'!E610</f>
        <v>21994</v>
      </c>
      <c r="G608" s="37">
        <f>'13. Desinvesteringen'!G610</f>
        <v>2024</v>
      </c>
    </row>
    <row r="609" spans="1:7" s="340" customFormat="1">
      <c r="A609" s="230"/>
      <c r="B609" s="37">
        <f>'13. Desinvesteringen'!B611</f>
        <v>592</v>
      </c>
      <c r="C609" s="3"/>
      <c r="D609" s="37" t="str">
        <f>'13. Desinvesteringen'!C611</f>
        <v>08 Inrichting gebouwen</v>
      </c>
      <c r="E609" s="37">
        <f>'13. Desinvesteringen'!D611</f>
        <v>2003</v>
      </c>
      <c r="F609" s="42">
        <f>'13. Desinvesteringen'!E611</f>
        <v>11100</v>
      </c>
      <c r="G609" s="37">
        <f>'13. Desinvesteringen'!G611</f>
        <v>2024</v>
      </c>
    </row>
    <row r="610" spans="1:7" s="340" customFormat="1">
      <c r="A610" s="230"/>
      <c r="B610" s="37">
        <f>'13. Desinvesteringen'!B612</f>
        <v>593</v>
      </c>
      <c r="C610" s="3"/>
      <c r="D610" s="37" t="str">
        <f>'13. Desinvesteringen'!C612</f>
        <v>15 Compressorstations (TT-BT-AT)</v>
      </c>
      <c r="E610" s="37">
        <f>'13. Desinvesteringen'!D612</f>
        <v>1970</v>
      </c>
      <c r="F610" s="42">
        <f>'13. Desinvesteringen'!E612</f>
        <v>902449</v>
      </c>
      <c r="G610" s="37">
        <f>'13. Desinvesteringen'!G612</f>
        <v>2024</v>
      </c>
    </row>
    <row r="611" spans="1:7" s="340" customFormat="1">
      <c r="A611" s="230"/>
      <c r="B611" s="37">
        <f>'13. Desinvesteringen'!B613</f>
        <v>594</v>
      </c>
      <c r="C611" s="3"/>
      <c r="D611" s="37" t="str">
        <f>'13. Desinvesteringen'!C613</f>
        <v>15 Compressorstations (TT-BT-AT)</v>
      </c>
      <c r="E611" s="37">
        <f>'13. Desinvesteringen'!D613</f>
        <v>1971</v>
      </c>
      <c r="F611" s="42">
        <f>'13. Desinvesteringen'!E613</f>
        <v>11276235</v>
      </c>
      <c r="G611" s="37">
        <f>'13. Desinvesteringen'!G613</f>
        <v>2024</v>
      </c>
    </row>
    <row r="612" spans="1:7" s="340" customFormat="1">
      <c r="A612" s="230"/>
      <c r="B612" s="37">
        <f>'13. Desinvesteringen'!B614</f>
        <v>595</v>
      </c>
      <c r="C612" s="3"/>
      <c r="D612" s="37" t="str">
        <f>'13. Desinvesteringen'!C614</f>
        <v>15 Compressorstations (TT-BT-AT)</v>
      </c>
      <c r="E612" s="37">
        <f>'13. Desinvesteringen'!D614</f>
        <v>1972</v>
      </c>
      <c r="F612" s="42">
        <f>'13. Desinvesteringen'!E614</f>
        <v>3312496</v>
      </c>
      <c r="G612" s="37">
        <f>'13. Desinvesteringen'!G614</f>
        <v>2024</v>
      </c>
    </row>
    <row r="613" spans="1:7" s="340" customFormat="1">
      <c r="A613" s="230"/>
      <c r="B613" s="37">
        <f>'13. Desinvesteringen'!B615</f>
        <v>596</v>
      </c>
      <c r="C613" s="3"/>
      <c r="D613" s="37" t="str">
        <f>'13. Desinvesteringen'!C615</f>
        <v>15 Compressorstations (TT-BT-AT)</v>
      </c>
      <c r="E613" s="37">
        <f>'13. Desinvesteringen'!D615</f>
        <v>1973</v>
      </c>
      <c r="F613" s="42">
        <f>'13. Desinvesteringen'!E615</f>
        <v>43935</v>
      </c>
      <c r="G613" s="37">
        <f>'13. Desinvesteringen'!G615</f>
        <v>2024</v>
      </c>
    </row>
    <row r="614" spans="1:7" s="340" customFormat="1">
      <c r="A614" s="230"/>
      <c r="B614" s="37">
        <f>'13. Desinvesteringen'!B616</f>
        <v>597</v>
      </c>
      <c r="C614" s="3"/>
      <c r="D614" s="37" t="str">
        <f>'13. Desinvesteringen'!C616</f>
        <v>15 Compressorstations (TT-BT-AT)</v>
      </c>
      <c r="E614" s="37">
        <f>'13. Desinvesteringen'!D616</f>
        <v>1977</v>
      </c>
      <c r="F614" s="42">
        <f>'13. Desinvesteringen'!E616</f>
        <v>42959</v>
      </c>
      <c r="G614" s="37">
        <f>'13. Desinvesteringen'!G616</f>
        <v>2024</v>
      </c>
    </row>
    <row r="615" spans="1:7" s="340" customFormat="1">
      <c r="A615" s="230"/>
      <c r="B615" s="37">
        <f>'13. Desinvesteringen'!B617</f>
        <v>598</v>
      </c>
      <c r="C615" s="3"/>
      <c r="D615" s="37" t="str">
        <f>'13. Desinvesteringen'!C617</f>
        <v>15 Compressorstations (TT-BT-AT)</v>
      </c>
      <c r="E615" s="37">
        <f>'13. Desinvesteringen'!D617</f>
        <v>1978</v>
      </c>
      <c r="F615" s="42">
        <f>'13. Desinvesteringen'!E617</f>
        <v>4451317</v>
      </c>
      <c r="G615" s="37">
        <f>'13. Desinvesteringen'!G617</f>
        <v>2024</v>
      </c>
    </row>
    <row r="616" spans="1:7" s="340" customFormat="1">
      <c r="A616" s="230"/>
      <c r="B616" s="37">
        <f>'13. Desinvesteringen'!B618</f>
        <v>599</v>
      </c>
      <c r="C616" s="3"/>
      <c r="D616" s="37" t="str">
        <f>'13. Desinvesteringen'!C618</f>
        <v>15 Compressorstations (TT-BT-AT)</v>
      </c>
      <c r="E616" s="37">
        <f>'13. Desinvesteringen'!D618</f>
        <v>1980</v>
      </c>
      <c r="F616" s="42">
        <f>'13. Desinvesteringen'!E618</f>
        <v>140317</v>
      </c>
      <c r="G616" s="37">
        <f>'13. Desinvesteringen'!G618</f>
        <v>2024</v>
      </c>
    </row>
    <row r="617" spans="1:7" s="340" customFormat="1">
      <c r="A617" s="230"/>
      <c r="B617" s="37">
        <f>'13. Desinvesteringen'!B619</f>
        <v>600</v>
      </c>
      <c r="C617" s="3"/>
      <c r="D617" s="37" t="str">
        <f>'13. Desinvesteringen'!C619</f>
        <v>15 Compressorstations (TT-BT-AT)</v>
      </c>
      <c r="E617" s="37">
        <f>'13. Desinvesteringen'!D619</f>
        <v>1982</v>
      </c>
      <c r="F617" s="42">
        <f>'13. Desinvesteringen'!E619</f>
        <v>42588</v>
      </c>
      <c r="G617" s="37">
        <f>'13. Desinvesteringen'!G619</f>
        <v>2024</v>
      </c>
    </row>
    <row r="618" spans="1:7" s="340" customFormat="1">
      <c r="A618" s="230"/>
      <c r="B618" s="37">
        <f>'13. Desinvesteringen'!B620</f>
        <v>601</v>
      </c>
      <c r="C618" s="3"/>
      <c r="D618" s="37" t="str">
        <f>'13. Desinvesteringen'!C620</f>
        <v>15 Compressorstations (TT-BT-AT)</v>
      </c>
      <c r="E618" s="37">
        <f>'13. Desinvesteringen'!D620</f>
        <v>1984</v>
      </c>
      <c r="F618" s="42">
        <f>'13. Desinvesteringen'!E620</f>
        <v>25464</v>
      </c>
      <c r="G618" s="37">
        <f>'13. Desinvesteringen'!G620</f>
        <v>2024</v>
      </c>
    </row>
    <row r="619" spans="1:7" s="340" customFormat="1">
      <c r="A619" s="230"/>
      <c r="B619" s="37">
        <f>'13. Desinvesteringen'!B621</f>
        <v>602</v>
      </c>
      <c r="C619" s="3"/>
      <c r="D619" s="37" t="str">
        <f>'13. Desinvesteringen'!C621</f>
        <v>15 Compressorstations (TT-BT-AT)</v>
      </c>
      <c r="E619" s="37">
        <f>'13. Desinvesteringen'!D621</f>
        <v>1990</v>
      </c>
      <c r="F619" s="42">
        <f>'13. Desinvesteringen'!E621</f>
        <v>64981</v>
      </c>
      <c r="G619" s="37">
        <f>'13. Desinvesteringen'!G621</f>
        <v>2024</v>
      </c>
    </row>
    <row r="620" spans="1:7" s="340" customFormat="1">
      <c r="A620" s="230"/>
      <c r="B620" s="37">
        <f>'13. Desinvesteringen'!B622</f>
        <v>603</v>
      </c>
      <c r="C620" s="3"/>
      <c r="D620" s="37" t="str">
        <f>'13. Desinvesteringen'!C622</f>
        <v>15 Compressorstations (TT-BT-AT)</v>
      </c>
      <c r="E620" s="37">
        <f>'13. Desinvesteringen'!D622</f>
        <v>1996</v>
      </c>
      <c r="F620" s="42">
        <f>'13. Desinvesteringen'!E622</f>
        <v>24270</v>
      </c>
      <c r="G620" s="37">
        <f>'13. Desinvesteringen'!G622</f>
        <v>2024</v>
      </c>
    </row>
    <row r="621" spans="1:7" s="340" customFormat="1">
      <c r="A621" s="230"/>
      <c r="B621" s="37">
        <f>'13. Desinvesteringen'!B623</f>
        <v>604</v>
      </c>
      <c r="C621" s="3"/>
      <c r="D621" s="37" t="str">
        <f>'13. Desinvesteringen'!C623</f>
        <v>15 Compressorstations (TT-BT-AT)</v>
      </c>
      <c r="E621" s="37">
        <f>'13. Desinvesteringen'!D623</f>
        <v>1997</v>
      </c>
      <c r="F621" s="42">
        <f>'13. Desinvesteringen'!E623</f>
        <v>31301050</v>
      </c>
      <c r="G621" s="37">
        <f>'13. Desinvesteringen'!G623</f>
        <v>2024</v>
      </c>
    </row>
    <row r="622" spans="1:7" s="340" customFormat="1">
      <c r="A622" s="230"/>
      <c r="B622" s="37">
        <f>'13. Desinvesteringen'!B624</f>
        <v>605</v>
      </c>
      <c r="C622" s="3"/>
      <c r="D622" s="37" t="str">
        <f>'13. Desinvesteringen'!C624</f>
        <v>15 Compressorstations (TT-BT-AT)</v>
      </c>
      <c r="E622" s="37">
        <f>'13. Desinvesteringen'!D624</f>
        <v>1998</v>
      </c>
      <c r="F622" s="42">
        <f>'13. Desinvesteringen'!E624</f>
        <v>261490</v>
      </c>
      <c r="G622" s="37">
        <f>'13. Desinvesteringen'!G624</f>
        <v>2024</v>
      </c>
    </row>
    <row r="623" spans="1:7" s="340" customFormat="1">
      <c r="A623" s="230"/>
      <c r="B623" s="37">
        <f>'13. Desinvesteringen'!B625</f>
        <v>606</v>
      </c>
      <c r="C623" s="3"/>
      <c r="D623" s="37" t="str">
        <f>'13. Desinvesteringen'!C625</f>
        <v>15 Compressorstations (TT-BT-AT)</v>
      </c>
      <c r="E623" s="37">
        <f>'13. Desinvesteringen'!D625</f>
        <v>2001</v>
      </c>
      <c r="F623" s="42">
        <f>'13. Desinvesteringen'!E625</f>
        <v>44919</v>
      </c>
      <c r="G623" s="37">
        <f>'13. Desinvesteringen'!G625</f>
        <v>2024</v>
      </c>
    </row>
    <row r="624" spans="1:7" s="340" customFormat="1">
      <c r="A624" s="230"/>
      <c r="B624" s="37">
        <f>'13. Desinvesteringen'!B626</f>
        <v>607</v>
      </c>
      <c r="C624" s="3"/>
      <c r="D624" s="37" t="str">
        <f>'13. Desinvesteringen'!C626</f>
        <v>15 Compressorstations (TT-BT-AT)</v>
      </c>
      <c r="E624" s="37">
        <f>'13. Desinvesteringen'!D626</f>
        <v>2002</v>
      </c>
      <c r="F624" s="42">
        <f>'13. Desinvesteringen'!E626</f>
        <v>474428</v>
      </c>
      <c r="G624" s="37">
        <f>'13. Desinvesteringen'!G626</f>
        <v>2024</v>
      </c>
    </row>
    <row r="625" spans="1:7" s="340" customFormat="1">
      <c r="A625" s="230"/>
      <c r="B625" s="37">
        <f>'13. Desinvesteringen'!B627</f>
        <v>608</v>
      </c>
      <c r="C625" s="3"/>
      <c r="D625" s="37" t="str">
        <f>'13. Desinvesteringen'!C627</f>
        <v>15 Compressorstations (TT-BT-AT)</v>
      </c>
      <c r="E625" s="37">
        <f>'13. Desinvesteringen'!D627</f>
        <v>2003</v>
      </c>
      <c r="F625" s="42">
        <f>'13. Desinvesteringen'!E627</f>
        <v>562107</v>
      </c>
      <c r="G625" s="37">
        <f>'13. Desinvesteringen'!G627</f>
        <v>2024</v>
      </c>
    </row>
    <row r="626" spans="1:7" s="340" customFormat="1">
      <c r="A626" s="230"/>
      <c r="B626" s="37">
        <f>'13. Desinvesteringen'!B628</f>
        <v>609</v>
      </c>
      <c r="C626" s="3"/>
      <c r="D626" s="37" t="str">
        <f>'13. Desinvesteringen'!C628</f>
        <v>15 Compressorstations (TT-BT-AT)</v>
      </c>
      <c r="E626" s="37">
        <f>'13. Desinvesteringen'!D628</f>
        <v>2004</v>
      </c>
      <c r="F626" s="42">
        <f>'13. Desinvesteringen'!E628</f>
        <v>356008</v>
      </c>
      <c r="G626" s="37">
        <f>'13. Desinvesteringen'!G628</f>
        <v>2024</v>
      </c>
    </row>
    <row r="627" spans="1:7" s="340" customFormat="1">
      <c r="A627" s="230"/>
      <c r="B627" s="37">
        <f>'13. Desinvesteringen'!B629</f>
        <v>610</v>
      </c>
      <c r="C627" s="3"/>
      <c r="D627" s="37" t="str">
        <f>'13. Desinvesteringen'!C629</f>
        <v>15 Compressorstations (TT-BT-AT)</v>
      </c>
      <c r="E627" s="37">
        <f>'13. Desinvesteringen'!D629</f>
        <v>2005</v>
      </c>
      <c r="F627" s="42">
        <f>'13. Desinvesteringen'!E629</f>
        <v>1378695</v>
      </c>
      <c r="G627" s="37">
        <f>'13. Desinvesteringen'!G629</f>
        <v>2024</v>
      </c>
    </row>
    <row r="628" spans="1:7" s="340" customFormat="1">
      <c r="A628" s="230"/>
      <c r="B628" s="37">
        <f>'13. Desinvesteringen'!B630</f>
        <v>611</v>
      </c>
      <c r="C628" s="3"/>
      <c r="D628" s="37" t="str">
        <f>'13. Desinvesteringen'!C630</f>
        <v>15 Compressorstations (TT-BT-AT)</v>
      </c>
      <c r="E628" s="37">
        <f>'13. Desinvesteringen'!D630</f>
        <v>2006</v>
      </c>
      <c r="F628" s="42">
        <f>'13. Desinvesteringen'!E630</f>
        <v>1090118</v>
      </c>
      <c r="G628" s="37">
        <f>'13. Desinvesteringen'!G630</f>
        <v>2024</v>
      </c>
    </row>
    <row r="629" spans="1:7" s="340" customFormat="1">
      <c r="A629" s="230"/>
      <c r="B629" s="37">
        <f>'13. Desinvesteringen'!B631</f>
        <v>612</v>
      </c>
      <c r="C629" s="3"/>
      <c r="D629" s="37" t="str">
        <f>'13. Desinvesteringen'!C631</f>
        <v>15 Compressorstations (TT-BT-AT)</v>
      </c>
      <c r="E629" s="37">
        <f>'13. Desinvesteringen'!D631</f>
        <v>2007</v>
      </c>
      <c r="F629" s="42">
        <f>'13. Desinvesteringen'!E631</f>
        <v>2897967</v>
      </c>
      <c r="G629" s="37">
        <f>'13. Desinvesteringen'!G631</f>
        <v>2024</v>
      </c>
    </row>
    <row r="630" spans="1:7" s="340" customFormat="1">
      <c r="A630" s="230"/>
      <c r="B630" s="37">
        <f>'13. Desinvesteringen'!B632</f>
        <v>613</v>
      </c>
      <c r="C630" s="3"/>
      <c r="D630" s="37" t="str">
        <f>'13. Desinvesteringen'!C632</f>
        <v>15 Compressorstations (TT-BT-AT)</v>
      </c>
      <c r="E630" s="37">
        <f>'13. Desinvesteringen'!D632</f>
        <v>2008</v>
      </c>
      <c r="F630" s="42">
        <f>'13. Desinvesteringen'!E632</f>
        <v>3056602</v>
      </c>
      <c r="G630" s="37">
        <f>'13. Desinvesteringen'!G632</f>
        <v>2024</v>
      </c>
    </row>
    <row r="631" spans="1:7" s="340" customFormat="1">
      <c r="A631" s="230"/>
      <c r="B631" s="37">
        <f>'13. Desinvesteringen'!B633</f>
        <v>614</v>
      </c>
      <c r="C631" s="3"/>
      <c r="D631" s="37" t="str">
        <f>'13. Desinvesteringen'!C633</f>
        <v>15 Compressorstations (TT-BT-AT)</v>
      </c>
      <c r="E631" s="37">
        <f>'13. Desinvesteringen'!D633</f>
        <v>2008</v>
      </c>
      <c r="F631" s="42">
        <f>'13. Desinvesteringen'!E633</f>
        <v>303052</v>
      </c>
      <c r="G631" s="37">
        <f>'13. Desinvesteringen'!G633</f>
        <v>2024</v>
      </c>
    </row>
    <row r="632" spans="1:7" s="340" customFormat="1">
      <c r="A632" s="230"/>
      <c r="B632" s="37">
        <f>'13. Desinvesteringen'!B634</f>
        <v>615</v>
      </c>
      <c r="C632" s="3"/>
      <c r="D632" s="37" t="str">
        <f>'13. Desinvesteringen'!C634</f>
        <v>15 Compressorstations (TT-BT-AT)</v>
      </c>
      <c r="E632" s="37">
        <f>'13. Desinvesteringen'!D634</f>
        <v>2009</v>
      </c>
      <c r="F632" s="42">
        <f>'13. Desinvesteringen'!E634</f>
        <v>238210</v>
      </c>
      <c r="G632" s="37">
        <f>'13. Desinvesteringen'!G634</f>
        <v>2024</v>
      </c>
    </row>
    <row r="633" spans="1:7" s="340" customFormat="1">
      <c r="A633" s="230"/>
      <c r="B633" s="37">
        <f>'13. Desinvesteringen'!B635</f>
        <v>616</v>
      </c>
      <c r="C633" s="3"/>
      <c r="D633" s="37" t="str">
        <f>'13. Desinvesteringen'!C635</f>
        <v>15 Compressorstations (TT-BT-AT)</v>
      </c>
      <c r="E633" s="37">
        <f>'13. Desinvesteringen'!D635</f>
        <v>2010</v>
      </c>
      <c r="F633" s="42">
        <f>'13. Desinvesteringen'!E635</f>
        <v>1418545</v>
      </c>
      <c r="G633" s="37">
        <f>'13. Desinvesteringen'!G635</f>
        <v>2024</v>
      </c>
    </row>
    <row r="634" spans="1:7" s="340" customFormat="1">
      <c r="A634" s="230"/>
      <c r="B634" s="37">
        <f>'13. Desinvesteringen'!B636</f>
        <v>617</v>
      </c>
      <c r="C634" s="3"/>
      <c r="D634" s="37" t="str">
        <f>'13. Desinvesteringen'!C636</f>
        <v>15 Compressorstations (TT-BT-AT)</v>
      </c>
      <c r="E634" s="37">
        <f>'13. Desinvesteringen'!D636</f>
        <v>2011</v>
      </c>
      <c r="F634" s="42">
        <f>'13. Desinvesteringen'!E636</f>
        <v>5208178</v>
      </c>
      <c r="G634" s="37">
        <f>'13. Desinvesteringen'!G636</f>
        <v>2024</v>
      </c>
    </row>
    <row r="635" spans="1:7" s="340" customFormat="1">
      <c r="A635" s="230"/>
      <c r="B635" s="37">
        <f>'13. Desinvesteringen'!B637</f>
        <v>618</v>
      </c>
      <c r="C635" s="3"/>
      <c r="D635" s="37" t="str">
        <f>'13. Desinvesteringen'!C637</f>
        <v>15 Compressorstations (TT-BT-AT)</v>
      </c>
      <c r="E635" s="37">
        <f>'13. Desinvesteringen'!D637</f>
        <v>2011</v>
      </c>
      <c r="F635" s="42">
        <f>'13. Desinvesteringen'!E637</f>
        <v>54286</v>
      </c>
      <c r="G635" s="37">
        <f>'13. Desinvesteringen'!G637</f>
        <v>2024</v>
      </c>
    </row>
    <row r="636" spans="1:7" s="340" customFormat="1">
      <c r="A636" s="230"/>
      <c r="B636" s="37">
        <f>'13. Desinvesteringen'!B638</f>
        <v>619</v>
      </c>
      <c r="C636" s="3"/>
      <c r="D636" s="37" t="str">
        <f>'13. Desinvesteringen'!C638</f>
        <v>15 Compressorstations (TT-BT-AT)</v>
      </c>
      <c r="E636" s="37">
        <f>'13. Desinvesteringen'!D638</f>
        <v>2012</v>
      </c>
      <c r="F636" s="42">
        <f>'13. Desinvesteringen'!E638</f>
        <v>5403122</v>
      </c>
      <c r="G636" s="37">
        <f>'13. Desinvesteringen'!G638</f>
        <v>2024</v>
      </c>
    </row>
    <row r="637" spans="1:7" s="340" customFormat="1">
      <c r="A637" s="230"/>
      <c r="B637" s="37">
        <f>'13. Desinvesteringen'!B639</f>
        <v>620</v>
      </c>
      <c r="C637" s="3"/>
      <c r="D637" s="37" t="str">
        <f>'13. Desinvesteringen'!C639</f>
        <v>15 Compressorstations (TT-BT-AT)</v>
      </c>
      <c r="E637" s="37">
        <f>'13. Desinvesteringen'!D639</f>
        <v>2013</v>
      </c>
      <c r="F637" s="42">
        <f>'13. Desinvesteringen'!E639</f>
        <v>1629366</v>
      </c>
      <c r="G637" s="37">
        <f>'13. Desinvesteringen'!G639</f>
        <v>2024</v>
      </c>
    </row>
    <row r="638" spans="1:7" s="340" customFormat="1">
      <c r="A638" s="230"/>
      <c r="B638" s="37">
        <f>'13. Desinvesteringen'!B640</f>
        <v>621</v>
      </c>
      <c r="C638" s="3"/>
      <c r="D638" s="37" t="str">
        <f>'13. Desinvesteringen'!C640</f>
        <v>15 Compressorstations (TT-BT-AT)</v>
      </c>
      <c r="E638" s="37">
        <f>'13. Desinvesteringen'!D640</f>
        <v>2014</v>
      </c>
      <c r="F638" s="42">
        <f>'13. Desinvesteringen'!E640</f>
        <v>430444</v>
      </c>
      <c r="G638" s="37">
        <f>'13. Desinvesteringen'!G640</f>
        <v>2024</v>
      </c>
    </row>
    <row r="639" spans="1:7" s="340" customFormat="1">
      <c r="A639" s="230"/>
      <c r="B639" s="37">
        <f>'13. Desinvesteringen'!B641</f>
        <v>622</v>
      </c>
      <c r="C639" s="3"/>
      <c r="D639" s="37" t="str">
        <f>'13. Desinvesteringen'!C641</f>
        <v>15 Compressorstations (TT-BT-AT)</v>
      </c>
      <c r="E639" s="37">
        <f>'13. Desinvesteringen'!D641</f>
        <v>2015</v>
      </c>
      <c r="F639" s="42">
        <f>'13. Desinvesteringen'!E641</f>
        <v>10178980</v>
      </c>
      <c r="G639" s="37">
        <f>'13. Desinvesteringen'!G641</f>
        <v>2024</v>
      </c>
    </row>
    <row r="640" spans="1:7" s="340" customFormat="1">
      <c r="A640" s="230"/>
      <c r="B640" s="37">
        <f>'13. Desinvesteringen'!B642</f>
        <v>623</v>
      </c>
      <c r="C640" s="3"/>
      <c r="D640" s="37" t="str">
        <f>'13. Desinvesteringen'!C642</f>
        <v>15 Compressorstations (TT-BT-AT)</v>
      </c>
      <c r="E640" s="37">
        <f>'13. Desinvesteringen'!D642</f>
        <v>2016</v>
      </c>
      <c r="F640" s="42">
        <f>'13. Desinvesteringen'!E642</f>
        <v>234402</v>
      </c>
      <c r="G640" s="37">
        <f>'13. Desinvesteringen'!G642</f>
        <v>2024</v>
      </c>
    </row>
    <row r="641" spans="1:7" s="340" customFormat="1">
      <c r="A641" s="230"/>
      <c r="B641" s="37">
        <f>'13. Desinvesteringen'!B643</f>
        <v>624</v>
      </c>
      <c r="C641" s="3"/>
      <c r="D641" s="37" t="str">
        <f>'13. Desinvesteringen'!C643</f>
        <v>15 Compressorstations (TT-BT-AT)</v>
      </c>
      <c r="E641" s="37">
        <f>'13. Desinvesteringen'!D643</f>
        <v>2017</v>
      </c>
      <c r="F641" s="42">
        <f>'13. Desinvesteringen'!E643</f>
        <v>16812217</v>
      </c>
      <c r="G641" s="37">
        <f>'13. Desinvesteringen'!G643</f>
        <v>2024</v>
      </c>
    </row>
    <row r="642" spans="1:7" s="340" customFormat="1">
      <c r="A642" s="230"/>
      <c r="B642" s="37">
        <f>'13. Desinvesteringen'!B644</f>
        <v>625</v>
      </c>
      <c r="C642" s="3"/>
      <c r="D642" s="37" t="str">
        <f>'13. Desinvesteringen'!C644</f>
        <v>15 Compressorstations (TT-BT-AT)</v>
      </c>
      <c r="E642" s="37">
        <f>'13. Desinvesteringen'!D644</f>
        <v>2020</v>
      </c>
      <c r="F642" s="42">
        <f>'13. Desinvesteringen'!E644</f>
        <v>137668</v>
      </c>
      <c r="G642" s="37">
        <f>'13. Desinvesteringen'!G644</f>
        <v>2024</v>
      </c>
    </row>
    <row r="643" spans="1:7" s="340" customFormat="1">
      <c r="A643" s="230"/>
      <c r="B643" s="37">
        <f>'13. Desinvesteringen'!B645</f>
        <v>626</v>
      </c>
      <c r="C643" s="3"/>
      <c r="D643" s="37" t="str">
        <f>'13. Desinvesteringen'!C645</f>
        <v>17 Mengstations</v>
      </c>
      <c r="E643" s="37">
        <f>'13. Desinvesteringen'!D645</f>
        <v>1972</v>
      </c>
      <c r="F643" s="42">
        <f>'13. Desinvesteringen'!E645</f>
        <v>21452</v>
      </c>
      <c r="G643" s="37">
        <f>'13. Desinvesteringen'!G645</f>
        <v>2024</v>
      </c>
    </row>
    <row r="644" spans="1:7" s="340" customFormat="1">
      <c r="A644" s="230"/>
      <c r="B644" s="37">
        <f>'13. Desinvesteringen'!B646</f>
        <v>627</v>
      </c>
      <c r="C644" s="3"/>
      <c r="D644" s="37" t="str">
        <f>'13. Desinvesteringen'!C646</f>
        <v>17 Mengstations</v>
      </c>
      <c r="E644" s="37">
        <f>'13. Desinvesteringen'!D646</f>
        <v>1979</v>
      </c>
      <c r="F644" s="42">
        <f>'13. Desinvesteringen'!E646</f>
        <v>68889</v>
      </c>
      <c r="G644" s="37">
        <f>'13. Desinvesteringen'!G646</f>
        <v>2024</v>
      </c>
    </row>
    <row r="645" spans="1:7" s="340" customFormat="1">
      <c r="A645" s="230"/>
      <c r="B645" s="37">
        <f>'13. Desinvesteringen'!B647</f>
        <v>628</v>
      </c>
      <c r="C645" s="3"/>
      <c r="D645" s="37" t="str">
        <f>'13. Desinvesteringen'!C647</f>
        <v>17 Mengstations</v>
      </c>
      <c r="E645" s="37">
        <f>'13. Desinvesteringen'!D647</f>
        <v>1993</v>
      </c>
      <c r="F645" s="42">
        <f>'13. Desinvesteringen'!E647</f>
        <v>15217</v>
      </c>
      <c r="G645" s="37">
        <f>'13. Desinvesteringen'!G647</f>
        <v>2024</v>
      </c>
    </row>
    <row r="646" spans="1:7" s="340" customFormat="1">
      <c r="A646" s="230"/>
      <c r="B646" s="37">
        <f>'13. Desinvesteringen'!B648</f>
        <v>629</v>
      </c>
      <c r="C646" s="3"/>
      <c r="D646" s="37" t="str">
        <f>'13. Desinvesteringen'!C648</f>
        <v>17 Mengstations</v>
      </c>
      <c r="E646" s="37">
        <f>'13. Desinvesteringen'!D648</f>
        <v>1994</v>
      </c>
      <c r="F646" s="42">
        <f>'13. Desinvesteringen'!E648</f>
        <v>36896</v>
      </c>
      <c r="G646" s="37">
        <f>'13. Desinvesteringen'!G648</f>
        <v>2024</v>
      </c>
    </row>
    <row r="647" spans="1:7" s="340" customFormat="1">
      <c r="A647" s="230"/>
      <c r="B647" s="37">
        <f>'13. Desinvesteringen'!B649</f>
        <v>630</v>
      </c>
      <c r="C647" s="3"/>
      <c r="D647" s="37" t="str">
        <f>'13. Desinvesteringen'!C649</f>
        <v>17 Mengstations</v>
      </c>
      <c r="E647" s="37">
        <f>'13. Desinvesteringen'!D649</f>
        <v>2001</v>
      </c>
      <c r="F647" s="42">
        <f>'13. Desinvesteringen'!E649</f>
        <v>136657</v>
      </c>
      <c r="G647" s="37">
        <f>'13. Desinvesteringen'!G649</f>
        <v>2024</v>
      </c>
    </row>
    <row r="648" spans="1:7" s="340" customFormat="1">
      <c r="A648" s="230"/>
      <c r="B648" s="37">
        <f>'13. Desinvesteringen'!B650</f>
        <v>631</v>
      </c>
      <c r="C648" s="3"/>
      <c r="D648" s="37" t="str">
        <f>'13. Desinvesteringen'!C650</f>
        <v>17 Mengstations</v>
      </c>
      <c r="E648" s="37">
        <f>'13. Desinvesteringen'!D650</f>
        <v>2005</v>
      </c>
      <c r="F648" s="42">
        <f>'13. Desinvesteringen'!E650</f>
        <v>53318</v>
      </c>
      <c r="G648" s="37">
        <f>'13. Desinvesteringen'!G650</f>
        <v>2024</v>
      </c>
    </row>
    <row r="649" spans="1:7" s="340" customFormat="1">
      <c r="A649" s="230"/>
      <c r="B649" s="37">
        <f>'13. Desinvesteringen'!B651</f>
        <v>632</v>
      </c>
      <c r="C649" s="3"/>
      <c r="D649" s="37" t="str">
        <f>'13. Desinvesteringen'!C651</f>
        <v>17 Mengstations</v>
      </c>
      <c r="E649" s="37">
        <f>'13. Desinvesteringen'!D651</f>
        <v>2006</v>
      </c>
      <c r="F649" s="42">
        <f>'13. Desinvesteringen'!E651</f>
        <v>109055</v>
      </c>
      <c r="G649" s="37">
        <f>'13. Desinvesteringen'!G651</f>
        <v>2024</v>
      </c>
    </row>
    <row r="650" spans="1:7" s="340" customFormat="1">
      <c r="A650" s="230"/>
      <c r="B650" s="37">
        <f>'13. Desinvesteringen'!B652</f>
        <v>633</v>
      </c>
      <c r="C650" s="3"/>
      <c r="D650" s="37" t="str">
        <f>'13. Desinvesteringen'!C652</f>
        <v>17 Mengstations</v>
      </c>
      <c r="E650" s="37">
        <f>'13. Desinvesteringen'!D652</f>
        <v>2014</v>
      </c>
      <c r="F650" s="42">
        <f>'13. Desinvesteringen'!E652</f>
        <v>114078</v>
      </c>
      <c r="G650" s="37">
        <f>'13. Desinvesteringen'!G652</f>
        <v>2024</v>
      </c>
    </row>
    <row r="651" spans="1:7" s="340" customFormat="1">
      <c r="A651" s="230"/>
      <c r="B651" s="37">
        <f>'13. Desinvesteringen'!B653</f>
        <v>634</v>
      </c>
      <c r="C651" s="3"/>
      <c r="D651" s="37" t="str">
        <f>'13. Desinvesteringen'!C653</f>
        <v>21 Hoofdtransportleiding</v>
      </c>
      <c r="E651" s="37">
        <f>'13. Desinvesteringen'!D653</f>
        <v>1964</v>
      </c>
      <c r="F651" s="42">
        <f>'13. Desinvesteringen'!E653</f>
        <v>31497</v>
      </c>
      <c r="G651" s="37">
        <f>'13. Desinvesteringen'!G653</f>
        <v>2024</v>
      </c>
    </row>
    <row r="652" spans="1:7" s="340" customFormat="1">
      <c r="A652" s="230"/>
      <c r="B652" s="37">
        <f>'13. Desinvesteringen'!B654</f>
        <v>635</v>
      </c>
      <c r="C652" s="3"/>
      <c r="D652" s="37" t="str">
        <f>'13. Desinvesteringen'!C654</f>
        <v>21 Hoofdtransportleiding</v>
      </c>
      <c r="E652" s="37">
        <f>'13. Desinvesteringen'!D654</f>
        <v>1966</v>
      </c>
      <c r="F652" s="42">
        <f>'13. Desinvesteringen'!E654</f>
        <v>6226</v>
      </c>
      <c r="G652" s="37">
        <f>'13. Desinvesteringen'!G654</f>
        <v>2024</v>
      </c>
    </row>
    <row r="653" spans="1:7" s="340" customFormat="1">
      <c r="A653" s="230"/>
      <c r="B653" s="37">
        <f>'13. Desinvesteringen'!B655</f>
        <v>636</v>
      </c>
      <c r="C653" s="3"/>
      <c r="D653" s="37" t="str">
        <f>'13. Desinvesteringen'!C655</f>
        <v>21 Hoofdtransportleiding</v>
      </c>
      <c r="E653" s="37">
        <f>'13. Desinvesteringen'!D655</f>
        <v>1968</v>
      </c>
      <c r="F653" s="42">
        <f>'13. Desinvesteringen'!E655</f>
        <v>20904</v>
      </c>
      <c r="G653" s="37">
        <f>'13. Desinvesteringen'!G655</f>
        <v>2024</v>
      </c>
    </row>
    <row r="654" spans="1:7" s="340" customFormat="1">
      <c r="A654" s="230"/>
      <c r="B654" s="37">
        <f>'13. Desinvesteringen'!B656</f>
        <v>637</v>
      </c>
      <c r="C654" s="3"/>
      <c r="D654" s="37" t="str">
        <f>'13. Desinvesteringen'!C656</f>
        <v>21 Hoofdtransportleiding</v>
      </c>
      <c r="E654" s="37">
        <f>'13. Desinvesteringen'!D656</f>
        <v>1970</v>
      </c>
      <c r="F654" s="42">
        <f>'13. Desinvesteringen'!E656</f>
        <v>27359</v>
      </c>
      <c r="G654" s="37">
        <f>'13. Desinvesteringen'!G656</f>
        <v>2024</v>
      </c>
    </row>
    <row r="655" spans="1:7" s="340" customFormat="1">
      <c r="A655" s="230"/>
      <c r="B655" s="37">
        <f>'13. Desinvesteringen'!B657</f>
        <v>638</v>
      </c>
      <c r="C655" s="3"/>
      <c r="D655" s="37" t="str">
        <f>'13. Desinvesteringen'!C657</f>
        <v>21 Hoofdtransportleiding</v>
      </c>
      <c r="E655" s="37">
        <f>'13. Desinvesteringen'!D657</f>
        <v>1971</v>
      </c>
      <c r="F655" s="42">
        <f>'13. Desinvesteringen'!E657</f>
        <v>8621</v>
      </c>
      <c r="G655" s="37">
        <f>'13. Desinvesteringen'!G657</f>
        <v>2024</v>
      </c>
    </row>
    <row r="656" spans="1:7" s="340" customFormat="1">
      <c r="A656" s="230"/>
      <c r="B656" s="37">
        <f>'13. Desinvesteringen'!B658</f>
        <v>639</v>
      </c>
      <c r="C656" s="3"/>
      <c r="D656" s="37" t="str">
        <f>'13. Desinvesteringen'!C658</f>
        <v>21 Hoofdtransportleiding</v>
      </c>
      <c r="E656" s="37">
        <f>'13. Desinvesteringen'!D658</f>
        <v>1992</v>
      </c>
      <c r="F656" s="42">
        <f>'13. Desinvesteringen'!E658</f>
        <v>125847</v>
      </c>
      <c r="G656" s="37">
        <f>'13. Desinvesteringen'!G658</f>
        <v>2024</v>
      </c>
    </row>
    <row r="657" spans="1:16383" s="340" customFormat="1">
      <c r="A657" s="230"/>
      <c r="B657" s="37">
        <f>'13. Desinvesteringen'!B659</f>
        <v>640</v>
      </c>
      <c r="C657" s="3"/>
      <c r="D657" s="37" t="str">
        <f>'13. Desinvesteringen'!C659</f>
        <v>21 Hoofdtransportleiding</v>
      </c>
      <c r="E657" s="37">
        <f>'13. Desinvesteringen'!D659</f>
        <v>2008</v>
      </c>
      <c r="F657" s="42">
        <f>'13. Desinvesteringen'!E659</f>
        <v>49793</v>
      </c>
      <c r="G657" s="37">
        <f>'13. Desinvesteringen'!G659</f>
        <v>2024</v>
      </c>
    </row>
    <row r="658" spans="1:16383" s="340" customFormat="1">
      <c r="A658" s="230"/>
      <c r="B658" s="37">
        <f>'13. Desinvesteringen'!B660</f>
        <v>641</v>
      </c>
      <c r="C658" s="3"/>
      <c r="D658" s="37" t="str">
        <f>'13. Desinvesteringen'!C660</f>
        <v>21 Hoofdtransportleiding</v>
      </c>
      <c r="E658" s="37">
        <f>'13. Desinvesteringen'!D660</f>
        <v>2010</v>
      </c>
      <c r="F658" s="42">
        <f>'13. Desinvesteringen'!E660</f>
        <v>17971</v>
      </c>
      <c r="G658" s="37">
        <f>'13. Desinvesteringen'!G660</f>
        <v>2024</v>
      </c>
    </row>
    <row r="659" spans="1:16383" s="340" customFormat="1">
      <c r="A659" s="230"/>
      <c r="B659" s="37">
        <f>'13. Desinvesteringen'!B661</f>
        <v>642</v>
      </c>
      <c r="C659" s="3"/>
      <c r="D659" s="37" t="str">
        <f>'13. Desinvesteringen'!C661</f>
        <v>21 Hoofdtransportleiding</v>
      </c>
      <c r="E659" s="37">
        <f>'13. Desinvesteringen'!D661</f>
        <v>2020</v>
      </c>
      <c r="F659" s="42">
        <f>'13. Desinvesteringen'!E661</f>
        <v>26412</v>
      </c>
      <c r="G659" s="37">
        <f>'13. Desinvesteringen'!G661</f>
        <v>2024</v>
      </c>
    </row>
    <row r="660" spans="1:16383" s="340" customFormat="1">
      <c r="A660" s="230"/>
      <c r="B660" s="37">
        <f>'13. Desinvesteringen'!B662</f>
        <v>643</v>
      </c>
      <c r="C660" s="3"/>
      <c r="D660" s="37" t="str">
        <f>'13. Desinvesteringen'!C662</f>
        <v>21 Hoofdtransportleiding</v>
      </c>
      <c r="E660" s="37">
        <f>'13. Desinvesteringen'!D662</f>
        <v>2022</v>
      </c>
      <c r="F660" s="42">
        <f>'13. Desinvesteringen'!E662</f>
        <v>87808</v>
      </c>
      <c r="G660" s="37">
        <f>'13. Desinvesteringen'!G662</f>
        <v>2024</v>
      </c>
    </row>
    <row r="661" spans="1:16383" s="340" customFormat="1">
      <c r="A661" s="230"/>
      <c r="B661" s="37">
        <f>'13. Desinvesteringen'!B663</f>
        <v>644</v>
      </c>
      <c r="C661" s="3"/>
      <c r="D661" s="37" t="str">
        <f>'13. Desinvesteringen'!C663</f>
        <v>32 M&amp;R stations</v>
      </c>
      <c r="E661" s="37">
        <f>'13. Desinvesteringen'!D663</f>
        <v>1964</v>
      </c>
      <c r="F661" s="42">
        <f>'13. Desinvesteringen'!E663</f>
        <v>64261</v>
      </c>
      <c r="G661" s="37">
        <f>'13. Desinvesteringen'!G663</f>
        <v>2024</v>
      </c>
    </row>
    <row r="662" spans="1:16383" s="340" customFormat="1">
      <c r="A662" s="230"/>
      <c r="B662" s="37">
        <f>'13. Desinvesteringen'!B664</f>
        <v>645</v>
      </c>
      <c r="C662" s="3"/>
      <c r="D662" s="37" t="str">
        <f>'13. Desinvesteringen'!C664</f>
        <v>34 Reduceerstations</v>
      </c>
      <c r="E662" s="37">
        <f>'13. Desinvesteringen'!D664</f>
        <v>1973</v>
      </c>
      <c r="F662" s="42">
        <f>'13. Desinvesteringen'!E664</f>
        <v>21819</v>
      </c>
      <c r="G662" s="37">
        <f>'13. Desinvesteringen'!G664</f>
        <v>2024</v>
      </c>
    </row>
    <row r="663" spans="1:16383" s="340" customFormat="1">
      <c r="A663" s="230"/>
      <c r="B663" s="37">
        <f>'13. Desinvesteringen'!B665</f>
        <v>646</v>
      </c>
      <c r="C663" s="3"/>
      <c r="D663" s="37" t="str">
        <f>'13. Desinvesteringen'!C665</f>
        <v>34 Reduceerstations</v>
      </c>
      <c r="E663" s="37">
        <f>'13. Desinvesteringen'!D665</f>
        <v>1986</v>
      </c>
      <c r="F663" s="42">
        <f>'13. Desinvesteringen'!E665</f>
        <v>21598</v>
      </c>
      <c r="G663" s="37">
        <f>'13. Desinvesteringen'!G665</f>
        <v>2024</v>
      </c>
    </row>
    <row r="664" spans="1:16383" s="340" customFormat="1">
      <c r="A664" s="230"/>
      <c r="B664" s="37">
        <f>'13. Desinvesteringen'!B666</f>
        <v>647</v>
      </c>
      <c r="C664" s="3"/>
      <c r="D664" s="37" t="str">
        <f>'13. Desinvesteringen'!C666</f>
        <v>34 Reduceerstations</v>
      </c>
      <c r="E664" s="37">
        <f>'13. Desinvesteringen'!D666</f>
        <v>2011</v>
      </c>
      <c r="F664" s="42">
        <f>'13. Desinvesteringen'!E666</f>
        <v>34751</v>
      </c>
      <c r="G664" s="37">
        <f>'13. Desinvesteringen'!G666</f>
        <v>2024</v>
      </c>
    </row>
    <row r="665" spans="1:16383" s="340" customFormat="1">
      <c r="A665" s="230"/>
      <c r="B665" s="37">
        <f>'13. Desinvesteringen'!B667</f>
        <v>648</v>
      </c>
      <c r="C665" s="3"/>
      <c r="D665" s="37" t="str">
        <f>'13. Desinvesteringen'!C667</f>
        <v>35 Injectiestations</v>
      </c>
      <c r="E665" s="37">
        <f>'13. Desinvesteringen'!D667</f>
        <v>1998</v>
      </c>
      <c r="F665" s="42">
        <f>'13. Desinvesteringen'!E667</f>
        <v>13173</v>
      </c>
      <c r="G665" s="37">
        <f>'13. Desinvesteringen'!G667</f>
        <v>2024</v>
      </c>
    </row>
    <row r="667" spans="1:16383">
      <c r="A667" s="8"/>
      <c r="B667" s="8" t="s">
        <v>944</v>
      </c>
      <c r="C667" s="8"/>
      <c r="D667" s="8"/>
      <c r="E667" s="112">
        <v>1946</v>
      </c>
      <c r="F667" s="112">
        <v>1947</v>
      </c>
      <c r="G667" s="112">
        <v>1948</v>
      </c>
      <c r="H667" s="112">
        <v>1949</v>
      </c>
      <c r="I667" s="112">
        <v>1950</v>
      </c>
      <c r="J667" s="112">
        <v>1951</v>
      </c>
      <c r="K667" s="112">
        <v>1952</v>
      </c>
      <c r="L667" s="112">
        <v>1953</v>
      </c>
      <c r="M667" s="112">
        <v>1954</v>
      </c>
      <c r="N667" s="112">
        <v>1955</v>
      </c>
      <c r="O667" s="112">
        <v>1956</v>
      </c>
      <c r="P667" s="112">
        <v>1957</v>
      </c>
      <c r="Q667" s="112">
        <v>1958</v>
      </c>
      <c r="R667" s="112">
        <v>1959</v>
      </c>
      <c r="S667" s="112">
        <v>1960</v>
      </c>
      <c r="T667" s="112">
        <v>1961</v>
      </c>
      <c r="U667" s="112">
        <v>1962</v>
      </c>
      <c r="V667" s="112">
        <v>1963</v>
      </c>
      <c r="W667" s="112">
        <v>1964</v>
      </c>
      <c r="X667" s="112">
        <v>1965</v>
      </c>
      <c r="Y667" s="112">
        <v>1966</v>
      </c>
      <c r="Z667" s="112">
        <v>1967</v>
      </c>
      <c r="AA667" s="112">
        <v>1968</v>
      </c>
      <c r="AB667" s="112">
        <v>1969</v>
      </c>
      <c r="AC667" s="112">
        <v>1970</v>
      </c>
      <c r="AD667" s="112">
        <v>1971</v>
      </c>
      <c r="AE667" s="112">
        <v>1972</v>
      </c>
      <c r="AF667" s="112">
        <v>1973</v>
      </c>
      <c r="AG667" s="112">
        <v>1974</v>
      </c>
      <c r="AH667" s="112">
        <v>1975</v>
      </c>
      <c r="AI667" s="112">
        <v>1976</v>
      </c>
      <c r="AJ667" s="8">
        <v>1977</v>
      </c>
      <c r="AK667" s="8">
        <v>1978</v>
      </c>
      <c r="AL667" s="8">
        <v>1979</v>
      </c>
      <c r="AM667" s="8">
        <v>1980</v>
      </c>
      <c r="AN667" s="8">
        <v>1981</v>
      </c>
      <c r="AO667" s="8">
        <v>1982</v>
      </c>
      <c r="AP667" s="8">
        <v>1983</v>
      </c>
      <c r="AQ667" s="8">
        <v>1984</v>
      </c>
      <c r="AR667" s="8">
        <v>1985</v>
      </c>
      <c r="AS667" s="8">
        <v>1986</v>
      </c>
      <c r="AT667" s="8">
        <v>1987</v>
      </c>
      <c r="AU667" s="8">
        <v>1988</v>
      </c>
      <c r="AV667" s="8">
        <v>1989</v>
      </c>
      <c r="AW667" s="8">
        <v>1990</v>
      </c>
      <c r="AX667" s="8">
        <v>1991</v>
      </c>
      <c r="AY667" s="8">
        <v>1992</v>
      </c>
      <c r="AZ667" s="8">
        <v>1993</v>
      </c>
      <c r="BA667" s="8">
        <v>1994</v>
      </c>
      <c r="BB667" s="8">
        <v>1995</v>
      </c>
      <c r="BC667" s="8">
        <v>1996</v>
      </c>
      <c r="BD667" s="8">
        <v>1997</v>
      </c>
      <c r="BE667" s="8">
        <v>1998</v>
      </c>
      <c r="BF667" s="8">
        <v>1999</v>
      </c>
      <c r="BG667" s="8">
        <v>2000</v>
      </c>
      <c r="BH667" s="8">
        <v>2001</v>
      </c>
      <c r="BI667" s="8">
        <v>2002</v>
      </c>
      <c r="BJ667" s="8">
        <v>2003</v>
      </c>
      <c r="BK667" s="8">
        <v>2004</v>
      </c>
      <c r="BL667" s="8">
        <v>2005</v>
      </c>
      <c r="BM667" s="8">
        <v>2006</v>
      </c>
      <c r="BN667" s="8">
        <v>2007</v>
      </c>
      <c r="BO667" s="8">
        <v>2008</v>
      </c>
      <c r="BP667" s="8">
        <v>2009</v>
      </c>
      <c r="BQ667" s="8">
        <v>2010</v>
      </c>
      <c r="BR667" s="8">
        <v>2011</v>
      </c>
      <c r="BS667" s="8">
        <v>2012</v>
      </c>
      <c r="BT667" s="8">
        <v>2013</v>
      </c>
      <c r="BU667" s="8">
        <v>2014</v>
      </c>
      <c r="BV667" s="8">
        <v>2015</v>
      </c>
      <c r="BW667" s="8">
        <v>2016</v>
      </c>
      <c r="BX667" s="8">
        <v>2017</v>
      </c>
      <c r="BY667" s="8">
        <v>2018</v>
      </c>
      <c r="BZ667" s="8">
        <v>2019</v>
      </c>
      <c r="CA667" s="8">
        <v>2020</v>
      </c>
      <c r="CB667" s="8">
        <v>2021</v>
      </c>
      <c r="CC667" s="8">
        <v>2022</v>
      </c>
      <c r="CD667" s="8">
        <v>2023</v>
      </c>
      <c r="CE667" s="8">
        <v>2024</v>
      </c>
      <c r="CF667" s="8">
        <v>2025</v>
      </c>
      <c r="CG667" s="8">
        <v>2026</v>
      </c>
      <c r="CH667" s="112"/>
      <c r="CI667" s="112"/>
      <c r="CJ667" s="112"/>
      <c r="CK667" s="112"/>
      <c r="CL667" s="112"/>
      <c r="CM667" s="112"/>
      <c r="CN667" s="112"/>
      <c r="CO667" s="112"/>
      <c r="CP667" s="112"/>
      <c r="CQ667" s="112"/>
      <c r="CR667" s="112"/>
      <c r="CS667" s="112"/>
      <c r="CT667" s="112"/>
      <c r="CU667" s="112"/>
      <c r="CV667" s="112"/>
      <c r="CW667" s="112"/>
      <c r="CX667" s="112"/>
      <c r="CY667" s="112"/>
      <c r="CZ667" s="112"/>
      <c r="DA667" s="112"/>
      <c r="DB667" s="112"/>
      <c r="DC667" s="112"/>
      <c r="DD667" s="112"/>
      <c r="DE667" s="112"/>
      <c r="DF667" s="112"/>
      <c r="DG667" s="112"/>
      <c r="DH667" s="112"/>
      <c r="DI667" s="112"/>
      <c r="DJ667" s="112"/>
      <c r="DK667" s="112"/>
      <c r="DL667" s="112"/>
      <c r="DM667" s="112"/>
      <c r="DN667" s="112"/>
      <c r="DO667" s="112"/>
      <c r="DP667" s="112"/>
      <c r="DQ667" s="112"/>
      <c r="DR667" s="112"/>
      <c r="DS667" s="112"/>
      <c r="DT667" s="112"/>
      <c r="DU667" s="112"/>
      <c r="DV667" s="112"/>
      <c r="DW667" s="112"/>
      <c r="DX667" s="112"/>
      <c r="DY667" s="112"/>
      <c r="DZ667" s="112"/>
      <c r="EA667" s="112"/>
      <c r="EB667" s="112"/>
      <c r="EC667" s="112"/>
      <c r="ED667" s="112"/>
      <c r="EE667" s="112"/>
      <c r="EF667" s="112"/>
      <c r="EG667" s="112"/>
      <c r="EH667" s="112"/>
      <c r="EI667" s="112"/>
      <c r="EJ667" s="112"/>
      <c r="EK667" s="112"/>
      <c r="EL667" s="112"/>
      <c r="EM667" s="112"/>
      <c r="EN667" s="112"/>
      <c r="EO667" s="112"/>
      <c r="EP667" s="112"/>
      <c r="EQ667" s="112"/>
      <c r="ER667" s="112"/>
      <c r="ES667" s="112"/>
      <c r="ET667" s="112"/>
      <c r="EU667" s="112"/>
      <c r="EV667" s="112"/>
      <c r="EW667" s="112"/>
      <c r="EX667" s="112"/>
      <c r="EY667" s="112"/>
      <c r="EZ667" s="112"/>
      <c r="FA667" s="112"/>
      <c r="FB667" s="112"/>
      <c r="FC667" s="112"/>
      <c r="FD667" s="112"/>
      <c r="FE667" s="112"/>
      <c r="FF667" s="112"/>
      <c r="FG667" s="112"/>
      <c r="FH667" s="112"/>
      <c r="FI667" s="112"/>
      <c r="FJ667" s="112"/>
      <c r="FK667" s="112"/>
      <c r="FL667" s="112"/>
      <c r="FM667" s="112"/>
      <c r="FN667" s="112"/>
      <c r="FO667" s="112"/>
      <c r="FP667" s="112"/>
      <c r="FQ667" s="112"/>
      <c r="FR667" s="112"/>
      <c r="FS667" s="112"/>
      <c r="FT667" s="112"/>
      <c r="FU667" s="112"/>
      <c r="FV667" s="112"/>
      <c r="FW667" s="112"/>
      <c r="FX667" s="112"/>
      <c r="FY667" s="112"/>
      <c r="FZ667" s="112"/>
      <c r="GA667" s="112"/>
      <c r="GB667" s="112"/>
      <c r="GC667" s="112"/>
      <c r="GD667" s="112"/>
      <c r="GE667" s="112"/>
      <c r="GF667" s="112"/>
      <c r="GG667" s="112"/>
      <c r="GH667" s="112"/>
      <c r="GI667" s="112"/>
      <c r="GJ667" s="112"/>
      <c r="GK667" s="112"/>
      <c r="GL667" s="112"/>
      <c r="GM667" s="112"/>
      <c r="GN667" s="112"/>
      <c r="GO667" s="112"/>
      <c r="GP667" s="112"/>
      <c r="GQ667" s="112"/>
      <c r="GR667" s="112"/>
      <c r="GS667" s="112"/>
      <c r="GT667" s="112"/>
      <c r="GU667" s="112"/>
      <c r="GV667" s="112"/>
      <c r="GW667" s="112"/>
      <c r="GX667" s="112"/>
      <c r="GY667" s="112"/>
      <c r="GZ667" s="112"/>
      <c r="HA667" s="112"/>
      <c r="HB667" s="112"/>
      <c r="HC667" s="112"/>
      <c r="HD667" s="112"/>
      <c r="HE667" s="112"/>
      <c r="HF667" s="112"/>
      <c r="HG667" s="112"/>
      <c r="HH667" s="112"/>
      <c r="HI667" s="112"/>
      <c r="HJ667" s="112"/>
      <c r="HK667" s="112"/>
      <c r="HL667" s="112"/>
      <c r="HM667" s="112"/>
      <c r="HN667" s="112"/>
      <c r="HO667" s="112"/>
      <c r="HP667" s="112"/>
      <c r="HQ667" s="112"/>
      <c r="HR667" s="112"/>
      <c r="HS667" s="112"/>
      <c r="HT667" s="112"/>
      <c r="HU667" s="112"/>
      <c r="HV667" s="112"/>
      <c r="HW667" s="112"/>
      <c r="HX667" s="112"/>
      <c r="HY667" s="112"/>
      <c r="HZ667" s="112"/>
      <c r="IA667" s="112"/>
      <c r="IB667" s="112"/>
      <c r="IC667" s="112"/>
      <c r="ID667" s="112"/>
      <c r="IE667" s="112"/>
      <c r="IF667" s="112"/>
      <c r="IG667" s="112"/>
      <c r="IH667" s="112"/>
      <c r="II667" s="112"/>
      <c r="IJ667" s="112"/>
      <c r="IK667" s="112"/>
      <c r="IL667" s="112"/>
      <c r="IM667" s="112"/>
      <c r="IN667" s="112"/>
      <c r="IO667" s="112"/>
      <c r="IP667" s="112"/>
      <c r="IQ667" s="112"/>
      <c r="IR667" s="112"/>
      <c r="IS667" s="112"/>
      <c r="IT667" s="112"/>
      <c r="IU667" s="112"/>
      <c r="IV667" s="112"/>
      <c r="IW667" s="112"/>
      <c r="IX667" s="112"/>
      <c r="IY667" s="112"/>
      <c r="IZ667" s="112"/>
      <c r="JA667" s="112"/>
      <c r="JB667" s="112"/>
      <c r="JC667" s="112"/>
      <c r="JD667" s="112"/>
      <c r="JE667" s="112"/>
      <c r="JF667" s="112"/>
      <c r="JG667" s="112"/>
      <c r="JH667" s="112"/>
      <c r="JI667" s="112"/>
      <c r="JJ667" s="112"/>
      <c r="JK667" s="112"/>
      <c r="JL667" s="112"/>
      <c r="JM667" s="112"/>
      <c r="JN667" s="112"/>
      <c r="JO667" s="112"/>
      <c r="JP667" s="112"/>
      <c r="JQ667" s="112"/>
      <c r="JR667" s="112"/>
      <c r="JS667" s="112"/>
      <c r="JT667" s="112"/>
      <c r="JU667" s="112"/>
      <c r="JV667" s="112"/>
      <c r="JW667" s="112"/>
      <c r="JX667" s="112"/>
      <c r="JY667" s="112"/>
      <c r="JZ667" s="112"/>
      <c r="KA667" s="112"/>
      <c r="KB667" s="112"/>
      <c r="KC667" s="112"/>
      <c r="KD667" s="112"/>
      <c r="KE667" s="112"/>
      <c r="KF667" s="112"/>
      <c r="KG667" s="112"/>
      <c r="KH667" s="112"/>
      <c r="KI667" s="112"/>
      <c r="KJ667" s="112"/>
      <c r="KK667" s="112"/>
      <c r="KL667" s="112"/>
      <c r="KM667" s="112"/>
      <c r="KN667" s="112"/>
      <c r="KO667" s="112"/>
      <c r="KP667" s="112"/>
      <c r="KQ667" s="112"/>
      <c r="KR667" s="112"/>
      <c r="KS667" s="112"/>
      <c r="KT667" s="112"/>
      <c r="KU667" s="112"/>
      <c r="KV667" s="112"/>
      <c r="KW667" s="112"/>
      <c r="KX667" s="112"/>
      <c r="KY667" s="112"/>
      <c r="KZ667" s="112"/>
      <c r="LA667" s="112"/>
      <c r="LB667" s="112"/>
      <c r="LC667" s="112"/>
      <c r="LD667" s="112"/>
      <c r="LE667" s="112"/>
      <c r="LF667" s="112"/>
      <c r="LG667" s="112"/>
      <c r="LH667" s="112"/>
      <c r="LI667" s="112"/>
      <c r="LJ667" s="112"/>
      <c r="LK667" s="112"/>
      <c r="LL667" s="112"/>
      <c r="LM667" s="112"/>
      <c r="LN667" s="112"/>
      <c r="LO667" s="112"/>
      <c r="LP667" s="112"/>
      <c r="LQ667" s="112"/>
      <c r="LR667" s="112"/>
      <c r="LS667" s="112"/>
      <c r="LT667" s="112"/>
      <c r="LU667" s="112"/>
      <c r="LV667" s="112"/>
      <c r="LW667" s="112"/>
      <c r="LX667" s="112"/>
      <c r="LY667" s="112"/>
      <c r="LZ667" s="112"/>
      <c r="MA667" s="112"/>
      <c r="MB667" s="112"/>
      <c r="MC667" s="112"/>
      <c r="MD667" s="112"/>
      <c r="ME667" s="112"/>
      <c r="MF667" s="112"/>
      <c r="MG667" s="112"/>
      <c r="MH667" s="112"/>
      <c r="MI667" s="112"/>
      <c r="MJ667" s="112"/>
      <c r="MK667" s="112"/>
      <c r="ML667" s="112"/>
      <c r="MM667" s="112"/>
      <c r="MN667" s="112"/>
      <c r="MO667" s="112"/>
      <c r="MP667" s="112"/>
      <c r="MQ667" s="112"/>
      <c r="MR667" s="112"/>
      <c r="MS667" s="112"/>
      <c r="MT667" s="112"/>
      <c r="MU667" s="112"/>
      <c r="MV667" s="112"/>
      <c r="MW667" s="112"/>
      <c r="MX667" s="112"/>
      <c r="MY667" s="112"/>
      <c r="MZ667" s="112"/>
      <c r="NA667" s="112"/>
      <c r="NB667" s="112"/>
      <c r="NC667" s="112"/>
      <c r="ND667" s="112"/>
      <c r="NE667" s="112"/>
      <c r="NF667" s="112"/>
      <c r="NG667" s="112"/>
      <c r="NH667" s="112"/>
      <c r="NI667" s="112"/>
      <c r="NJ667" s="112"/>
      <c r="NK667" s="112"/>
      <c r="NL667" s="112"/>
      <c r="NM667" s="112"/>
      <c r="NN667" s="112"/>
      <c r="NO667" s="112"/>
      <c r="NP667" s="112"/>
      <c r="NQ667" s="112"/>
      <c r="NR667" s="112"/>
      <c r="NS667" s="112"/>
      <c r="NT667" s="112"/>
      <c r="NU667" s="112"/>
      <c r="NV667" s="112"/>
      <c r="NW667" s="112"/>
      <c r="NX667" s="112"/>
      <c r="NY667" s="112"/>
      <c r="NZ667" s="112"/>
      <c r="OA667" s="112"/>
      <c r="OB667" s="112"/>
      <c r="OC667" s="112"/>
      <c r="OD667" s="112"/>
      <c r="OE667" s="112"/>
      <c r="OF667" s="112"/>
      <c r="OG667" s="112"/>
      <c r="OH667" s="112"/>
      <c r="OI667" s="112"/>
      <c r="OJ667" s="112"/>
      <c r="OK667" s="112"/>
      <c r="OL667" s="112"/>
      <c r="OM667" s="112"/>
      <c r="ON667" s="112"/>
      <c r="OO667" s="112"/>
      <c r="OP667" s="112"/>
      <c r="OQ667" s="112"/>
      <c r="OR667" s="112"/>
      <c r="OS667" s="112"/>
      <c r="OT667" s="112"/>
      <c r="OU667" s="112"/>
      <c r="OV667" s="112"/>
      <c r="OW667" s="112"/>
      <c r="OX667" s="112"/>
      <c r="OY667" s="112"/>
      <c r="OZ667" s="112"/>
      <c r="PA667" s="112"/>
      <c r="PB667" s="112"/>
      <c r="PC667" s="112"/>
      <c r="PD667" s="112"/>
      <c r="PE667" s="112"/>
      <c r="PF667" s="112"/>
      <c r="PG667" s="112"/>
      <c r="PH667" s="112"/>
      <c r="PI667" s="112"/>
      <c r="PJ667" s="112"/>
      <c r="PK667" s="112"/>
      <c r="PL667" s="112"/>
      <c r="PM667" s="112"/>
      <c r="PN667" s="112"/>
      <c r="PO667" s="112"/>
      <c r="PP667" s="112"/>
      <c r="PQ667" s="112"/>
      <c r="PR667" s="112"/>
      <c r="PS667" s="112"/>
      <c r="PT667" s="112"/>
      <c r="PU667" s="112"/>
      <c r="PV667" s="112"/>
      <c r="PW667" s="112"/>
      <c r="PX667" s="112"/>
      <c r="PY667" s="112"/>
      <c r="PZ667" s="112"/>
      <c r="QA667" s="112"/>
      <c r="QB667" s="112"/>
      <c r="QC667" s="112"/>
      <c r="QD667" s="112"/>
      <c r="QE667" s="112"/>
      <c r="QF667" s="112"/>
      <c r="QG667" s="112"/>
      <c r="QH667" s="112"/>
      <c r="QI667" s="112"/>
      <c r="QJ667" s="112"/>
      <c r="QK667" s="112"/>
      <c r="QL667" s="112"/>
      <c r="QM667" s="112"/>
      <c r="QN667" s="112"/>
      <c r="QO667" s="112"/>
      <c r="QP667" s="112"/>
      <c r="QQ667" s="112"/>
      <c r="QR667" s="112"/>
      <c r="QS667" s="112"/>
      <c r="QT667" s="112"/>
      <c r="QU667" s="112"/>
      <c r="QV667" s="112"/>
      <c r="QW667" s="112"/>
      <c r="QX667" s="112"/>
      <c r="QY667" s="112"/>
      <c r="QZ667" s="112"/>
      <c r="RA667" s="112"/>
      <c r="RB667" s="112"/>
      <c r="RC667" s="112"/>
      <c r="RD667" s="112"/>
      <c r="RE667" s="112"/>
      <c r="RF667" s="112"/>
      <c r="RG667" s="112"/>
      <c r="RH667" s="112"/>
      <c r="RI667" s="112"/>
      <c r="RJ667" s="112"/>
      <c r="RK667" s="112"/>
      <c r="RL667" s="112"/>
      <c r="RM667" s="112"/>
      <c r="RN667" s="112"/>
      <c r="RO667" s="112"/>
      <c r="RP667" s="112"/>
      <c r="RQ667" s="112"/>
      <c r="RR667" s="112"/>
      <c r="RS667" s="112"/>
      <c r="RT667" s="112"/>
      <c r="RU667" s="112"/>
      <c r="RV667" s="112"/>
      <c r="RW667" s="112"/>
      <c r="RX667" s="112"/>
      <c r="RY667" s="112"/>
      <c r="RZ667" s="112"/>
      <c r="SA667" s="112"/>
      <c r="SB667" s="112"/>
      <c r="SC667" s="112"/>
      <c r="SD667" s="112"/>
      <c r="SE667" s="112"/>
      <c r="SF667" s="112"/>
      <c r="SG667" s="112"/>
      <c r="SH667" s="112"/>
      <c r="SI667" s="112"/>
      <c r="SJ667" s="112"/>
      <c r="SK667" s="112"/>
      <c r="SL667" s="112"/>
      <c r="SM667" s="112"/>
      <c r="SN667" s="112"/>
      <c r="SO667" s="112"/>
      <c r="SP667" s="112"/>
      <c r="SQ667" s="112"/>
      <c r="SR667" s="112"/>
      <c r="SS667" s="112"/>
      <c r="ST667" s="112"/>
      <c r="SU667" s="112"/>
      <c r="SV667" s="112"/>
      <c r="SW667" s="112"/>
      <c r="SX667" s="112"/>
      <c r="SY667" s="112"/>
      <c r="SZ667" s="112"/>
      <c r="TA667" s="112"/>
      <c r="TB667" s="112"/>
      <c r="TC667" s="112"/>
      <c r="TD667" s="112"/>
      <c r="TE667" s="112"/>
      <c r="TF667" s="112"/>
      <c r="TG667" s="112"/>
      <c r="TH667" s="112"/>
      <c r="TI667" s="112"/>
      <c r="TJ667" s="112"/>
      <c r="TK667" s="112"/>
      <c r="TL667" s="112"/>
      <c r="TM667" s="112"/>
      <c r="TN667" s="112"/>
      <c r="TO667" s="112"/>
      <c r="TP667" s="112"/>
      <c r="TQ667" s="112"/>
      <c r="TR667" s="112"/>
      <c r="TS667" s="112"/>
      <c r="TT667" s="112"/>
      <c r="TU667" s="112"/>
      <c r="TV667" s="112"/>
      <c r="TW667" s="112"/>
      <c r="TX667" s="112"/>
      <c r="TY667" s="112"/>
      <c r="TZ667" s="112"/>
      <c r="UA667" s="112"/>
      <c r="UB667" s="112"/>
      <c r="UC667" s="112"/>
      <c r="UD667" s="112"/>
      <c r="UE667" s="112"/>
      <c r="UF667" s="112"/>
      <c r="UG667" s="112"/>
      <c r="UH667" s="112"/>
      <c r="UI667" s="112"/>
      <c r="UJ667" s="112"/>
      <c r="UK667" s="112"/>
      <c r="UL667" s="112"/>
      <c r="UM667" s="112"/>
      <c r="UN667" s="112"/>
      <c r="UO667" s="112"/>
      <c r="UP667" s="112"/>
      <c r="UQ667" s="112"/>
      <c r="UR667" s="112"/>
      <c r="US667" s="112"/>
      <c r="UT667" s="112"/>
      <c r="UU667" s="112"/>
      <c r="UV667" s="112"/>
      <c r="UW667" s="112"/>
      <c r="UX667" s="112"/>
      <c r="UY667" s="112"/>
      <c r="UZ667" s="112"/>
      <c r="VA667" s="112"/>
      <c r="VB667" s="112"/>
      <c r="VC667" s="112"/>
      <c r="VD667" s="112"/>
      <c r="VE667" s="112"/>
      <c r="VF667" s="112"/>
      <c r="VG667" s="112"/>
      <c r="VH667" s="112"/>
      <c r="VI667" s="112"/>
      <c r="VJ667" s="112"/>
      <c r="VK667" s="112"/>
      <c r="VL667" s="112"/>
      <c r="VM667" s="112"/>
      <c r="VN667" s="112"/>
      <c r="VO667" s="112"/>
      <c r="VP667" s="112"/>
      <c r="VQ667" s="112"/>
      <c r="VR667" s="112"/>
      <c r="VS667" s="112"/>
      <c r="VT667" s="112"/>
      <c r="VU667" s="112"/>
      <c r="VV667" s="112"/>
      <c r="VW667" s="112"/>
      <c r="VX667" s="112"/>
      <c r="VY667" s="112"/>
      <c r="VZ667" s="112"/>
      <c r="WA667" s="112"/>
      <c r="WB667" s="112"/>
      <c r="WC667" s="112"/>
      <c r="WD667" s="112"/>
      <c r="WE667" s="112"/>
      <c r="WF667" s="112"/>
      <c r="WG667" s="112"/>
      <c r="WH667" s="112"/>
      <c r="WI667" s="112"/>
      <c r="WJ667" s="112"/>
      <c r="WK667" s="112"/>
      <c r="WL667" s="112"/>
      <c r="WM667" s="112"/>
      <c r="WN667" s="112"/>
      <c r="WO667" s="112"/>
      <c r="WP667" s="112"/>
      <c r="WQ667" s="112"/>
      <c r="WR667" s="112"/>
      <c r="WS667" s="112"/>
      <c r="WT667" s="112"/>
      <c r="WU667" s="112"/>
      <c r="WV667" s="112"/>
      <c r="WW667" s="112"/>
      <c r="WX667" s="112"/>
      <c r="WY667" s="112"/>
      <c r="WZ667" s="112"/>
      <c r="XA667" s="112"/>
      <c r="XB667" s="112"/>
      <c r="XC667" s="112"/>
      <c r="XD667" s="112"/>
      <c r="XE667" s="112"/>
      <c r="XF667" s="112"/>
      <c r="XG667" s="112"/>
      <c r="XH667" s="112"/>
      <c r="XI667" s="112"/>
      <c r="XJ667" s="112"/>
      <c r="XK667" s="112"/>
      <c r="XL667" s="112"/>
      <c r="XM667" s="112"/>
      <c r="XN667" s="112"/>
      <c r="XO667" s="112"/>
      <c r="XP667" s="112"/>
      <c r="XQ667" s="112"/>
      <c r="XR667" s="112"/>
      <c r="XS667" s="112"/>
      <c r="XT667" s="112"/>
      <c r="XU667" s="112"/>
      <c r="XV667" s="112"/>
      <c r="XW667" s="112"/>
      <c r="XX667" s="112"/>
      <c r="XY667" s="112"/>
      <c r="XZ667" s="112"/>
      <c r="YA667" s="112"/>
      <c r="YB667" s="112"/>
      <c r="YC667" s="112"/>
      <c r="YD667" s="112"/>
      <c r="YE667" s="112"/>
      <c r="YF667" s="112"/>
      <c r="YG667" s="112"/>
      <c r="YH667" s="112"/>
      <c r="YI667" s="112"/>
      <c r="YJ667" s="112"/>
      <c r="YK667" s="112"/>
      <c r="YL667" s="112"/>
      <c r="YM667" s="112"/>
      <c r="YN667" s="112"/>
      <c r="YO667" s="112"/>
      <c r="YP667" s="112"/>
      <c r="YQ667" s="112"/>
      <c r="YR667" s="112"/>
      <c r="YS667" s="112"/>
      <c r="YT667" s="112"/>
      <c r="YU667" s="112"/>
      <c r="YV667" s="112"/>
      <c r="YW667" s="112"/>
      <c r="YX667" s="112"/>
      <c r="YY667" s="112"/>
      <c r="YZ667" s="112"/>
      <c r="ZA667" s="112"/>
      <c r="ZB667" s="112"/>
      <c r="ZC667" s="112"/>
      <c r="ZD667" s="112"/>
      <c r="ZE667" s="112"/>
      <c r="ZF667" s="112"/>
      <c r="ZG667" s="112"/>
      <c r="ZH667" s="112"/>
      <c r="ZI667" s="112"/>
      <c r="ZJ667" s="112"/>
      <c r="ZK667" s="112"/>
      <c r="ZL667" s="112"/>
      <c r="ZM667" s="112"/>
      <c r="ZN667" s="112"/>
      <c r="ZO667" s="112"/>
      <c r="ZP667" s="112"/>
      <c r="ZQ667" s="112"/>
      <c r="ZR667" s="112"/>
      <c r="ZS667" s="112"/>
      <c r="ZT667" s="112"/>
      <c r="ZU667" s="112"/>
      <c r="ZV667" s="112"/>
      <c r="ZW667" s="112"/>
      <c r="ZX667" s="112"/>
      <c r="ZY667" s="112"/>
      <c r="ZZ667" s="112"/>
      <c r="AAA667" s="112"/>
      <c r="AAB667" s="112"/>
      <c r="AAC667" s="112"/>
      <c r="AAD667" s="112"/>
      <c r="AAE667" s="112"/>
      <c r="AAF667" s="112"/>
      <c r="AAG667" s="112"/>
      <c r="AAH667" s="112"/>
      <c r="AAI667" s="112"/>
      <c r="AAJ667" s="112"/>
      <c r="AAK667" s="112"/>
      <c r="AAL667" s="112"/>
      <c r="AAM667" s="112"/>
      <c r="AAN667" s="112"/>
      <c r="AAO667" s="112"/>
      <c r="AAP667" s="112"/>
      <c r="AAQ667" s="112"/>
      <c r="AAR667" s="112"/>
      <c r="AAS667" s="112"/>
      <c r="AAT667" s="112"/>
      <c r="AAU667" s="112"/>
      <c r="AAV667" s="112"/>
      <c r="AAW667" s="112"/>
      <c r="AAX667" s="112"/>
      <c r="AAY667" s="112"/>
      <c r="AAZ667" s="112"/>
      <c r="ABA667" s="112"/>
      <c r="ABB667" s="112"/>
      <c r="ABC667" s="112"/>
      <c r="ABD667" s="112"/>
      <c r="ABE667" s="112"/>
      <c r="ABF667" s="112"/>
      <c r="ABG667" s="112"/>
      <c r="ABH667" s="112"/>
      <c r="ABI667" s="112"/>
      <c r="ABJ667" s="112"/>
      <c r="ABK667" s="112"/>
      <c r="ABL667" s="112"/>
      <c r="ABM667" s="112"/>
      <c r="ABN667" s="112"/>
      <c r="ABO667" s="112"/>
      <c r="ABP667" s="112"/>
      <c r="ABQ667" s="112"/>
      <c r="ABR667" s="112"/>
      <c r="ABS667" s="112"/>
      <c r="ABT667" s="112"/>
      <c r="ABU667" s="112"/>
      <c r="ABV667" s="112"/>
      <c r="ABW667" s="112"/>
      <c r="ABX667" s="112"/>
      <c r="ABY667" s="112"/>
      <c r="ABZ667" s="112"/>
      <c r="ACA667" s="112"/>
      <c r="ACB667" s="112"/>
      <c r="ACC667" s="112"/>
      <c r="ACD667" s="112"/>
      <c r="ACE667" s="112"/>
      <c r="ACF667" s="112"/>
      <c r="ACG667" s="112"/>
      <c r="ACH667" s="112"/>
      <c r="ACI667" s="112"/>
      <c r="ACJ667" s="112"/>
      <c r="ACK667" s="112"/>
      <c r="ACL667" s="112"/>
      <c r="ACM667" s="112"/>
      <c r="ACN667" s="112"/>
      <c r="ACO667" s="112"/>
      <c r="ACP667" s="112"/>
      <c r="ACQ667" s="112"/>
      <c r="ACR667" s="112"/>
      <c r="ACS667" s="112"/>
      <c r="ACT667" s="112"/>
      <c r="ACU667" s="112"/>
      <c r="ACV667" s="112"/>
      <c r="ACW667" s="112"/>
      <c r="ACX667" s="112"/>
      <c r="ACY667" s="112"/>
      <c r="ACZ667" s="112"/>
      <c r="ADA667" s="112"/>
      <c r="ADB667" s="112"/>
      <c r="ADC667" s="112"/>
      <c r="ADD667" s="112"/>
      <c r="ADE667" s="112"/>
      <c r="ADF667" s="112"/>
      <c r="ADG667" s="112"/>
      <c r="ADH667" s="112"/>
      <c r="ADI667" s="112"/>
      <c r="ADJ667" s="112"/>
      <c r="ADK667" s="112"/>
      <c r="ADL667" s="112"/>
      <c r="ADM667" s="112"/>
      <c r="ADN667" s="112"/>
      <c r="ADO667" s="112"/>
      <c r="ADP667" s="112"/>
      <c r="ADQ667" s="112"/>
      <c r="ADR667" s="112"/>
      <c r="ADS667" s="112"/>
      <c r="ADT667" s="112"/>
      <c r="ADU667" s="112"/>
      <c r="ADV667" s="112"/>
      <c r="ADW667" s="112"/>
      <c r="ADX667" s="112"/>
      <c r="ADY667" s="112"/>
      <c r="ADZ667" s="112"/>
      <c r="AEA667" s="112"/>
      <c r="AEB667" s="112"/>
      <c r="AEC667" s="112"/>
      <c r="AED667" s="112"/>
      <c r="AEE667" s="112"/>
      <c r="AEF667" s="112"/>
      <c r="AEG667" s="112"/>
      <c r="AEH667" s="112"/>
      <c r="AEI667" s="112"/>
      <c r="AEJ667" s="112"/>
      <c r="AEK667" s="112"/>
      <c r="AEL667" s="112"/>
      <c r="AEM667" s="112"/>
      <c r="AEN667" s="112"/>
      <c r="AEO667" s="112"/>
      <c r="AEP667" s="112"/>
      <c r="AEQ667" s="112"/>
      <c r="AER667" s="112"/>
      <c r="AES667" s="112"/>
      <c r="AET667" s="112"/>
      <c r="AEU667" s="112"/>
      <c r="AEV667" s="112"/>
      <c r="AEW667" s="112"/>
      <c r="AEX667" s="112"/>
      <c r="AEY667" s="112"/>
      <c r="AEZ667" s="112"/>
      <c r="AFA667" s="112"/>
      <c r="AFB667" s="112"/>
      <c r="AFC667" s="112"/>
      <c r="AFD667" s="112"/>
      <c r="AFE667" s="112"/>
      <c r="AFF667" s="112"/>
      <c r="AFG667" s="112"/>
      <c r="AFH667" s="112"/>
      <c r="AFI667" s="112"/>
      <c r="AFJ667" s="112"/>
      <c r="AFK667" s="112"/>
      <c r="AFL667" s="112"/>
      <c r="AFM667" s="112"/>
      <c r="AFN667" s="112"/>
      <c r="AFO667" s="112"/>
      <c r="AFP667" s="112"/>
      <c r="AFQ667" s="112"/>
      <c r="AFR667" s="112"/>
      <c r="AFS667" s="112"/>
      <c r="AFT667" s="112"/>
      <c r="AFU667" s="112"/>
      <c r="AFV667" s="112"/>
      <c r="AFW667" s="112"/>
      <c r="AFX667" s="112"/>
      <c r="AFY667" s="112"/>
      <c r="AFZ667" s="112"/>
      <c r="AGA667" s="112"/>
      <c r="AGB667" s="112"/>
      <c r="AGC667" s="112"/>
      <c r="AGD667" s="112"/>
      <c r="AGE667" s="112"/>
      <c r="AGF667" s="112"/>
      <c r="AGG667" s="112"/>
      <c r="AGH667" s="112"/>
      <c r="AGI667" s="112"/>
      <c r="AGJ667" s="112"/>
      <c r="AGK667" s="112"/>
      <c r="AGL667" s="112"/>
      <c r="AGM667" s="112"/>
      <c r="AGN667" s="112"/>
      <c r="AGO667" s="112"/>
      <c r="AGP667" s="112"/>
      <c r="AGQ667" s="112"/>
      <c r="AGR667" s="112"/>
      <c r="AGS667" s="112"/>
      <c r="AGT667" s="112"/>
      <c r="AGU667" s="112"/>
      <c r="AGV667" s="112"/>
      <c r="AGW667" s="112"/>
      <c r="AGX667" s="112"/>
      <c r="AGY667" s="112"/>
      <c r="AGZ667" s="112"/>
      <c r="AHA667" s="112"/>
      <c r="AHB667" s="112"/>
      <c r="AHC667" s="112"/>
      <c r="AHD667" s="112"/>
      <c r="AHE667" s="112"/>
      <c r="AHF667" s="112"/>
      <c r="AHG667" s="112"/>
      <c r="AHH667" s="112"/>
      <c r="AHI667" s="112"/>
      <c r="AHJ667" s="112"/>
      <c r="AHK667" s="112"/>
      <c r="AHL667" s="112"/>
      <c r="AHM667" s="112"/>
      <c r="AHN667" s="112"/>
      <c r="AHO667" s="112"/>
      <c r="AHP667" s="112"/>
      <c r="AHQ667" s="112"/>
      <c r="AHR667" s="112"/>
      <c r="AHS667" s="112"/>
      <c r="AHT667" s="112"/>
      <c r="AHU667" s="112"/>
      <c r="AHV667" s="112"/>
      <c r="AHW667" s="112"/>
      <c r="AHX667" s="112"/>
      <c r="AHY667" s="112"/>
      <c r="AHZ667" s="112"/>
      <c r="AIA667" s="112"/>
      <c r="AIB667" s="112"/>
      <c r="AIC667" s="112"/>
      <c r="AID667" s="112"/>
      <c r="AIE667" s="112"/>
      <c r="AIF667" s="112"/>
      <c r="AIG667" s="112"/>
      <c r="AIH667" s="112"/>
      <c r="AII667" s="112"/>
      <c r="AIJ667" s="112"/>
      <c r="AIK667" s="112"/>
      <c r="AIL667" s="112"/>
      <c r="AIM667" s="112"/>
      <c r="AIN667" s="112"/>
      <c r="AIO667" s="112"/>
      <c r="AIP667" s="112"/>
      <c r="AIQ667" s="112"/>
      <c r="AIR667" s="112"/>
      <c r="AIS667" s="112"/>
      <c r="AIT667" s="112"/>
      <c r="AIU667" s="112"/>
      <c r="AIV667" s="112"/>
      <c r="AIW667" s="112"/>
      <c r="AIX667" s="112"/>
      <c r="AIY667" s="112"/>
      <c r="AIZ667" s="112"/>
      <c r="AJA667" s="112"/>
      <c r="AJB667" s="112"/>
      <c r="AJC667" s="112"/>
      <c r="AJD667" s="112"/>
      <c r="AJE667" s="112"/>
      <c r="AJF667" s="112"/>
      <c r="AJG667" s="112"/>
      <c r="AJH667" s="112"/>
      <c r="AJI667" s="112"/>
      <c r="AJJ667" s="112"/>
      <c r="AJK667" s="112"/>
      <c r="AJL667" s="112"/>
      <c r="AJM667" s="112"/>
      <c r="AJN667" s="112"/>
      <c r="AJO667" s="112"/>
      <c r="AJP667" s="112"/>
      <c r="AJQ667" s="112"/>
      <c r="AJR667" s="112"/>
      <c r="AJS667" s="112"/>
      <c r="AJT667" s="112"/>
      <c r="AJU667" s="112"/>
      <c r="AJV667" s="112"/>
      <c r="AJW667" s="112"/>
      <c r="AJX667" s="112"/>
      <c r="AJY667" s="112"/>
      <c r="AJZ667" s="112"/>
      <c r="AKA667" s="112"/>
      <c r="AKB667" s="112"/>
      <c r="AKC667" s="112"/>
      <c r="AKD667" s="112"/>
      <c r="AKE667" s="112"/>
      <c r="AKF667" s="112"/>
      <c r="AKG667" s="112"/>
      <c r="AKH667" s="112"/>
      <c r="AKI667" s="112"/>
      <c r="AKJ667" s="112"/>
      <c r="AKK667" s="112"/>
      <c r="AKL667" s="112"/>
      <c r="AKM667" s="112"/>
      <c r="AKN667" s="112"/>
      <c r="AKO667" s="112"/>
      <c r="AKP667" s="112"/>
      <c r="AKQ667" s="112"/>
      <c r="AKR667" s="112"/>
      <c r="AKS667" s="112"/>
      <c r="AKT667" s="112"/>
      <c r="AKU667" s="112"/>
      <c r="AKV667" s="112"/>
      <c r="AKW667" s="112"/>
      <c r="AKX667" s="112"/>
      <c r="AKY667" s="112"/>
      <c r="AKZ667" s="112"/>
      <c r="ALA667" s="112"/>
      <c r="ALB667" s="112"/>
      <c r="ALC667" s="112"/>
      <c r="ALD667" s="112"/>
      <c r="ALE667" s="112"/>
      <c r="ALF667" s="112"/>
      <c r="ALG667" s="112"/>
      <c r="ALH667" s="112"/>
      <c r="ALI667" s="112"/>
      <c r="ALJ667" s="112"/>
      <c r="ALK667" s="112"/>
      <c r="ALL667" s="112"/>
      <c r="ALM667" s="112"/>
      <c r="ALN667" s="112"/>
      <c r="ALO667" s="112"/>
      <c r="ALP667" s="112"/>
      <c r="ALQ667" s="112"/>
      <c r="ALR667" s="112"/>
      <c r="ALS667" s="112"/>
      <c r="ALT667" s="112"/>
      <c r="ALU667" s="112"/>
      <c r="ALV667" s="112"/>
      <c r="ALW667" s="112"/>
      <c r="ALX667" s="112"/>
      <c r="ALY667" s="112"/>
      <c r="ALZ667" s="112"/>
      <c r="AMA667" s="112"/>
      <c r="AMB667" s="112"/>
      <c r="AMC667" s="112"/>
      <c r="AMD667" s="112"/>
      <c r="AME667" s="112"/>
      <c r="AMF667" s="112"/>
      <c r="AMG667" s="112"/>
      <c r="AMH667" s="112"/>
      <c r="AMI667" s="112"/>
      <c r="AMJ667" s="112"/>
      <c r="AMK667" s="112"/>
      <c r="AML667" s="112"/>
      <c r="AMM667" s="112"/>
      <c r="AMN667" s="112"/>
      <c r="AMO667" s="112"/>
      <c r="AMP667" s="112"/>
      <c r="AMQ667" s="112"/>
      <c r="AMR667" s="112"/>
      <c r="AMS667" s="112"/>
      <c r="AMT667" s="112"/>
      <c r="AMU667" s="112"/>
      <c r="AMV667" s="112"/>
      <c r="AMW667" s="112"/>
      <c r="AMX667" s="112"/>
      <c r="AMY667" s="112"/>
      <c r="AMZ667" s="112"/>
      <c r="ANA667" s="112"/>
      <c r="ANB667" s="112"/>
      <c r="ANC667" s="112"/>
      <c r="AND667" s="112"/>
      <c r="ANE667" s="112"/>
      <c r="ANF667" s="112"/>
      <c r="ANG667" s="112"/>
      <c r="ANH667" s="112"/>
      <c r="ANI667" s="112"/>
      <c r="ANJ667" s="112"/>
      <c r="ANK667" s="112"/>
      <c r="ANL667" s="112"/>
      <c r="ANM667" s="112"/>
      <c r="ANN667" s="112"/>
      <c r="ANO667" s="112"/>
      <c r="ANP667" s="112"/>
      <c r="ANQ667" s="112"/>
      <c r="ANR667" s="112"/>
      <c r="ANS667" s="112"/>
      <c r="ANT667" s="112"/>
      <c r="ANU667" s="112"/>
      <c r="ANV667" s="112"/>
      <c r="ANW667" s="112"/>
      <c r="ANX667" s="112"/>
      <c r="ANY667" s="112"/>
      <c r="ANZ667" s="112"/>
      <c r="AOA667" s="112"/>
      <c r="AOB667" s="112"/>
      <c r="AOC667" s="112"/>
      <c r="AOD667" s="112"/>
      <c r="AOE667" s="112"/>
      <c r="AOF667" s="112"/>
      <c r="AOG667" s="112"/>
      <c r="AOH667" s="112"/>
      <c r="AOI667" s="112"/>
      <c r="AOJ667" s="112"/>
      <c r="AOK667" s="112"/>
      <c r="AOL667" s="112"/>
      <c r="AOM667" s="112"/>
      <c r="AON667" s="112"/>
      <c r="AOO667" s="112"/>
      <c r="AOP667" s="112"/>
      <c r="AOQ667" s="112"/>
      <c r="AOR667" s="112"/>
      <c r="AOS667" s="112"/>
      <c r="AOT667" s="112"/>
      <c r="AOU667" s="112"/>
      <c r="AOV667" s="112"/>
      <c r="AOW667" s="112"/>
      <c r="AOX667" s="112"/>
      <c r="AOY667" s="112"/>
      <c r="AOZ667" s="112"/>
      <c r="APA667" s="112"/>
      <c r="APB667" s="112"/>
      <c r="APC667" s="112"/>
      <c r="APD667" s="112"/>
      <c r="APE667" s="112"/>
      <c r="APF667" s="112"/>
      <c r="APG667" s="112"/>
      <c r="APH667" s="112"/>
      <c r="API667" s="112"/>
      <c r="APJ667" s="112"/>
      <c r="APK667" s="112"/>
      <c r="APL667" s="112"/>
      <c r="APM667" s="112"/>
      <c r="APN667" s="112"/>
      <c r="APO667" s="112"/>
      <c r="APP667" s="112"/>
      <c r="APQ667" s="112"/>
      <c r="APR667" s="112"/>
      <c r="APS667" s="112"/>
      <c r="APT667" s="112"/>
      <c r="APU667" s="112"/>
      <c r="APV667" s="112"/>
      <c r="APW667" s="112"/>
      <c r="APX667" s="112"/>
      <c r="APY667" s="112"/>
      <c r="APZ667" s="112"/>
      <c r="AQA667" s="112"/>
      <c r="AQB667" s="112"/>
      <c r="AQC667" s="112"/>
      <c r="AQD667" s="112"/>
      <c r="AQE667" s="112"/>
      <c r="AQF667" s="112"/>
      <c r="AQG667" s="112"/>
      <c r="AQH667" s="112"/>
      <c r="AQI667" s="112"/>
      <c r="AQJ667" s="112"/>
      <c r="AQK667" s="112"/>
      <c r="AQL667" s="112"/>
      <c r="AQM667" s="112"/>
      <c r="AQN667" s="112"/>
      <c r="AQO667" s="112"/>
      <c r="AQP667" s="112"/>
      <c r="AQQ667" s="112"/>
      <c r="AQR667" s="112"/>
      <c r="AQS667" s="112"/>
      <c r="AQT667" s="112"/>
      <c r="AQU667" s="112"/>
      <c r="AQV667" s="112"/>
      <c r="AQW667" s="112"/>
      <c r="AQX667" s="112"/>
      <c r="AQY667" s="112"/>
      <c r="AQZ667" s="112"/>
      <c r="ARA667" s="112"/>
      <c r="ARB667" s="112"/>
      <c r="ARC667" s="112"/>
      <c r="ARD667" s="112"/>
      <c r="ARE667" s="112"/>
      <c r="ARF667" s="112"/>
      <c r="ARG667" s="112"/>
      <c r="ARH667" s="112"/>
      <c r="ARI667" s="112"/>
      <c r="ARJ667" s="112"/>
      <c r="ARK667" s="112"/>
      <c r="ARL667" s="112"/>
      <c r="ARM667" s="112"/>
      <c r="ARN667" s="112"/>
      <c r="ARO667" s="112"/>
      <c r="ARP667" s="112"/>
      <c r="ARQ667" s="112"/>
      <c r="ARR667" s="112"/>
      <c r="ARS667" s="112"/>
      <c r="ART667" s="112"/>
      <c r="ARU667" s="112"/>
      <c r="ARV667" s="112"/>
      <c r="ARW667" s="112"/>
      <c r="ARX667" s="112"/>
      <c r="ARY667" s="112"/>
      <c r="ARZ667" s="112"/>
      <c r="ASA667" s="112"/>
      <c r="ASB667" s="112"/>
      <c r="ASC667" s="112"/>
      <c r="ASD667" s="112"/>
      <c r="ASE667" s="112"/>
      <c r="ASF667" s="112"/>
      <c r="ASG667" s="112"/>
      <c r="ASH667" s="112"/>
      <c r="ASI667" s="112"/>
      <c r="ASJ667" s="112"/>
      <c r="ASK667" s="112"/>
      <c r="ASL667" s="112"/>
      <c r="ASM667" s="112"/>
      <c r="ASN667" s="112"/>
      <c r="ASO667" s="112"/>
      <c r="ASP667" s="112"/>
      <c r="ASQ667" s="112"/>
      <c r="ASR667" s="112"/>
      <c r="ASS667" s="112"/>
      <c r="AST667" s="112"/>
      <c r="ASU667" s="112"/>
      <c r="ASV667" s="112"/>
      <c r="ASW667" s="112"/>
      <c r="ASX667" s="112"/>
      <c r="ASY667" s="112"/>
      <c r="ASZ667" s="112"/>
      <c r="ATA667" s="112"/>
      <c r="ATB667" s="112"/>
      <c r="ATC667" s="112"/>
      <c r="ATD667" s="112"/>
      <c r="ATE667" s="112"/>
      <c r="ATF667" s="112"/>
      <c r="ATG667" s="112"/>
      <c r="ATH667" s="112"/>
      <c r="ATI667" s="112"/>
      <c r="ATJ667" s="112"/>
      <c r="ATK667" s="112"/>
      <c r="ATL667" s="112"/>
      <c r="ATM667" s="112"/>
      <c r="ATN667" s="112"/>
      <c r="ATO667" s="112"/>
      <c r="ATP667" s="112"/>
      <c r="ATQ667" s="112"/>
      <c r="ATR667" s="112"/>
      <c r="ATS667" s="112"/>
      <c r="ATT667" s="112"/>
      <c r="ATU667" s="112"/>
      <c r="ATV667" s="112"/>
      <c r="ATW667" s="112"/>
      <c r="ATX667" s="112"/>
      <c r="ATY667" s="112"/>
      <c r="ATZ667" s="112"/>
      <c r="AUA667" s="112"/>
      <c r="AUB667" s="112"/>
      <c r="AUC667" s="112"/>
      <c r="AUD667" s="112"/>
      <c r="AUE667" s="112"/>
      <c r="AUF667" s="112"/>
      <c r="AUG667" s="112"/>
      <c r="AUH667" s="112"/>
      <c r="AUI667" s="112"/>
      <c r="AUJ667" s="112"/>
      <c r="AUK667" s="112"/>
      <c r="AUL667" s="112"/>
      <c r="AUM667" s="112"/>
      <c r="AUN667" s="112"/>
      <c r="AUO667" s="112"/>
      <c r="AUP667" s="112"/>
      <c r="AUQ667" s="112"/>
      <c r="AUR667" s="112"/>
      <c r="AUS667" s="112"/>
      <c r="AUT667" s="112"/>
      <c r="AUU667" s="112"/>
      <c r="AUV667" s="112"/>
      <c r="AUW667" s="112"/>
      <c r="AUX667" s="112"/>
      <c r="AUY667" s="112"/>
      <c r="AUZ667" s="112"/>
      <c r="AVA667" s="112"/>
      <c r="AVB667" s="112"/>
      <c r="AVC667" s="112"/>
      <c r="AVD667" s="112"/>
      <c r="AVE667" s="112"/>
      <c r="AVF667" s="112"/>
      <c r="AVG667" s="112"/>
      <c r="AVH667" s="112"/>
      <c r="AVI667" s="112"/>
      <c r="AVJ667" s="112"/>
      <c r="AVK667" s="112"/>
      <c r="AVL667" s="112"/>
      <c r="AVM667" s="112"/>
      <c r="AVN667" s="112"/>
      <c r="AVO667" s="112"/>
      <c r="AVP667" s="112"/>
      <c r="AVQ667" s="112"/>
      <c r="AVR667" s="112"/>
      <c r="AVS667" s="112"/>
      <c r="AVT667" s="112"/>
      <c r="AVU667" s="112"/>
      <c r="AVV667" s="112"/>
      <c r="AVW667" s="112"/>
      <c r="AVX667" s="112"/>
      <c r="AVY667" s="112"/>
      <c r="AVZ667" s="112"/>
      <c r="AWA667" s="112"/>
      <c r="AWB667" s="112"/>
      <c r="AWC667" s="112"/>
      <c r="AWD667" s="112"/>
      <c r="AWE667" s="112"/>
      <c r="AWF667" s="112"/>
      <c r="AWG667" s="112"/>
      <c r="AWH667" s="112"/>
      <c r="AWI667" s="112"/>
      <c r="AWJ667" s="112"/>
      <c r="AWK667" s="112"/>
      <c r="AWL667" s="112"/>
      <c r="AWM667" s="112"/>
      <c r="AWN667" s="112"/>
      <c r="AWO667" s="112"/>
      <c r="AWP667" s="112"/>
      <c r="AWQ667" s="112"/>
      <c r="AWR667" s="112"/>
      <c r="AWS667" s="112"/>
      <c r="AWT667" s="112"/>
      <c r="AWU667" s="112"/>
      <c r="AWV667" s="112"/>
      <c r="AWW667" s="112"/>
      <c r="AWX667" s="112"/>
      <c r="AWY667" s="112"/>
      <c r="AWZ667" s="112"/>
      <c r="AXA667" s="112"/>
      <c r="AXB667" s="112"/>
      <c r="AXC667" s="112"/>
      <c r="AXD667" s="112"/>
      <c r="AXE667" s="112"/>
      <c r="AXF667" s="112"/>
      <c r="AXG667" s="112"/>
      <c r="AXH667" s="112"/>
      <c r="AXI667" s="112"/>
      <c r="AXJ667" s="112"/>
      <c r="AXK667" s="112"/>
      <c r="AXL667" s="112"/>
      <c r="AXM667" s="112"/>
      <c r="AXN667" s="112"/>
      <c r="AXO667" s="112"/>
      <c r="AXP667" s="112"/>
      <c r="AXQ667" s="112"/>
      <c r="AXR667" s="112"/>
      <c r="AXS667" s="112"/>
      <c r="AXT667" s="112"/>
      <c r="AXU667" s="112"/>
      <c r="AXV667" s="112"/>
      <c r="AXW667" s="112"/>
      <c r="AXX667" s="112"/>
      <c r="AXY667" s="112"/>
      <c r="AXZ667" s="112"/>
      <c r="AYA667" s="112"/>
      <c r="AYB667" s="112"/>
      <c r="AYC667" s="112"/>
      <c r="AYD667" s="112"/>
      <c r="AYE667" s="112"/>
      <c r="AYF667" s="112"/>
      <c r="AYG667" s="112"/>
      <c r="AYH667" s="112"/>
      <c r="AYI667" s="112"/>
      <c r="AYJ667" s="112"/>
      <c r="AYK667" s="112"/>
      <c r="AYL667" s="112"/>
      <c r="AYM667" s="112"/>
      <c r="AYN667" s="112"/>
      <c r="AYO667" s="112"/>
      <c r="AYP667" s="112"/>
      <c r="AYQ667" s="112"/>
      <c r="AYR667" s="112"/>
      <c r="AYS667" s="112"/>
      <c r="AYT667" s="112"/>
      <c r="AYU667" s="112"/>
      <c r="AYV667" s="112"/>
      <c r="AYW667" s="112"/>
      <c r="AYX667" s="112"/>
      <c r="AYY667" s="112"/>
      <c r="AYZ667" s="112"/>
      <c r="AZA667" s="112"/>
      <c r="AZB667" s="112"/>
      <c r="AZC667" s="112"/>
      <c r="AZD667" s="112"/>
      <c r="AZE667" s="112"/>
      <c r="AZF667" s="112"/>
      <c r="AZG667" s="112"/>
      <c r="AZH667" s="112"/>
      <c r="AZI667" s="112"/>
      <c r="AZJ667" s="112"/>
      <c r="AZK667" s="112"/>
      <c r="AZL667" s="112"/>
      <c r="AZM667" s="112"/>
      <c r="AZN667" s="112"/>
      <c r="AZO667" s="112"/>
      <c r="AZP667" s="112"/>
      <c r="AZQ667" s="112"/>
      <c r="AZR667" s="112"/>
      <c r="AZS667" s="112"/>
      <c r="AZT667" s="112"/>
      <c r="AZU667" s="112"/>
      <c r="AZV667" s="112"/>
      <c r="AZW667" s="112"/>
      <c r="AZX667" s="112"/>
      <c r="AZY667" s="112"/>
      <c r="AZZ667" s="112"/>
      <c r="BAA667" s="112"/>
      <c r="BAB667" s="112"/>
      <c r="BAC667" s="112"/>
      <c r="BAD667" s="112"/>
      <c r="BAE667" s="112"/>
      <c r="BAF667" s="112"/>
      <c r="BAG667" s="112"/>
      <c r="BAH667" s="112"/>
      <c r="BAI667" s="112"/>
      <c r="BAJ667" s="112"/>
      <c r="BAK667" s="112"/>
      <c r="BAL667" s="112"/>
      <c r="BAM667" s="112"/>
      <c r="BAN667" s="112"/>
      <c r="BAO667" s="112"/>
      <c r="BAP667" s="112"/>
      <c r="BAQ667" s="112"/>
      <c r="BAR667" s="112"/>
      <c r="BAS667" s="112"/>
      <c r="BAT667" s="112"/>
      <c r="BAU667" s="112"/>
      <c r="BAV667" s="112"/>
      <c r="BAW667" s="112"/>
      <c r="BAX667" s="112"/>
      <c r="BAY667" s="112"/>
      <c r="BAZ667" s="112"/>
      <c r="BBA667" s="112"/>
      <c r="BBB667" s="112"/>
      <c r="BBC667" s="112"/>
      <c r="BBD667" s="112"/>
      <c r="BBE667" s="112"/>
      <c r="BBF667" s="112"/>
      <c r="BBG667" s="112"/>
      <c r="BBH667" s="112"/>
      <c r="BBI667" s="112"/>
      <c r="BBJ667" s="112"/>
      <c r="BBK667" s="112"/>
      <c r="BBL667" s="112"/>
      <c r="BBM667" s="112"/>
      <c r="BBN667" s="112"/>
      <c r="BBO667" s="112"/>
      <c r="BBP667" s="112"/>
      <c r="BBQ667" s="112"/>
      <c r="BBR667" s="112"/>
      <c r="BBS667" s="112"/>
      <c r="BBT667" s="112"/>
      <c r="BBU667" s="112"/>
      <c r="BBV667" s="112"/>
      <c r="BBW667" s="112"/>
      <c r="BBX667" s="112"/>
      <c r="BBY667" s="112"/>
      <c r="BBZ667" s="112"/>
      <c r="BCA667" s="112"/>
      <c r="BCB667" s="112"/>
      <c r="BCC667" s="112"/>
      <c r="BCD667" s="112"/>
      <c r="BCE667" s="112"/>
      <c r="BCF667" s="112"/>
      <c r="BCG667" s="112"/>
      <c r="BCH667" s="112"/>
      <c r="BCI667" s="112"/>
      <c r="BCJ667" s="112"/>
      <c r="BCK667" s="112"/>
      <c r="BCL667" s="112"/>
      <c r="BCM667" s="112"/>
      <c r="BCN667" s="112"/>
      <c r="BCO667" s="112"/>
      <c r="BCP667" s="112"/>
      <c r="BCQ667" s="112"/>
      <c r="BCR667" s="112"/>
      <c r="BCS667" s="112"/>
      <c r="BCT667" s="112"/>
      <c r="BCU667" s="112"/>
      <c r="BCV667" s="112"/>
      <c r="BCW667" s="112"/>
      <c r="BCX667" s="112"/>
      <c r="BCY667" s="112"/>
      <c r="BCZ667" s="112"/>
      <c r="BDA667" s="112"/>
      <c r="BDB667" s="112"/>
      <c r="BDC667" s="112"/>
      <c r="BDD667" s="112"/>
      <c r="BDE667" s="112"/>
      <c r="BDF667" s="112"/>
      <c r="BDG667" s="112"/>
      <c r="BDH667" s="112"/>
      <c r="BDI667" s="112"/>
      <c r="BDJ667" s="112"/>
      <c r="BDK667" s="112"/>
      <c r="BDL667" s="112"/>
      <c r="BDM667" s="112"/>
      <c r="BDN667" s="112"/>
      <c r="BDO667" s="112"/>
      <c r="BDP667" s="112"/>
      <c r="BDQ667" s="112"/>
      <c r="BDR667" s="112"/>
      <c r="BDS667" s="112"/>
      <c r="BDT667" s="112"/>
      <c r="BDU667" s="112"/>
      <c r="BDV667" s="112"/>
      <c r="BDW667" s="112"/>
      <c r="BDX667" s="112"/>
      <c r="BDY667" s="112"/>
      <c r="BDZ667" s="112"/>
      <c r="BEA667" s="112"/>
      <c r="BEB667" s="112"/>
      <c r="BEC667" s="112"/>
      <c r="BED667" s="112"/>
      <c r="BEE667" s="112"/>
      <c r="BEF667" s="112"/>
      <c r="BEG667" s="112"/>
      <c r="BEH667" s="112"/>
      <c r="BEI667" s="112"/>
      <c r="BEJ667" s="112"/>
      <c r="BEK667" s="112"/>
      <c r="BEL667" s="112"/>
      <c r="BEM667" s="112"/>
      <c r="BEN667" s="112"/>
      <c r="BEO667" s="112"/>
      <c r="BEP667" s="112"/>
      <c r="BEQ667" s="112"/>
      <c r="BER667" s="112"/>
      <c r="BES667" s="112"/>
      <c r="BET667" s="112"/>
      <c r="BEU667" s="112"/>
      <c r="BEV667" s="112"/>
      <c r="BEW667" s="112"/>
      <c r="BEX667" s="112"/>
      <c r="BEY667" s="112"/>
      <c r="BEZ667" s="112"/>
      <c r="BFA667" s="112"/>
      <c r="BFB667" s="112"/>
      <c r="BFC667" s="112"/>
      <c r="BFD667" s="112"/>
      <c r="BFE667" s="112"/>
      <c r="BFF667" s="112"/>
      <c r="BFG667" s="112"/>
      <c r="BFH667" s="112"/>
      <c r="BFI667" s="112"/>
      <c r="BFJ667" s="112"/>
      <c r="BFK667" s="112"/>
      <c r="BFL667" s="112"/>
      <c r="BFM667" s="112"/>
      <c r="BFN667" s="112"/>
      <c r="BFO667" s="112"/>
      <c r="BFP667" s="112"/>
      <c r="BFQ667" s="112"/>
      <c r="BFR667" s="112"/>
      <c r="BFS667" s="112"/>
      <c r="BFT667" s="112"/>
      <c r="BFU667" s="112"/>
      <c r="BFV667" s="112"/>
      <c r="BFW667" s="112"/>
      <c r="BFX667" s="112"/>
      <c r="BFY667" s="112"/>
      <c r="BFZ667" s="112"/>
      <c r="BGA667" s="112"/>
      <c r="BGB667" s="112"/>
      <c r="BGC667" s="112"/>
      <c r="BGD667" s="112"/>
      <c r="BGE667" s="112"/>
      <c r="BGF667" s="112"/>
      <c r="BGG667" s="112"/>
      <c r="BGH667" s="112"/>
      <c r="BGI667" s="112"/>
      <c r="BGJ667" s="112"/>
      <c r="BGK667" s="112"/>
      <c r="BGL667" s="112"/>
      <c r="BGM667" s="112"/>
      <c r="BGN667" s="112"/>
      <c r="BGO667" s="112"/>
      <c r="BGP667" s="112"/>
      <c r="BGQ667" s="112"/>
      <c r="BGR667" s="112"/>
      <c r="BGS667" s="112"/>
      <c r="BGT667" s="112"/>
      <c r="BGU667" s="112"/>
      <c r="BGV667" s="112"/>
      <c r="BGW667" s="112"/>
      <c r="BGX667" s="112"/>
      <c r="BGY667" s="112"/>
      <c r="BGZ667" s="112"/>
      <c r="BHA667" s="112"/>
      <c r="BHB667" s="112"/>
      <c r="BHC667" s="112"/>
      <c r="BHD667" s="112"/>
      <c r="BHE667" s="112"/>
      <c r="BHF667" s="112"/>
      <c r="BHG667" s="112"/>
      <c r="BHH667" s="112"/>
      <c r="BHI667" s="112"/>
      <c r="BHJ667" s="112"/>
      <c r="BHK667" s="112"/>
      <c r="BHL667" s="112"/>
      <c r="BHM667" s="112"/>
      <c r="BHN667" s="112"/>
      <c r="BHO667" s="112"/>
      <c r="BHP667" s="112"/>
      <c r="BHQ667" s="112"/>
      <c r="BHR667" s="112"/>
      <c r="BHS667" s="112"/>
      <c r="BHT667" s="112"/>
      <c r="BHU667" s="112"/>
      <c r="BHV667" s="112"/>
      <c r="BHW667" s="112"/>
      <c r="BHX667" s="112"/>
      <c r="BHY667" s="112"/>
      <c r="BHZ667" s="112"/>
      <c r="BIA667" s="112"/>
      <c r="BIB667" s="112"/>
      <c r="BIC667" s="112"/>
      <c r="BID667" s="112"/>
      <c r="BIE667" s="112"/>
      <c r="BIF667" s="112"/>
      <c r="BIG667" s="112"/>
      <c r="BIH667" s="112"/>
      <c r="BII667" s="112"/>
      <c r="BIJ667" s="112"/>
      <c r="BIK667" s="112"/>
      <c r="BIL667" s="112"/>
      <c r="BIM667" s="112"/>
      <c r="BIN667" s="112"/>
      <c r="BIO667" s="112"/>
      <c r="BIP667" s="112"/>
      <c r="BIQ667" s="112"/>
      <c r="BIR667" s="112"/>
      <c r="BIS667" s="112"/>
      <c r="BIT667" s="112"/>
      <c r="BIU667" s="112"/>
      <c r="BIV667" s="112"/>
      <c r="BIW667" s="112"/>
      <c r="BIX667" s="112"/>
      <c r="BIY667" s="112"/>
      <c r="BIZ667" s="112"/>
      <c r="BJA667" s="112"/>
      <c r="BJB667" s="112"/>
      <c r="BJC667" s="112"/>
      <c r="BJD667" s="112"/>
      <c r="BJE667" s="112"/>
      <c r="BJF667" s="112"/>
      <c r="BJG667" s="112"/>
      <c r="BJH667" s="112"/>
      <c r="BJI667" s="112"/>
      <c r="BJJ667" s="112"/>
      <c r="BJK667" s="112"/>
      <c r="BJL667" s="112"/>
      <c r="BJM667" s="112"/>
      <c r="BJN667" s="112"/>
      <c r="BJO667" s="112"/>
      <c r="BJP667" s="112"/>
      <c r="BJQ667" s="112"/>
      <c r="BJR667" s="112"/>
      <c r="BJS667" s="112"/>
      <c r="BJT667" s="112"/>
      <c r="BJU667" s="112"/>
      <c r="BJV667" s="112"/>
      <c r="BJW667" s="112"/>
      <c r="BJX667" s="112"/>
      <c r="BJY667" s="112"/>
      <c r="BJZ667" s="112"/>
      <c r="BKA667" s="112"/>
      <c r="BKB667" s="112"/>
      <c r="BKC667" s="112"/>
      <c r="BKD667" s="112"/>
      <c r="BKE667" s="112"/>
      <c r="BKF667" s="112"/>
      <c r="BKG667" s="112"/>
      <c r="BKH667" s="112"/>
      <c r="BKI667" s="112"/>
      <c r="BKJ667" s="112"/>
      <c r="BKK667" s="112"/>
      <c r="BKL667" s="112"/>
      <c r="BKM667" s="112"/>
      <c r="BKN667" s="112"/>
      <c r="BKO667" s="112"/>
      <c r="BKP667" s="112"/>
      <c r="BKQ667" s="112"/>
      <c r="BKR667" s="112"/>
      <c r="BKS667" s="112"/>
      <c r="BKT667" s="112"/>
      <c r="BKU667" s="112"/>
      <c r="BKV667" s="112"/>
      <c r="BKW667" s="112"/>
      <c r="BKX667" s="112"/>
      <c r="BKY667" s="112"/>
      <c r="BKZ667" s="112"/>
      <c r="BLA667" s="112"/>
      <c r="BLB667" s="112"/>
      <c r="BLC667" s="112"/>
      <c r="BLD667" s="112"/>
      <c r="BLE667" s="112"/>
      <c r="BLF667" s="112"/>
      <c r="BLG667" s="112"/>
      <c r="BLH667" s="112"/>
      <c r="BLI667" s="112"/>
      <c r="BLJ667" s="112"/>
      <c r="BLK667" s="112"/>
      <c r="BLL667" s="112"/>
      <c r="BLM667" s="112"/>
      <c r="BLN667" s="112"/>
      <c r="BLO667" s="112"/>
      <c r="BLP667" s="112"/>
      <c r="BLQ667" s="112"/>
      <c r="BLR667" s="112"/>
      <c r="BLS667" s="112"/>
      <c r="BLT667" s="112"/>
      <c r="BLU667" s="112"/>
      <c r="BLV667" s="112"/>
      <c r="BLW667" s="112"/>
      <c r="BLX667" s="112"/>
      <c r="BLY667" s="112"/>
      <c r="BLZ667" s="112"/>
      <c r="BMA667" s="112"/>
      <c r="BMB667" s="112"/>
      <c r="BMC667" s="112"/>
      <c r="BMD667" s="112"/>
      <c r="BME667" s="112"/>
      <c r="BMF667" s="112"/>
      <c r="BMG667" s="112"/>
      <c r="BMH667" s="112"/>
      <c r="BMI667" s="112"/>
      <c r="BMJ667" s="112"/>
      <c r="BMK667" s="112"/>
      <c r="BML667" s="112"/>
      <c r="BMM667" s="112"/>
      <c r="BMN667" s="112"/>
      <c r="BMO667" s="112"/>
      <c r="BMP667" s="112"/>
      <c r="BMQ667" s="112"/>
      <c r="BMR667" s="112"/>
      <c r="BMS667" s="112"/>
      <c r="BMT667" s="112"/>
      <c r="BMU667" s="112"/>
      <c r="BMV667" s="112"/>
      <c r="BMW667" s="112"/>
      <c r="BMX667" s="112"/>
      <c r="BMY667" s="112"/>
      <c r="BMZ667" s="112"/>
      <c r="BNA667" s="112"/>
      <c r="BNB667" s="112"/>
      <c r="BNC667" s="112"/>
      <c r="BND667" s="112"/>
      <c r="BNE667" s="112"/>
      <c r="BNF667" s="112"/>
      <c r="BNG667" s="112"/>
      <c r="BNH667" s="112"/>
      <c r="BNI667" s="112"/>
      <c r="BNJ667" s="112"/>
      <c r="BNK667" s="112"/>
      <c r="BNL667" s="112"/>
      <c r="BNM667" s="112"/>
      <c r="BNN667" s="112"/>
      <c r="BNO667" s="112"/>
      <c r="BNP667" s="112"/>
      <c r="BNQ667" s="112"/>
      <c r="BNR667" s="112"/>
      <c r="BNS667" s="112"/>
      <c r="BNT667" s="112"/>
      <c r="BNU667" s="112"/>
      <c r="BNV667" s="112"/>
      <c r="BNW667" s="112"/>
      <c r="BNX667" s="112"/>
      <c r="BNY667" s="112"/>
      <c r="BNZ667" s="112"/>
      <c r="BOA667" s="112"/>
      <c r="BOB667" s="112"/>
      <c r="BOC667" s="112"/>
      <c r="BOD667" s="112"/>
      <c r="BOE667" s="112"/>
      <c r="BOF667" s="112"/>
      <c r="BOG667" s="112"/>
      <c r="BOH667" s="112"/>
      <c r="BOI667" s="112"/>
      <c r="BOJ667" s="112"/>
      <c r="BOK667" s="112"/>
      <c r="BOL667" s="112"/>
      <c r="BOM667" s="112"/>
      <c r="BON667" s="112"/>
      <c r="BOO667" s="112"/>
      <c r="BOP667" s="112"/>
      <c r="BOQ667" s="112"/>
      <c r="BOR667" s="112"/>
      <c r="BOS667" s="112"/>
      <c r="BOT667" s="112"/>
      <c r="BOU667" s="112"/>
      <c r="BOV667" s="112"/>
      <c r="BOW667" s="112"/>
      <c r="BOX667" s="112"/>
      <c r="BOY667" s="112"/>
      <c r="BOZ667" s="112"/>
      <c r="BPA667" s="112"/>
      <c r="BPB667" s="112"/>
      <c r="BPC667" s="112"/>
      <c r="BPD667" s="112"/>
      <c r="BPE667" s="112"/>
      <c r="BPF667" s="112"/>
      <c r="BPG667" s="112"/>
      <c r="BPH667" s="112"/>
      <c r="BPI667" s="112"/>
      <c r="BPJ667" s="112"/>
      <c r="BPK667" s="112"/>
      <c r="BPL667" s="112"/>
      <c r="BPM667" s="112"/>
      <c r="BPN667" s="112"/>
      <c r="BPO667" s="112"/>
      <c r="BPP667" s="112"/>
      <c r="BPQ667" s="112"/>
      <c r="BPR667" s="112"/>
      <c r="BPS667" s="112"/>
      <c r="BPT667" s="112"/>
      <c r="BPU667" s="112"/>
      <c r="BPV667" s="112"/>
      <c r="BPW667" s="112"/>
      <c r="BPX667" s="112"/>
      <c r="BPY667" s="112"/>
      <c r="BPZ667" s="112"/>
      <c r="BQA667" s="112"/>
      <c r="BQB667" s="112"/>
      <c r="BQC667" s="112"/>
      <c r="BQD667" s="112"/>
      <c r="BQE667" s="112"/>
      <c r="BQF667" s="112"/>
      <c r="BQG667" s="112"/>
      <c r="BQH667" s="112"/>
      <c r="BQI667" s="112"/>
      <c r="BQJ667" s="112"/>
      <c r="BQK667" s="112"/>
      <c r="BQL667" s="112"/>
      <c r="BQM667" s="112"/>
      <c r="BQN667" s="112"/>
      <c r="BQO667" s="112"/>
      <c r="BQP667" s="112"/>
      <c r="BQQ667" s="112"/>
      <c r="BQR667" s="112"/>
      <c r="BQS667" s="112"/>
      <c r="BQT667" s="112"/>
      <c r="BQU667" s="112"/>
      <c r="BQV667" s="112"/>
      <c r="BQW667" s="112"/>
      <c r="BQX667" s="112"/>
      <c r="BQY667" s="112"/>
      <c r="BQZ667" s="112"/>
      <c r="BRA667" s="112"/>
      <c r="BRB667" s="112"/>
      <c r="BRC667" s="112"/>
      <c r="BRD667" s="112"/>
      <c r="BRE667" s="112"/>
      <c r="BRF667" s="112"/>
      <c r="BRG667" s="112"/>
      <c r="BRH667" s="112"/>
      <c r="BRI667" s="112"/>
      <c r="BRJ667" s="112"/>
      <c r="BRK667" s="112"/>
      <c r="BRL667" s="112"/>
      <c r="BRM667" s="112"/>
      <c r="BRN667" s="112"/>
      <c r="BRO667" s="112"/>
      <c r="BRP667" s="112"/>
      <c r="BRQ667" s="112"/>
      <c r="BRR667" s="112"/>
      <c r="BRS667" s="112"/>
      <c r="BRT667" s="112"/>
      <c r="BRU667" s="112"/>
      <c r="BRV667" s="112"/>
      <c r="BRW667" s="112"/>
      <c r="BRX667" s="112"/>
      <c r="BRY667" s="112"/>
      <c r="BRZ667" s="112"/>
      <c r="BSA667" s="112"/>
      <c r="BSB667" s="112"/>
      <c r="BSC667" s="112"/>
      <c r="BSD667" s="112"/>
      <c r="BSE667" s="112"/>
      <c r="BSF667" s="112"/>
      <c r="BSG667" s="112"/>
      <c r="BSH667" s="112"/>
      <c r="BSI667" s="112"/>
      <c r="BSJ667" s="112"/>
      <c r="BSK667" s="112"/>
      <c r="BSL667" s="112"/>
      <c r="BSM667" s="112"/>
      <c r="BSN667" s="112"/>
      <c r="BSO667" s="112"/>
      <c r="BSP667" s="112"/>
      <c r="BSQ667" s="112"/>
      <c r="BSR667" s="112"/>
      <c r="BSS667" s="112"/>
      <c r="BST667" s="112"/>
      <c r="BSU667" s="112"/>
      <c r="BSV667" s="112"/>
      <c r="BSW667" s="112"/>
      <c r="BSX667" s="112"/>
      <c r="BSY667" s="112"/>
      <c r="BSZ667" s="112"/>
      <c r="BTA667" s="112"/>
      <c r="BTB667" s="112"/>
      <c r="BTC667" s="112"/>
      <c r="BTD667" s="112"/>
      <c r="BTE667" s="112"/>
      <c r="BTF667" s="112"/>
      <c r="BTG667" s="112"/>
      <c r="BTH667" s="112"/>
      <c r="BTI667" s="112"/>
      <c r="BTJ667" s="112"/>
      <c r="BTK667" s="112"/>
      <c r="BTL667" s="112"/>
      <c r="BTM667" s="112"/>
      <c r="BTN667" s="112"/>
      <c r="BTO667" s="112"/>
      <c r="BTP667" s="112"/>
      <c r="BTQ667" s="112"/>
      <c r="BTR667" s="112"/>
      <c r="BTS667" s="112"/>
      <c r="BTT667" s="112"/>
      <c r="BTU667" s="112"/>
      <c r="BTV667" s="112"/>
      <c r="BTW667" s="112"/>
      <c r="BTX667" s="112"/>
      <c r="BTY667" s="112"/>
      <c r="BTZ667" s="112"/>
      <c r="BUA667" s="112"/>
      <c r="BUB667" s="112"/>
      <c r="BUC667" s="112"/>
      <c r="BUD667" s="112"/>
      <c r="BUE667" s="112"/>
      <c r="BUF667" s="112"/>
      <c r="BUG667" s="112"/>
      <c r="BUH667" s="112"/>
      <c r="BUI667" s="112"/>
      <c r="BUJ667" s="112"/>
      <c r="BUK667" s="112"/>
      <c r="BUL667" s="112"/>
      <c r="BUM667" s="112"/>
      <c r="BUN667" s="112"/>
      <c r="BUO667" s="112"/>
      <c r="BUP667" s="112"/>
      <c r="BUQ667" s="112"/>
      <c r="BUR667" s="112"/>
      <c r="BUS667" s="112"/>
      <c r="BUT667" s="112"/>
      <c r="BUU667" s="112"/>
      <c r="BUV667" s="112"/>
      <c r="BUW667" s="112"/>
      <c r="BUX667" s="112"/>
      <c r="BUY667" s="112"/>
      <c r="BUZ667" s="112"/>
      <c r="BVA667" s="112"/>
      <c r="BVB667" s="112"/>
      <c r="BVC667" s="112"/>
      <c r="BVD667" s="112"/>
      <c r="BVE667" s="112"/>
      <c r="BVF667" s="112"/>
      <c r="BVG667" s="112"/>
      <c r="BVH667" s="112"/>
      <c r="BVI667" s="112"/>
      <c r="BVJ667" s="112"/>
      <c r="BVK667" s="112"/>
      <c r="BVL667" s="112"/>
      <c r="BVM667" s="112"/>
      <c r="BVN667" s="112"/>
      <c r="BVO667" s="112"/>
      <c r="BVP667" s="112"/>
      <c r="BVQ667" s="112"/>
      <c r="BVR667" s="112"/>
      <c r="BVS667" s="112"/>
      <c r="BVT667" s="112"/>
      <c r="BVU667" s="112"/>
      <c r="BVV667" s="112"/>
      <c r="BVW667" s="112"/>
      <c r="BVX667" s="112"/>
      <c r="BVY667" s="112"/>
      <c r="BVZ667" s="112"/>
      <c r="BWA667" s="112"/>
      <c r="BWB667" s="112"/>
      <c r="BWC667" s="112"/>
      <c r="BWD667" s="112"/>
      <c r="BWE667" s="112"/>
      <c r="BWF667" s="112"/>
      <c r="BWG667" s="112"/>
      <c r="BWH667" s="112"/>
      <c r="BWI667" s="112"/>
      <c r="BWJ667" s="112"/>
      <c r="BWK667" s="112"/>
      <c r="BWL667" s="112"/>
      <c r="BWM667" s="112"/>
      <c r="BWN667" s="112"/>
      <c r="BWO667" s="112"/>
      <c r="BWP667" s="112"/>
      <c r="BWQ667" s="112"/>
      <c r="BWR667" s="112"/>
      <c r="BWS667" s="112"/>
      <c r="BWT667" s="112"/>
      <c r="BWU667" s="112"/>
      <c r="BWV667" s="112"/>
      <c r="BWW667" s="112"/>
      <c r="BWX667" s="112"/>
      <c r="BWY667" s="112"/>
      <c r="BWZ667" s="112"/>
      <c r="BXA667" s="112"/>
      <c r="BXB667" s="112"/>
      <c r="BXC667" s="112"/>
      <c r="BXD667" s="112"/>
      <c r="BXE667" s="112"/>
      <c r="BXF667" s="112"/>
      <c r="BXG667" s="112"/>
      <c r="BXH667" s="112"/>
      <c r="BXI667" s="112"/>
      <c r="BXJ667" s="112"/>
      <c r="BXK667" s="112"/>
      <c r="BXL667" s="112"/>
      <c r="BXM667" s="112"/>
      <c r="BXN667" s="112"/>
      <c r="BXO667" s="112"/>
      <c r="BXP667" s="112"/>
      <c r="BXQ667" s="112"/>
      <c r="BXR667" s="112"/>
      <c r="BXS667" s="112"/>
      <c r="BXT667" s="112"/>
      <c r="BXU667" s="112"/>
      <c r="BXV667" s="112"/>
      <c r="BXW667" s="112"/>
      <c r="BXX667" s="112"/>
      <c r="BXY667" s="112"/>
      <c r="BXZ667" s="112"/>
      <c r="BYA667" s="112"/>
      <c r="BYB667" s="112"/>
      <c r="BYC667" s="112"/>
      <c r="BYD667" s="112"/>
      <c r="BYE667" s="112"/>
      <c r="BYF667" s="112"/>
      <c r="BYG667" s="112"/>
      <c r="BYH667" s="112"/>
      <c r="BYI667" s="112"/>
      <c r="BYJ667" s="112"/>
      <c r="BYK667" s="112"/>
      <c r="BYL667" s="112"/>
      <c r="BYM667" s="112"/>
      <c r="BYN667" s="112"/>
      <c r="BYO667" s="112"/>
      <c r="BYP667" s="112"/>
      <c r="BYQ667" s="112"/>
      <c r="BYR667" s="112"/>
      <c r="BYS667" s="112"/>
      <c r="BYT667" s="112"/>
      <c r="BYU667" s="112"/>
      <c r="BYV667" s="112"/>
      <c r="BYW667" s="112"/>
      <c r="BYX667" s="112"/>
      <c r="BYY667" s="112"/>
      <c r="BYZ667" s="112"/>
      <c r="BZA667" s="112"/>
      <c r="BZB667" s="112"/>
      <c r="BZC667" s="112"/>
      <c r="BZD667" s="112"/>
      <c r="BZE667" s="112"/>
      <c r="BZF667" s="112"/>
      <c r="BZG667" s="112"/>
      <c r="BZH667" s="112"/>
      <c r="BZI667" s="112"/>
      <c r="BZJ667" s="112"/>
      <c r="BZK667" s="112"/>
      <c r="BZL667" s="112"/>
      <c r="BZM667" s="112"/>
      <c r="BZN667" s="112"/>
      <c r="BZO667" s="112"/>
      <c r="BZP667" s="112"/>
      <c r="BZQ667" s="112"/>
      <c r="BZR667" s="112"/>
      <c r="BZS667" s="112"/>
      <c r="BZT667" s="112"/>
      <c r="BZU667" s="112"/>
      <c r="BZV667" s="112"/>
      <c r="BZW667" s="112"/>
      <c r="BZX667" s="112"/>
      <c r="BZY667" s="112"/>
      <c r="BZZ667" s="112"/>
      <c r="CAA667" s="112"/>
      <c r="CAB667" s="112"/>
      <c r="CAC667" s="112"/>
      <c r="CAD667" s="112"/>
      <c r="CAE667" s="112"/>
      <c r="CAF667" s="112"/>
      <c r="CAG667" s="112"/>
      <c r="CAH667" s="112"/>
      <c r="CAI667" s="112"/>
      <c r="CAJ667" s="112"/>
      <c r="CAK667" s="112"/>
      <c r="CAL667" s="112"/>
      <c r="CAM667" s="112"/>
      <c r="CAN667" s="112"/>
      <c r="CAO667" s="112"/>
      <c r="CAP667" s="112"/>
      <c r="CAQ667" s="112"/>
      <c r="CAR667" s="112"/>
      <c r="CAS667" s="112"/>
      <c r="CAT667" s="112"/>
      <c r="CAU667" s="112"/>
      <c r="CAV667" s="112"/>
      <c r="CAW667" s="112"/>
      <c r="CAX667" s="112"/>
      <c r="CAY667" s="112"/>
      <c r="CAZ667" s="112"/>
      <c r="CBA667" s="112"/>
      <c r="CBB667" s="112"/>
      <c r="CBC667" s="112"/>
      <c r="CBD667" s="112"/>
      <c r="CBE667" s="112"/>
      <c r="CBF667" s="112"/>
      <c r="CBG667" s="112"/>
      <c r="CBH667" s="112"/>
      <c r="CBI667" s="112"/>
      <c r="CBJ667" s="112"/>
      <c r="CBK667" s="112"/>
      <c r="CBL667" s="112"/>
      <c r="CBM667" s="112"/>
      <c r="CBN667" s="112"/>
      <c r="CBO667" s="112"/>
      <c r="CBP667" s="112"/>
      <c r="CBQ667" s="112"/>
      <c r="CBR667" s="112"/>
      <c r="CBS667" s="112"/>
      <c r="CBT667" s="112"/>
      <c r="CBU667" s="112"/>
      <c r="CBV667" s="112"/>
      <c r="CBW667" s="112"/>
      <c r="CBX667" s="112"/>
      <c r="CBY667" s="112"/>
      <c r="CBZ667" s="112"/>
      <c r="CCA667" s="112"/>
      <c r="CCB667" s="112"/>
      <c r="CCC667" s="112"/>
      <c r="CCD667" s="112"/>
      <c r="CCE667" s="112"/>
      <c r="CCF667" s="112"/>
      <c r="CCG667" s="112"/>
      <c r="CCH667" s="112"/>
      <c r="CCI667" s="112"/>
      <c r="CCJ667" s="112"/>
      <c r="CCK667" s="112"/>
      <c r="CCL667" s="112"/>
      <c r="CCM667" s="112"/>
      <c r="CCN667" s="112"/>
      <c r="CCO667" s="112"/>
      <c r="CCP667" s="112"/>
      <c r="CCQ667" s="112"/>
      <c r="CCR667" s="112"/>
      <c r="CCS667" s="112"/>
      <c r="CCT667" s="112"/>
      <c r="CCU667" s="112"/>
      <c r="CCV667" s="112"/>
      <c r="CCW667" s="112"/>
      <c r="CCX667" s="112"/>
      <c r="CCY667" s="112"/>
      <c r="CCZ667" s="112"/>
      <c r="CDA667" s="112"/>
      <c r="CDB667" s="112"/>
      <c r="CDC667" s="112"/>
      <c r="CDD667" s="112"/>
      <c r="CDE667" s="112"/>
      <c r="CDF667" s="112"/>
      <c r="CDG667" s="112"/>
      <c r="CDH667" s="112"/>
      <c r="CDI667" s="112"/>
      <c r="CDJ667" s="112"/>
      <c r="CDK667" s="112"/>
      <c r="CDL667" s="112"/>
      <c r="CDM667" s="112"/>
      <c r="CDN667" s="112"/>
      <c r="CDO667" s="112"/>
      <c r="CDP667" s="112"/>
      <c r="CDQ667" s="112"/>
      <c r="CDR667" s="112"/>
      <c r="CDS667" s="112"/>
      <c r="CDT667" s="112"/>
      <c r="CDU667" s="112"/>
      <c r="CDV667" s="112"/>
      <c r="CDW667" s="112"/>
      <c r="CDX667" s="112"/>
      <c r="CDY667" s="112"/>
      <c r="CDZ667" s="112"/>
      <c r="CEA667" s="112"/>
      <c r="CEB667" s="112"/>
      <c r="CEC667" s="112"/>
      <c r="CED667" s="112"/>
      <c r="CEE667" s="112"/>
      <c r="CEF667" s="112"/>
      <c r="CEG667" s="112"/>
      <c r="CEH667" s="112"/>
      <c r="CEI667" s="112"/>
      <c r="CEJ667" s="112"/>
      <c r="CEK667" s="112"/>
      <c r="CEL667" s="112"/>
      <c r="CEM667" s="112"/>
      <c r="CEN667" s="112"/>
      <c r="CEO667" s="112"/>
      <c r="CEP667" s="112"/>
      <c r="CEQ667" s="112"/>
      <c r="CER667" s="112"/>
      <c r="CES667" s="112"/>
      <c r="CET667" s="112"/>
      <c r="CEU667" s="112"/>
      <c r="CEV667" s="112"/>
      <c r="CEW667" s="112"/>
      <c r="CEX667" s="112"/>
      <c r="CEY667" s="112"/>
      <c r="CEZ667" s="112"/>
      <c r="CFA667" s="112"/>
      <c r="CFB667" s="112"/>
      <c r="CFC667" s="112"/>
      <c r="CFD667" s="112"/>
      <c r="CFE667" s="112"/>
      <c r="CFF667" s="112"/>
      <c r="CFG667" s="112"/>
      <c r="CFH667" s="112"/>
      <c r="CFI667" s="112"/>
      <c r="CFJ667" s="112"/>
      <c r="CFK667" s="112"/>
      <c r="CFL667" s="112"/>
      <c r="CFM667" s="112"/>
      <c r="CFN667" s="112"/>
      <c r="CFO667" s="112"/>
      <c r="CFP667" s="112"/>
      <c r="CFQ667" s="112"/>
      <c r="CFR667" s="112"/>
      <c r="CFS667" s="112"/>
      <c r="CFT667" s="112"/>
      <c r="CFU667" s="112"/>
      <c r="CFV667" s="112"/>
      <c r="CFW667" s="112"/>
      <c r="CFX667" s="112"/>
      <c r="CFY667" s="112"/>
      <c r="CFZ667" s="112"/>
      <c r="CGA667" s="112"/>
      <c r="CGB667" s="112"/>
      <c r="CGC667" s="112"/>
      <c r="CGD667" s="112"/>
      <c r="CGE667" s="112"/>
      <c r="CGF667" s="112"/>
      <c r="CGG667" s="112"/>
      <c r="CGH667" s="112"/>
      <c r="CGI667" s="112"/>
      <c r="CGJ667" s="112"/>
      <c r="CGK667" s="112"/>
      <c r="CGL667" s="112"/>
      <c r="CGM667" s="112"/>
      <c r="CGN667" s="112"/>
      <c r="CGO667" s="112"/>
      <c r="CGP667" s="112"/>
      <c r="CGQ667" s="112"/>
      <c r="CGR667" s="112"/>
      <c r="CGS667" s="112"/>
      <c r="CGT667" s="112"/>
      <c r="CGU667" s="112"/>
      <c r="CGV667" s="112"/>
      <c r="CGW667" s="112"/>
      <c r="CGX667" s="112"/>
      <c r="CGY667" s="112"/>
      <c r="CGZ667" s="112"/>
      <c r="CHA667" s="112"/>
      <c r="CHB667" s="112"/>
      <c r="CHC667" s="112"/>
      <c r="CHD667" s="112"/>
      <c r="CHE667" s="112"/>
      <c r="CHF667" s="112"/>
      <c r="CHG667" s="112"/>
      <c r="CHH667" s="112"/>
      <c r="CHI667" s="112"/>
      <c r="CHJ667" s="112"/>
      <c r="CHK667" s="112"/>
      <c r="CHL667" s="112"/>
      <c r="CHM667" s="112"/>
      <c r="CHN667" s="112"/>
      <c r="CHO667" s="112"/>
      <c r="CHP667" s="112"/>
      <c r="CHQ667" s="112"/>
      <c r="CHR667" s="112"/>
      <c r="CHS667" s="112"/>
      <c r="CHT667" s="112"/>
      <c r="CHU667" s="112"/>
      <c r="CHV667" s="112"/>
      <c r="CHW667" s="112"/>
      <c r="CHX667" s="112"/>
      <c r="CHY667" s="112"/>
      <c r="CHZ667" s="112"/>
      <c r="CIA667" s="112"/>
      <c r="CIB667" s="112"/>
      <c r="CIC667" s="112"/>
      <c r="CID667" s="112"/>
      <c r="CIE667" s="112"/>
      <c r="CIF667" s="112"/>
      <c r="CIG667" s="112"/>
      <c r="CIH667" s="112"/>
      <c r="CII667" s="112"/>
      <c r="CIJ667" s="112"/>
      <c r="CIK667" s="112"/>
      <c r="CIL667" s="112"/>
      <c r="CIM667" s="112"/>
      <c r="CIN667" s="112"/>
      <c r="CIO667" s="112"/>
      <c r="CIP667" s="112"/>
      <c r="CIQ667" s="112"/>
      <c r="CIR667" s="112"/>
      <c r="CIS667" s="112"/>
      <c r="CIT667" s="112"/>
      <c r="CIU667" s="112"/>
      <c r="CIV667" s="112"/>
      <c r="CIW667" s="112"/>
      <c r="CIX667" s="112"/>
      <c r="CIY667" s="112"/>
      <c r="CIZ667" s="112"/>
      <c r="CJA667" s="112"/>
      <c r="CJB667" s="112"/>
      <c r="CJC667" s="112"/>
      <c r="CJD667" s="112"/>
      <c r="CJE667" s="112"/>
      <c r="CJF667" s="112"/>
      <c r="CJG667" s="112"/>
      <c r="CJH667" s="112"/>
      <c r="CJI667" s="112"/>
      <c r="CJJ667" s="112"/>
      <c r="CJK667" s="112"/>
      <c r="CJL667" s="112"/>
      <c r="CJM667" s="112"/>
      <c r="CJN667" s="112"/>
      <c r="CJO667" s="112"/>
      <c r="CJP667" s="112"/>
      <c r="CJQ667" s="112"/>
      <c r="CJR667" s="112"/>
      <c r="CJS667" s="112"/>
      <c r="CJT667" s="112"/>
      <c r="CJU667" s="112"/>
      <c r="CJV667" s="112"/>
      <c r="CJW667" s="112"/>
      <c r="CJX667" s="112"/>
      <c r="CJY667" s="112"/>
      <c r="CJZ667" s="112"/>
      <c r="CKA667" s="112"/>
      <c r="CKB667" s="112"/>
      <c r="CKC667" s="112"/>
      <c r="CKD667" s="112"/>
      <c r="CKE667" s="112"/>
      <c r="CKF667" s="112"/>
      <c r="CKG667" s="112"/>
      <c r="CKH667" s="112"/>
      <c r="CKI667" s="112"/>
      <c r="CKJ667" s="112"/>
      <c r="CKK667" s="112"/>
      <c r="CKL667" s="112"/>
      <c r="CKM667" s="112"/>
      <c r="CKN667" s="112"/>
      <c r="CKO667" s="112"/>
      <c r="CKP667" s="112"/>
      <c r="CKQ667" s="112"/>
      <c r="CKR667" s="112"/>
      <c r="CKS667" s="112"/>
      <c r="CKT667" s="112"/>
      <c r="CKU667" s="112"/>
      <c r="CKV667" s="112"/>
      <c r="CKW667" s="112"/>
      <c r="CKX667" s="112"/>
      <c r="CKY667" s="112"/>
      <c r="CKZ667" s="112"/>
      <c r="CLA667" s="112"/>
      <c r="CLB667" s="112"/>
      <c r="CLC667" s="112"/>
      <c r="CLD667" s="112"/>
      <c r="CLE667" s="112"/>
      <c r="CLF667" s="112"/>
      <c r="CLG667" s="112"/>
      <c r="CLH667" s="112"/>
      <c r="CLI667" s="112"/>
      <c r="CLJ667" s="112"/>
      <c r="CLK667" s="112"/>
      <c r="CLL667" s="112"/>
      <c r="CLM667" s="112"/>
      <c r="CLN667" s="112"/>
      <c r="CLO667" s="112"/>
      <c r="CLP667" s="112"/>
      <c r="CLQ667" s="112"/>
      <c r="CLR667" s="112"/>
      <c r="CLS667" s="112"/>
      <c r="CLT667" s="112"/>
      <c r="CLU667" s="112"/>
      <c r="CLV667" s="112"/>
      <c r="CLW667" s="112"/>
      <c r="CLX667" s="112"/>
      <c r="CLY667" s="112"/>
      <c r="CLZ667" s="112"/>
      <c r="CMA667" s="112"/>
      <c r="CMB667" s="112"/>
      <c r="CMC667" s="112"/>
      <c r="CMD667" s="112"/>
      <c r="CME667" s="112"/>
      <c r="CMF667" s="112"/>
      <c r="CMG667" s="112"/>
      <c r="CMH667" s="112"/>
      <c r="CMI667" s="112"/>
      <c r="CMJ667" s="112"/>
      <c r="CMK667" s="112"/>
      <c r="CML667" s="112"/>
      <c r="CMM667" s="112"/>
      <c r="CMN667" s="112"/>
      <c r="CMO667" s="112"/>
      <c r="CMP667" s="112"/>
      <c r="CMQ667" s="112"/>
      <c r="CMR667" s="112"/>
      <c r="CMS667" s="112"/>
      <c r="CMT667" s="112"/>
      <c r="CMU667" s="112"/>
      <c r="CMV667" s="112"/>
      <c r="CMW667" s="112"/>
      <c r="CMX667" s="112"/>
      <c r="CMY667" s="112"/>
      <c r="CMZ667" s="112"/>
      <c r="CNA667" s="112"/>
      <c r="CNB667" s="112"/>
      <c r="CNC667" s="112"/>
      <c r="CND667" s="112"/>
      <c r="CNE667" s="112"/>
      <c r="CNF667" s="112"/>
      <c r="CNG667" s="112"/>
      <c r="CNH667" s="112"/>
      <c r="CNI667" s="112"/>
      <c r="CNJ667" s="112"/>
      <c r="CNK667" s="112"/>
      <c r="CNL667" s="112"/>
      <c r="CNM667" s="112"/>
      <c r="CNN667" s="112"/>
      <c r="CNO667" s="112"/>
      <c r="CNP667" s="112"/>
      <c r="CNQ667" s="112"/>
      <c r="CNR667" s="112"/>
      <c r="CNS667" s="112"/>
      <c r="CNT667" s="112"/>
      <c r="CNU667" s="112"/>
      <c r="CNV667" s="112"/>
      <c r="CNW667" s="112"/>
      <c r="CNX667" s="112"/>
      <c r="CNY667" s="112"/>
      <c r="CNZ667" s="112"/>
      <c r="COA667" s="112"/>
      <c r="COB667" s="112"/>
      <c r="COC667" s="112"/>
      <c r="COD667" s="112"/>
      <c r="COE667" s="112"/>
      <c r="COF667" s="112"/>
      <c r="COG667" s="112"/>
      <c r="COH667" s="112"/>
      <c r="COI667" s="112"/>
      <c r="COJ667" s="112"/>
      <c r="COK667" s="112"/>
      <c r="COL667" s="112"/>
      <c r="COM667" s="112"/>
      <c r="CON667" s="112"/>
      <c r="COO667" s="112"/>
      <c r="COP667" s="112"/>
      <c r="COQ667" s="112"/>
      <c r="COR667" s="112"/>
      <c r="COS667" s="112"/>
      <c r="COT667" s="112"/>
      <c r="COU667" s="112"/>
      <c r="COV667" s="112"/>
      <c r="COW667" s="112"/>
      <c r="COX667" s="112"/>
      <c r="COY667" s="112"/>
      <c r="COZ667" s="112"/>
      <c r="CPA667" s="112"/>
      <c r="CPB667" s="112"/>
      <c r="CPC667" s="112"/>
      <c r="CPD667" s="112"/>
      <c r="CPE667" s="112"/>
      <c r="CPF667" s="112"/>
      <c r="CPG667" s="112"/>
      <c r="CPH667" s="112"/>
      <c r="CPI667" s="112"/>
      <c r="CPJ667" s="112"/>
      <c r="CPK667" s="112"/>
      <c r="CPL667" s="112"/>
      <c r="CPM667" s="112"/>
      <c r="CPN667" s="112"/>
      <c r="CPO667" s="112"/>
      <c r="CPP667" s="112"/>
      <c r="CPQ667" s="112"/>
      <c r="CPR667" s="112"/>
      <c r="CPS667" s="112"/>
      <c r="CPT667" s="112"/>
      <c r="CPU667" s="112"/>
      <c r="CPV667" s="112"/>
      <c r="CPW667" s="112"/>
      <c r="CPX667" s="112"/>
      <c r="CPY667" s="112"/>
      <c r="CPZ667" s="112"/>
      <c r="CQA667" s="112"/>
      <c r="CQB667" s="112"/>
      <c r="CQC667" s="112"/>
      <c r="CQD667" s="112"/>
      <c r="CQE667" s="112"/>
      <c r="CQF667" s="112"/>
      <c r="CQG667" s="112"/>
      <c r="CQH667" s="112"/>
      <c r="CQI667" s="112"/>
      <c r="CQJ667" s="112"/>
      <c r="CQK667" s="112"/>
      <c r="CQL667" s="112"/>
      <c r="CQM667" s="112"/>
      <c r="CQN667" s="112"/>
      <c r="CQO667" s="112"/>
      <c r="CQP667" s="112"/>
      <c r="CQQ667" s="112"/>
      <c r="CQR667" s="112"/>
      <c r="CQS667" s="112"/>
      <c r="CQT667" s="112"/>
      <c r="CQU667" s="112"/>
      <c r="CQV667" s="112"/>
      <c r="CQW667" s="112"/>
      <c r="CQX667" s="112"/>
      <c r="CQY667" s="112"/>
      <c r="CQZ667" s="112"/>
      <c r="CRA667" s="112"/>
      <c r="CRB667" s="112"/>
      <c r="CRC667" s="112"/>
      <c r="CRD667" s="112"/>
      <c r="CRE667" s="112"/>
      <c r="CRF667" s="112"/>
      <c r="CRG667" s="112"/>
      <c r="CRH667" s="112"/>
      <c r="CRI667" s="112"/>
      <c r="CRJ667" s="112"/>
      <c r="CRK667" s="112"/>
      <c r="CRL667" s="112"/>
      <c r="CRM667" s="112"/>
      <c r="CRN667" s="112"/>
      <c r="CRO667" s="112"/>
      <c r="CRP667" s="112"/>
      <c r="CRQ667" s="112"/>
      <c r="CRR667" s="112"/>
      <c r="CRS667" s="112"/>
      <c r="CRT667" s="112"/>
      <c r="CRU667" s="112"/>
      <c r="CRV667" s="112"/>
      <c r="CRW667" s="112"/>
      <c r="CRX667" s="112"/>
      <c r="CRY667" s="112"/>
      <c r="CRZ667" s="112"/>
      <c r="CSA667" s="112"/>
      <c r="CSB667" s="112"/>
      <c r="CSC667" s="112"/>
      <c r="CSD667" s="112"/>
      <c r="CSE667" s="112"/>
      <c r="CSF667" s="112"/>
      <c r="CSG667" s="112"/>
      <c r="CSH667" s="112"/>
      <c r="CSI667" s="112"/>
      <c r="CSJ667" s="112"/>
      <c r="CSK667" s="112"/>
      <c r="CSL667" s="112"/>
      <c r="CSM667" s="112"/>
      <c r="CSN667" s="112"/>
      <c r="CSO667" s="112"/>
      <c r="CSP667" s="112"/>
      <c r="CSQ667" s="112"/>
      <c r="CSR667" s="112"/>
      <c r="CSS667" s="112"/>
      <c r="CST667" s="112"/>
      <c r="CSU667" s="112"/>
      <c r="CSV667" s="112"/>
      <c r="CSW667" s="112"/>
      <c r="CSX667" s="112"/>
      <c r="CSY667" s="112"/>
      <c r="CSZ667" s="112"/>
      <c r="CTA667" s="112"/>
      <c r="CTB667" s="112"/>
      <c r="CTC667" s="112"/>
      <c r="CTD667" s="112"/>
      <c r="CTE667" s="112"/>
      <c r="CTF667" s="112"/>
      <c r="CTG667" s="112"/>
      <c r="CTH667" s="112"/>
      <c r="CTI667" s="112"/>
      <c r="CTJ667" s="112"/>
      <c r="CTK667" s="112"/>
      <c r="CTL667" s="112"/>
      <c r="CTM667" s="112"/>
      <c r="CTN667" s="112"/>
      <c r="CTO667" s="112"/>
      <c r="CTP667" s="112"/>
      <c r="CTQ667" s="112"/>
      <c r="CTR667" s="112"/>
      <c r="CTS667" s="112"/>
      <c r="CTT667" s="112"/>
      <c r="CTU667" s="112"/>
      <c r="CTV667" s="112"/>
      <c r="CTW667" s="112"/>
      <c r="CTX667" s="112"/>
      <c r="CTY667" s="112"/>
      <c r="CTZ667" s="112"/>
      <c r="CUA667" s="112"/>
      <c r="CUB667" s="112"/>
      <c r="CUC667" s="112"/>
      <c r="CUD667" s="112"/>
      <c r="CUE667" s="112"/>
      <c r="CUF667" s="112"/>
      <c r="CUG667" s="112"/>
      <c r="CUH667" s="112"/>
      <c r="CUI667" s="112"/>
      <c r="CUJ667" s="112"/>
      <c r="CUK667" s="112"/>
      <c r="CUL667" s="112"/>
      <c r="CUM667" s="112"/>
      <c r="CUN667" s="112"/>
      <c r="CUO667" s="112"/>
      <c r="CUP667" s="112"/>
      <c r="CUQ667" s="112"/>
      <c r="CUR667" s="112"/>
      <c r="CUS667" s="112"/>
      <c r="CUT667" s="112"/>
      <c r="CUU667" s="112"/>
      <c r="CUV667" s="112"/>
      <c r="CUW667" s="112"/>
      <c r="CUX667" s="112"/>
      <c r="CUY667" s="112"/>
      <c r="CUZ667" s="112"/>
      <c r="CVA667" s="112"/>
      <c r="CVB667" s="112"/>
      <c r="CVC667" s="112"/>
      <c r="CVD667" s="112"/>
      <c r="CVE667" s="112"/>
      <c r="CVF667" s="112"/>
      <c r="CVG667" s="112"/>
      <c r="CVH667" s="112"/>
      <c r="CVI667" s="112"/>
      <c r="CVJ667" s="112"/>
      <c r="CVK667" s="112"/>
      <c r="CVL667" s="112"/>
      <c r="CVM667" s="112"/>
      <c r="CVN667" s="112"/>
      <c r="CVO667" s="112"/>
      <c r="CVP667" s="112"/>
      <c r="CVQ667" s="112"/>
      <c r="CVR667" s="112"/>
      <c r="CVS667" s="112"/>
      <c r="CVT667" s="112"/>
      <c r="CVU667" s="112"/>
      <c r="CVV667" s="112"/>
      <c r="CVW667" s="112"/>
      <c r="CVX667" s="112"/>
      <c r="CVY667" s="112"/>
      <c r="CVZ667" s="112"/>
      <c r="CWA667" s="112"/>
      <c r="CWB667" s="112"/>
      <c r="CWC667" s="112"/>
      <c r="CWD667" s="112"/>
      <c r="CWE667" s="112"/>
      <c r="CWF667" s="112"/>
      <c r="CWG667" s="112"/>
      <c r="CWH667" s="112"/>
      <c r="CWI667" s="112"/>
      <c r="CWJ667" s="112"/>
      <c r="CWK667" s="112"/>
      <c r="CWL667" s="112"/>
      <c r="CWM667" s="112"/>
      <c r="CWN667" s="112"/>
      <c r="CWO667" s="112"/>
      <c r="CWP667" s="112"/>
      <c r="CWQ667" s="112"/>
      <c r="CWR667" s="112"/>
      <c r="CWS667" s="112"/>
      <c r="CWT667" s="112"/>
      <c r="CWU667" s="112"/>
      <c r="CWV667" s="112"/>
      <c r="CWW667" s="112"/>
      <c r="CWX667" s="112"/>
      <c r="CWY667" s="112"/>
      <c r="CWZ667" s="112"/>
      <c r="CXA667" s="112"/>
      <c r="CXB667" s="112"/>
      <c r="CXC667" s="112"/>
      <c r="CXD667" s="112"/>
      <c r="CXE667" s="112"/>
      <c r="CXF667" s="112"/>
      <c r="CXG667" s="112"/>
      <c r="CXH667" s="112"/>
      <c r="CXI667" s="112"/>
      <c r="CXJ667" s="112"/>
      <c r="CXK667" s="112"/>
      <c r="CXL667" s="112"/>
      <c r="CXM667" s="112"/>
      <c r="CXN667" s="112"/>
      <c r="CXO667" s="112"/>
      <c r="CXP667" s="112"/>
      <c r="CXQ667" s="112"/>
      <c r="CXR667" s="112"/>
      <c r="CXS667" s="112"/>
      <c r="CXT667" s="112"/>
      <c r="CXU667" s="112"/>
      <c r="CXV667" s="112"/>
      <c r="CXW667" s="112"/>
      <c r="CXX667" s="112"/>
      <c r="CXY667" s="112"/>
      <c r="CXZ667" s="112"/>
      <c r="CYA667" s="112"/>
      <c r="CYB667" s="112"/>
      <c r="CYC667" s="112"/>
      <c r="CYD667" s="112"/>
      <c r="CYE667" s="112"/>
      <c r="CYF667" s="112"/>
      <c r="CYG667" s="112"/>
      <c r="CYH667" s="112"/>
      <c r="CYI667" s="112"/>
      <c r="CYJ667" s="112"/>
      <c r="CYK667" s="112"/>
      <c r="CYL667" s="112"/>
      <c r="CYM667" s="112"/>
      <c r="CYN667" s="112"/>
      <c r="CYO667" s="112"/>
      <c r="CYP667" s="112"/>
      <c r="CYQ667" s="112"/>
      <c r="CYR667" s="112"/>
      <c r="CYS667" s="112"/>
      <c r="CYT667" s="112"/>
      <c r="CYU667" s="112"/>
      <c r="CYV667" s="112"/>
      <c r="CYW667" s="112"/>
      <c r="CYX667" s="112"/>
      <c r="CYY667" s="112"/>
      <c r="CYZ667" s="112"/>
      <c r="CZA667" s="112"/>
      <c r="CZB667" s="112"/>
      <c r="CZC667" s="112"/>
      <c r="CZD667" s="112"/>
      <c r="CZE667" s="112"/>
      <c r="CZF667" s="112"/>
      <c r="CZG667" s="112"/>
      <c r="CZH667" s="112"/>
      <c r="CZI667" s="112"/>
      <c r="CZJ667" s="112"/>
      <c r="CZK667" s="112"/>
      <c r="CZL667" s="112"/>
      <c r="CZM667" s="112"/>
      <c r="CZN667" s="112"/>
      <c r="CZO667" s="112"/>
      <c r="CZP667" s="112"/>
      <c r="CZQ667" s="112"/>
      <c r="CZR667" s="112"/>
      <c r="CZS667" s="112"/>
      <c r="CZT667" s="112"/>
      <c r="CZU667" s="112"/>
      <c r="CZV667" s="112"/>
      <c r="CZW667" s="112"/>
      <c r="CZX667" s="112"/>
      <c r="CZY667" s="112"/>
      <c r="CZZ667" s="112"/>
      <c r="DAA667" s="112"/>
      <c r="DAB667" s="112"/>
      <c r="DAC667" s="112"/>
      <c r="DAD667" s="112"/>
      <c r="DAE667" s="112"/>
      <c r="DAF667" s="112"/>
      <c r="DAG667" s="112"/>
      <c r="DAH667" s="112"/>
      <c r="DAI667" s="112"/>
      <c r="DAJ667" s="112"/>
      <c r="DAK667" s="112"/>
      <c r="DAL667" s="112"/>
      <c r="DAM667" s="112"/>
      <c r="DAN667" s="112"/>
      <c r="DAO667" s="112"/>
      <c r="DAP667" s="112"/>
      <c r="DAQ667" s="112"/>
      <c r="DAR667" s="112"/>
      <c r="DAS667" s="112"/>
      <c r="DAT667" s="112"/>
      <c r="DAU667" s="112"/>
      <c r="DAV667" s="112"/>
      <c r="DAW667" s="112"/>
      <c r="DAX667" s="112"/>
      <c r="DAY667" s="112"/>
      <c r="DAZ667" s="112"/>
      <c r="DBA667" s="112"/>
      <c r="DBB667" s="112"/>
      <c r="DBC667" s="112"/>
      <c r="DBD667" s="112"/>
      <c r="DBE667" s="112"/>
      <c r="DBF667" s="112"/>
      <c r="DBG667" s="112"/>
      <c r="DBH667" s="112"/>
      <c r="DBI667" s="112"/>
      <c r="DBJ667" s="112"/>
      <c r="DBK667" s="112"/>
      <c r="DBL667" s="112"/>
      <c r="DBM667" s="112"/>
      <c r="DBN667" s="112"/>
      <c r="DBO667" s="112"/>
      <c r="DBP667" s="112"/>
      <c r="DBQ667" s="112"/>
      <c r="DBR667" s="112"/>
      <c r="DBS667" s="112"/>
      <c r="DBT667" s="112"/>
      <c r="DBU667" s="112"/>
      <c r="DBV667" s="112"/>
      <c r="DBW667" s="112"/>
      <c r="DBX667" s="112"/>
      <c r="DBY667" s="112"/>
      <c r="DBZ667" s="112"/>
      <c r="DCA667" s="112"/>
      <c r="DCB667" s="112"/>
      <c r="DCC667" s="112"/>
      <c r="DCD667" s="112"/>
      <c r="DCE667" s="112"/>
      <c r="DCF667" s="112"/>
      <c r="DCG667" s="112"/>
      <c r="DCH667" s="112"/>
      <c r="DCI667" s="112"/>
      <c r="DCJ667" s="112"/>
      <c r="DCK667" s="112"/>
      <c r="DCL667" s="112"/>
      <c r="DCM667" s="112"/>
      <c r="DCN667" s="112"/>
      <c r="DCO667" s="112"/>
      <c r="DCP667" s="112"/>
      <c r="DCQ667" s="112"/>
      <c r="DCR667" s="112"/>
      <c r="DCS667" s="112"/>
      <c r="DCT667" s="112"/>
      <c r="DCU667" s="112"/>
      <c r="DCV667" s="112"/>
      <c r="DCW667" s="112"/>
      <c r="DCX667" s="112"/>
      <c r="DCY667" s="112"/>
      <c r="DCZ667" s="112"/>
      <c r="DDA667" s="112"/>
      <c r="DDB667" s="112"/>
      <c r="DDC667" s="112"/>
      <c r="DDD667" s="112"/>
      <c r="DDE667" s="112"/>
      <c r="DDF667" s="112"/>
      <c r="DDG667" s="112"/>
      <c r="DDH667" s="112"/>
      <c r="DDI667" s="112"/>
      <c r="DDJ667" s="112"/>
      <c r="DDK667" s="112"/>
      <c r="DDL667" s="112"/>
      <c r="DDM667" s="112"/>
      <c r="DDN667" s="112"/>
      <c r="DDO667" s="112"/>
      <c r="DDP667" s="112"/>
      <c r="DDQ667" s="112"/>
      <c r="DDR667" s="112"/>
      <c r="DDS667" s="112"/>
      <c r="DDT667" s="112"/>
      <c r="DDU667" s="112"/>
      <c r="DDV667" s="112"/>
      <c r="DDW667" s="112"/>
      <c r="DDX667" s="112"/>
      <c r="DDY667" s="112"/>
      <c r="DDZ667" s="112"/>
      <c r="DEA667" s="112"/>
      <c r="DEB667" s="112"/>
      <c r="DEC667" s="112"/>
      <c r="DED667" s="112"/>
      <c r="DEE667" s="112"/>
      <c r="DEF667" s="112"/>
      <c r="DEG667" s="112"/>
      <c r="DEH667" s="112"/>
      <c r="DEI667" s="112"/>
      <c r="DEJ667" s="112"/>
      <c r="DEK667" s="112"/>
      <c r="DEL667" s="112"/>
      <c r="DEM667" s="112"/>
      <c r="DEN667" s="112"/>
      <c r="DEO667" s="112"/>
      <c r="DEP667" s="112"/>
      <c r="DEQ667" s="112"/>
      <c r="DER667" s="112"/>
      <c r="DES667" s="112"/>
      <c r="DET667" s="112"/>
      <c r="DEU667" s="112"/>
      <c r="DEV667" s="112"/>
      <c r="DEW667" s="112"/>
      <c r="DEX667" s="112"/>
      <c r="DEY667" s="112"/>
      <c r="DEZ667" s="112"/>
      <c r="DFA667" s="112"/>
      <c r="DFB667" s="112"/>
      <c r="DFC667" s="112"/>
      <c r="DFD667" s="112"/>
      <c r="DFE667" s="112"/>
      <c r="DFF667" s="112"/>
      <c r="DFG667" s="112"/>
      <c r="DFH667" s="112"/>
      <c r="DFI667" s="112"/>
      <c r="DFJ667" s="112"/>
      <c r="DFK667" s="112"/>
      <c r="DFL667" s="112"/>
      <c r="DFM667" s="112"/>
      <c r="DFN667" s="112"/>
      <c r="DFO667" s="112"/>
      <c r="DFP667" s="112"/>
      <c r="DFQ667" s="112"/>
      <c r="DFR667" s="112"/>
      <c r="DFS667" s="112"/>
      <c r="DFT667" s="112"/>
      <c r="DFU667" s="112"/>
      <c r="DFV667" s="112"/>
      <c r="DFW667" s="112"/>
      <c r="DFX667" s="112"/>
      <c r="DFY667" s="112"/>
      <c r="DFZ667" s="112"/>
      <c r="DGA667" s="112"/>
      <c r="DGB667" s="112"/>
      <c r="DGC667" s="112"/>
      <c r="DGD667" s="112"/>
      <c r="DGE667" s="112"/>
      <c r="DGF667" s="112"/>
      <c r="DGG667" s="112"/>
      <c r="DGH667" s="112"/>
      <c r="DGI667" s="112"/>
      <c r="DGJ667" s="112"/>
      <c r="DGK667" s="112"/>
      <c r="DGL667" s="112"/>
      <c r="DGM667" s="112"/>
      <c r="DGN667" s="112"/>
      <c r="DGO667" s="112"/>
      <c r="DGP667" s="112"/>
      <c r="DGQ667" s="112"/>
      <c r="DGR667" s="112"/>
      <c r="DGS667" s="112"/>
      <c r="DGT667" s="112"/>
      <c r="DGU667" s="112"/>
      <c r="DGV667" s="112"/>
      <c r="DGW667" s="112"/>
      <c r="DGX667" s="112"/>
      <c r="DGY667" s="112"/>
      <c r="DGZ667" s="112"/>
      <c r="DHA667" s="112"/>
      <c r="DHB667" s="112"/>
      <c r="DHC667" s="112"/>
      <c r="DHD667" s="112"/>
      <c r="DHE667" s="112"/>
      <c r="DHF667" s="112"/>
      <c r="DHG667" s="112"/>
      <c r="DHH667" s="112"/>
      <c r="DHI667" s="112"/>
      <c r="DHJ667" s="112"/>
      <c r="DHK667" s="112"/>
      <c r="DHL667" s="112"/>
      <c r="DHM667" s="112"/>
      <c r="DHN667" s="112"/>
      <c r="DHO667" s="112"/>
      <c r="DHP667" s="112"/>
      <c r="DHQ667" s="112"/>
      <c r="DHR667" s="112"/>
      <c r="DHS667" s="112"/>
      <c r="DHT667" s="112"/>
      <c r="DHU667" s="112"/>
      <c r="DHV667" s="112"/>
      <c r="DHW667" s="112"/>
      <c r="DHX667" s="112"/>
      <c r="DHY667" s="112"/>
      <c r="DHZ667" s="112"/>
      <c r="DIA667" s="112"/>
      <c r="DIB667" s="112"/>
      <c r="DIC667" s="112"/>
      <c r="DID667" s="112"/>
      <c r="DIE667" s="112"/>
      <c r="DIF667" s="112"/>
      <c r="DIG667" s="112"/>
      <c r="DIH667" s="112"/>
      <c r="DII667" s="112"/>
      <c r="DIJ667" s="112"/>
      <c r="DIK667" s="112"/>
      <c r="DIL667" s="112"/>
      <c r="DIM667" s="112"/>
      <c r="DIN667" s="112"/>
      <c r="DIO667" s="112"/>
      <c r="DIP667" s="112"/>
      <c r="DIQ667" s="112"/>
      <c r="DIR667" s="112"/>
      <c r="DIS667" s="112"/>
      <c r="DIT667" s="112"/>
      <c r="DIU667" s="112"/>
      <c r="DIV667" s="112"/>
      <c r="DIW667" s="112"/>
      <c r="DIX667" s="112"/>
      <c r="DIY667" s="112"/>
      <c r="DIZ667" s="112"/>
      <c r="DJA667" s="112"/>
      <c r="DJB667" s="112"/>
      <c r="DJC667" s="112"/>
      <c r="DJD667" s="112"/>
      <c r="DJE667" s="112"/>
      <c r="DJF667" s="112"/>
      <c r="DJG667" s="112"/>
      <c r="DJH667" s="112"/>
      <c r="DJI667" s="112"/>
      <c r="DJJ667" s="112"/>
      <c r="DJK667" s="112"/>
      <c r="DJL667" s="112"/>
      <c r="DJM667" s="112"/>
      <c r="DJN667" s="112"/>
      <c r="DJO667" s="112"/>
      <c r="DJP667" s="112"/>
      <c r="DJQ667" s="112"/>
      <c r="DJR667" s="112"/>
      <c r="DJS667" s="112"/>
      <c r="DJT667" s="112"/>
      <c r="DJU667" s="112"/>
      <c r="DJV667" s="112"/>
      <c r="DJW667" s="112"/>
      <c r="DJX667" s="112"/>
      <c r="DJY667" s="112"/>
      <c r="DJZ667" s="112"/>
      <c r="DKA667" s="112"/>
      <c r="DKB667" s="112"/>
      <c r="DKC667" s="112"/>
      <c r="DKD667" s="112"/>
      <c r="DKE667" s="112"/>
      <c r="DKF667" s="112"/>
      <c r="DKG667" s="112"/>
      <c r="DKH667" s="112"/>
      <c r="DKI667" s="112"/>
      <c r="DKJ667" s="112"/>
      <c r="DKK667" s="112"/>
      <c r="DKL667" s="112"/>
      <c r="DKM667" s="112"/>
      <c r="DKN667" s="112"/>
      <c r="DKO667" s="112"/>
      <c r="DKP667" s="112"/>
      <c r="DKQ667" s="112"/>
      <c r="DKR667" s="112"/>
      <c r="DKS667" s="112"/>
      <c r="DKT667" s="112"/>
      <c r="DKU667" s="112"/>
      <c r="DKV667" s="112"/>
      <c r="DKW667" s="112"/>
      <c r="DKX667" s="112"/>
      <c r="DKY667" s="112"/>
      <c r="DKZ667" s="112"/>
      <c r="DLA667" s="112"/>
      <c r="DLB667" s="112"/>
      <c r="DLC667" s="112"/>
      <c r="DLD667" s="112"/>
      <c r="DLE667" s="112"/>
      <c r="DLF667" s="112"/>
      <c r="DLG667" s="112"/>
      <c r="DLH667" s="112"/>
      <c r="DLI667" s="112"/>
      <c r="DLJ667" s="112"/>
      <c r="DLK667" s="112"/>
      <c r="DLL667" s="112"/>
      <c r="DLM667" s="112"/>
      <c r="DLN667" s="112"/>
      <c r="DLO667" s="112"/>
      <c r="DLP667" s="112"/>
      <c r="DLQ667" s="112"/>
      <c r="DLR667" s="112"/>
      <c r="DLS667" s="112"/>
      <c r="DLT667" s="112"/>
      <c r="DLU667" s="112"/>
      <c r="DLV667" s="112"/>
      <c r="DLW667" s="112"/>
      <c r="DLX667" s="112"/>
      <c r="DLY667" s="112"/>
      <c r="DLZ667" s="112"/>
      <c r="DMA667" s="112"/>
      <c r="DMB667" s="112"/>
      <c r="DMC667" s="112"/>
      <c r="DMD667" s="112"/>
      <c r="DME667" s="112"/>
      <c r="DMF667" s="112"/>
      <c r="DMG667" s="112"/>
      <c r="DMH667" s="112"/>
      <c r="DMI667" s="112"/>
      <c r="DMJ667" s="112"/>
      <c r="DMK667" s="112"/>
      <c r="DML667" s="112"/>
      <c r="DMM667" s="112"/>
      <c r="DMN667" s="112"/>
      <c r="DMO667" s="112"/>
      <c r="DMP667" s="112"/>
      <c r="DMQ667" s="112"/>
      <c r="DMR667" s="112"/>
      <c r="DMS667" s="112"/>
      <c r="DMT667" s="112"/>
      <c r="DMU667" s="112"/>
      <c r="DMV667" s="112"/>
      <c r="DMW667" s="112"/>
      <c r="DMX667" s="112"/>
      <c r="DMY667" s="112"/>
      <c r="DMZ667" s="112"/>
      <c r="DNA667" s="112"/>
      <c r="DNB667" s="112"/>
      <c r="DNC667" s="112"/>
      <c r="DND667" s="112"/>
      <c r="DNE667" s="112"/>
      <c r="DNF667" s="112"/>
      <c r="DNG667" s="112"/>
      <c r="DNH667" s="112"/>
      <c r="DNI667" s="112"/>
      <c r="DNJ667" s="112"/>
      <c r="DNK667" s="112"/>
      <c r="DNL667" s="112"/>
      <c r="DNM667" s="112"/>
      <c r="DNN667" s="112"/>
      <c r="DNO667" s="112"/>
      <c r="DNP667" s="112"/>
      <c r="DNQ667" s="112"/>
      <c r="DNR667" s="112"/>
      <c r="DNS667" s="112"/>
      <c r="DNT667" s="112"/>
      <c r="DNU667" s="112"/>
      <c r="DNV667" s="112"/>
      <c r="DNW667" s="112"/>
      <c r="DNX667" s="112"/>
      <c r="DNY667" s="112"/>
      <c r="DNZ667" s="112"/>
      <c r="DOA667" s="112"/>
      <c r="DOB667" s="112"/>
      <c r="DOC667" s="112"/>
      <c r="DOD667" s="112"/>
      <c r="DOE667" s="112"/>
      <c r="DOF667" s="112"/>
      <c r="DOG667" s="112"/>
      <c r="DOH667" s="112"/>
      <c r="DOI667" s="112"/>
      <c r="DOJ667" s="112"/>
      <c r="DOK667" s="112"/>
      <c r="DOL667" s="112"/>
      <c r="DOM667" s="112"/>
      <c r="DON667" s="112"/>
      <c r="DOO667" s="112"/>
      <c r="DOP667" s="112"/>
      <c r="DOQ667" s="112"/>
      <c r="DOR667" s="112"/>
      <c r="DOS667" s="112"/>
      <c r="DOT667" s="112"/>
      <c r="DOU667" s="112"/>
      <c r="DOV667" s="112"/>
      <c r="DOW667" s="112"/>
      <c r="DOX667" s="112"/>
      <c r="DOY667" s="112"/>
      <c r="DOZ667" s="112"/>
      <c r="DPA667" s="112"/>
      <c r="DPB667" s="112"/>
      <c r="DPC667" s="112"/>
      <c r="DPD667" s="112"/>
      <c r="DPE667" s="112"/>
      <c r="DPF667" s="112"/>
      <c r="DPG667" s="112"/>
      <c r="DPH667" s="112"/>
      <c r="DPI667" s="112"/>
      <c r="DPJ667" s="112"/>
      <c r="DPK667" s="112"/>
      <c r="DPL667" s="112"/>
      <c r="DPM667" s="112"/>
      <c r="DPN667" s="112"/>
      <c r="DPO667" s="112"/>
      <c r="DPP667" s="112"/>
      <c r="DPQ667" s="112"/>
      <c r="DPR667" s="112"/>
      <c r="DPS667" s="112"/>
      <c r="DPT667" s="112"/>
      <c r="DPU667" s="112"/>
      <c r="DPV667" s="112"/>
      <c r="DPW667" s="112"/>
      <c r="DPX667" s="112"/>
      <c r="DPY667" s="112"/>
      <c r="DPZ667" s="112"/>
      <c r="DQA667" s="112"/>
      <c r="DQB667" s="112"/>
      <c r="DQC667" s="112"/>
      <c r="DQD667" s="112"/>
      <c r="DQE667" s="112"/>
      <c r="DQF667" s="112"/>
      <c r="DQG667" s="112"/>
      <c r="DQH667" s="112"/>
      <c r="DQI667" s="112"/>
      <c r="DQJ667" s="112"/>
      <c r="DQK667" s="112"/>
      <c r="DQL667" s="112"/>
      <c r="DQM667" s="112"/>
      <c r="DQN667" s="112"/>
      <c r="DQO667" s="112"/>
      <c r="DQP667" s="112"/>
      <c r="DQQ667" s="112"/>
      <c r="DQR667" s="112"/>
      <c r="DQS667" s="112"/>
      <c r="DQT667" s="112"/>
      <c r="DQU667" s="112"/>
      <c r="DQV667" s="112"/>
      <c r="DQW667" s="112"/>
      <c r="DQX667" s="112"/>
      <c r="DQY667" s="112"/>
      <c r="DQZ667" s="112"/>
      <c r="DRA667" s="112"/>
      <c r="DRB667" s="112"/>
      <c r="DRC667" s="112"/>
      <c r="DRD667" s="112"/>
      <c r="DRE667" s="112"/>
      <c r="DRF667" s="112"/>
      <c r="DRG667" s="112"/>
      <c r="DRH667" s="112"/>
      <c r="DRI667" s="112"/>
      <c r="DRJ667" s="112"/>
      <c r="DRK667" s="112"/>
      <c r="DRL667" s="112"/>
      <c r="DRM667" s="112"/>
      <c r="DRN667" s="112"/>
      <c r="DRO667" s="112"/>
      <c r="DRP667" s="112"/>
      <c r="DRQ667" s="112"/>
      <c r="DRR667" s="112"/>
      <c r="DRS667" s="112"/>
      <c r="DRT667" s="112"/>
      <c r="DRU667" s="112"/>
      <c r="DRV667" s="112"/>
      <c r="DRW667" s="112"/>
      <c r="DRX667" s="112"/>
      <c r="DRY667" s="112"/>
      <c r="DRZ667" s="112"/>
      <c r="DSA667" s="112"/>
      <c r="DSB667" s="112"/>
      <c r="DSC667" s="112"/>
      <c r="DSD667" s="112"/>
      <c r="DSE667" s="112"/>
      <c r="DSF667" s="112"/>
      <c r="DSG667" s="112"/>
      <c r="DSH667" s="112"/>
      <c r="DSI667" s="112"/>
      <c r="DSJ667" s="112"/>
      <c r="DSK667" s="112"/>
      <c r="DSL667" s="112"/>
      <c r="DSM667" s="112"/>
      <c r="DSN667" s="112"/>
      <c r="DSO667" s="112"/>
      <c r="DSP667" s="112"/>
      <c r="DSQ667" s="112"/>
      <c r="DSR667" s="112"/>
      <c r="DSS667" s="112"/>
      <c r="DST667" s="112"/>
      <c r="DSU667" s="112"/>
      <c r="DSV667" s="112"/>
      <c r="DSW667" s="112"/>
      <c r="DSX667" s="112"/>
      <c r="DSY667" s="112"/>
      <c r="DSZ667" s="112"/>
      <c r="DTA667" s="112"/>
      <c r="DTB667" s="112"/>
      <c r="DTC667" s="112"/>
      <c r="DTD667" s="112"/>
      <c r="DTE667" s="112"/>
      <c r="DTF667" s="112"/>
      <c r="DTG667" s="112"/>
      <c r="DTH667" s="112"/>
      <c r="DTI667" s="112"/>
      <c r="DTJ667" s="112"/>
      <c r="DTK667" s="112"/>
      <c r="DTL667" s="112"/>
      <c r="DTM667" s="112"/>
      <c r="DTN667" s="112"/>
      <c r="DTO667" s="112"/>
      <c r="DTP667" s="112"/>
      <c r="DTQ667" s="112"/>
      <c r="DTR667" s="112"/>
      <c r="DTS667" s="112"/>
      <c r="DTT667" s="112"/>
      <c r="DTU667" s="112"/>
      <c r="DTV667" s="112"/>
      <c r="DTW667" s="112"/>
      <c r="DTX667" s="112"/>
      <c r="DTY667" s="112"/>
      <c r="DTZ667" s="112"/>
      <c r="DUA667" s="112"/>
      <c r="DUB667" s="112"/>
      <c r="DUC667" s="112"/>
      <c r="DUD667" s="112"/>
      <c r="DUE667" s="112"/>
      <c r="DUF667" s="112"/>
      <c r="DUG667" s="112"/>
      <c r="DUH667" s="112"/>
      <c r="DUI667" s="112"/>
      <c r="DUJ667" s="112"/>
      <c r="DUK667" s="112"/>
      <c r="DUL667" s="112"/>
      <c r="DUM667" s="112"/>
      <c r="DUN667" s="112"/>
      <c r="DUO667" s="112"/>
      <c r="DUP667" s="112"/>
      <c r="DUQ667" s="112"/>
      <c r="DUR667" s="112"/>
      <c r="DUS667" s="112"/>
      <c r="DUT667" s="112"/>
      <c r="DUU667" s="112"/>
      <c r="DUV667" s="112"/>
      <c r="DUW667" s="112"/>
      <c r="DUX667" s="112"/>
      <c r="DUY667" s="112"/>
      <c r="DUZ667" s="112"/>
      <c r="DVA667" s="112"/>
      <c r="DVB667" s="112"/>
      <c r="DVC667" s="112"/>
      <c r="DVD667" s="112"/>
      <c r="DVE667" s="112"/>
      <c r="DVF667" s="112"/>
      <c r="DVG667" s="112"/>
      <c r="DVH667" s="112"/>
      <c r="DVI667" s="112"/>
      <c r="DVJ667" s="112"/>
      <c r="DVK667" s="112"/>
      <c r="DVL667" s="112"/>
      <c r="DVM667" s="112"/>
      <c r="DVN667" s="112"/>
      <c r="DVO667" s="112"/>
      <c r="DVP667" s="112"/>
      <c r="DVQ667" s="112"/>
      <c r="DVR667" s="112"/>
      <c r="DVS667" s="112"/>
      <c r="DVT667" s="112"/>
      <c r="DVU667" s="112"/>
      <c r="DVV667" s="112"/>
      <c r="DVW667" s="112"/>
      <c r="DVX667" s="112"/>
      <c r="DVY667" s="112"/>
      <c r="DVZ667" s="112"/>
      <c r="DWA667" s="112"/>
      <c r="DWB667" s="112"/>
      <c r="DWC667" s="112"/>
      <c r="DWD667" s="112"/>
      <c r="DWE667" s="112"/>
      <c r="DWF667" s="112"/>
      <c r="DWG667" s="112"/>
      <c r="DWH667" s="112"/>
      <c r="DWI667" s="112"/>
      <c r="DWJ667" s="112"/>
      <c r="DWK667" s="112"/>
      <c r="DWL667" s="112"/>
      <c r="DWM667" s="112"/>
      <c r="DWN667" s="112"/>
      <c r="DWO667" s="112"/>
      <c r="DWP667" s="112"/>
      <c r="DWQ667" s="112"/>
      <c r="DWR667" s="112"/>
      <c r="DWS667" s="112"/>
      <c r="DWT667" s="112"/>
      <c r="DWU667" s="112"/>
      <c r="DWV667" s="112"/>
      <c r="DWW667" s="112"/>
      <c r="DWX667" s="112"/>
      <c r="DWY667" s="112"/>
      <c r="DWZ667" s="112"/>
      <c r="DXA667" s="112"/>
      <c r="DXB667" s="112"/>
      <c r="DXC667" s="112"/>
      <c r="DXD667" s="112"/>
      <c r="DXE667" s="112"/>
      <c r="DXF667" s="112"/>
      <c r="DXG667" s="112"/>
      <c r="DXH667" s="112"/>
      <c r="DXI667" s="112"/>
      <c r="DXJ667" s="112"/>
      <c r="DXK667" s="112"/>
      <c r="DXL667" s="112"/>
      <c r="DXM667" s="112"/>
      <c r="DXN667" s="112"/>
      <c r="DXO667" s="112"/>
      <c r="DXP667" s="112"/>
      <c r="DXQ667" s="112"/>
      <c r="DXR667" s="112"/>
      <c r="DXS667" s="112"/>
      <c r="DXT667" s="112"/>
      <c r="DXU667" s="112"/>
      <c r="DXV667" s="112"/>
      <c r="DXW667" s="112"/>
      <c r="DXX667" s="112"/>
      <c r="DXY667" s="112"/>
      <c r="DXZ667" s="112"/>
      <c r="DYA667" s="112"/>
      <c r="DYB667" s="112"/>
      <c r="DYC667" s="112"/>
      <c r="DYD667" s="112"/>
      <c r="DYE667" s="112"/>
      <c r="DYF667" s="112"/>
      <c r="DYG667" s="112"/>
      <c r="DYH667" s="112"/>
      <c r="DYI667" s="112"/>
      <c r="DYJ667" s="112"/>
      <c r="DYK667" s="112"/>
      <c r="DYL667" s="112"/>
      <c r="DYM667" s="112"/>
      <c r="DYN667" s="112"/>
      <c r="DYO667" s="112"/>
      <c r="DYP667" s="112"/>
      <c r="DYQ667" s="112"/>
      <c r="DYR667" s="112"/>
      <c r="DYS667" s="112"/>
      <c r="DYT667" s="112"/>
      <c r="DYU667" s="112"/>
      <c r="DYV667" s="112"/>
      <c r="DYW667" s="112"/>
      <c r="DYX667" s="112"/>
      <c r="DYY667" s="112"/>
      <c r="DYZ667" s="112"/>
      <c r="DZA667" s="112"/>
      <c r="DZB667" s="112"/>
      <c r="DZC667" s="112"/>
      <c r="DZD667" s="112"/>
      <c r="DZE667" s="112"/>
      <c r="DZF667" s="112"/>
      <c r="DZG667" s="112"/>
      <c r="DZH667" s="112"/>
      <c r="DZI667" s="112"/>
      <c r="DZJ667" s="112"/>
      <c r="DZK667" s="112"/>
      <c r="DZL667" s="112"/>
      <c r="DZM667" s="112"/>
      <c r="DZN667" s="112"/>
      <c r="DZO667" s="112"/>
      <c r="DZP667" s="112"/>
      <c r="DZQ667" s="112"/>
      <c r="DZR667" s="112"/>
      <c r="DZS667" s="112"/>
      <c r="DZT667" s="112"/>
      <c r="DZU667" s="112"/>
      <c r="DZV667" s="112"/>
      <c r="DZW667" s="112"/>
      <c r="DZX667" s="112"/>
      <c r="DZY667" s="112"/>
      <c r="DZZ667" s="112"/>
      <c r="EAA667" s="112"/>
      <c r="EAB667" s="112"/>
      <c r="EAC667" s="112"/>
      <c r="EAD667" s="112"/>
      <c r="EAE667" s="112"/>
      <c r="EAF667" s="112"/>
      <c r="EAG667" s="112"/>
      <c r="EAH667" s="112"/>
      <c r="EAI667" s="112"/>
      <c r="EAJ667" s="112"/>
      <c r="EAK667" s="112"/>
      <c r="EAL667" s="112"/>
      <c r="EAM667" s="112"/>
      <c r="EAN667" s="112"/>
      <c r="EAO667" s="112"/>
      <c r="EAP667" s="112"/>
      <c r="EAQ667" s="112"/>
      <c r="EAR667" s="112"/>
      <c r="EAS667" s="112"/>
      <c r="EAT667" s="112"/>
      <c r="EAU667" s="112"/>
      <c r="EAV667" s="112"/>
      <c r="EAW667" s="112"/>
      <c r="EAX667" s="112"/>
      <c r="EAY667" s="112"/>
      <c r="EAZ667" s="112"/>
      <c r="EBA667" s="112"/>
      <c r="EBB667" s="112"/>
      <c r="EBC667" s="112"/>
      <c r="EBD667" s="112"/>
      <c r="EBE667" s="112"/>
      <c r="EBF667" s="112"/>
      <c r="EBG667" s="112"/>
      <c r="EBH667" s="112"/>
      <c r="EBI667" s="112"/>
      <c r="EBJ667" s="112"/>
      <c r="EBK667" s="112"/>
      <c r="EBL667" s="112"/>
      <c r="EBM667" s="112"/>
      <c r="EBN667" s="112"/>
      <c r="EBO667" s="112"/>
      <c r="EBP667" s="112"/>
      <c r="EBQ667" s="112"/>
      <c r="EBR667" s="112"/>
      <c r="EBS667" s="112"/>
      <c r="EBT667" s="112"/>
      <c r="EBU667" s="112"/>
      <c r="EBV667" s="112"/>
      <c r="EBW667" s="112"/>
      <c r="EBX667" s="112"/>
      <c r="EBY667" s="112"/>
      <c r="EBZ667" s="112"/>
      <c r="ECA667" s="112"/>
      <c r="ECB667" s="112"/>
      <c r="ECC667" s="112"/>
      <c r="ECD667" s="112"/>
      <c r="ECE667" s="112"/>
      <c r="ECF667" s="112"/>
      <c r="ECG667" s="112"/>
      <c r="ECH667" s="112"/>
      <c r="ECI667" s="112"/>
      <c r="ECJ667" s="112"/>
      <c r="ECK667" s="112"/>
      <c r="ECL667" s="112"/>
      <c r="ECM667" s="112"/>
      <c r="ECN667" s="112"/>
      <c r="ECO667" s="112"/>
      <c r="ECP667" s="112"/>
      <c r="ECQ667" s="112"/>
      <c r="ECR667" s="112"/>
      <c r="ECS667" s="112"/>
      <c r="ECT667" s="112"/>
      <c r="ECU667" s="112"/>
      <c r="ECV667" s="112"/>
      <c r="ECW667" s="112"/>
      <c r="ECX667" s="112"/>
      <c r="ECY667" s="112"/>
      <c r="ECZ667" s="112"/>
      <c r="EDA667" s="112"/>
      <c r="EDB667" s="112"/>
      <c r="EDC667" s="112"/>
      <c r="EDD667" s="112"/>
      <c r="EDE667" s="112"/>
      <c r="EDF667" s="112"/>
      <c r="EDG667" s="112"/>
      <c r="EDH667" s="112"/>
      <c r="EDI667" s="112"/>
      <c r="EDJ667" s="112"/>
      <c r="EDK667" s="112"/>
      <c r="EDL667" s="112"/>
      <c r="EDM667" s="112"/>
      <c r="EDN667" s="112"/>
      <c r="EDO667" s="112"/>
      <c r="EDP667" s="112"/>
      <c r="EDQ667" s="112"/>
      <c r="EDR667" s="112"/>
      <c r="EDS667" s="112"/>
      <c r="EDT667" s="112"/>
      <c r="EDU667" s="112"/>
      <c r="EDV667" s="112"/>
      <c r="EDW667" s="112"/>
      <c r="EDX667" s="112"/>
      <c r="EDY667" s="112"/>
      <c r="EDZ667" s="112"/>
      <c r="EEA667" s="112"/>
      <c r="EEB667" s="112"/>
      <c r="EEC667" s="112"/>
      <c r="EED667" s="112"/>
      <c r="EEE667" s="112"/>
      <c r="EEF667" s="112"/>
      <c r="EEG667" s="112"/>
      <c r="EEH667" s="112"/>
      <c r="EEI667" s="112"/>
      <c r="EEJ667" s="112"/>
      <c r="EEK667" s="112"/>
      <c r="EEL667" s="112"/>
      <c r="EEM667" s="112"/>
      <c r="EEN667" s="112"/>
      <c r="EEO667" s="112"/>
      <c r="EEP667" s="112"/>
      <c r="EEQ667" s="112"/>
      <c r="EER667" s="112"/>
      <c r="EES667" s="112"/>
      <c r="EET667" s="112"/>
      <c r="EEU667" s="112"/>
      <c r="EEV667" s="112"/>
      <c r="EEW667" s="112"/>
      <c r="EEX667" s="112"/>
      <c r="EEY667" s="112"/>
      <c r="EEZ667" s="112"/>
      <c r="EFA667" s="112"/>
      <c r="EFB667" s="112"/>
      <c r="EFC667" s="112"/>
      <c r="EFD667" s="112"/>
      <c r="EFE667" s="112"/>
      <c r="EFF667" s="112"/>
      <c r="EFG667" s="112"/>
      <c r="EFH667" s="112"/>
      <c r="EFI667" s="112"/>
      <c r="EFJ667" s="112"/>
      <c r="EFK667" s="112"/>
      <c r="EFL667" s="112"/>
      <c r="EFM667" s="112"/>
      <c r="EFN667" s="112"/>
      <c r="EFO667" s="112"/>
      <c r="EFP667" s="112"/>
      <c r="EFQ667" s="112"/>
      <c r="EFR667" s="112"/>
      <c r="EFS667" s="112"/>
      <c r="EFT667" s="112"/>
      <c r="EFU667" s="112"/>
      <c r="EFV667" s="112"/>
      <c r="EFW667" s="112"/>
      <c r="EFX667" s="112"/>
      <c r="EFY667" s="112"/>
      <c r="EFZ667" s="112"/>
      <c r="EGA667" s="112"/>
      <c r="EGB667" s="112"/>
      <c r="EGC667" s="112"/>
      <c r="EGD667" s="112"/>
      <c r="EGE667" s="112"/>
      <c r="EGF667" s="112"/>
      <c r="EGG667" s="112"/>
      <c r="EGH667" s="112"/>
      <c r="EGI667" s="112"/>
      <c r="EGJ667" s="112"/>
      <c r="EGK667" s="112"/>
      <c r="EGL667" s="112"/>
      <c r="EGM667" s="112"/>
      <c r="EGN667" s="112"/>
      <c r="EGO667" s="112"/>
      <c r="EGP667" s="112"/>
      <c r="EGQ667" s="112"/>
      <c r="EGR667" s="112"/>
      <c r="EGS667" s="112"/>
      <c r="EGT667" s="112"/>
      <c r="EGU667" s="112"/>
      <c r="EGV667" s="112"/>
      <c r="EGW667" s="112"/>
      <c r="EGX667" s="112"/>
      <c r="EGY667" s="112"/>
      <c r="EGZ667" s="112"/>
      <c r="EHA667" s="112"/>
      <c r="EHB667" s="112"/>
      <c r="EHC667" s="112"/>
      <c r="EHD667" s="112"/>
      <c r="EHE667" s="112"/>
      <c r="EHF667" s="112"/>
      <c r="EHG667" s="112"/>
      <c r="EHH667" s="112"/>
      <c r="EHI667" s="112"/>
      <c r="EHJ667" s="112"/>
      <c r="EHK667" s="112"/>
      <c r="EHL667" s="112"/>
      <c r="EHM667" s="112"/>
      <c r="EHN667" s="112"/>
      <c r="EHO667" s="112"/>
      <c r="EHP667" s="112"/>
      <c r="EHQ667" s="112"/>
      <c r="EHR667" s="112"/>
      <c r="EHS667" s="112"/>
      <c r="EHT667" s="112"/>
      <c r="EHU667" s="112"/>
      <c r="EHV667" s="112"/>
      <c r="EHW667" s="112"/>
      <c r="EHX667" s="112"/>
      <c r="EHY667" s="112"/>
      <c r="EHZ667" s="112"/>
      <c r="EIA667" s="112"/>
      <c r="EIB667" s="112"/>
      <c r="EIC667" s="112"/>
      <c r="EID667" s="112"/>
      <c r="EIE667" s="112"/>
      <c r="EIF667" s="112"/>
      <c r="EIG667" s="112"/>
      <c r="EIH667" s="112"/>
      <c r="EII667" s="112"/>
      <c r="EIJ667" s="112"/>
      <c r="EIK667" s="112"/>
      <c r="EIL667" s="112"/>
      <c r="EIM667" s="112"/>
      <c r="EIN667" s="112"/>
      <c r="EIO667" s="112"/>
      <c r="EIP667" s="112"/>
      <c r="EIQ667" s="112"/>
      <c r="EIR667" s="112"/>
      <c r="EIS667" s="112"/>
      <c r="EIT667" s="112"/>
      <c r="EIU667" s="112"/>
      <c r="EIV667" s="112"/>
      <c r="EIW667" s="112"/>
      <c r="EIX667" s="112"/>
      <c r="EIY667" s="112"/>
      <c r="EIZ667" s="112"/>
      <c r="EJA667" s="112"/>
      <c r="EJB667" s="112"/>
      <c r="EJC667" s="112"/>
      <c r="EJD667" s="112"/>
      <c r="EJE667" s="112"/>
      <c r="EJF667" s="112"/>
      <c r="EJG667" s="112"/>
      <c r="EJH667" s="112"/>
      <c r="EJI667" s="112"/>
      <c r="EJJ667" s="112"/>
      <c r="EJK667" s="112"/>
      <c r="EJL667" s="112"/>
      <c r="EJM667" s="112"/>
      <c r="EJN667" s="112"/>
      <c r="EJO667" s="112"/>
      <c r="EJP667" s="112"/>
      <c r="EJQ667" s="112"/>
      <c r="EJR667" s="112"/>
      <c r="EJS667" s="112"/>
      <c r="EJT667" s="112"/>
      <c r="EJU667" s="112"/>
      <c r="EJV667" s="112"/>
      <c r="EJW667" s="112"/>
      <c r="EJX667" s="112"/>
      <c r="EJY667" s="112"/>
      <c r="EJZ667" s="112"/>
      <c r="EKA667" s="112"/>
      <c r="EKB667" s="112"/>
      <c r="EKC667" s="112"/>
      <c r="EKD667" s="112"/>
      <c r="EKE667" s="112"/>
      <c r="EKF667" s="112"/>
      <c r="EKG667" s="112"/>
      <c r="EKH667" s="112"/>
      <c r="EKI667" s="112"/>
      <c r="EKJ667" s="112"/>
      <c r="EKK667" s="112"/>
      <c r="EKL667" s="112"/>
      <c r="EKM667" s="112"/>
      <c r="EKN667" s="112"/>
      <c r="EKO667" s="112"/>
      <c r="EKP667" s="112"/>
      <c r="EKQ667" s="112"/>
      <c r="EKR667" s="112"/>
      <c r="EKS667" s="112"/>
      <c r="EKT667" s="112"/>
      <c r="EKU667" s="112"/>
      <c r="EKV667" s="112"/>
      <c r="EKW667" s="112"/>
      <c r="EKX667" s="112"/>
      <c r="EKY667" s="112"/>
      <c r="EKZ667" s="112"/>
      <c r="ELA667" s="112"/>
      <c r="ELB667" s="112"/>
      <c r="ELC667" s="112"/>
      <c r="ELD667" s="112"/>
      <c r="ELE667" s="112"/>
      <c r="ELF667" s="112"/>
      <c r="ELG667" s="112"/>
      <c r="ELH667" s="112"/>
      <c r="ELI667" s="112"/>
      <c r="ELJ667" s="112"/>
      <c r="ELK667" s="112"/>
      <c r="ELL667" s="112"/>
      <c r="ELM667" s="112"/>
      <c r="ELN667" s="112"/>
      <c r="ELO667" s="112"/>
      <c r="ELP667" s="112"/>
      <c r="ELQ667" s="112"/>
      <c r="ELR667" s="112"/>
      <c r="ELS667" s="112"/>
      <c r="ELT667" s="112"/>
      <c r="ELU667" s="112"/>
      <c r="ELV667" s="112"/>
      <c r="ELW667" s="112"/>
      <c r="ELX667" s="112"/>
      <c r="ELY667" s="112"/>
      <c r="ELZ667" s="112"/>
      <c r="EMA667" s="112"/>
      <c r="EMB667" s="112"/>
      <c r="EMC667" s="112"/>
      <c r="EMD667" s="112"/>
      <c r="EME667" s="112"/>
      <c r="EMF667" s="112"/>
      <c r="EMG667" s="112"/>
      <c r="EMH667" s="112"/>
      <c r="EMI667" s="112"/>
      <c r="EMJ667" s="112"/>
      <c r="EMK667" s="112"/>
      <c r="EML667" s="112"/>
      <c r="EMM667" s="112"/>
      <c r="EMN667" s="112"/>
      <c r="EMO667" s="112"/>
      <c r="EMP667" s="112"/>
      <c r="EMQ667" s="112"/>
      <c r="EMR667" s="112"/>
      <c r="EMS667" s="112"/>
      <c r="EMT667" s="112"/>
      <c r="EMU667" s="112"/>
      <c r="EMV667" s="112"/>
      <c r="EMW667" s="112"/>
      <c r="EMX667" s="112"/>
      <c r="EMY667" s="112"/>
      <c r="EMZ667" s="112"/>
      <c r="ENA667" s="112"/>
      <c r="ENB667" s="112"/>
      <c r="ENC667" s="112"/>
      <c r="END667" s="112"/>
      <c r="ENE667" s="112"/>
      <c r="ENF667" s="112"/>
      <c r="ENG667" s="112"/>
      <c r="ENH667" s="112"/>
      <c r="ENI667" s="112"/>
      <c r="ENJ667" s="112"/>
      <c r="ENK667" s="112"/>
      <c r="ENL667" s="112"/>
      <c r="ENM667" s="112"/>
      <c r="ENN667" s="112"/>
      <c r="ENO667" s="112"/>
      <c r="ENP667" s="112"/>
      <c r="ENQ667" s="112"/>
      <c r="ENR667" s="112"/>
      <c r="ENS667" s="112"/>
      <c r="ENT667" s="112"/>
      <c r="ENU667" s="112"/>
      <c r="ENV667" s="112"/>
      <c r="ENW667" s="112"/>
      <c r="ENX667" s="112"/>
      <c r="ENY667" s="112"/>
      <c r="ENZ667" s="112"/>
      <c r="EOA667" s="112"/>
      <c r="EOB667" s="112"/>
      <c r="EOC667" s="112"/>
      <c r="EOD667" s="112"/>
      <c r="EOE667" s="112"/>
      <c r="EOF667" s="112"/>
      <c r="EOG667" s="112"/>
      <c r="EOH667" s="112"/>
      <c r="EOI667" s="112"/>
      <c r="EOJ667" s="112"/>
      <c r="EOK667" s="112"/>
      <c r="EOL667" s="112"/>
      <c r="EOM667" s="112"/>
      <c r="EON667" s="112"/>
      <c r="EOO667" s="112"/>
      <c r="EOP667" s="112"/>
      <c r="EOQ667" s="112"/>
      <c r="EOR667" s="112"/>
      <c r="EOS667" s="112"/>
      <c r="EOT667" s="112"/>
      <c r="EOU667" s="112"/>
      <c r="EOV667" s="112"/>
      <c r="EOW667" s="112"/>
      <c r="EOX667" s="112"/>
      <c r="EOY667" s="112"/>
      <c r="EOZ667" s="112"/>
      <c r="EPA667" s="112"/>
      <c r="EPB667" s="112"/>
      <c r="EPC667" s="112"/>
      <c r="EPD667" s="112"/>
      <c r="EPE667" s="112"/>
      <c r="EPF667" s="112"/>
      <c r="EPG667" s="112"/>
      <c r="EPH667" s="112"/>
      <c r="EPI667" s="112"/>
      <c r="EPJ667" s="112"/>
      <c r="EPK667" s="112"/>
      <c r="EPL667" s="112"/>
      <c r="EPM667" s="112"/>
      <c r="EPN667" s="112"/>
      <c r="EPO667" s="112"/>
      <c r="EPP667" s="112"/>
      <c r="EPQ667" s="112"/>
      <c r="EPR667" s="112"/>
      <c r="EPS667" s="112"/>
      <c r="EPT667" s="112"/>
      <c r="EPU667" s="112"/>
      <c r="EPV667" s="112"/>
      <c r="EPW667" s="112"/>
      <c r="EPX667" s="112"/>
      <c r="EPY667" s="112"/>
      <c r="EPZ667" s="112"/>
      <c r="EQA667" s="112"/>
      <c r="EQB667" s="112"/>
      <c r="EQC667" s="112"/>
      <c r="EQD667" s="112"/>
      <c r="EQE667" s="112"/>
      <c r="EQF667" s="112"/>
      <c r="EQG667" s="112"/>
      <c r="EQH667" s="112"/>
      <c r="EQI667" s="112"/>
      <c r="EQJ667" s="112"/>
      <c r="EQK667" s="112"/>
      <c r="EQL667" s="112"/>
      <c r="EQM667" s="112"/>
      <c r="EQN667" s="112"/>
      <c r="EQO667" s="112"/>
      <c r="EQP667" s="112"/>
      <c r="EQQ667" s="112"/>
      <c r="EQR667" s="112"/>
      <c r="EQS667" s="112"/>
      <c r="EQT667" s="112"/>
      <c r="EQU667" s="112"/>
      <c r="EQV667" s="112"/>
      <c r="EQW667" s="112"/>
      <c r="EQX667" s="112"/>
      <c r="EQY667" s="112"/>
      <c r="EQZ667" s="112"/>
      <c r="ERA667" s="112"/>
      <c r="ERB667" s="112"/>
      <c r="ERC667" s="112"/>
      <c r="ERD667" s="112"/>
      <c r="ERE667" s="112"/>
      <c r="ERF667" s="112"/>
      <c r="ERG667" s="112"/>
      <c r="ERH667" s="112"/>
      <c r="ERI667" s="112"/>
      <c r="ERJ667" s="112"/>
      <c r="ERK667" s="112"/>
      <c r="ERL667" s="112"/>
      <c r="ERM667" s="112"/>
      <c r="ERN667" s="112"/>
      <c r="ERO667" s="112"/>
      <c r="ERP667" s="112"/>
      <c r="ERQ667" s="112"/>
      <c r="ERR667" s="112"/>
      <c r="ERS667" s="112"/>
      <c r="ERT667" s="112"/>
      <c r="ERU667" s="112"/>
      <c r="ERV667" s="112"/>
      <c r="ERW667" s="112"/>
      <c r="ERX667" s="112"/>
      <c r="ERY667" s="112"/>
      <c r="ERZ667" s="112"/>
      <c r="ESA667" s="112"/>
      <c r="ESB667" s="112"/>
      <c r="ESC667" s="112"/>
      <c r="ESD667" s="112"/>
      <c r="ESE667" s="112"/>
      <c r="ESF667" s="112"/>
      <c r="ESG667" s="112"/>
      <c r="ESH667" s="112"/>
      <c r="ESI667" s="112"/>
      <c r="ESJ667" s="112"/>
      <c r="ESK667" s="112"/>
      <c r="ESL667" s="112"/>
      <c r="ESM667" s="112"/>
      <c r="ESN667" s="112"/>
      <c r="ESO667" s="112"/>
      <c r="ESP667" s="112"/>
      <c r="ESQ667" s="112"/>
      <c r="ESR667" s="112"/>
      <c r="ESS667" s="112"/>
      <c r="EST667" s="112"/>
      <c r="ESU667" s="112"/>
      <c r="ESV667" s="112"/>
      <c r="ESW667" s="112"/>
      <c r="ESX667" s="112"/>
      <c r="ESY667" s="112"/>
      <c r="ESZ667" s="112"/>
      <c r="ETA667" s="112"/>
      <c r="ETB667" s="112"/>
      <c r="ETC667" s="112"/>
      <c r="ETD667" s="112"/>
      <c r="ETE667" s="112"/>
      <c r="ETF667" s="112"/>
      <c r="ETG667" s="112"/>
      <c r="ETH667" s="112"/>
      <c r="ETI667" s="112"/>
      <c r="ETJ667" s="112"/>
      <c r="ETK667" s="112"/>
      <c r="ETL667" s="112"/>
      <c r="ETM667" s="112"/>
      <c r="ETN667" s="112"/>
      <c r="ETO667" s="112"/>
      <c r="ETP667" s="112"/>
      <c r="ETQ667" s="112"/>
      <c r="ETR667" s="112"/>
      <c r="ETS667" s="112"/>
      <c r="ETT667" s="112"/>
      <c r="ETU667" s="112"/>
      <c r="ETV667" s="112"/>
      <c r="ETW667" s="112"/>
      <c r="ETX667" s="112"/>
      <c r="ETY667" s="112"/>
      <c r="ETZ667" s="112"/>
      <c r="EUA667" s="112"/>
      <c r="EUB667" s="112"/>
      <c r="EUC667" s="112"/>
      <c r="EUD667" s="112"/>
      <c r="EUE667" s="112"/>
      <c r="EUF667" s="112"/>
      <c r="EUG667" s="112"/>
      <c r="EUH667" s="112"/>
      <c r="EUI667" s="112"/>
      <c r="EUJ667" s="112"/>
      <c r="EUK667" s="112"/>
      <c r="EUL667" s="112"/>
      <c r="EUM667" s="112"/>
      <c r="EUN667" s="112"/>
      <c r="EUO667" s="112"/>
      <c r="EUP667" s="112"/>
      <c r="EUQ667" s="112"/>
      <c r="EUR667" s="112"/>
      <c r="EUS667" s="112"/>
      <c r="EUT667" s="112"/>
      <c r="EUU667" s="112"/>
      <c r="EUV667" s="112"/>
      <c r="EUW667" s="112"/>
      <c r="EUX667" s="112"/>
      <c r="EUY667" s="112"/>
      <c r="EUZ667" s="112"/>
      <c r="EVA667" s="112"/>
      <c r="EVB667" s="112"/>
      <c r="EVC667" s="112"/>
      <c r="EVD667" s="112"/>
      <c r="EVE667" s="112"/>
      <c r="EVF667" s="112"/>
      <c r="EVG667" s="112"/>
      <c r="EVH667" s="112"/>
      <c r="EVI667" s="112"/>
      <c r="EVJ667" s="112"/>
      <c r="EVK667" s="112"/>
      <c r="EVL667" s="112"/>
      <c r="EVM667" s="112"/>
      <c r="EVN667" s="112"/>
      <c r="EVO667" s="112"/>
      <c r="EVP667" s="112"/>
      <c r="EVQ667" s="112"/>
      <c r="EVR667" s="112"/>
      <c r="EVS667" s="112"/>
      <c r="EVT667" s="112"/>
      <c r="EVU667" s="112"/>
      <c r="EVV667" s="112"/>
      <c r="EVW667" s="112"/>
      <c r="EVX667" s="112"/>
      <c r="EVY667" s="112"/>
      <c r="EVZ667" s="112"/>
      <c r="EWA667" s="112"/>
      <c r="EWB667" s="112"/>
      <c r="EWC667" s="112"/>
      <c r="EWD667" s="112"/>
      <c r="EWE667" s="112"/>
      <c r="EWF667" s="112"/>
      <c r="EWG667" s="112"/>
      <c r="EWH667" s="112"/>
      <c r="EWI667" s="112"/>
      <c r="EWJ667" s="112"/>
      <c r="EWK667" s="112"/>
      <c r="EWL667" s="112"/>
      <c r="EWM667" s="112"/>
      <c r="EWN667" s="112"/>
      <c r="EWO667" s="112"/>
      <c r="EWP667" s="112"/>
      <c r="EWQ667" s="112"/>
      <c r="EWR667" s="112"/>
      <c r="EWS667" s="112"/>
      <c r="EWT667" s="112"/>
      <c r="EWU667" s="112"/>
      <c r="EWV667" s="112"/>
      <c r="EWW667" s="112"/>
      <c r="EWX667" s="112"/>
      <c r="EWY667" s="112"/>
      <c r="EWZ667" s="112"/>
      <c r="EXA667" s="112"/>
      <c r="EXB667" s="112"/>
      <c r="EXC667" s="112"/>
      <c r="EXD667" s="112"/>
      <c r="EXE667" s="112"/>
      <c r="EXF667" s="112"/>
      <c r="EXG667" s="112"/>
      <c r="EXH667" s="112"/>
      <c r="EXI667" s="112"/>
      <c r="EXJ667" s="112"/>
      <c r="EXK667" s="112"/>
      <c r="EXL667" s="112"/>
      <c r="EXM667" s="112"/>
      <c r="EXN667" s="112"/>
      <c r="EXO667" s="112"/>
      <c r="EXP667" s="112"/>
      <c r="EXQ667" s="112"/>
      <c r="EXR667" s="112"/>
      <c r="EXS667" s="112"/>
      <c r="EXT667" s="112"/>
      <c r="EXU667" s="112"/>
      <c r="EXV667" s="112"/>
      <c r="EXW667" s="112"/>
      <c r="EXX667" s="112"/>
      <c r="EXY667" s="112"/>
      <c r="EXZ667" s="112"/>
      <c r="EYA667" s="112"/>
      <c r="EYB667" s="112"/>
      <c r="EYC667" s="112"/>
      <c r="EYD667" s="112"/>
      <c r="EYE667" s="112"/>
      <c r="EYF667" s="112"/>
      <c r="EYG667" s="112"/>
      <c r="EYH667" s="112"/>
      <c r="EYI667" s="112"/>
      <c r="EYJ667" s="112"/>
      <c r="EYK667" s="112"/>
      <c r="EYL667" s="112"/>
      <c r="EYM667" s="112"/>
      <c r="EYN667" s="112"/>
      <c r="EYO667" s="112"/>
      <c r="EYP667" s="112"/>
      <c r="EYQ667" s="112"/>
      <c r="EYR667" s="112"/>
      <c r="EYS667" s="112"/>
      <c r="EYT667" s="112"/>
      <c r="EYU667" s="112"/>
      <c r="EYV667" s="112"/>
      <c r="EYW667" s="112"/>
      <c r="EYX667" s="112"/>
      <c r="EYY667" s="112"/>
      <c r="EYZ667" s="112"/>
      <c r="EZA667" s="112"/>
      <c r="EZB667" s="112"/>
      <c r="EZC667" s="112"/>
      <c r="EZD667" s="112"/>
      <c r="EZE667" s="112"/>
      <c r="EZF667" s="112"/>
      <c r="EZG667" s="112"/>
      <c r="EZH667" s="112"/>
      <c r="EZI667" s="112"/>
      <c r="EZJ667" s="112"/>
      <c r="EZK667" s="112"/>
      <c r="EZL667" s="112"/>
      <c r="EZM667" s="112"/>
      <c r="EZN667" s="112"/>
      <c r="EZO667" s="112"/>
      <c r="EZP667" s="112"/>
      <c r="EZQ667" s="112"/>
      <c r="EZR667" s="112"/>
      <c r="EZS667" s="112"/>
      <c r="EZT667" s="112"/>
      <c r="EZU667" s="112"/>
      <c r="EZV667" s="112"/>
      <c r="EZW667" s="112"/>
      <c r="EZX667" s="112"/>
      <c r="EZY667" s="112"/>
      <c r="EZZ667" s="112"/>
      <c r="FAA667" s="112"/>
      <c r="FAB667" s="112"/>
      <c r="FAC667" s="112"/>
      <c r="FAD667" s="112"/>
      <c r="FAE667" s="112"/>
      <c r="FAF667" s="112"/>
      <c r="FAG667" s="112"/>
      <c r="FAH667" s="112"/>
      <c r="FAI667" s="112"/>
      <c r="FAJ667" s="112"/>
      <c r="FAK667" s="112"/>
      <c r="FAL667" s="112"/>
      <c r="FAM667" s="112"/>
      <c r="FAN667" s="112"/>
      <c r="FAO667" s="112"/>
      <c r="FAP667" s="112"/>
      <c r="FAQ667" s="112"/>
      <c r="FAR667" s="112"/>
      <c r="FAS667" s="112"/>
      <c r="FAT667" s="112"/>
      <c r="FAU667" s="112"/>
      <c r="FAV667" s="112"/>
      <c r="FAW667" s="112"/>
      <c r="FAX667" s="112"/>
      <c r="FAY667" s="112"/>
      <c r="FAZ667" s="112"/>
      <c r="FBA667" s="112"/>
      <c r="FBB667" s="112"/>
      <c r="FBC667" s="112"/>
      <c r="FBD667" s="112"/>
      <c r="FBE667" s="112"/>
      <c r="FBF667" s="112"/>
      <c r="FBG667" s="112"/>
      <c r="FBH667" s="112"/>
      <c r="FBI667" s="112"/>
      <c r="FBJ667" s="112"/>
      <c r="FBK667" s="112"/>
      <c r="FBL667" s="112"/>
      <c r="FBM667" s="112"/>
      <c r="FBN667" s="112"/>
      <c r="FBO667" s="112"/>
      <c r="FBP667" s="112"/>
      <c r="FBQ667" s="112"/>
      <c r="FBR667" s="112"/>
      <c r="FBS667" s="112"/>
      <c r="FBT667" s="112"/>
      <c r="FBU667" s="112"/>
      <c r="FBV667" s="112"/>
      <c r="FBW667" s="112"/>
      <c r="FBX667" s="112"/>
      <c r="FBY667" s="112"/>
      <c r="FBZ667" s="112"/>
      <c r="FCA667" s="112"/>
      <c r="FCB667" s="112"/>
      <c r="FCC667" s="112"/>
      <c r="FCD667" s="112"/>
      <c r="FCE667" s="112"/>
      <c r="FCF667" s="112"/>
      <c r="FCG667" s="112"/>
      <c r="FCH667" s="112"/>
      <c r="FCI667" s="112"/>
      <c r="FCJ667" s="112"/>
      <c r="FCK667" s="112"/>
      <c r="FCL667" s="112"/>
      <c r="FCM667" s="112"/>
      <c r="FCN667" s="112"/>
      <c r="FCO667" s="112"/>
      <c r="FCP667" s="112"/>
      <c r="FCQ667" s="112"/>
      <c r="FCR667" s="112"/>
      <c r="FCS667" s="112"/>
      <c r="FCT667" s="112"/>
      <c r="FCU667" s="112"/>
      <c r="FCV667" s="112"/>
      <c r="FCW667" s="112"/>
      <c r="FCX667" s="112"/>
      <c r="FCY667" s="112"/>
      <c r="FCZ667" s="112"/>
      <c r="FDA667" s="112"/>
      <c r="FDB667" s="112"/>
      <c r="FDC667" s="112"/>
      <c r="FDD667" s="112"/>
      <c r="FDE667" s="112"/>
      <c r="FDF667" s="112"/>
      <c r="FDG667" s="112"/>
      <c r="FDH667" s="112"/>
      <c r="FDI667" s="112"/>
      <c r="FDJ667" s="112"/>
      <c r="FDK667" s="112"/>
      <c r="FDL667" s="112"/>
      <c r="FDM667" s="112"/>
      <c r="FDN667" s="112"/>
      <c r="FDO667" s="112"/>
      <c r="FDP667" s="112"/>
      <c r="FDQ667" s="112"/>
      <c r="FDR667" s="112"/>
      <c r="FDS667" s="112"/>
      <c r="FDT667" s="112"/>
      <c r="FDU667" s="112"/>
      <c r="FDV667" s="112"/>
      <c r="FDW667" s="112"/>
      <c r="FDX667" s="112"/>
      <c r="FDY667" s="112"/>
      <c r="FDZ667" s="112"/>
      <c r="FEA667" s="112"/>
      <c r="FEB667" s="112"/>
      <c r="FEC667" s="112"/>
      <c r="FED667" s="112"/>
      <c r="FEE667" s="112"/>
      <c r="FEF667" s="112"/>
      <c r="FEG667" s="112"/>
      <c r="FEH667" s="112"/>
      <c r="FEI667" s="112"/>
      <c r="FEJ667" s="112"/>
      <c r="FEK667" s="112"/>
      <c r="FEL667" s="112"/>
      <c r="FEM667" s="112"/>
      <c r="FEN667" s="112"/>
      <c r="FEO667" s="112"/>
      <c r="FEP667" s="112"/>
      <c r="FEQ667" s="112"/>
      <c r="FER667" s="112"/>
      <c r="FES667" s="112"/>
      <c r="FET667" s="112"/>
      <c r="FEU667" s="112"/>
      <c r="FEV667" s="112"/>
      <c r="FEW667" s="112"/>
      <c r="FEX667" s="112"/>
      <c r="FEY667" s="112"/>
      <c r="FEZ667" s="112"/>
      <c r="FFA667" s="112"/>
      <c r="FFB667" s="112"/>
      <c r="FFC667" s="112"/>
      <c r="FFD667" s="112"/>
      <c r="FFE667" s="112"/>
      <c r="FFF667" s="112"/>
      <c r="FFG667" s="112"/>
      <c r="FFH667" s="112"/>
      <c r="FFI667" s="112"/>
      <c r="FFJ667" s="112"/>
      <c r="FFK667" s="112"/>
      <c r="FFL667" s="112"/>
      <c r="FFM667" s="112"/>
      <c r="FFN667" s="112"/>
      <c r="FFO667" s="112"/>
      <c r="FFP667" s="112"/>
      <c r="FFQ667" s="112"/>
      <c r="FFR667" s="112"/>
      <c r="FFS667" s="112"/>
      <c r="FFT667" s="112"/>
      <c r="FFU667" s="112"/>
      <c r="FFV667" s="112"/>
      <c r="FFW667" s="112"/>
      <c r="FFX667" s="112"/>
      <c r="FFY667" s="112"/>
      <c r="FFZ667" s="112"/>
      <c r="FGA667" s="112"/>
      <c r="FGB667" s="112"/>
      <c r="FGC667" s="112"/>
      <c r="FGD667" s="112"/>
      <c r="FGE667" s="112"/>
      <c r="FGF667" s="112"/>
      <c r="FGG667" s="112"/>
      <c r="FGH667" s="112"/>
      <c r="FGI667" s="112"/>
      <c r="FGJ667" s="112"/>
      <c r="FGK667" s="112"/>
      <c r="FGL667" s="112"/>
      <c r="FGM667" s="112"/>
      <c r="FGN667" s="112"/>
      <c r="FGO667" s="112"/>
      <c r="FGP667" s="112"/>
      <c r="FGQ667" s="112"/>
      <c r="FGR667" s="112"/>
      <c r="FGS667" s="112"/>
      <c r="FGT667" s="112"/>
      <c r="FGU667" s="112"/>
      <c r="FGV667" s="112"/>
      <c r="FGW667" s="112"/>
      <c r="FGX667" s="112"/>
      <c r="FGY667" s="112"/>
      <c r="FGZ667" s="112"/>
      <c r="FHA667" s="112"/>
      <c r="FHB667" s="112"/>
      <c r="FHC667" s="112"/>
      <c r="FHD667" s="112"/>
      <c r="FHE667" s="112"/>
      <c r="FHF667" s="112"/>
      <c r="FHG667" s="112"/>
      <c r="FHH667" s="112"/>
      <c r="FHI667" s="112"/>
      <c r="FHJ667" s="112"/>
      <c r="FHK667" s="112"/>
      <c r="FHL667" s="112"/>
      <c r="FHM667" s="112"/>
      <c r="FHN667" s="112"/>
      <c r="FHO667" s="112"/>
      <c r="FHP667" s="112"/>
      <c r="FHQ667" s="112"/>
      <c r="FHR667" s="112"/>
      <c r="FHS667" s="112"/>
      <c r="FHT667" s="112"/>
      <c r="FHU667" s="112"/>
      <c r="FHV667" s="112"/>
      <c r="FHW667" s="112"/>
      <c r="FHX667" s="112"/>
      <c r="FHY667" s="112"/>
      <c r="FHZ667" s="112"/>
      <c r="FIA667" s="112"/>
      <c r="FIB667" s="112"/>
      <c r="FIC667" s="112"/>
      <c r="FID667" s="112"/>
      <c r="FIE667" s="112"/>
      <c r="FIF667" s="112"/>
      <c r="FIG667" s="112"/>
      <c r="FIH667" s="112"/>
      <c r="FII667" s="112"/>
      <c r="FIJ667" s="112"/>
      <c r="FIK667" s="112"/>
      <c r="FIL667" s="112"/>
      <c r="FIM667" s="112"/>
      <c r="FIN667" s="112"/>
      <c r="FIO667" s="112"/>
      <c r="FIP667" s="112"/>
      <c r="FIQ667" s="112"/>
      <c r="FIR667" s="112"/>
      <c r="FIS667" s="112"/>
      <c r="FIT667" s="112"/>
      <c r="FIU667" s="112"/>
      <c r="FIV667" s="112"/>
      <c r="FIW667" s="112"/>
      <c r="FIX667" s="112"/>
      <c r="FIY667" s="112"/>
      <c r="FIZ667" s="112"/>
      <c r="FJA667" s="112"/>
      <c r="FJB667" s="112"/>
      <c r="FJC667" s="112"/>
      <c r="FJD667" s="112"/>
      <c r="FJE667" s="112"/>
      <c r="FJF667" s="112"/>
      <c r="FJG667" s="112"/>
      <c r="FJH667" s="112"/>
      <c r="FJI667" s="112"/>
      <c r="FJJ667" s="112"/>
      <c r="FJK667" s="112"/>
      <c r="FJL667" s="112"/>
      <c r="FJM667" s="112"/>
      <c r="FJN667" s="112"/>
      <c r="FJO667" s="112"/>
      <c r="FJP667" s="112"/>
      <c r="FJQ667" s="112"/>
      <c r="FJR667" s="112"/>
      <c r="FJS667" s="112"/>
      <c r="FJT667" s="112"/>
      <c r="FJU667" s="112"/>
      <c r="FJV667" s="112"/>
      <c r="FJW667" s="112"/>
      <c r="FJX667" s="112"/>
      <c r="FJY667" s="112"/>
      <c r="FJZ667" s="112"/>
      <c r="FKA667" s="112"/>
      <c r="FKB667" s="112"/>
      <c r="FKC667" s="112"/>
      <c r="FKD667" s="112"/>
      <c r="FKE667" s="112"/>
      <c r="FKF667" s="112"/>
      <c r="FKG667" s="112"/>
      <c r="FKH667" s="112"/>
      <c r="FKI667" s="112"/>
      <c r="FKJ667" s="112"/>
      <c r="FKK667" s="112"/>
      <c r="FKL667" s="112"/>
      <c r="FKM667" s="112"/>
      <c r="FKN667" s="112"/>
      <c r="FKO667" s="112"/>
      <c r="FKP667" s="112"/>
      <c r="FKQ667" s="112"/>
      <c r="FKR667" s="112"/>
      <c r="FKS667" s="112"/>
      <c r="FKT667" s="112"/>
      <c r="FKU667" s="112"/>
      <c r="FKV667" s="112"/>
      <c r="FKW667" s="112"/>
      <c r="FKX667" s="112"/>
      <c r="FKY667" s="112"/>
      <c r="FKZ667" s="112"/>
      <c r="FLA667" s="112"/>
      <c r="FLB667" s="112"/>
      <c r="FLC667" s="112"/>
      <c r="FLD667" s="112"/>
      <c r="FLE667" s="112"/>
      <c r="FLF667" s="112"/>
      <c r="FLG667" s="112"/>
      <c r="FLH667" s="112"/>
      <c r="FLI667" s="112"/>
      <c r="FLJ667" s="112"/>
      <c r="FLK667" s="112"/>
      <c r="FLL667" s="112"/>
      <c r="FLM667" s="112"/>
      <c r="FLN667" s="112"/>
      <c r="FLO667" s="112"/>
      <c r="FLP667" s="112"/>
      <c r="FLQ667" s="112"/>
      <c r="FLR667" s="112"/>
      <c r="FLS667" s="112"/>
      <c r="FLT667" s="112"/>
      <c r="FLU667" s="112"/>
      <c r="FLV667" s="112"/>
      <c r="FLW667" s="112"/>
      <c r="FLX667" s="112"/>
      <c r="FLY667" s="112"/>
      <c r="FLZ667" s="112"/>
      <c r="FMA667" s="112"/>
      <c r="FMB667" s="112"/>
      <c r="FMC667" s="112"/>
      <c r="FMD667" s="112"/>
      <c r="FME667" s="112"/>
      <c r="FMF667" s="112"/>
      <c r="FMG667" s="112"/>
      <c r="FMH667" s="112"/>
      <c r="FMI667" s="112"/>
      <c r="FMJ667" s="112"/>
      <c r="FMK667" s="112"/>
      <c r="FML667" s="112"/>
      <c r="FMM667" s="112"/>
      <c r="FMN667" s="112"/>
      <c r="FMO667" s="112"/>
      <c r="FMP667" s="112"/>
      <c r="FMQ667" s="112"/>
      <c r="FMR667" s="112"/>
      <c r="FMS667" s="112"/>
      <c r="FMT667" s="112"/>
      <c r="FMU667" s="112"/>
      <c r="FMV667" s="112"/>
      <c r="FMW667" s="112"/>
      <c r="FMX667" s="112"/>
      <c r="FMY667" s="112"/>
      <c r="FMZ667" s="112"/>
      <c r="FNA667" s="112"/>
      <c r="FNB667" s="112"/>
      <c r="FNC667" s="112"/>
      <c r="FND667" s="112"/>
      <c r="FNE667" s="112"/>
      <c r="FNF667" s="112"/>
      <c r="FNG667" s="112"/>
      <c r="FNH667" s="112"/>
      <c r="FNI667" s="112"/>
      <c r="FNJ667" s="112"/>
      <c r="FNK667" s="112"/>
      <c r="FNL667" s="112"/>
      <c r="FNM667" s="112"/>
      <c r="FNN667" s="112"/>
      <c r="FNO667" s="112"/>
      <c r="FNP667" s="112"/>
      <c r="FNQ667" s="112"/>
      <c r="FNR667" s="112"/>
      <c r="FNS667" s="112"/>
      <c r="FNT667" s="112"/>
      <c r="FNU667" s="112"/>
      <c r="FNV667" s="112"/>
      <c r="FNW667" s="112"/>
      <c r="FNX667" s="112"/>
      <c r="FNY667" s="112"/>
      <c r="FNZ667" s="112"/>
      <c r="FOA667" s="112"/>
      <c r="FOB667" s="112"/>
      <c r="FOC667" s="112"/>
      <c r="FOD667" s="112"/>
      <c r="FOE667" s="112"/>
      <c r="FOF667" s="112"/>
      <c r="FOG667" s="112"/>
      <c r="FOH667" s="112"/>
      <c r="FOI667" s="112"/>
      <c r="FOJ667" s="112"/>
      <c r="FOK667" s="112"/>
      <c r="FOL667" s="112"/>
      <c r="FOM667" s="112"/>
      <c r="FON667" s="112"/>
      <c r="FOO667" s="112"/>
      <c r="FOP667" s="112"/>
      <c r="FOQ667" s="112"/>
      <c r="FOR667" s="112"/>
      <c r="FOS667" s="112"/>
      <c r="FOT667" s="112"/>
      <c r="FOU667" s="112"/>
      <c r="FOV667" s="112"/>
      <c r="FOW667" s="112"/>
      <c r="FOX667" s="112"/>
      <c r="FOY667" s="112"/>
      <c r="FOZ667" s="112"/>
      <c r="FPA667" s="112"/>
      <c r="FPB667" s="112"/>
      <c r="FPC667" s="112"/>
      <c r="FPD667" s="112"/>
      <c r="FPE667" s="112"/>
      <c r="FPF667" s="112"/>
      <c r="FPG667" s="112"/>
      <c r="FPH667" s="112"/>
      <c r="FPI667" s="112"/>
      <c r="FPJ667" s="112"/>
      <c r="FPK667" s="112"/>
      <c r="FPL667" s="112"/>
      <c r="FPM667" s="112"/>
      <c r="FPN667" s="112"/>
      <c r="FPO667" s="112"/>
      <c r="FPP667" s="112"/>
      <c r="FPQ667" s="112"/>
      <c r="FPR667" s="112"/>
      <c r="FPS667" s="112"/>
      <c r="FPT667" s="112"/>
      <c r="FPU667" s="112"/>
      <c r="FPV667" s="112"/>
      <c r="FPW667" s="112"/>
      <c r="FPX667" s="112"/>
      <c r="FPY667" s="112"/>
      <c r="FPZ667" s="112"/>
      <c r="FQA667" s="112"/>
      <c r="FQB667" s="112"/>
      <c r="FQC667" s="112"/>
      <c r="FQD667" s="112"/>
      <c r="FQE667" s="112"/>
      <c r="FQF667" s="112"/>
      <c r="FQG667" s="112"/>
      <c r="FQH667" s="112"/>
      <c r="FQI667" s="112"/>
      <c r="FQJ667" s="112"/>
      <c r="FQK667" s="112"/>
      <c r="FQL667" s="112"/>
      <c r="FQM667" s="112"/>
      <c r="FQN667" s="112"/>
      <c r="FQO667" s="112"/>
      <c r="FQP667" s="112"/>
      <c r="FQQ667" s="112"/>
      <c r="FQR667" s="112"/>
      <c r="FQS667" s="112"/>
      <c r="FQT667" s="112"/>
      <c r="FQU667" s="112"/>
      <c r="FQV667" s="112"/>
      <c r="FQW667" s="112"/>
      <c r="FQX667" s="112"/>
      <c r="FQY667" s="112"/>
      <c r="FQZ667" s="112"/>
      <c r="FRA667" s="112"/>
      <c r="FRB667" s="112"/>
      <c r="FRC667" s="112"/>
      <c r="FRD667" s="112"/>
      <c r="FRE667" s="112"/>
      <c r="FRF667" s="112"/>
      <c r="FRG667" s="112"/>
      <c r="FRH667" s="112"/>
      <c r="FRI667" s="112"/>
      <c r="FRJ667" s="112"/>
      <c r="FRK667" s="112"/>
      <c r="FRL667" s="112"/>
      <c r="FRM667" s="112"/>
      <c r="FRN667" s="112"/>
      <c r="FRO667" s="112"/>
      <c r="FRP667" s="112"/>
      <c r="FRQ667" s="112"/>
      <c r="FRR667" s="112"/>
      <c r="FRS667" s="112"/>
      <c r="FRT667" s="112"/>
      <c r="FRU667" s="112"/>
      <c r="FRV667" s="112"/>
      <c r="FRW667" s="112"/>
      <c r="FRX667" s="112"/>
      <c r="FRY667" s="112"/>
      <c r="FRZ667" s="112"/>
      <c r="FSA667" s="112"/>
      <c r="FSB667" s="112"/>
      <c r="FSC667" s="112"/>
      <c r="FSD667" s="112"/>
      <c r="FSE667" s="112"/>
      <c r="FSF667" s="112"/>
      <c r="FSG667" s="112"/>
      <c r="FSH667" s="112"/>
      <c r="FSI667" s="112"/>
      <c r="FSJ667" s="112"/>
      <c r="FSK667" s="112"/>
      <c r="FSL667" s="112"/>
      <c r="FSM667" s="112"/>
      <c r="FSN667" s="112"/>
      <c r="FSO667" s="112"/>
      <c r="FSP667" s="112"/>
      <c r="FSQ667" s="112"/>
      <c r="FSR667" s="112"/>
      <c r="FSS667" s="112"/>
      <c r="FST667" s="112"/>
      <c r="FSU667" s="112"/>
      <c r="FSV667" s="112"/>
      <c r="FSW667" s="112"/>
      <c r="FSX667" s="112"/>
      <c r="FSY667" s="112"/>
      <c r="FSZ667" s="112"/>
      <c r="FTA667" s="112"/>
      <c r="FTB667" s="112"/>
      <c r="FTC667" s="112"/>
      <c r="FTD667" s="112"/>
      <c r="FTE667" s="112"/>
      <c r="FTF667" s="112"/>
      <c r="FTG667" s="112"/>
      <c r="FTH667" s="112"/>
      <c r="FTI667" s="112"/>
      <c r="FTJ667" s="112"/>
      <c r="FTK667" s="112"/>
      <c r="FTL667" s="112"/>
      <c r="FTM667" s="112"/>
      <c r="FTN667" s="112"/>
      <c r="FTO667" s="112"/>
      <c r="FTP667" s="112"/>
      <c r="FTQ667" s="112"/>
      <c r="FTR667" s="112"/>
      <c r="FTS667" s="112"/>
      <c r="FTT667" s="112"/>
      <c r="FTU667" s="112"/>
      <c r="FTV667" s="112"/>
      <c r="FTW667" s="112"/>
      <c r="FTX667" s="112"/>
      <c r="FTY667" s="112"/>
      <c r="FTZ667" s="112"/>
      <c r="FUA667" s="112"/>
      <c r="FUB667" s="112"/>
      <c r="FUC667" s="112"/>
      <c r="FUD667" s="112"/>
      <c r="FUE667" s="112"/>
      <c r="FUF667" s="112"/>
      <c r="FUG667" s="112"/>
      <c r="FUH667" s="112"/>
      <c r="FUI667" s="112"/>
      <c r="FUJ667" s="112"/>
      <c r="FUK667" s="112"/>
      <c r="FUL667" s="112"/>
      <c r="FUM667" s="112"/>
      <c r="FUN667" s="112"/>
      <c r="FUO667" s="112"/>
      <c r="FUP667" s="112"/>
      <c r="FUQ667" s="112"/>
      <c r="FUR667" s="112"/>
      <c r="FUS667" s="112"/>
      <c r="FUT667" s="112"/>
      <c r="FUU667" s="112"/>
      <c r="FUV667" s="112"/>
      <c r="FUW667" s="112"/>
      <c r="FUX667" s="112"/>
      <c r="FUY667" s="112"/>
      <c r="FUZ667" s="112"/>
      <c r="FVA667" s="112"/>
      <c r="FVB667" s="112"/>
      <c r="FVC667" s="112"/>
      <c r="FVD667" s="112"/>
      <c r="FVE667" s="112"/>
      <c r="FVF667" s="112"/>
      <c r="FVG667" s="112"/>
      <c r="FVH667" s="112"/>
      <c r="FVI667" s="112"/>
      <c r="FVJ667" s="112"/>
      <c r="FVK667" s="112"/>
      <c r="FVL667" s="112"/>
      <c r="FVM667" s="112"/>
      <c r="FVN667" s="112"/>
      <c r="FVO667" s="112"/>
      <c r="FVP667" s="112"/>
      <c r="FVQ667" s="112"/>
      <c r="FVR667" s="112"/>
      <c r="FVS667" s="112"/>
      <c r="FVT667" s="112"/>
      <c r="FVU667" s="112"/>
      <c r="FVV667" s="112"/>
      <c r="FVW667" s="112"/>
      <c r="FVX667" s="112"/>
      <c r="FVY667" s="112"/>
      <c r="FVZ667" s="112"/>
      <c r="FWA667" s="112"/>
      <c r="FWB667" s="112"/>
      <c r="FWC667" s="112"/>
      <c r="FWD667" s="112"/>
      <c r="FWE667" s="112"/>
      <c r="FWF667" s="112"/>
      <c r="FWG667" s="112"/>
      <c r="FWH667" s="112"/>
      <c r="FWI667" s="112"/>
      <c r="FWJ667" s="112"/>
      <c r="FWK667" s="112"/>
      <c r="FWL667" s="112"/>
      <c r="FWM667" s="112"/>
      <c r="FWN667" s="112"/>
      <c r="FWO667" s="112"/>
      <c r="FWP667" s="112"/>
      <c r="FWQ667" s="112"/>
      <c r="FWR667" s="112"/>
      <c r="FWS667" s="112"/>
      <c r="FWT667" s="112"/>
      <c r="FWU667" s="112"/>
      <c r="FWV667" s="112"/>
      <c r="FWW667" s="112"/>
      <c r="FWX667" s="112"/>
      <c r="FWY667" s="112"/>
      <c r="FWZ667" s="112"/>
      <c r="FXA667" s="112"/>
      <c r="FXB667" s="112"/>
      <c r="FXC667" s="112"/>
      <c r="FXD667" s="112"/>
      <c r="FXE667" s="112"/>
      <c r="FXF667" s="112"/>
      <c r="FXG667" s="112"/>
      <c r="FXH667" s="112"/>
      <c r="FXI667" s="112"/>
      <c r="FXJ667" s="112"/>
      <c r="FXK667" s="112"/>
      <c r="FXL667" s="112"/>
      <c r="FXM667" s="112"/>
      <c r="FXN667" s="112"/>
      <c r="FXO667" s="112"/>
      <c r="FXP667" s="112"/>
      <c r="FXQ667" s="112"/>
      <c r="FXR667" s="112"/>
      <c r="FXS667" s="112"/>
      <c r="FXT667" s="112"/>
      <c r="FXU667" s="112"/>
      <c r="FXV667" s="112"/>
      <c r="FXW667" s="112"/>
      <c r="FXX667" s="112"/>
      <c r="FXY667" s="112"/>
      <c r="FXZ667" s="112"/>
      <c r="FYA667" s="112"/>
      <c r="FYB667" s="112"/>
      <c r="FYC667" s="112"/>
      <c r="FYD667" s="112"/>
      <c r="FYE667" s="112"/>
      <c r="FYF667" s="112"/>
      <c r="FYG667" s="112"/>
      <c r="FYH667" s="112"/>
      <c r="FYI667" s="112"/>
      <c r="FYJ667" s="112"/>
      <c r="FYK667" s="112"/>
      <c r="FYL667" s="112"/>
      <c r="FYM667" s="112"/>
      <c r="FYN667" s="112"/>
      <c r="FYO667" s="112"/>
      <c r="FYP667" s="112"/>
      <c r="FYQ667" s="112"/>
      <c r="FYR667" s="112"/>
      <c r="FYS667" s="112"/>
      <c r="FYT667" s="112"/>
      <c r="FYU667" s="112"/>
      <c r="FYV667" s="112"/>
      <c r="FYW667" s="112"/>
      <c r="FYX667" s="112"/>
      <c r="FYY667" s="112"/>
      <c r="FYZ667" s="112"/>
      <c r="FZA667" s="112"/>
      <c r="FZB667" s="112"/>
      <c r="FZC667" s="112"/>
      <c r="FZD667" s="112"/>
      <c r="FZE667" s="112"/>
      <c r="FZF667" s="112"/>
      <c r="FZG667" s="112"/>
      <c r="FZH667" s="112"/>
      <c r="FZI667" s="112"/>
      <c r="FZJ667" s="112"/>
      <c r="FZK667" s="112"/>
      <c r="FZL667" s="112"/>
      <c r="FZM667" s="112"/>
      <c r="FZN667" s="112"/>
      <c r="FZO667" s="112"/>
      <c r="FZP667" s="112"/>
      <c r="FZQ667" s="112"/>
      <c r="FZR667" s="112"/>
      <c r="FZS667" s="112"/>
      <c r="FZT667" s="112"/>
      <c r="FZU667" s="112"/>
      <c r="FZV667" s="112"/>
      <c r="FZW667" s="112"/>
      <c r="FZX667" s="112"/>
      <c r="FZY667" s="112"/>
      <c r="FZZ667" s="112"/>
      <c r="GAA667" s="112"/>
      <c r="GAB667" s="112"/>
      <c r="GAC667" s="112"/>
      <c r="GAD667" s="112"/>
      <c r="GAE667" s="112"/>
      <c r="GAF667" s="112"/>
      <c r="GAG667" s="112"/>
      <c r="GAH667" s="112"/>
      <c r="GAI667" s="112"/>
      <c r="GAJ667" s="112"/>
      <c r="GAK667" s="112"/>
      <c r="GAL667" s="112"/>
      <c r="GAM667" s="112"/>
      <c r="GAN667" s="112"/>
      <c r="GAO667" s="112"/>
      <c r="GAP667" s="112"/>
      <c r="GAQ667" s="112"/>
      <c r="GAR667" s="112"/>
      <c r="GAS667" s="112"/>
      <c r="GAT667" s="112"/>
      <c r="GAU667" s="112"/>
      <c r="GAV667" s="112"/>
      <c r="GAW667" s="112"/>
      <c r="GAX667" s="112"/>
      <c r="GAY667" s="112"/>
      <c r="GAZ667" s="112"/>
      <c r="GBA667" s="112"/>
      <c r="GBB667" s="112"/>
      <c r="GBC667" s="112"/>
      <c r="GBD667" s="112"/>
      <c r="GBE667" s="112"/>
      <c r="GBF667" s="112"/>
      <c r="GBG667" s="112"/>
      <c r="GBH667" s="112"/>
      <c r="GBI667" s="112"/>
      <c r="GBJ667" s="112"/>
      <c r="GBK667" s="112"/>
      <c r="GBL667" s="112"/>
      <c r="GBM667" s="112"/>
      <c r="GBN667" s="112"/>
      <c r="GBO667" s="112"/>
      <c r="GBP667" s="112"/>
      <c r="GBQ667" s="112"/>
      <c r="GBR667" s="112"/>
      <c r="GBS667" s="112"/>
      <c r="GBT667" s="112"/>
      <c r="GBU667" s="112"/>
      <c r="GBV667" s="112"/>
      <c r="GBW667" s="112"/>
      <c r="GBX667" s="112"/>
      <c r="GBY667" s="112"/>
      <c r="GBZ667" s="112"/>
      <c r="GCA667" s="112"/>
      <c r="GCB667" s="112"/>
      <c r="GCC667" s="112"/>
      <c r="GCD667" s="112"/>
      <c r="GCE667" s="112"/>
      <c r="GCF667" s="112"/>
      <c r="GCG667" s="112"/>
      <c r="GCH667" s="112"/>
      <c r="GCI667" s="112"/>
      <c r="GCJ667" s="112"/>
      <c r="GCK667" s="112"/>
      <c r="GCL667" s="112"/>
      <c r="GCM667" s="112"/>
      <c r="GCN667" s="112"/>
      <c r="GCO667" s="112"/>
      <c r="GCP667" s="112"/>
      <c r="GCQ667" s="112"/>
      <c r="GCR667" s="112"/>
      <c r="GCS667" s="112"/>
      <c r="GCT667" s="112"/>
      <c r="GCU667" s="112"/>
      <c r="GCV667" s="112"/>
      <c r="GCW667" s="112"/>
      <c r="GCX667" s="112"/>
      <c r="GCY667" s="112"/>
      <c r="GCZ667" s="112"/>
      <c r="GDA667" s="112"/>
      <c r="GDB667" s="112"/>
      <c r="GDC667" s="112"/>
      <c r="GDD667" s="112"/>
      <c r="GDE667" s="112"/>
      <c r="GDF667" s="112"/>
      <c r="GDG667" s="112"/>
      <c r="GDH667" s="112"/>
      <c r="GDI667" s="112"/>
      <c r="GDJ667" s="112"/>
      <c r="GDK667" s="112"/>
      <c r="GDL667" s="112"/>
      <c r="GDM667" s="112"/>
      <c r="GDN667" s="112"/>
      <c r="GDO667" s="112"/>
      <c r="GDP667" s="112"/>
      <c r="GDQ667" s="112"/>
      <c r="GDR667" s="112"/>
      <c r="GDS667" s="112"/>
      <c r="GDT667" s="112"/>
      <c r="GDU667" s="112"/>
      <c r="GDV667" s="112"/>
      <c r="GDW667" s="112"/>
      <c r="GDX667" s="112"/>
      <c r="GDY667" s="112"/>
      <c r="GDZ667" s="112"/>
      <c r="GEA667" s="112"/>
      <c r="GEB667" s="112"/>
      <c r="GEC667" s="112"/>
      <c r="GED667" s="112"/>
      <c r="GEE667" s="112"/>
      <c r="GEF667" s="112"/>
      <c r="GEG667" s="112"/>
      <c r="GEH667" s="112"/>
      <c r="GEI667" s="112"/>
      <c r="GEJ667" s="112"/>
      <c r="GEK667" s="112"/>
      <c r="GEL667" s="112"/>
      <c r="GEM667" s="112"/>
      <c r="GEN667" s="112"/>
      <c r="GEO667" s="112"/>
      <c r="GEP667" s="112"/>
      <c r="GEQ667" s="112"/>
      <c r="GER667" s="112"/>
      <c r="GES667" s="112"/>
      <c r="GET667" s="112"/>
      <c r="GEU667" s="112"/>
      <c r="GEV667" s="112"/>
      <c r="GEW667" s="112"/>
      <c r="GEX667" s="112"/>
      <c r="GEY667" s="112"/>
      <c r="GEZ667" s="112"/>
      <c r="GFA667" s="112"/>
      <c r="GFB667" s="112"/>
      <c r="GFC667" s="112"/>
      <c r="GFD667" s="112"/>
      <c r="GFE667" s="112"/>
      <c r="GFF667" s="112"/>
      <c r="GFG667" s="112"/>
      <c r="GFH667" s="112"/>
      <c r="GFI667" s="112"/>
      <c r="GFJ667" s="112"/>
      <c r="GFK667" s="112"/>
      <c r="GFL667" s="112"/>
      <c r="GFM667" s="112"/>
      <c r="GFN667" s="112"/>
      <c r="GFO667" s="112"/>
      <c r="GFP667" s="112"/>
      <c r="GFQ667" s="112"/>
      <c r="GFR667" s="112"/>
      <c r="GFS667" s="112"/>
      <c r="GFT667" s="112"/>
      <c r="GFU667" s="112"/>
      <c r="GFV667" s="112"/>
      <c r="GFW667" s="112"/>
      <c r="GFX667" s="112"/>
      <c r="GFY667" s="112"/>
      <c r="GFZ667" s="112"/>
      <c r="GGA667" s="112"/>
      <c r="GGB667" s="112"/>
      <c r="GGC667" s="112"/>
      <c r="GGD667" s="112"/>
      <c r="GGE667" s="112"/>
      <c r="GGF667" s="112"/>
      <c r="GGG667" s="112"/>
      <c r="GGH667" s="112"/>
      <c r="GGI667" s="112"/>
      <c r="GGJ667" s="112"/>
      <c r="GGK667" s="112"/>
      <c r="GGL667" s="112"/>
      <c r="GGM667" s="112"/>
      <c r="GGN667" s="112"/>
      <c r="GGO667" s="112"/>
      <c r="GGP667" s="112"/>
      <c r="GGQ667" s="112"/>
      <c r="GGR667" s="112"/>
      <c r="GGS667" s="112"/>
      <c r="GGT667" s="112"/>
      <c r="GGU667" s="112"/>
      <c r="GGV667" s="112"/>
      <c r="GGW667" s="112"/>
      <c r="GGX667" s="112"/>
      <c r="GGY667" s="112"/>
      <c r="GGZ667" s="112"/>
      <c r="GHA667" s="112"/>
      <c r="GHB667" s="112"/>
      <c r="GHC667" s="112"/>
      <c r="GHD667" s="112"/>
      <c r="GHE667" s="112"/>
      <c r="GHF667" s="112"/>
      <c r="GHG667" s="112"/>
      <c r="GHH667" s="112"/>
      <c r="GHI667" s="112"/>
      <c r="GHJ667" s="112"/>
      <c r="GHK667" s="112"/>
      <c r="GHL667" s="112"/>
      <c r="GHM667" s="112"/>
      <c r="GHN667" s="112"/>
      <c r="GHO667" s="112"/>
      <c r="GHP667" s="112"/>
      <c r="GHQ667" s="112"/>
      <c r="GHR667" s="112"/>
      <c r="GHS667" s="112"/>
      <c r="GHT667" s="112"/>
      <c r="GHU667" s="112"/>
      <c r="GHV667" s="112"/>
      <c r="GHW667" s="112"/>
      <c r="GHX667" s="112"/>
      <c r="GHY667" s="112"/>
      <c r="GHZ667" s="112"/>
      <c r="GIA667" s="112"/>
      <c r="GIB667" s="112"/>
      <c r="GIC667" s="112"/>
      <c r="GID667" s="112"/>
      <c r="GIE667" s="112"/>
      <c r="GIF667" s="112"/>
      <c r="GIG667" s="112"/>
      <c r="GIH667" s="112"/>
      <c r="GII667" s="112"/>
      <c r="GIJ667" s="112"/>
      <c r="GIK667" s="112"/>
      <c r="GIL667" s="112"/>
      <c r="GIM667" s="112"/>
      <c r="GIN667" s="112"/>
      <c r="GIO667" s="112"/>
      <c r="GIP667" s="112"/>
      <c r="GIQ667" s="112"/>
      <c r="GIR667" s="112"/>
      <c r="GIS667" s="112"/>
      <c r="GIT667" s="112"/>
      <c r="GIU667" s="112"/>
      <c r="GIV667" s="112"/>
      <c r="GIW667" s="112"/>
      <c r="GIX667" s="112"/>
      <c r="GIY667" s="112"/>
      <c r="GIZ667" s="112"/>
      <c r="GJA667" s="112"/>
      <c r="GJB667" s="112"/>
      <c r="GJC667" s="112"/>
      <c r="GJD667" s="112"/>
      <c r="GJE667" s="112"/>
      <c r="GJF667" s="112"/>
      <c r="GJG667" s="112"/>
      <c r="GJH667" s="112"/>
      <c r="GJI667" s="112"/>
      <c r="GJJ667" s="112"/>
      <c r="GJK667" s="112"/>
      <c r="GJL667" s="112"/>
      <c r="GJM667" s="112"/>
      <c r="GJN667" s="112"/>
      <c r="GJO667" s="112"/>
      <c r="GJP667" s="112"/>
      <c r="GJQ667" s="112"/>
      <c r="GJR667" s="112"/>
      <c r="GJS667" s="112"/>
      <c r="GJT667" s="112"/>
      <c r="GJU667" s="112"/>
      <c r="GJV667" s="112"/>
      <c r="GJW667" s="112"/>
      <c r="GJX667" s="112"/>
      <c r="GJY667" s="112"/>
      <c r="GJZ667" s="112"/>
      <c r="GKA667" s="112"/>
      <c r="GKB667" s="112"/>
      <c r="GKC667" s="112"/>
      <c r="GKD667" s="112"/>
      <c r="GKE667" s="112"/>
      <c r="GKF667" s="112"/>
      <c r="GKG667" s="112"/>
      <c r="GKH667" s="112"/>
      <c r="GKI667" s="112"/>
      <c r="GKJ667" s="112"/>
      <c r="GKK667" s="112"/>
      <c r="GKL667" s="112"/>
      <c r="GKM667" s="112"/>
      <c r="GKN667" s="112"/>
      <c r="GKO667" s="112"/>
      <c r="GKP667" s="112"/>
      <c r="GKQ667" s="112"/>
      <c r="GKR667" s="112"/>
      <c r="GKS667" s="112"/>
      <c r="GKT667" s="112"/>
      <c r="GKU667" s="112"/>
      <c r="GKV667" s="112"/>
      <c r="GKW667" s="112"/>
      <c r="GKX667" s="112"/>
      <c r="GKY667" s="112"/>
      <c r="GKZ667" s="112"/>
      <c r="GLA667" s="112"/>
      <c r="GLB667" s="112"/>
      <c r="GLC667" s="112"/>
      <c r="GLD667" s="112"/>
      <c r="GLE667" s="112"/>
      <c r="GLF667" s="112"/>
      <c r="GLG667" s="112"/>
      <c r="GLH667" s="112"/>
      <c r="GLI667" s="112"/>
      <c r="GLJ667" s="112"/>
      <c r="GLK667" s="112"/>
      <c r="GLL667" s="112"/>
      <c r="GLM667" s="112"/>
      <c r="GLN667" s="112"/>
      <c r="GLO667" s="112"/>
      <c r="GLP667" s="112"/>
      <c r="GLQ667" s="112"/>
      <c r="GLR667" s="112"/>
      <c r="GLS667" s="112"/>
      <c r="GLT667" s="112"/>
      <c r="GLU667" s="112"/>
      <c r="GLV667" s="112"/>
      <c r="GLW667" s="112"/>
      <c r="GLX667" s="112"/>
      <c r="GLY667" s="112"/>
      <c r="GLZ667" s="112"/>
      <c r="GMA667" s="112"/>
      <c r="GMB667" s="112"/>
      <c r="GMC667" s="112"/>
      <c r="GMD667" s="112"/>
      <c r="GME667" s="112"/>
      <c r="GMF667" s="112"/>
      <c r="GMG667" s="112"/>
      <c r="GMH667" s="112"/>
      <c r="GMI667" s="112"/>
      <c r="GMJ667" s="112"/>
      <c r="GMK667" s="112"/>
      <c r="GML667" s="112"/>
      <c r="GMM667" s="112"/>
      <c r="GMN667" s="112"/>
      <c r="GMO667" s="112"/>
      <c r="GMP667" s="112"/>
      <c r="GMQ667" s="112"/>
      <c r="GMR667" s="112"/>
      <c r="GMS667" s="112"/>
      <c r="GMT667" s="112"/>
      <c r="GMU667" s="112"/>
      <c r="GMV667" s="112"/>
      <c r="GMW667" s="112"/>
      <c r="GMX667" s="112"/>
      <c r="GMY667" s="112"/>
      <c r="GMZ667" s="112"/>
      <c r="GNA667" s="112"/>
      <c r="GNB667" s="112"/>
      <c r="GNC667" s="112"/>
      <c r="GND667" s="112"/>
      <c r="GNE667" s="112"/>
      <c r="GNF667" s="112"/>
      <c r="GNG667" s="112"/>
      <c r="GNH667" s="112"/>
      <c r="GNI667" s="112"/>
      <c r="GNJ667" s="112"/>
      <c r="GNK667" s="112"/>
      <c r="GNL667" s="112"/>
      <c r="GNM667" s="112"/>
      <c r="GNN667" s="112"/>
      <c r="GNO667" s="112"/>
      <c r="GNP667" s="112"/>
      <c r="GNQ667" s="112"/>
      <c r="GNR667" s="112"/>
      <c r="GNS667" s="112"/>
      <c r="GNT667" s="112"/>
      <c r="GNU667" s="112"/>
      <c r="GNV667" s="112"/>
      <c r="GNW667" s="112"/>
      <c r="GNX667" s="112"/>
      <c r="GNY667" s="112"/>
      <c r="GNZ667" s="112"/>
      <c r="GOA667" s="112"/>
      <c r="GOB667" s="112"/>
      <c r="GOC667" s="112"/>
      <c r="GOD667" s="112"/>
      <c r="GOE667" s="112"/>
      <c r="GOF667" s="112"/>
      <c r="GOG667" s="112"/>
      <c r="GOH667" s="112"/>
      <c r="GOI667" s="112"/>
      <c r="GOJ667" s="112"/>
      <c r="GOK667" s="112"/>
      <c r="GOL667" s="112"/>
      <c r="GOM667" s="112"/>
      <c r="GON667" s="112"/>
      <c r="GOO667" s="112"/>
      <c r="GOP667" s="112"/>
      <c r="GOQ667" s="112"/>
      <c r="GOR667" s="112"/>
      <c r="GOS667" s="112"/>
      <c r="GOT667" s="112"/>
      <c r="GOU667" s="112"/>
      <c r="GOV667" s="112"/>
      <c r="GOW667" s="112"/>
      <c r="GOX667" s="112"/>
      <c r="GOY667" s="112"/>
      <c r="GOZ667" s="112"/>
      <c r="GPA667" s="112"/>
      <c r="GPB667" s="112"/>
      <c r="GPC667" s="112"/>
      <c r="GPD667" s="112"/>
      <c r="GPE667" s="112"/>
      <c r="GPF667" s="112"/>
      <c r="GPG667" s="112"/>
      <c r="GPH667" s="112"/>
      <c r="GPI667" s="112"/>
      <c r="GPJ667" s="112"/>
      <c r="GPK667" s="112"/>
      <c r="GPL667" s="112"/>
      <c r="GPM667" s="112"/>
      <c r="GPN667" s="112"/>
      <c r="GPO667" s="112"/>
      <c r="GPP667" s="112"/>
      <c r="GPQ667" s="112"/>
      <c r="GPR667" s="112"/>
      <c r="GPS667" s="112"/>
      <c r="GPT667" s="112"/>
      <c r="GPU667" s="112"/>
      <c r="GPV667" s="112"/>
      <c r="GPW667" s="112"/>
      <c r="GPX667" s="112"/>
      <c r="GPY667" s="112"/>
      <c r="GPZ667" s="112"/>
      <c r="GQA667" s="112"/>
      <c r="GQB667" s="112"/>
      <c r="GQC667" s="112"/>
      <c r="GQD667" s="112"/>
      <c r="GQE667" s="112"/>
      <c r="GQF667" s="112"/>
      <c r="GQG667" s="112"/>
      <c r="GQH667" s="112"/>
      <c r="GQI667" s="112"/>
      <c r="GQJ667" s="112"/>
      <c r="GQK667" s="112"/>
      <c r="GQL667" s="112"/>
      <c r="GQM667" s="112"/>
      <c r="GQN667" s="112"/>
      <c r="GQO667" s="112"/>
      <c r="GQP667" s="112"/>
      <c r="GQQ667" s="112"/>
      <c r="GQR667" s="112"/>
      <c r="GQS667" s="112"/>
      <c r="GQT667" s="112"/>
      <c r="GQU667" s="112"/>
      <c r="GQV667" s="112"/>
      <c r="GQW667" s="112"/>
      <c r="GQX667" s="112"/>
      <c r="GQY667" s="112"/>
      <c r="GQZ667" s="112"/>
      <c r="GRA667" s="112"/>
      <c r="GRB667" s="112"/>
      <c r="GRC667" s="112"/>
      <c r="GRD667" s="112"/>
      <c r="GRE667" s="112"/>
      <c r="GRF667" s="112"/>
      <c r="GRG667" s="112"/>
      <c r="GRH667" s="112"/>
      <c r="GRI667" s="112"/>
      <c r="GRJ667" s="112"/>
      <c r="GRK667" s="112"/>
      <c r="GRL667" s="112"/>
      <c r="GRM667" s="112"/>
      <c r="GRN667" s="112"/>
      <c r="GRO667" s="112"/>
      <c r="GRP667" s="112"/>
      <c r="GRQ667" s="112"/>
      <c r="GRR667" s="112"/>
      <c r="GRS667" s="112"/>
      <c r="GRT667" s="112"/>
      <c r="GRU667" s="112"/>
      <c r="GRV667" s="112"/>
      <c r="GRW667" s="112"/>
      <c r="GRX667" s="112"/>
      <c r="GRY667" s="112"/>
      <c r="GRZ667" s="112"/>
      <c r="GSA667" s="112"/>
      <c r="GSB667" s="112"/>
      <c r="GSC667" s="112"/>
      <c r="GSD667" s="112"/>
      <c r="GSE667" s="112"/>
      <c r="GSF667" s="112"/>
      <c r="GSG667" s="112"/>
      <c r="GSH667" s="112"/>
      <c r="GSI667" s="112"/>
      <c r="GSJ667" s="112"/>
      <c r="GSK667" s="112"/>
      <c r="GSL667" s="112"/>
      <c r="GSM667" s="112"/>
      <c r="GSN667" s="112"/>
      <c r="GSO667" s="112"/>
      <c r="GSP667" s="112"/>
      <c r="GSQ667" s="112"/>
      <c r="GSR667" s="112"/>
      <c r="GSS667" s="112"/>
      <c r="GST667" s="112"/>
      <c r="GSU667" s="112"/>
      <c r="GSV667" s="112"/>
      <c r="GSW667" s="112"/>
      <c r="GSX667" s="112"/>
      <c r="GSY667" s="112"/>
      <c r="GSZ667" s="112"/>
      <c r="GTA667" s="112"/>
      <c r="GTB667" s="112"/>
      <c r="GTC667" s="112"/>
      <c r="GTD667" s="112"/>
      <c r="GTE667" s="112"/>
      <c r="GTF667" s="112"/>
      <c r="GTG667" s="112"/>
      <c r="GTH667" s="112"/>
      <c r="GTI667" s="112"/>
      <c r="GTJ667" s="112"/>
      <c r="GTK667" s="112"/>
      <c r="GTL667" s="112"/>
      <c r="GTM667" s="112"/>
      <c r="GTN667" s="112"/>
      <c r="GTO667" s="112"/>
      <c r="GTP667" s="112"/>
      <c r="GTQ667" s="112"/>
      <c r="GTR667" s="112"/>
      <c r="GTS667" s="112"/>
      <c r="GTT667" s="112"/>
      <c r="GTU667" s="112"/>
      <c r="GTV667" s="112"/>
      <c r="GTW667" s="112"/>
      <c r="GTX667" s="112"/>
      <c r="GTY667" s="112"/>
      <c r="GTZ667" s="112"/>
      <c r="GUA667" s="112"/>
      <c r="GUB667" s="112"/>
      <c r="GUC667" s="112"/>
      <c r="GUD667" s="112"/>
      <c r="GUE667" s="112"/>
      <c r="GUF667" s="112"/>
      <c r="GUG667" s="112"/>
      <c r="GUH667" s="112"/>
      <c r="GUI667" s="112"/>
      <c r="GUJ667" s="112"/>
      <c r="GUK667" s="112"/>
      <c r="GUL667" s="112"/>
      <c r="GUM667" s="112"/>
      <c r="GUN667" s="112"/>
      <c r="GUO667" s="112"/>
      <c r="GUP667" s="112"/>
      <c r="GUQ667" s="112"/>
      <c r="GUR667" s="112"/>
      <c r="GUS667" s="112"/>
      <c r="GUT667" s="112"/>
      <c r="GUU667" s="112"/>
      <c r="GUV667" s="112"/>
      <c r="GUW667" s="112"/>
      <c r="GUX667" s="112"/>
      <c r="GUY667" s="112"/>
      <c r="GUZ667" s="112"/>
      <c r="GVA667" s="112"/>
      <c r="GVB667" s="112"/>
      <c r="GVC667" s="112"/>
      <c r="GVD667" s="112"/>
      <c r="GVE667" s="112"/>
      <c r="GVF667" s="112"/>
      <c r="GVG667" s="112"/>
      <c r="GVH667" s="112"/>
      <c r="GVI667" s="112"/>
      <c r="GVJ667" s="112"/>
      <c r="GVK667" s="112"/>
      <c r="GVL667" s="112"/>
      <c r="GVM667" s="112"/>
      <c r="GVN667" s="112"/>
      <c r="GVO667" s="112"/>
      <c r="GVP667" s="112"/>
      <c r="GVQ667" s="112"/>
      <c r="GVR667" s="112"/>
      <c r="GVS667" s="112"/>
      <c r="GVT667" s="112"/>
      <c r="GVU667" s="112"/>
      <c r="GVV667" s="112"/>
      <c r="GVW667" s="112"/>
      <c r="GVX667" s="112"/>
      <c r="GVY667" s="112"/>
      <c r="GVZ667" s="112"/>
      <c r="GWA667" s="112"/>
      <c r="GWB667" s="112"/>
      <c r="GWC667" s="112"/>
      <c r="GWD667" s="112"/>
      <c r="GWE667" s="112"/>
      <c r="GWF667" s="112"/>
      <c r="GWG667" s="112"/>
      <c r="GWH667" s="112"/>
      <c r="GWI667" s="112"/>
      <c r="GWJ667" s="112"/>
      <c r="GWK667" s="112"/>
      <c r="GWL667" s="112"/>
      <c r="GWM667" s="112"/>
      <c r="GWN667" s="112"/>
      <c r="GWO667" s="112"/>
      <c r="GWP667" s="112"/>
      <c r="GWQ667" s="112"/>
      <c r="GWR667" s="112"/>
      <c r="GWS667" s="112"/>
      <c r="GWT667" s="112"/>
      <c r="GWU667" s="112"/>
      <c r="GWV667" s="112"/>
      <c r="GWW667" s="112"/>
      <c r="GWX667" s="112"/>
      <c r="GWY667" s="112"/>
      <c r="GWZ667" s="112"/>
      <c r="GXA667" s="112"/>
      <c r="GXB667" s="112"/>
      <c r="GXC667" s="112"/>
      <c r="GXD667" s="112"/>
      <c r="GXE667" s="112"/>
      <c r="GXF667" s="112"/>
      <c r="GXG667" s="112"/>
      <c r="GXH667" s="112"/>
      <c r="GXI667" s="112"/>
      <c r="GXJ667" s="112"/>
      <c r="GXK667" s="112"/>
      <c r="GXL667" s="112"/>
      <c r="GXM667" s="112"/>
      <c r="GXN667" s="112"/>
      <c r="GXO667" s="112"/>
      <c r="GXP667" s="112"/>
      <c r="GXQ667" s="112"/>
      <c r="GXR667" s="112"/>
      <c r="GXS667" s="112"/>
      <c r="GXT667" s="112"/>
      <c r="GXU667" s="112"/>
      <c r="GXV667" s="112"/>
      <c r="GXW667" s="112"/>
      <c r="GXX667" s="112"/>
      <c r="GXY667" s="112"/>
      <c r="GXZ667" s="112"/>
      <c r="GYA667" s="112"/>
      <c r="GYB667" s="112"/>
      <c r="GYC667" s="112"/>
      <c r="GYD667" s="112"/>
      <c r="GYE667" s="112"/>
      <c r="GYF667" s="112"/>
      <c r="GYG667" s="112"/>
      <c r="GYH667" s="112"/>
      <c r="GYI667" s="112"/>
      <c r="GYJ667" s="112"/>
      <c r="GYK667" s="112"/>
      <c r="GYL667" s="112"/>
      <c r="GYM667" s="112"/>
      <c r="GYN667" s="112"/>
      <c r="GYO667" s="112"/>
      <c r="GYP667" s="112"/>
      <c r="GYQ667" s="112"/>
      <c r="GYR667" s="112"/>
      <c r="GYS667" s="112"/>
      <c r="GYT667" s="112"/>
      <c r="GYU667" s="112"/>
      <c r="GYV667" s="112"/>
      <c r="GYW667" s="112"/>
      <c r="GYX667" s="112"/>
      <c r="GYY667" s="112"/>
      <c r="GYZ667" s="112"/>
      <c r="GZA667" s="112"/>
      <c r="GZB667" s="112"/>
      <c r="GZC667" s="112"/>
      <c r="GZD667" s="112"/>
      <c r="GZE667" s="112"/>
      <c r="GZF667" s="112"/>
      <c r="GZG667" s="112"/>
      <c r="GZH667" s="112"/>
      <c r="GZI667" s="112"/>
      <c r="GZJ667" s="112"/>
      <c r="GZK667" s="112"/>
      <c r="GZL667" s="112"/>
      <c r="GZM667" s="112"/>
      <c r="GZN667" s="112"/>
      <c r="GZO667" s="112"/>
      <c r="GZP667" s="112"/>
      <c r="GZQ667" s="112"/>
      <c r="GZR667" s="112"/>
      <c r="GZS667" s="112"/>
      <c r="GZT667" s="112"/>
      <c r="GZU667" s="112"/>
      <c r="GZV667" s="112"/>
      <c r="GZW667" s="112"/>
      <c r="GZX667" s="112"/>
      <c r="GZY667" s="112"/>
      <c r="GZZ667" s="112"/>
      <c r="HAA667" s="112"/>
      <c r="HAB667" s="112"/>
      <c r="HAC667" s="112"/>
      <c r="HAD667" s="112"/>
      <c r="HAE667" s="112"/>
      <c r="HAF667" s="112"/>
      <c r="HAG667" s="112"/>
      <c r="HAH667" s="112"/>
      <c r="HAI667" s="112"/>
      <c r="HAJ667" s="112"/>
      <c r="HAK667" s="112"/>
      <c r="HAL667" s="112"/>
      <c r="HAM667" s="112"/>
      <c r="HAN667" s="112"/>
      <c r="HAO667" s="112"/>
      <c r="HAP667" s="112"/>
      <c r="HAQ667" s="112"/>
      <c r="HAR667" s="112"/>
      <c r="HAS667" s="112"/>
      <c r="HAT667" s="112"/>
      <c r="HAU667" s="112"/>
      <c r="HAV667" s="112"/>
      <c r="HAW667" s="112"/>
      <c r="HAX667" s="112"/>
      <c r="HAY667" s="112"/>
      <c r="HAZ667" s="112"/>
      <c r="HBA667" s="112"/>
      <c r="HBB667" s="112"/>
      <c r="HBC667" s="112"/>
      <c r="HBD667" s="112"/>
      <c r="HBE667" s="112"/>
      <c r="HBF667" s="112"/>
      <c r="HBG667" s="112"/>
      <c r="HBH667" s="112"/>
      <c r="HBI667" s="112"/>
      <c r="HBJ667" s="112"/>
      <c r="HBK667" s="112"/>
      <c r="HBL667" s="112"/>
      <c r="HBM667" s="112"/>
      <c r="HBN667" s="112"/>
      <c r="HBO667" s="112"/>
      <c r="HBP667" s="112"/>
      <c r="HBQ667" s="112"/>
      <c r="HBR667" s="112"/>
      <c r="HBS667" s="112"/>
      <c r="HBT667" s="112"/>
      <c r="HBU667" s="112"/>
      <c r="HBV667" s="112"/>
      <c r="HBW667" s="112"/>
      <c r="HBX667" s="112"/>
      <c r="HBY667" s="112"/>
      <c r="HBZ667" s="112"/>
      <c r="HCA667" s="112"/>
      <c r="HCB667" s="112"/>
      <c r="HCC667" s="112"/>
      <c r="HCD667" s="112"/>
      <c r="HCE667" s="112"/>
      <c r="HCF667" s="112"/>
      <c r="HCG667" s="112"/>
      <c r="HCH667" s="112"/>
      <c r="HCI667" s="112"/>
      <c r="HCJ667" s="112"/>
      <c r="HCK667" s="112"/>
      <c r="HCL667" s="112"/>
      <c r="HCM667" s="112"/>
      <c r="HCN667" s="112"/>
      <c r="HCO667" s="112"/>
      <c r="HCP667" s="112"/>
      <c r="HCQ667" s="112"/>
      <c r="HCR667" s="112"/>
      <c r="HCS667" s="112"/>
      <c r="HCT667" s="112"/>
      <c r="HCU667" s="112"/>
      <c r="HCV667" s="112"/>
      <c r="HCW667" s="112"/>
      <c r="HCX667" s="112"/>
      <c r="HCY667" s="112"/>
      <c r="HCZ667" s="112"/>
      <c r="HDA667" s="112"/>
      <c r="HDB667" s="112"/>
      <c r="HDC667" s="112"/>
      <c r="HDD667" s="112"/>
      <c r="HDE667" s="112"/>
      <c r="HDF667" s="112"/>
      <c r="HDG667" s="112"/>
      <c r="HDH667" s="112"/>
      <c r="HDI667" s="112"/>
      <c r="HDJ667" s="112"/>
      <c r="HDK667" s="112"/>
      <c r="HDL667" s="112"/>
      <c r="HDM667" s="112"/>
      <c r="HDN667" s="112"/>
      <c r="HDO667" s="112"/>
      <c r="HDP667" s="112"/>
      <c r="HDQ667" s="112"/>
      <c r="HDR667" s="112"/>
      <c r="HDS667" s="112"/>
      <c r="HDT667" s="112"/>
      <c r="HDU667" s="112"/>
      <c r="HDV667" s="112"/>
      <c r="HDW667" s="112"/>
      <c r="HDX667" s="112"/>
      <c r="HDY667" s="112"/>
      <c r="HDZ667" s="112"/>
      <c r="HEA667" s="112"/>
      <c r="HEB667" s="112"/>
      <c r="HEC667" s="112"/>
      <c r="HED667" s="112"/>
      <c r="HEE667" s="112"/>
      <c r="HEF667" s="112"/>
      <c r="HEG667" s="112"/>
      <c r="HEH667" s="112"/>
      <c r="HEI667" s="112"/>
      <c r="HEJ667" s="112"/>
      <c r="HEK667" s="112"/>
      <c r="HEL667" s="112"/>
      <c r="HEM667" s="112"/>
      <c r="HEN667" s="112"/>
      <c r="HEO667" s="112"/>
      <c r="HEP667" s="112"/>
      <c r="HEQ667" s="112"/>
      <c r="HER667" s="112"/>
      <c r="HES667" s="112"/>
      <c r="HET667" s="112"/>
      <c r="HEU667" s="112"/>
      <c r="HEV667" s="112"/>
      <c r="HEW667" s="112"/>
      <c r="HEX667" s="112"/>
      <c r="HEY667" s="112"/>
      <c r="HEZ667" s="112"/>
      <c r="HFA667" s="112"/>
      <c r="HFB667" s="112"/>
      <c r="HFC667" s="112"/>
      <c r="HFD667" s="112"/>
      <c r="HFE667" s="112"/>
      <c r="HFF667" s="112"/>
      <c r="HFG667" s="112"/>
      <c r="HFH667" s="112"/>
      <c r="HFI667" s="112"/>
      <c r="HFJ667" s="112"/>
      <c r="HFK667" s="112"/>
      <c r="HFL667" s="112"/>
      <c r="HFM667" s="112"/>
      <c r="HFN667" s="112"/>
      <c r="HFO667" s="112"/>
      <c r="HFP667" s="112"/>
      <c r="HFQ667" s="112"/>
      <c r="HFR667" s="112"/>
      <c r="HFS667" s="112"/>
      <c r="HFT667" s="112"/>
      <c r="HFU667" s="112"/>
      <c r="HFV667" s="112"/>
      <c r="HFW667" s="112"/>
      <c r="HFX667" s="112"/>
      <c r="HFY667" s="112"/>
      <c r="HFZ667" s="112"/>
      <c r="HGA667" s="112"/>
      <c r="HGB667" s="112"/>
      <c r="HGC667" s="112"/>
      <c r="HGD667" s="112"/>
      <c r="HGE667" s="112"/>
      <c r="HGF667" s="112"/>
      <c r="HGG667" s="112"/>
      <c r="HGH667" s="112"/>
      <c r="HGI667" s="112"/>
      <c r="HGJ667" s="112"/>
      <c r="HGK667" s="112"/>
      <c r="HGL667" s="112"/>
      <c r="HGM667" s="112"/>
      <c r="HGN667" s="112"/>
      <c r="HGO667" s="112"/>
      <c r="HGP667" s="112"/>
      <c r="HGQ667" s="112"/>
      <c r="HGR667" s="112"/>
      <c r="HGS667" s="112"/>
      <c r="HGT667" s="112"/>
      <c r="HGU667" s="112"/>
      <c r="HGV667" s="112"/>
      <c r="HGW667" s="112"/>
      <c r="HGX667" s="112"/>
      <c r="HGY667" s="112"/>
      <c r="HGZ667" s="112"/>
      <c r="HHA667" s="112"/>
      <c r="HHB667" s="112"/>
      <c r="HHC667" s="112"/>
      <c r="HHD667" s="112"/>
      <c r="HHE667" s="112"/>
      <c r="HHF667" s="112"/>
      <c r="HHG667" s="112"/>
      <c r="HHH667" s="112"/>
      <c r="HHI667" s="112"/>
      <c r="HHJ667" s="112"/>
      <c r="HHK667" s="112"/>
      <c r="HHL667" s="112"/>
      <c r="HHM667" s="112"/>
      <c r="HHN667" s="112"/>
      <c r="HHO667" s="112"/>
      <c r="HHP667" s="112"/>
      <c r="HHQ667" s="112"/>
      <c r="HHR667" s="112"/>
      <c r="HHS667" s="112"/>
      <c r="HHT667" s="112"/>
      <c r="HHU667" s="112"/>
      <c r="HHV667" s="112"/>
      <c r="HHW667" s="112"/>
      <c r="HHX667" s="112"/>
      <c r="HHY667" s="112"/>
      <c r="HHZ667" s="112"/>
      <c r="HIA667" s="112"/>
      <c r="HIB667" s="112"/>
      <c r="HIC667" s="112"/>
      <c r="HID667" s="112"/>
      <c r="HIE667" s="112"/>
      <c r="HIF667" s="112"/>
      <c r="HIG667" s="112"/>
      <c r="HIH667" s="112"/>
      <c r="HII667" s="112"/>
      <c r="HIJ667" s="112"/>
      <c r="HIK667" s="112"/>
      <c r="HIL667" s="112"/>
      <c r="HIM667" s="112"/>
      <c r="HIN667" s="112"/>
      <c r="HIO667" s="112"/>
      <c r="HIP667" s="112"/>
      <c r="HIQ667" s="112"/>
      <c r="HIR667" s="112"/>
      <c r="HIS667" s="112"/>
      <c r="HIT667" s="112"/>
      <c r="HIU667" s="112"/>
      <c r="HIV667" s="112"/>
      <c r="HIW667" s="112"/>
      <c r="HIX667" s="112"/>
      <c r="HIY667" s="112"/>
      <c r="HIZ667" s="112"/>
      <c r="HJA667" s="112"/>
      <c r="HJB667" s="112"/>
      <c r="HJC667" s="112"/>
      <c r="HJD667" s="112"/>
      <c r="HJE667" s="112"/>
      <c r="HJF667" s="112"/>
      <c r="HJG667" s="112"/>
      <c r="HJH667" s="112"/>
      <c r="HJI667" s="112"/>
      <c r="HJJ667" s="112"/>
      <c r="HJK667" s="112"/>
      <c r="HJL667" s="112"/>
      <c r="HJM667" s="112"/>
      <c r="HJN667" s="112"/>
      <c r="HJO667" s="112"/>
      <c r="HJP667" s="112"/>
      <c r="HJQ667" s="112"/>
      <c r="HJR667" s="112"/>
      <c r="HJS667" s="112"/>
      <c r="HJT667" s="112"/>
      <c r="HJU667" s="112"/>
      <c r="HJV667" s="112"/>
      <c r="HJW667" s="112"/>
      <c r="HJX667" s="112"/>
      <c r="HJY667" s="112"/>
      <c r="HJZ667" s="112"/>
      <c r="HKA667" s="112"/>
      <c r="HKB667" s="112"/>
      <c r="HKC667" s="112"/>
      <c r="HKD667" s="112"/>
      <c r="HKE667" s="112"/>
      <c r="HKF667" s="112"/>
      <c r="HKG667" s="112"/>
      <c r="HKH667" s="112"/>
      <c r="HKI667" s="112"/>
      <c r="HKJ667" s="112"/>
      <c r="HKK667" s="112"/>
      <c r="HKL667" s="112"/>
      <c r="HKM667" s="112"/>
      <c r="HKN667" s="112"/>
      <c r="HKO667" s="112"/>
      <c r="HKP667" s="112"/>
      <c r="HKQ667" s="112"/>
      <c r="HKR667" s="112"/>
      <c r="HKS667" s="112"/>
      <c r="HKT667" s="112"/>
      <c r="HKU667" s="112"/>
      <c r="HKV667" s="112"/>
      <c r="HKW667" s="112"/>
      <c r="HKX667" s="112"/>
      <c r="HKY667" s="112"/>
      <c r="HKZ667" s="112"/>
      <c r="HLA667" s="112"/>
      <c r="HLB667" s="112"/>
      <c r="HLC667" s="112"/>
      <c r="HLD667" s="112"/>
      <c r="HLE667" s="112"/>
      <c r="HLF667" s="112"/>
      <c r="HLG667" s="112"/>
      <c r="HLH667" s="112"/>
      <c r="HLI667" s="112"/>
      <c r="HLJ667" s="112"/>
      <c r="HLK667" s="112"/>
      <c r="HLL667" s="112"/>
      <c r="HLM667" s="112"/>
      <c r="HLN667" s="112"/>
      <c r="HLO667" s="112"/>
      <c r="HLP667" s="112"/>
      <c r="HLQ667" s="112"/>
      <c r="HLR667" s="112"/>
      <c r="HLS667" s="112"/>
      <c r="HLT667" s="112"/>
      <c r="HLU667" s="112"/>
      <c r="HLV667" s="112"/>
      <c r="HLW667" s="112"/>
      <c r="HLX667" s="112"/>
      <c r="HLY667" s="112"/>
      <c r="HLZ667" s="112"/>
      <c r="HMA667" s="112"/>
      <c r="HMB667" s="112"/>
      <c r="HMC667" s="112"/>
      <c r="HMD667" s="112"/>
      <c r="HME667" s="112"/>
      <c r="HMF667" s="112"/>
      <c r="HMG667" s="112"/>
      <c r="HMH667" s="112"/>
      <c r="HMI667" s="112"/>
      <c r="HMJ667" s="112"/>
      <c r="HMK667" s="112"/>
      <c r="HML667" s="112"/>
      <c r="HMM667" s="112"/>
      <c r="HMN667" s="112"/>
      <c r="HMO667" s="112"/>
      <c r="HMP667" s="112"/>
      <c r="HMQ667" s="112"/>
      <c r="HMR667" s="112"/>
      <c r="HMS667" s="112"/>
      <c r="HMT667" s="112"/>
      <c r="HMU667" s="112"/>
      <c r="HMV667" s="112"/>
      <c r="HMW667" s="112"/>
      <c r="HMX667" s="112"/>
      <c r="HMY667" s="112"/>
      <c r="HMZ667" s="112"/>
      <c r="HNA667" s="112"/>
      <c r="HNB667" s="112"/>
      <c r="HNC667" s="112"/>
      <c r="HND667" s="112"/>
      <c r="HNE667" s="112"/>
      <c r="HNF667" s="112"/>
      <c r="HNG667" s="112"/>
      <c r="HNH667" s="112"/>
      <c r="HNI667" s="112"/>
      <c r="HNJ667" s="112"/>
      <c r="HNK667" s="112"/>
      <c r="HNL667" s="112"/>
      <c r="HNM667" s="112"/>
      <c r="HNN667" s="112"/>
      <c r="HNO667" s="112"/>
      <c r="HNP667" s="112"/>
      <c r="HNQ667" s="112"/>
      <c r="HNR667" s="112"/>
      <c r="HNS667" s="112"/>
      <c r="HNT667" s="112"/>
      <c r="HNU667" s="112"/>
      <c r="HNV667" s="112"/>
      <c r="HNW667" s="112"/>
      <c r="HNX667" s="112"/>
      <c r="HNY667" s="112"/>
      <c r="HNZ667" s="112"/>
      <c r="HOA667" s="112"/>
      <c r="HOB667" s="112"/>
      <c r="HOC667" s="112"/>
      <c r="HOD667" s="112"/>
      <c r="HOE667" s="112"/>
      <c r="HOF667" s="112"/>
      <c r="HOG667" s="112"/>
      <c r="HOH667" s="112"/>
      <c r="HOI667" s="112"/>
      <c r="HOJ667" s="112"/>
      <c r="HOK667" s="112"/>
      <c r="HOL667" s="112"/>
      <c r="HOM667" s="112"/>
      <c r="HON667" s="112"/>
      <c r="HOO667" s="112"/>
      <c r="HOP667" s="112"/>
      <c r="HOQ667" s="112"/>
      <c r="HOR667" s="112"/>
      <c r="HOS667" s="112"/>
      <c r="HOT667" s="112"/>
      <c r="HOU667" s="112"/>
      <c r="HOV667" s="112"/>
      <c r="HOW667" s="112"/>
      <c r="HOX667" s="112"/>
      <c r="HOY667" s="112"/>
      <c r="HOZ667" s="112"/>
      <c r="HPA667" s="112"/>
      <c r="HPB667" s="112"/>
      <c r="HPC667" s="112"/>
      <c r="HPD667" s="112"/>
      <c r="HPE667" s="112"/>
      <c r="HPF667" s="112"/>
      <c r="HPG667" s="112"/>
      <c r="HPH667" s="112"/>
      <c r="HPI667" s="112"/>
      <c r="HPJ667" s="112"/>
      <c r="HPK667" s="112"/>
      <c r="HPL667" s="112"/>
      <c r="HPM667" s="112"/>
      <c r="HPN667" s="112"/>
      <c r="HPO667" s="112"/>
      <c r="HPP667" s="112"/>
      <c r="HPQ667" s="112"/>
      <c r="HPR667" s="112"/>
      <c r="HPS667" s="112"/>
      <c r="HPT667" s="112"/>
      <c r="HPU667" s="112"/>
      <c r="HPV667" s="112"/>
      <c r="HPW667" s="112"/>
      <c r="HPX667" s="112"/>
      <c r="HPY667" s="112"/>
      <c r="HPZ667" s="112"/>
      <c r="HQA667" s="112"/>
      <c r="HQB667" s="112"/>
      <c r="HQC667" s="112"/>
      <c r="HQD667" s="112"/>
      <c r="HQE667" s="112"/>
      <c r="HQF667" s="112"/>
      <c r="HQG667" s="112"/>
      <c r="HQH667" s="112"/>
      <c r="HQI667" s="112"/>
      <c r="HQJ667" s="112"/>
      <c r="HQK667" s="112"/>
      <c r="HQL667" s="112"/>
      <c r="HQM667" s="112"/>
      <c r="HQN667" s="112"/>
      <c r="HQO667" s="112"/>
      <c r="HQP667" s="112"/>
      <c r="HQQ667" s="112"/>
      <c r="HQR667" s="112"/>
      <c r="HQS667" s="112"/>
      <c r="HQT667" s="112"/>
      <c r="HQU667" s="112"/>
      <c r="HQV667" s="112"/>
      <c r="HQW667" s="112"/>
      <c r="HQX667" s="112"/>
      <c r="HQY667" s="112"/>
      <c r="HQZ667" s="112"/>
      <c r="HRA667" s="112"/>
      <c r="HRB667" s="112"/>
      <c r="HRC667" s="112"/>
      <c r="HRD667" s="112"/>
      <c r="HRE667" s="112"/>
      <c r="HRF667" s="112"/>
      <c r="HRG667" s="112"/>
      <c r="HRH667" s="112"/>
      <c r="HRI667" s="112"/>
      <c r="HRJ667" s="112"/>
      <c r="HRK667" s="112"/>
      <c r="HRL667" s="112"/>
      <c r="HRM667" s="112"/>
      <c r="HRN667" s="112"/>
      <c r="HRO667" s="112"/>
      <c r="HRP667" s="112"/>
      <c r="HRQ667" s="112"/>
      <c r="HRR667" s="112"/>
      <c r="HRS667" s="112"/>
      <c r="HRT667" s="112"/>
      <c r="HRU667" s="112"/>
      <c r="HRV667" s="112"/>
      <c r="HRW667" s="112"/>
      <c r="HRX667" s="112"/>
      <c r="HRY667" s="112"/>
      <c r="HRZ667" s="112"/>
      <c r="HSA667" s="112"/>
      <c r="HSB667" s="112"/>
      <c r="HSC667" s="112"/>
      <c r="HSD667" s="112"/>
      <c r="HSE667" s="112"/>
      <c r="HSF667" s="112"/>
      <c r="HSG667" s="112"/>
      <c r="HSH667" s="112"/>
      <c r="HSI667" s="112"/>
      <c r="HSJ667" s="112"/>
      <c r="HSK667" s="112"/>
      <c r="HSL667" s="112"/>
      <c r="HSM667" s="112"/>
      <c r="HSN667" s="112"/>
      <c r="HSO667" s="112"/>
      <c r="HSP667" s="112"/>
      <c r="HSQ667" s="112"/>
      <c r="HSR667" s="112"/>
      <c r="HSS667" s="112"/>
      <c r="HST667" s="112"/>
      <c r="HSU667" s="112"/>
      <c r="HSV667" s="112"/>
      <c r="HSW667" s="112"/>
      <c r="HSX667" s="112"/>
      <c r="HSY667" s="112"/>
      <c r="HSZ667" s="112"/>
      <c r="HTA667" s="112"/>
      <c r="HTB667" s="112"/>
      <c r="HTC667" s="112"/>
      <c r="HTD667" s="112"/>
      <c r="HTE667" s="112"/>
      <c r="HTF667" s="112"/>
      <c r="HTG667" s="112"/>
      <c r="HTH667" s="112"/>
      <c r="HTI667" s="112"/>
      <c r="HTJ667" s="112"/>
      <c r="HTK667" s="112"/>
      <c r="HTL667" s="112"/>
      <c r="HTM667" s="112"/>
      <c r="HTN667" s="112"/>
      <c r="HTO667" s="112"/>
      <c r="HTP667" s="112"/>
      <c r="HTQ667" s="112"/>
      <c r="HTR667" s="112"/>
      <c r="HTS667" s="112"/>
      <c r="HTT667" s="112"/>
      <c r="HTU667" s="112"/>
      <c r="HTV667" s="112"/>
      <c r="HTW667" s="112"/>
      <c r="HTX667" s="112"/>
      <c r="HTY667" s="112"/>
      <c r="HTZ667" s="112"/>
      <c r="HUA667" s="112"/>
      <c r="HUB667" s="112"/>
      <c r="HUC667" s="112"/>
      <c r="HUD667" s="112"/>
      <c r="HUE667" s="112"/>
      <c r="HUF667" s="112"/>
      <c r="HUG667" s="112"/>
      <c r="HUH667" s="112"/>
      <c r="HUI667" s="112"/>
      <c r="HUJ667" s="112"/>
      <c r="HUK667" s="112"/>
      <c r="HUL667" s="112"/>
      <c r="HUM667" s="112"/>
      <c r="HUN667" s="112"/>
      <c r="HUO667" s="112"/>
      <c r="HUP667" s="112"/>
      <c r="HUQ667" s="112"/>
      <c r="HUR667" s="112"/>
      <c r="HUS667" s="112"/>
      <c r="HUT667" s="112"/>
      <c r="HUU667" s="112"/>
      <c r="HUV667" s="112"/>
      <c r="HUW667" s="112"/>
      <c r="HUX667" s="112"/>
      <c r="HUY667" s="112"/>
      <c r="HUZ667" s="112"/>
      <c r="HVA667" s="112"/>
      <c r="HVB667" s="112"/>
      <c r="HVC667" s="112"/>
      <c r="HVD667" s="112"/>
      <c r="HVE667" s="112"/>
      <c r="HVF667" s="112"/>
      <c r="HVG667" s="112"/>
      <c r="HVH667" s="112"/>
      <c r="HVI667" s="112"/>
      <c r="HVJ667" s="112"/>
      <c r="HVK667" s="112"/>
      <c r="HVL667" s="112"/>
      <c r="HVM667" s="112"/>
      <c r="HVN667" s="112"/>
      <c r="HVO667" s="112"/>
      <c r="HVP667" s="112"/>
      <c r="HVQ667" s="112"/>
      <c r="HVR667" s="112"/>
      <c r="HVS667" s="112"/>
      <c r="HVT667" s="112"/>
      <c r="HVU667" s="112"/>
      <c r="HVV667" s="112"/>
      <c r="HVW667" s="112"/>
      <c r="HVX667" s="112"/>
      <c r="HVY667" s="112"/>
      <c r="HVZ667" s="112"/>
      <c r="HWA667" s="112"/>
      <c r="HWB667" s="112"/>
      <c r="HWC667" s="112"/>
      <c r="HWD667" s="112"/>
      <c r="HWE667" s="112"/>
      <c r="HWF667" s="112"/>
      <c r="HWG667" s="112"/>
      <c r="HWH667" s="112"/>
      <c r="HWI667" s="112"/>
      <c r="HWJ667" s="112"/>
      <c r="HWK667" s="112"/>
      <c r="HWL667" s="112"/>
      <c r="HWM667" s="112"/>
      <c r="HWN667" s="112"/>
      <c r="HWO667" s="112"/>
      <c r="HWP667" s="112"/>
      <c r="HWQ667" s="112"/>
      <c r="HWR667" s="112"/>
      <c r="HWS667" s="112"/>
      <c r="HWT667" s="112"/>
      <c r="HWU667" s="112"/>
      <c r="HWV667" s="112"/>
      <c r="HWW667" s="112"/>
      <c r="HWX667" s="112"/>
      <c r="HWY667" s="112"/>
      <c r="HWZ667" s="112"/>
      <c r="HXA667" s="112"/>
      <c r="HXB667" s="112"/>
      <c r="HXC667" s="112"/>
      <c r="HXD667" s="112"/>
      <c r="HXE667" s="112"/>
      <c r="HXF667" s="112"/>
      <c r="HXG667" s="112"/>
      <c r="HXH667" s="112"/>
      <c r="HXI667" s="112"/>
      <c r="HXJ667" s="112"/>
      <c r="HXK667" s="112"/>
      <c r="HXL667" s="112"/>
      <c r="HXM667" s="112"/>
      <c r="HXN667" s="112"/>
      <c r="HXO667" s="112"/>
      <c r="HXP667" s="112"/>
      <c r="HXQ667" s="112"/>
      <c r="HXR667" s="112"/>
      <c r="HXS667" s="112"/>
      <c r="HXT667" s="112"/>
      <c r="HXU667" s="112"/>
      <c r="HXV667" s="112"/>
      <c r="HXW667" s="112"/>
      <c r="HXX667" s="112"/>
      <c r="HXY667" s="112"/>
      <c r="HXZ667" s="112"/>
      <c r="HYA667" s="112"/>
      <c r="HYB667" s="112"/>
      <c r="HYC667" s="112"/>
      <c r="HYD667" s="112"/>
      <c r="HYE667" s="112"/>
      <c r="HYF667" s="112"/>
      <c r="HYG667" s="112"/>
      <c r="HYH667" s="112"/>
      <c r="HYI667" s="112"/>
      <c r="HYJ667" s="112"/>
      <c r="HYK667" s="112"/>
      <c r="HYL667" s="112"/>
      <c r="HYM667" s="112"/>
      <c r="HYN667" s="112"/>
      <c r="HYO667" s="112"/>
      <c r="HYP667" s="112"/>
      <c r="HYQ667" s="112"/>
      <c r="HYR667" s="112"/>
      <c r="HYS667" s="112"/>
      <c r="HYT667" s="112"/>
      <c r="HYU667" s="112"/>
      <c r="HYV667" s="112"/>
      <c r="HYW667" s="112"/>
      <c r="HYX667" s="112"/>
      <c r="HYY667" s="112"/>
      <c r="HYZ667" s="112"/>
      <c r="HZA667" s="112"/>
      <c r="HZB667" s="112"/>
      <c r="HZC667" s="112"/>
      <c r="HZD667" s="112"/>
      <c r="HZE667" s="112"/>
      <c r="HZF667" s="112"/>
      <c r="HZG667" s="112"/>
      <c r="HZH667" s="112"/>
      <c r="HZI667" s="112"/>
      <c r="HZJ667" s="112"/>
      <c r="HZK667" s="112"/>
      <c r="HZL667" s="112"/>
      <c r="HZM667" s="112"/>
      <c r="HZN667" s="112"/>
      <c r="HZO667" s="112"/>
      <c r="HZP667" s="112"/>
      <c r="HZQ667" s="112"/>
      <c r="HZR667" s="112"/>
      <c r="HZS667" s="112"/>
      <c r="HZT667" s="112"/>
      <c r="HZU667" s="112"/>
      <c r="HZV667" s="112"/>
      <c r="HZW667" s="112"/>
      <c r="HZX667" s="112"/>
      <c r="HZY667" s="112"/>
      <c r="HZZ667" s="112"/>
      <c r="IAA667" s="112"/>
      <c r="IAB667" s="112"/>
      <c r="IAC667" s="112"/>
      <c r="IAD667" s="112"/>
      <c r="IAE667" s="112"/>
      <c r="IAF667" s="112"/>
      <c r="IAG667" s="112"/>
      <c r="IAH667" s="112"/>
      <c r="IAI667" s="112"/>
      <c r="IAJ667" s="112"/>
      <c r="IAK667" s="112"/>
      <c r="IAL667" s="112"/>
      <c r="IAM667" s="112"/>
      <c r="IAN667" s="112"/>
      <c r="IAO667" s="112"/>
      <c r="IAP667" s="112"/>
      <c r="IAQ667" s="112"/>
      <c r="IAR667" s="112"/>
      <c r="IAS667" s="112"/>
      <c r="IAT667" s="112"/>
      <c r="IAU667" s="112"/>
      <c r="IAV667" s="112"/>
      <c r="IAW667" s="112"/>
      <c r="IAX667" s="112"/>
      <c r="IAY667" s="112"/>
      <c r="IAZ667" s="112"/>
      <c r="IBA667" s="112"/>
      <c r="IBB667" s="112"/>
      <c r="IBC667" s="112"/>
      <c r="IBD667" s="112"/>
      <c r="IBE667" s="112"/>
      <c r="IBF667" s="112"/>
      <c r="IBG667" s="112"/>
      <c r="IBH667" s="112"/>
      <c r="IBI667" s="112"/>
      <c r="IBJ667" s="112"/>
      <c r="IBK667" s="112"/>
      <c r="IBL667" s="112"/>
      <c r="IBM667" s="112"/>
      <c r="IBN667" s="112"/>
      <c r="IBO667" s="112"/>
      <c r="IBP667" s="112"/>
      <c r="IBQ667" s="112"/>
      <c r="IBR667" s="112"/>
      <c r="IBS667" s="112"/>
      <c r="IBT667" s="112"/>
      <c r="IBU667" s="112"/>
      <c r="IBV667" s="112"/>
      <c r="IBW667" s="112"/>
      <c r="IBX667" s="112"/>
      <c r="IBY667" s="112"/>
      <c r="IBZ667" s="112"/>
      <c r="ICA667" s="112"/>
      <c r="ICB667" s="112"/>
      <c r="ICC667" s="112"/>
      <c r="ICD667" s="112"/>
      <c r="ICE667" s="112"/>
      <c r="ICF667" s="112"/>
      <c r="ICG667" s="112"/>
      <c r="ICH667" s="112"/>
      <c r="ICI667" s="112"/>
      <c r="ICJ667" s="112"/>
      <c r="ICK667" s="112"/>
      <c r="ICL667" s="112"/>
      <c r="ICM667" s="112"/>
      <c r="ICN667" s="112"/>
      <c r="ICO667" s="112"/>
      <c r="ICP667" s="112"/>
      <c r="ICQ667" s="112"/>
      <c r="ICR667" s="112"/>
      <c r="ICS667" s="112"/>
      <c r="ICT667" s="112"/>
      <c r="ICU667" s="112"/>
      <c r="ICV667" s="112"/>
      <c r="ICW667" s="112"/>
      <c r="ICX667" s="112"/>
      <c r="ICY667" s="112"/>
      <c r="ICZ667" s="112"/>
      <c r="IDA667" s="112"/>
      <c r="IDB667" s="112"/>
      <c r="IDC667" s="112"/>
      <c r="IDD667" s="112"/>
      <c r="IDE667" s="112"/>
      <c r="IDF667" s="112"/>
      <c r="IDG667" s="112"/>
      <c r="IDH667" s="112"/>
      <c r="IDI667" s="112"/>
      <c r="IDJ667" s="112"/>
      <c r="IDK667" s="112"/>
      <c r="IDL667" s="112"/>
      <c r="IDM667" s="112"/>
      <c r="IDN667" s="112"/>
      <c r="IDO667" s="112"/>
      <c r="IDP667" s="112"/>
      <c r="IDQ667" s="112"/>
      <c r="IDR667" s="112"/>
      <c r="IDS667" s="112"/>
      <c r="IDT667" s="112"/>
      <c r="IDU667" s="112"/>
      <c r="IDV667" s="112"/>
      <c r="IDW667" s="112"/>
      <c r="IDX667" s="112"/>
      <c r="IDY667" s="112"/>
      <c r="IDZ667" s="112"/>
      <c r="IEA667" s="112"/>
      <c r="IEB667" s="112"/>
      <c r="IEC667" s="112"/>
      <c r="IED667" s="112"/>
      <c r="IEE667" s="112"/>
      <c r="IEF667" s="112"/>
      <c r="IEG667" s="112"/>
      <c r="IEH667" s="112"/>
      <c r="IEI667" s="112"/>
      <c r="IEJ667" s="112"/>
      <c r="IEK667" s="112"/>
      <c r="IEL667" s="112"/>
      <c r="IEM667" s="112"/>
      <c r="IEN667" s="112"/>
      <c r="IEO667" s="112"/>
      <c r="IEP667" s="112"/>
      <c r="IEQ667" s="112"/>
      <c r="IER667" s="112"/>
      <c r="IES667" s="112"/>
      <c r="IET667" s="112"/>
      <c r="IEU667" s="112"/>
      <c r="IEV667" s="112"/>
      <c r="IEW667" s="112"/>
      <c r="IEX667" s="112"/>
      <c r="IEY667" s="112"/>
      <c r="IEZ667" s="112"/>
      <c r="IFA667" s="112"/>
      <c r="IFB667" s="112"/>
      <c r="IFC667" s="112"/>
      <c r="IFD667" s="112"/>
      <c r="IFE667" s="112"/>
      <c r="IFF667" s="112"/>
      <c r="IFG667" s="112"/>
      <c r="IFH667" s="112"/>
      <c r="IFI667" s="112"/>
      <c r="IFJ667" s="112"/>
      <c r="IFK667" s="112"/>
      <c r="IFL667" s="112"/>
      <c r="IFM667" s="112"/>
      <c r="IFN667" s="112"/>
      <c r="IFO667" s="112"/>
      <c r="IFP667" s="112"/>
      <c r="IFQ667" s="112"/>
      <c r="IFR667" s="112"/>
      <c r="IFS667" s="112"/>
      <c r="IFT667" s="112"/>
      <c r="IFU667" s="112"/>
      <c r="IFV667" s="112"/>
      <c r="IFW667" s="112"/>
      <c r="IFX667" s="112"/>
      <c r="IFY667" s="112"/>
      <c r="IFZ667" s="112"/>
      <c r="IGA667" s="112"/>
      <c r="IGB667" s="112"/>
      <c r="IGC667" s="112"/>
      <c r="IGD667" s="112"/>
      <c r="IGE667" s="112"/>
      <c r="IGF667" s="112"/>
      <c r="IGG667" s="112"/>
      <c r="IGH667" s="112"/>
      <c r="IGI667" s="112"/>
      <c r="IGJ667" s="112"/>
      <c r="IGK667" s="112"/>
      <c r="IGL667" s="112"/>
      <c r="IGM667" s="112"/>
      <c r="IGN667" s="112"/>
      <c r="IGO667" s="112"/>
      <c r="IGP667" s="112"/>
      <c r="IGQ667" s="112"/>
      <c r="IGR667" s="112"/>
      <c r="IGS667" s="112"/>
      <c r="IGT667" s="112"/>
      <c r="IGU667" s="112"/>
      <c r="IGV667" s="112"/>
      <c r="IGW667" s="112"/>
      <c r="IGX667" s="112"/>
      <c r="IGY667" s="112"/>
      <c r="IGZ667" s="112"/>
      <c r="IHA667" s="112"/>
      <c r="IHB667" s="112"/>
      <c r="IHC667" s="112"/>
      <c r="IHD667" s="112"/>
      <c r="IHE667" s="112"/>
      <c r="IHF667" s="112"/>
      <c r="IHG667" s="112"/>
      <c r="IHH667" s="112"/>
      <c r="IHI667" s="112"/>
      <c r="IHJ667" s="112"/>
      <c r="IHK667" s="112"/>
      <c r="IHL667" s="112"/>
      <c r="IHM667" s="112"/>
      <c r="IHN667" s="112"/>
      <c r="IHO667" s="112"/>
      <c r="IHP667" s="112"/>
      <c r="IHQ667" s="112"/>
      <c r="IHR667" s="112"/>
      <c r="IHS667" s="112"/>
      <c r="IHT667" s="112"/>
      <c r="IHU667" s="112"/>
      <c r="IHV667" s="112"/>
      <c r="IHW667" s="112"/>
      <c r="IHX667" s="112"/>
      <c r="IHY667" s="112"/>
      <c r="IHZ667" s="112"/>
      <c r="IIA667" s="112"/>
      <c r="IIB667" s="112"/>
      <c r="IIC667" s="112"/>
      <c r="IID667" s="112"/>
      <c r="IIE667" s="112"/>
      <c r="IIF667" s="112"/>
      <c r="IIG667" s="112"/>
      <c r="IIH667" s="112"/>
      <c r="III667" s="112"/>
      <c r="IIJ667" s="112"/>
      <c r="IIK667" s="112"/>
      <c r="IIL667" s="112"/>
      <c r="IIM667" s="112"/>
      <c r="IIN667" s="112"/>
      <c r="IIO667" s="112"/>
      <c r="IIP667" s="112"/>
      <c r="IIQ667" s="112"/>
      <c r="IIR667" s="112"/>
      <c r="IIS667" s="112"/>
      <c r="IIT667" s="112"/>
      <c r="IIU667" s="112"/>
      <c r="IIV667" s="112"/>
      <c r="IIW667" s="112"/>
      <c r="IIX667" s="112"/>
      <c r="IIY667" s="112"/>
      <c r="IIZ667" s="112"/>
      <c r="IJA667" s="112"/>
      <c r="IJB667" s="112"/>
      <c r="IJC667" s="112"/>
      <c r="IJD667" s="112"/>
      <c r="IJE667" s="112"/>
      <c r="IJF667" s="112"/>
      <c r="IJG667" s="112"/>
      <c r="IJH667" s="112"/>
      <c r="IJI667" s="112"/>
      <c r="IJJ667" s="112"/>
      <c r="IJK667" s="112"/>
      <c r="IJL667" s="112"/>
      <c r="IJM667" s="112"/>
      <c r="IJN667" s="112"/>
      <c r="IJO667" s="112"/>
      <c r="IJP667" s="112"/>
      <c r="IJQ667" s="112"/>
      <c r="IJR667" s="112"/>
      <c r="IJS667" s="112"/>
      <c r="IJT667" s="112"/>
      <c r="IJU667" s="112"/>
      <c r="IJV667" s="112"/>
      <c r="IJW667" s="112"/>
      <c r="IJX667" s="112"/>
      <c r="IJY667" s="112"/>
      <c r="IJZ667" s="112"/>
      <c r="IKA667" s="112"/>
      <c r="IKB667" s="112"/>
      <c r="IKC667" s="112"/>
      <c r="IKD667" s="112"/>
      <c r="IKE667" s="112"/>
      <c r="IKF667" s="112"/>
      <c r="IKG667" s="112"/>
      <c r="IKH667" s="112"/>
      <c r="IKI667" s="112"/>
      <c r="IKJ667" s="112"/>
      <c r="IKK667" s="112"/>
      <c r="IKL667" s="112"/>
      <c r="IKM667" s="112"/>
      <c r="IKN667" s="112"/>
      <c r="IKO667" s="112"/>
      <c r="IKP667" s="112"/>
      <c r="IKQ667" s="112"/>
      <c r="IKR667" s="112"/>
      <c r="IKS667" s="112"/>
      <c r="IKT667" s="112"/>
      <c r="IKU667" s="112"/>
      <c r="IKV667" s="112"/>
      <c r="IKW667" s="112"/>
      <c r="IKX667" s="112"/>
      <c r="IKY667" s="112"/>
      <c r="IKZ667" s="112"/>
      <c r="ILA667" s="112"/>
      <c r="ILB667" s="112"/>
      <c r="ILC667" s="112"/>
      <c r="ILD667" s="112"/>
      <c r="ILE667" s="112"/>
      <c r="ILF667" s="112"/>
      <c r="ILG667" s="112"/>
      <c r="ILH667" s="112"/>
      <c r="ILI667" s="112"/>
      <c r="ILJ667" s="112"/>
      <c r="ILK667" s="112"/>
      <c r="ILL667" s="112"/>
      <c r="ILM667" s="112"/>
      <c r="ILN667" s="112"/>
      <c r="ILO667" s="112"/>
      <c r="ILP667" s="112"/>
      <c r="ILQ667" s="112"/>
      <c r="ILR667" s="112"/>
      <c r="ILS667" s="112"/>
      <c r="ILT667" s="112"/>
      <c r="ILU667" s="112"/>
      <c r="ILV667" s="112"/>
      <c r="ILW667" s="112"/>
      <c r="ILX667" s="112"/>
      <c r="ILY667" s="112"/>
      <c r="ILZ667" s="112"/>
      <c r="IMA667" s="112"/>
      <c r="IMB667" s="112"/>
      <c r="IMC667" s="112"/>
      <c r="IMD667" s="112"/>
      <c r="IME667" s="112"/>
      <c r="IMF667" s="112"/>
      <c r="IMG667" s="112"/>
      <c r="IMH667" s="112"/>
      <c r="IMI667" s="112"/>
      <c r="IMJ667" s="112"/>
      <c r="IMK667" s="112"/>
      <c r="IML667" s="112"/>
      <c r="IMM667" s="112"/>
      <c r="IMN667" s="112"/>
      <c r="IMO667" s="112"/>
      <c r="IMP667" s="112"/>
      <c r="IMQ667" s="112"/>
      <c r="IMR667" s="112"/>
      <c r="IMS667" s="112"/>
      <c r="IMT667" s="112"/>
      <c r="IMU667" s="112"/>
      <c r="IMV667" s="112"/>
      <c r="IMW667" s="112"/>
      <c r="IMX667" s="112"/>
      <c r="IMY667" s="112"/>
      <c r="IMZ667" s="112"/>
      <c r="INA667" s="112"/>
      <c r="INB667" s="112"/>
      <c r="INC667" s="112"/>
      <c r="IND667" s="112"/>
      <c r="INE667" s="112"/>
      <c r="INF667" s="112"/>
      <c r="ING667" s="112"/>
      <c r="INH667" s="112"/>
      <c r="INI667" s="112"/>
      <c r="INJ667" s="112"/>
      <c r="INK667" s="112"/>
      <c r="INL667" s="112"/>
      <c r="INM667" s="112"/>
      <c r="INN667" s="112"/>
      <c r="INO667" s="112"/>
      <c r="INP667" s="112"/>
      <c r="INQ667" s="112"/>
      <c r="INR667" s="112"/>
      <c r="INS667" s="112"/>
      <c r="INT667" s="112"/>
      <c r="INU667" s="112"/>
      <c r="INV667" s="112"/>
      <c r="INW667" s="112"/>
      <c r="INX667" s="112"/>
      <c r="INY667" s="112"/>
      <c r="INZ667" s="112"/>
      <c r="IOA667" s="112"/>
      <c r="IOB667" s="112"/>
      <c r="IOC667" s="112"/>
      <c r="IOD667" s="112"/>
      <c r="IOE667" s="112"/>
      <c r="IOF667" s="112"/>
      <c r="IOG667" s="112"/>
      <c r="IOH667" s="112"/>
      <c r="IOI667" s="112"/>
      <c r="IOJ667" s="112"/>
      <c r="IOK667" s="112"/>
      <c r="IOL667" s="112"/>
      <c r="IOM667" s="112"/>
      <c r="ION667" s="112"/>
      <c r="IOO667" s="112"/>
      <c r="IOP667" s="112"/>
      <c r="IOQ667" s="112"/>
      <c r="IOR667" s="112"/>
      <c r="IOS667" s="112"/>
      <c r="IOT667" s="112"/>
      <c r="IOU667" s="112"/>
      <c r="IOV667" s="112"/>
      <c r="IOW667" s="112"/>
      <c r="IOX667" s="112"/>
      <c r="IOY667" s="112"/>
      <c r="IOZ667" s="112"/>
      <c r="IPA667" s="112"/>
      <c r="IPB667" s="112"/>
      <c r="IPC667" s="112"/>
      <c r="IPD667" s="112"/>
      <c r="IPE667" s="112"/>
      <c r="IPF667" s="112"/>
      <c r="IPG667" s="112"/>
      <c r="IPH667" s="112"/>
      <c r="IPI667" s="112"/>
      <c r="IPJ667" s="112"/>
      <c r="IPK667" s="112"/>
      <c r="IPL667" s="112"/>
      <c r="IPM667" s="112"/>
      <c r="IPN667" s="112"/>
      <c r="IPO667" s="112"/>
      <c r="IPP667" s="112"/>
      <c r="IPQ667" s="112"/>
      <c r="IPR667" s="112"/>
      <c r="IPS667" s="112"/>
      <c r="IPT667" s="112"/>
      <c r="IPU667" s="112"/>
      <c r="IPV667" s="112"/>
      <c r="IPW667" s="112"/>
      <c r="IPX667" s="112"/>
      <c r="IPY667" s="112"/>
      <c r="IPZ667" s="112"/>
      <c r="IQA667" s="112"/>
      <c r="IQB667" s="112"/>
      <c r="IQC667" s="112"/>
      <c r="IQD667" s="112"/>
      <c r="IQE667" s="112"/>
      <c r="IQF667" s="112"/>
      <c r="IQG667" s="112"/>
      <c r="IQH667" s="112"/>
      <c r="IQI667" s="112"/>
      <c r="IQJ667" s="112"/>
      <c r="IQK667" s="112"/>
      <c r="IQL667" s="112"/>
      <c r="IQM667" s="112"/>
      <c r="IQN667" s="112"/>
      <c r="IQO667" s="112"/>
      <c r="IQP667" s="112"/>
      <c r="IQQ667" s="112"/>
      <c r="IQR667" s="112"/>
      <c r="IQS667" s="112"/>
      <c r="IQT667" s="112"/>
      <c r="IQU667" s="112"/>
      <c r="IQV667" s="112"/>
      <c r="IQW667" s="112"/>
      <c r="IQX667" s="112"/>
      <c r="IQY667" s="112"/>
      <c r="IQZ667" s="112"/>
      <c r="IRA667" s="112"/>
      <c r="IRB667" s="112"/>
      <c r="IRC667" s="112"/>
      <c r="IRD667" s="112"/>
      <c r="IRE667" s="112"/>
      <c r="IRF667" s="112"/>
      <c r="IRG667" s="112"/>
      <c r="IRH667" s="112"/>
      <c r="IRI667" s="112"/>
      <c r="IRJ667" s="112"/>
      <c r="IRK667" s="112"/>
      <c r="IRL667" s="112"/>
      <c r="IRM667" s="112"/>
      <c r="IRN667" s="112"/>
      <c r="IRO667" s="112"/>
      <c r="IRP667" s="112"/>
      <c r="IRQ667" s="112"/>
      <c r="IRR667" s="112"/>
      <c r="IRS667" s="112"/>
      <c r="IRT667" s="112"/>
      <c r="IRU667" s="112"/>
      <c r="IRV667" s="112"/>
      <c r="IRW667" s="112"/>
      <c r="IRX667" s="112"/>
      <c r="IRY667" s="112"/>
      <c r="IRZ667" s="112"/>
      <c r="ISA667" s="112"/>
      <c r="ISB667" s="112"/>
      <c r="ISC667" s="112"/>
      <c r="ISD667" s="112"/>
      <c r="ISE667" s="112"/>
      <c r="ISF667" s="112"/>
      <c r="ISG667" s="112"/>
      <c r="ISH667" s="112"/>
      <c r="ISI667" s="112"/>
      <c r="ISJ667" s="112"/>
      <c r="ISK667" s="112"/>
      <c r="ISL667" s="112"/>
      <c r="ISM667" s="112"/>
      <c r="ISN667" s="112"/>
      <c r="ISO667" s="112"/>
      <c r="ISP667" s="112"/>
      <c r="ISQ667" s="112"/>
      <c r="ISR667" s="112"/>
      <c r="ISS667" s="112"/>
      <c r="IST667" s="112"/>
      <c r="ISU667" s="112"/>
      <c r="ISV667" s="112"/>
      <c r="ISW667" s="112"/>
      <c r="ISX667" s="112"/>
      <c r="ISY667" s="112"/>
      <c r="ISZ667" s="112"/>
      <c r="ITA667" s="112"/>
      <c r="ITB667" s="112"/>
      <c r="ITC667" s="112"/>
      <c r="ITD667" s="112"/>
      <c r="ITE667" s="112"/>
      <c r="ITF667" s="112"/>
      <c r="ITG667" s="112"/>
      <c r="ITH667" s="112"/>
      <c r="ITI667" s="112"/>
      <c r="ITJ667" s="112"/>
      <c r="ITK667" s="112"/>
      <c r="ITL667" s="112"/>
      <c r="ITM667" s="112"/>
      <c r="ITN667" s="112"/>
      <c r="ITO667" s="112"/>
      <c r="ITP667" s="112"/>
      <c r="ITQ667" s="112"/>
      <c r="ITR667" s="112"/>
      <c r="ITS667" s="112"/>
      <c r="ITT667" s="112"/>
      <c r="ITU667" s="112"/>
      <c r="ITV667" s="112"/>
      <c r="ITW667" s="112"/>
      <c r="ITX667" s="112"/>
      <c r="ITY667" s="112"/>
      <c r="ITZ667" s="112"/>
      <c r="IUA667" s="112"/>
      <c r="IUB667" s="112"/>
      <c r="IUC667" s="112"/>
      <c r="IUD667" s="112"/>
      <c r="IUE667" s="112"/>
      <c r="IUF667" s="112"/>
      <c r="IUG667" s="112"/>
      <c r="IUH667" s="112"/>
      <c r="IUI667" s="112"/>
      <c r="IUJ667" s="112"/>
      <c r="IUK667" s="112"/>
      <c r="IUL667" s="112"/>
      <c r="IUM667" s="112"/>
      <c r="IUN667" s="112"/>
      <c r="IUO667" s="112"/>
      <c r="IUP667" s="112"/>
      <c r="IUQ667" s="112"/>
      <c r="IUR667" s="112"/>
      <c r="IUS667" s="112"/>
      <c r="IUT667" s="112"/>
      <c r="IUU667" s="112"/>
      <c r="IUV667" s="112"/>
      <c r="IUW667" s="112"/>
      <c r="IUX667" s="112"/>
      <c r="IUY667" s="112"/>
      <c r="IUZ667" s="112"/>
      <c r="IVA667" s="112"/>
      <c r="IVB667" s="112"/>
      <c r="IVC667" s="112"/>
      <c r="IVD667" s="112"/>
      <c r="IVE667" s="112"/>
      <c r="IVF667" s="112"/>
      <c r="IVG667" s="112"/>
      <c r="IVH667" s="112"/>
      <c r="IVI667" s="112"/>
      <c r="IVJ667" s="112"/>
      <c r="IVK667" s="112"/>
      <c r="IVL667" s="112"/>
      <c r="IVM667" s="112"/>
      <c r="IVN667" s="112"/>
      <c r="IVO667" s="112"/>
      <c r="IVP667" s="112"/>
      <c r="IVQ667" s="112"/>
      <c r="IVR667" s="112"/>
      <c r="IVS667" s="112"/>
      <c r="IVT667" s="112"/>
      <c r="IVU667" s="112"/>
      <c r="IVV667" s="112"/>
      <c r="IVW667" s="112"/>
      <c r="IVX667" s="112"/>
      <c r="IVY667" s="112"/>
      <c r="IVZ667" s="112"/>
      <c r="IWA667" s="112"/>
      <c r="IWB667" s="112"/>
      <c r="IWC667" s="112"/>
      <c r="IWD667" s="112"/>
      <c r="IWE667" s="112"/>
      <c r="IWF667" s="112"/>
      <c r="IWG667" s="112"/>
      <c r="IWH667" s="112"/>
      <c r="IWI667" s="112"/>
      <c r="IWJ667" s="112"/>
      <c r="IWK667" s="112"/>
      <c r="IWL667" s="112"/>
      <c r="IWM667" s="112"/>
      <c r="IWN667" s="112"/>
      <c r="IWO667" s="112"/>
      <c r="IWP667" s="112"/>
      <c r="IWQ667" s="112"/>
      <c r="IWR667" s="112"/>
      <c r="IWS667" s="112"/>
      <c r="IWT667" s="112"/>
      <c r="IWU667" s="112"/>
      <c r="IWV667" s="112"/>
      <c r="IWW667" s="112"/>
      <c r="IWX667" s="112"/>
      <c r="IWY667" s="112"/>
      <c r="IWZ667" s="112"/>
      <c r="IXA667" s="112"/>
      <c r="IXB667" s="112"/>
      <c r="IXC667" s="112"/>
      <c r="IXD667" s="112"/>
      <c r="IXE667" s="112"/>
      <c r="IXF667" s="112"/>
      <c r="IXG667" s="112"/>
      <c r="IXH667" s="112"/>
      <c r="IXI667" s="112"/>
      <c r="IXJ667" s="112"/>
      <c r="IXK667" s="112"/>
      <c r="IXL667" s="112"/>
      <c r="IXM667" s="112"/>
      <c r="IXN667" s="112"/>
      <c r="IXO667" s="112"/>
      <c r="IXP667" s="112"/>
      <c r="IXQ667" s="112"/>
      <c r="IXR667" s="112"/>
      <c r="IXS667" s="112"/>
      <c r="IXT667" s="112"/>
      <c r="IXU667" s="112"/>
      <c r="IXV667" s="112"/>
      <c r="IXW667" s="112"/>
      <c r="IXX667" s="112"/>
      <c r="IXY667" s="112"/>
      <c r="IXZ667" s="112"/>
      <c r="IYA667" s="112"/>
      <c r="IYB667" s="112"/>
      <c r="IYC667" s="112"/>
      <c r="IYD667" s="112"/>
      <c r="IYE667" s="112"/>
      <c r="IYF667" s="112"/>
      <c r="IYG667" s="112"/>
      <c r="IYH667" s="112"/>
      <c r="IYI667" s="112"/>
      <c r="IYJ667" s="112"/>
      <c r="IYK667" s="112"/>
      <c r="IYL667" s="112"/>
      <c r="IYM667" s="112"/>
      <c r="IYN667" s="112"/>
      <c r="IYO667" s="112"/>
      <c r="IYP667" s="112"/>
      <c r="IYQ667" s="112"/>
      <c r="IYR667" s="112"/>
      <c r="IYS667" s="112"/>
      <c r="IYT667" s="112"/>
      <c r="IYU667" s="112"/>
      <c r="IYV667" s="112"/>
      <c r="IYW667" s="112"/>
      <c r="IYX667" s="112"/>
      <c r="IYY667" s="112"/>
      <c r="IYZ667" s="112"/>
      <c r="IZA667" s="112"/>
      <c r="IZB667" s="112"/>
      <c r="IZC667" s="112"/>
      <c r="IZD667" s="112"/>
      <c r="IZE667" s="112"/>
      <c r="IZF667" s="112"/>
      <c r="IZG667" s="112"/>
      <c r="IZH667" s="112"/>
      <c r="IZI667" s="112"/>
      <c r="IZJ667" s="112"/>
      <c r="IZK667" s="112"/>
      <c r="IZL667" s="112"/>
      <c r="IZM667" s="112"/>
      <c r="IZN667" s="112"/>
      <c r="IZO667" s="112"/>
      <c r="IZP667" s="112"/>
      <c r="IZQ667" s="112"/>
      <c r="IZR667" s="112"/>
      <c r="IZS667" s="112"/>
      <c r="IZT667" s="112"/>
      <c r="IZU667" s="112"/>
      <c r="IZV667" s="112"/>
      <c r="IZW667" s="112"/>
      <c r="IZX667" s="112"/>
      <c r="IZY667" s="112"/>
      <c r="IZZ667" s="112"/>
      <c r="JAA667" s="112"/>
      <c r="JAB667" s="112"/>
      <c r="JAC667" s="112"/>
      <c r="JAD667" s="112"/>
      <c r="JAE667" s="112"/>
      <c r="JAF667" s="112"/>
      <c r="JAG667" s="112"/>
      <c r="JAH667" s="112"/>
      <c r="JAI667" s="112"/>
      <c r="JAJ667" s="112"/>
      <c r="JAK667" s="112"/>
      <c r="JAL667" s="112"/>
      <c r="JAM667" s="112"/>
      <c r="JAN667" s="112"/>
      <c r="JAO667" s="112"/>
      <c r="JAP667" s="112"/>
      <c r="JAQ667" s="112"/>
      <c r="JAR667" s="112"/>
      <c r="JAS667" s="112"/>
      <c r="JAT667" s="112"/>
      <c r="JAU667" s="112"/>
      <c r="JAV667" s="112"/>
      <c r="JAW667" s="112"/>
      <c r="JAX667" s="112"/>
      <c r="JAY667" s="112"/>
      <c r="JAZ667" s="112"/>
      <c r="JBA667" s="112"/>
      <c r="JBB667" s="112"/>
      <c r="JBC667" s="112"/>
      <c r="JBD667" s="112"/>
      <c r="JBE667" s="112"/>
      <c r="JBF667" s="112"/>
      <c r="JBG667" s="112"/>
      <c r="JBH667" s="112"/>
      <c r="JBI667" s="112"/>
      <c r="JBJ667" s="112"/>
      <c r="JBK667" s="112"/>
      <c r="JBL667" s="112"/>
      <c r="JBM667" s="112"/>
      <c r="JBN667" s="112"/>
      <c r="JBO667" s="112"/>
      <c r="JBP667" s="112"/>
      <c r="JBQ667" s="112"/>
      <c r="JBR667" s="112"/>
      <c r="JBS667" s="112"/>
      <c r="JBT667" s="112"/>
      <c r="JBU667" s="112"/>
      <c r="JBV667" s="112"/>
      <c r="JBW667" s="112"/>
      <c r="JBX667" s="112"/>
      <c r="JBY667" s="112"/>
      <c r="JBZ667" s="112"/>
      <c r="JCA667" s="112"/>
      <c r="JCB667" s="112"/>
      <c r="JCC667" s="112"/>
      <c r="JCD667" s="112"/>
      <c r="JCE667" s="112"/>
      <c r="JCF667" s="112"/>
      <c r="JCG667" s="112"/>
      <c r="JCH667" s="112"/>
      <c r="JCI667" s="112"/>
      <c r="JCJ667" s="112"/>
      <c r="JCK667" s="112"/>
      <c r="JCL667" s="112"/>
      <c r="JCM667" s="112"/>
      <c r="JCN667" s="112"/>
      <c r="JCO667" s="112"/>
      <c r="JCP667" s="112"/>
      <c r="JCQ667" s="112"/>
      <c r="JCR667" s="112"/>
      <c r="JCS667" s="112"/>
      <c r="JCT667" s="112"/>
      <c r="JCU667" s="112"/>
      <c r="JCV667" s="112"/>
      <c r="JCW667" s="112"/>
      <c r="JCX667" s="112"/>
      <c r="JCY667" s="112"/>
      <c r="JCZ667" s="112"/>
      <c r="JDA667" s="112"/>
      <c r="JDB667" s="112"/>
      <c r="JDC667" s="112"/>
      <c r="JDD667" s="112"/>
      <c r="JDE667" s="112"/>
      <c r="JDF667" s="112"/>
      <c r="JDG667" s="112"/>
      <c r="JDH667" s="112"/>
      <c r="JDI667" s="112"/>
      <c r="JDJ667" s="112"/>
      <c r="JDK667" s="112"/>
      <c r="JDL667" s="112"/>
      <c r="JDM667" s="112"/>
      <c r="JDN667" s="112"/>
      <c r="JDO667" s="112"/>
      <c r="JDP667" s="112"/>
      <c r="JDQ667" s="112"/>
      <c r="JDR667" s="112"/>
      <c r="JDS667" s="112"/>
      <c r="JDT667" s="112"/>
      <c r="JDU667" s="112"/>
      <c r="JDV667" s="112"/>
      <c r="JDW667" s="112"/>
      <c r="JDX667" s="112"/>
      <c r="JDY667" s="112"/>
      <c r="JDZ667" s="112"/>
      <c r="JEA667" s="112"/>
      <c r="JEB667" s="112"/>
      <c r="JEC667" s="112"/>
      <c r="JED667" s="112"/>
      <c r="JEE667" s="112"/>
      <c r="JEF667" s="112"/>
      <c r="JEG667" s="112"/>
      <c r="JEH667" s="112"/>
      <c r="JEI667" s="112"/>
      <c r="JEJ667" s="112"/>
      <c r="JEK667" s="112"/>
      <c r="JEL667" s="112"/>
      <c r="JEM667" s="112"/>
      <c r="JEN667" s="112"/>
      <c r="JEO667" s="112"/>
      <c r="JEP667" s="112"/>
      <c r="JEQ667" s="112"/>
      <c r="JER667" s="112"/>
      <c r="JES667" s="112"/>
      <c r="JET667" s="112"/>
      <c r="JEU667" s="112"/>
      <c r="JEV667" s="112"/>
      <c r="JEW667" s="112"/>
      <c r="JEX667" s="112"/>
      <c r="JEY667" s="112"/>
      <c r="JEZ667" s="112"/>
      <c r="JFA667" s="112"/>
      <c r="JFB667" s="112"/>
      <c r="JFC667" s="112"/>
      <c r="JFD667" s="112"/>
      <c r="JFE667" s="112"/>
      <c r="JFF667" s="112"/>
      <c r="JFG667" s="112"/>
      <c r="JFH667" s="112"/>
      <c r="JFI667" s="112"/>
      <c r="JFJ667" s="112"/>
      <c r="JFK667" s="112"/>
      <c r="JFL667" s="112"/>
      <c r="JFM667" s="112"/>
      <c r="JFN667" s="112"/>
      <c r="JFO667" s="112"/>
      <c r="JFP667" s="112"/>
      <c r="JFQ667" s="112"/>
      <c r="JFR667" s="112"/>
      <c r="JFS667" s="112"/>
      <c r="JFT667" s="112"/>
      <c r="JFU667" s="112"/>
      <c r="JFV667" s="112"/>
      <c r="JFW667" s="112"/>
      <c r="JFX667" s="112"/>
      <c r="JFY667" s="112"/>
      <c r="JFZ667" s="112"/>
      <c r="JGA667" s="112"/>
      <c r="JGB667" s="112"/>
      <c r="JGC667" s="112"/>
      <c r="JGD667" s="112"/>
      <c r="JGE667" s="112"/>
      <c r="JGF667" s="112"/>
      <c r="JGG667" s="112"/>
      <c r="JGH667" s="112"/>
      <c r="JGI667" s="112"/>
      <c r="JGJ667" s="112"/>
      <c r="JGK667" s="112"/>
      <c r="JGL667" s="112"/>
      <c r="JGM667" s="112"/>
      <c r="JGN667" s="112"/>
      <c r="JGO667" s="112"/>
      <c r="JGP667" s="112"/>
      <c r="JGQ667" s="112"/>
      <c r="JGR667" s="112"/>
      <c r="JGS667" s="112"/>
      <c r="JGT667" s="112"/>
      <c r="JGU667" s="112"/>
      <c r="JGV667" s="112"/>
      <c r="JGW667" s="112"/>
      <c r="JGX667" s="112"/>
      <c r="JGY667" s="112"/>
      <c r="JGZ667" s="112"/>
      <c r="JHA667" s="112"/>
      <c r="JHB667" s="112"/>
      <c r="JHC667" s="112"/>
      <c r="JHD667" s="112"/>
      <c r="JHE667" s="112"/>
      <c r="JHF667" s="112"/>
      <c r="JHG667" s="112"/>
      <c r="JHH667" s="112"/>
      <c r="JHI667" s="112"/>
      <c r="JHJ667" s="112"/>
      <c r="JHK667" s="112"/>
      <c r="JHL667" s="112"/>
      <c r="JHM667" s="112"/>
      <c r="JHN667" s="112"/>
      <c r="JHO667" s="112"/>
      <c r="JHP667" s="112"/>
      <c r="JHQ667" s="112"/>
      <c r="JHR667" s="112"/>
      <c r="JHS667" s="112"/>
      <c r="JHT667" s="112"/>
      <c r="JHU667" s="112"/>
      <c r="JHV667" s="112"/>
      <c r="JHW667" s="112"/>
      <c r="JHX667" s="112"/>
      <c r="JHY667" s="112"/>
      <c r="JHZ667" s="112"/>
      <c r="JIA667" s="112"/>
      <c r="JIB667" s="112"/>
      <c r="JIC667" s="112"/>
      <c r="JID667" s="112"/>
      <c r="JIE667" s="112"/>
      <c r="JIF667" s="112"/>
      <c r="JIG667" s="112"/>
      <c r="JIH667" s="112"/>
      <c r="JII667" s="112"/>
      <c r="JIJ667" s="112"/>
      <c r="JIK667" s="112"/>
      <c r="JIL667" s="112"/>
      <c r="JIM667" s="112"/>
      <c r="JIN667" s="112"/>
      <c r="JIO667" s="112"/>
      <c r="JIP667" s="112"/>
      <c r="JIQ667" s="112"/>
      <c r="JIR667" s="112"/>
      <c r="JIS667" s="112"/>
      <c r="JIT667" s="112"/>
      <c r="JIU667" s="112"/>
      <c r="JIV667" s="112"/>
      <c r="JIW667" s="112"/>
      <c r="JIX667" s="112"/>
      <c r="JIY667" s="112"/>
      <c r="JIZ667" s="112"/>
      <c r="JJA667" s="112"/>
      <c r="JJB667" s="112"/>
      <c r="JJC667" s="112"/>
      <c r="JJD667" s="112"/>
      <c r="JJE667" s="112"/>
      <c r="JJF667" s="112"/>
      <c r="JJG667" s="112"/>
      <c r="JJH667" s="112"/>
      <c r="JJI667" s="112"/>
      <c r="JJJ667" s="112"/>
      <c r="JJK667" s="112"/>
      <c r="JJL667" s="112"/>
      <c r="JJM667" s="112"/>
      <c r="JJN667" s="112"/>
      <c r="JJO667" s="112"/>
      <c r="JJP667" s="112"/>
      <c r="JJQ667" s="112"/>
      <c r="JJR667" s="112"/>
      <c r="JJS667" s="112"/>
      <c r="JJT667" s="112"/>
      <c r="JJU667" s="112"/>
      <c r="JJV667" s="112"/>
      <c r="JJW667" s="112"/>
      <c r="JJX667" s="112"/>
      <c r="JJY667" s="112"/>
      <c r="JJZ667" s="112"/>
      <c r="JKA667" s="112"/>
      <c r="JKB667" s="112"/>
      <c r="JKC667" s="112"/>
      <c r="JKD667" s="112"/>
      <c r="JKE667" s="112"/>
      <c r="JKF667" s="112"/>
      <c r="JKG667" s="112"/>
      <c r="JKH667" s="112"/>
      <c r="JKI667" s="112"/>
      <c r="JKJ667" s="112"/>
      <c r="JKK667" s="112"/>
      <c r="JKL667" s="112"/>
      <c r="JKM667" s="112"/>
      <c r="JKN667" s="112"/>
      <c r="JKO667" s="112"/>
      <c r="JKP667" s="112"/>
      <c r="JKQ667" s="112"/>
      <c r="JKR667" s="112"/>
      <c r="JKS667" s="112"/>
      <c r="JKT667" s="112"/>
      <c r="JKU667" s="112"/>
      <c r="JKV667" s="112"/>
      <c r="JKW667" s="112"/>
      <c r="JKX667" s="112"/>
      <c r="JKY667" s="112"/>
      <c r="JKZ667" s="112"/>
      <c r="JLA667" s="112"/>
      <c r="JLB667" s="112"/>
      <c r="JLC667" s="112"/>
      <c r="JLD667" s="112"/>
      <c r="JLE667" s="112"/>
      <c r="JLF667" s="112"/>
      <c r="JLG667" s="112"/>
      <c r="JLH667" s="112"/>
      <c r="JLI667" s="112"/>
      <c r="JLJ667" s="112"/>
      <c r="JLK667" s="112"/>
      <c r="JLL667" s="112"/>
      <c r="JLM667" s="112"/>
      <c r="JLN667" s="112"/>
      <c r="JLO667" s="112"/>
      <c r="JLP667" s="112"/>
      <c r="JLQ667" s="112"/>
      <c r="JLR667" s="112"/>
      <c r="JLS667" s="112"/>
      <c r="JLT667" s="112"/>
      <c r="JLU667" s="112"/>
      <c r="JLV667" s="112"/>
      <c r="JLW667" s="112"/>
      <c r="JLX667" s="112"/>
      <c r="JLY667" s="112"/>
      <c r="JLZ667" s="112"/>
      <c r="JMA667" s="112"/>
      <c r="JMB667" s="112"/>
      <c r="JMC667" s="112"/>
      <c r="JMD667" s="112"/>
      <c r="JME667" s="112"/>
      <c r="JMF667" s="112"/>
      <c r="JMG667" s="112"/>
      <c r="JMH667" s="112"/>
      <c r="JMI667" s="112"/>
      <c r="JMJ667" s="112"/>
      <c r="JMK667" s="112"/>
      <c r="JML667" s="112"/>
      <c r="JMM667" s="112"/>
      <c r="JMN667" s="112"/>
      <c r="JMO667" s="112"/>
      <c r="JMP667" s="112"/>
      <c r="JMQ667" s="112"/>
      <c r="JMR667" s="112"/>
      <c r="JMS667" s="112"/>
      <c r="JMT667" s="112"/>
      <c r="JMU667" s="112"/>
      <c r="JMV667" s="112"/>
      <c r="JMW667" s="112"/>
      <c r="JMX667" s="112"/>
      <c r="JMY667" s="112"/>
      <c r="JMZ667" s="112"/>
      <c r="JNA667" s="112"/>
      <c r="JNB667" s="112"/>
      <c r="JNC667" s="112"/>
      <c r="JND667" s="112"/>
      <c r="JNE667" s="112"/>
      <c r="JNF667" s="112"/>
      <c r="JNG667" s="112"/>
      <c r="JNH667" s="112"/>
      <c r="JNI667" s="112"/>
      <c r="JNJ667" s="112"/>
      <c r="JNK667" s="112"/>
      <c r="JNL667" s="112"/>
      <c r="JNM667" s="112"/>
      <c r="JNN667" s="112"/>
      <c r="JNO667" s="112"/>
      <c r="JNP667" s="112"/>
      <c r="JNQ667" s="112"/>
      <c r="JNR667" s="112"/>
      <c r="JNS667" s="112"/>
      <c r="JNT667" s="112"/>
      <c r="JNU667" s="112"/>
      <c r="JNV667" s="112"/>
      <c r="JNW667" s="112"/>
      <c r="JNX667" s="112"/>
      <c r="JNY667" s="112"/>
      <c r="JNZ667" s="112"/>
      <c r="JOA667" s="112"/>
      <c r="JOB667" s="112"/>
      <c r="JOC667" s="112"/>
      <c r="JOD667" s="112"/>
      <c r="JOE667" s="112"/>
      <c r="JOF667" s="112"/>
      <c r="JOG667" s="112"/>
      <c r="JOH667" s="112"/>
      <c r="JOI667" s="112"/>
      <c r="JOJ667" s="112"/>
      <c r="JOK667" s="112"/>
      <c r="JOL667" s="112"/>
      <c r="JOM667" s="112"/>
      <c r="JON667" s="112"/>
      <c r="JOO667" s="112"/>
      <c r="JOP667" s="112"/>
      <c r="JOQ667" s="112"/>
      <c r="JOR667" s="112"/>
      <c r="JOS667" s="112"/>
      <c r="JOT667" s="112"/>
      <c r="JOU667" s="112"/>
      <c r="JOV667" s="112"/>
      <c r="JOW667" s="112"/>
      <c r="JOX667" s="112"/>
      <c r="JOY667" s="112"/>
      <c r="JOZ667" s="112"/>
      <c r="JPA667" s="112"/>
      <c r="JPB667" s="112"/>
      <c r="JPC667" s="112"/>
      <c r="JPD667" s="112"/>
      <c r="JPE667" s="112"/>
      <c r="JPF667" s="112"/>
      <c r="JPG667" s="112"/>
      <c r="JPH667" s="112"/>
      <c r="JPI667" s="112"/>
      <c r="JPJ667" s="112"/>
      <c r="JPK667" s="112"/>
      <c r="JPL667" s="112"/>
      <c r="JPM667" s="112"/>
      <c r="JPN667" s="112"/>
      <c r="JPO667" s="112"/>
      <c r="JPP667" s="112"/>
      <c r="JPQ667" s="112"/>
      <c r="JPR667" s="112"/>
      <c r="JPS667" s="112"/>
      <c r="JPT667" s="112"/>
      <c r="JPU667" s="112"/>
      <c r="JPV667" s="112"/>
      <c r="JPW667" s="112"/>
      <c r="JPX667" s="112"/>
      <c r="JPY667" s="112"/>
      <c r="JPZ667" s="112"/>
      <c r="JQA667" s="112"/>
      <c r="JQB667" s="112"/>
      <c r="JQC667" s="112"/>
      <c r="JQD667" s="112"/>
      <c r="JQE667" s="112"/>
      <c r="JQF667" s="112"/>
      <c r="JQG667" s="112"/>
      <c r="JQH667" s="112"/>
      <c r="JQI667" s="112"/>
      <c r="JQJ667" s="112"/>
      <c r="JQK667" s="112"/>
      <c r="JQL667" s="112"/>
      <c r="JQM667" s="112"/>
      <c r="JQN667" s="112"/>
      <c r="JQO667" s="112"/>
      <c r="JQP667" s="112"/>
      <c r="JQQ667" s="112"/>
      <c r="JQR667" s="112"/>
      <c r="JQS667" s="112"/>
      <c r="JQT667" s="112"/>
      <c r="JQU667" s="112"/>
      <c r="JQV667" s="112"/>
      <c r="JQW667" s="112"/>
      <c r="JQX667" s="112"/>
      <c r="JQY667" s="112"/>
      <c r="JQZ667" s="112"/>
      <c r="JRA667" s="112"/>
      <c r="JRB667" s="112"/>
      <c r="JRC667" s="112"/>
      <c r="JRD667" s="112"/>
      <c r="JRE667" s="112"/>
      <c r="JRF667" s="112"/>
      <c r="JRG667" s="112"/>
      <c r="JRH667" s="112"/>
      <c r="JRI667" s="112"/>
      <c r="JRJ667" s="112"/>
      <c r="JRK667" s="112"/>
      <c r="JRL667" s="112"/>
      <c r="JRM667" s="112"/>
      <c r="JRN667" s="112"/>
      <c r="JRO667" s="112"/>
      <c r="JRP667" s="112"/>
      <c r="JRQ667" s="112"/>
      <c r="JRR667" s="112"/>
      <c r="JRS667" s="112"/>
      <c r="JRT667" s="112"/>
      <c r="JRU667" s="112"/>
      <c r="JRV667" s="112"/>
      <c r="JRW667" s="112"/>
      <c r="JRX667" s="112"/>
      <c r="JRY667" s="112"/>
      <c r="JRZ667" s="112"/>
      <c r="JSA667" s="112"/>
      <c r="JSB667" s="112"/>
      <c r="JSC667" s="112"/>
      <c r="JSD667" s="112"/>
      <c r="JSE667" s="112"/>
      <c r="JSF667" s="112"/>
      <c r="JSG667" s="112"/>
      <c r="JSH667" s="112"/>
      <c r="JSI667" s="112"/>
      <c r="JSJ667" s="112"/>
      <c r="JSK667" s="112"/>
      <c r="JSL667" s="112"/>
      <c r="JSM667" s="112"/>
      <c r="JSN667" s="112"/>
      <c r="JSO667" s="112"/>
      <c r="JSP667" s="112"/>
      <c r="JSQ667" s="112"/>
      <c r="JSR667" s="112"/>
      <c r="JSS667" s="112"/>
      <c r="JST667" s="112"/>
      <c r="JSU667" s="112"/>
      <c r="JSV667" s="112"/>
      <c r="JSW667" s="112"/>
      <c r="JSX667" s="112"/>
      <c r="JSY667" s="112"/>
      <c r="JSZ667" s="112"/>
      <c r="JTA667" s="112"/>
      <c r="JTB667" s="112"/>
      <c r="JTC667" s="112"/>
      <c r="JTD667" s="112"/>
      <c r="JTE667" s="112"/>
      <c r="JTF667" s="112"/>
      <c r="JTG667" s="112"/>
      <c r="JTH667" s="112"/>
      <c r="JTI667" s="112"/>
      <c r="JTJ667" s="112"/>
      <c r="JTK667" s="112"/>
      <c r="JTL667" s="112"/>
      <c r="JTM667" s="112"/>
      <c r="JTN667" s="112"/>
      <c r="JTO667" s="112"/>
      <c r="JTP667" s="112"/>
      <c r="JTQ667" s="112"/>
      <c r="JTR667" s="112"/>
      <c r="JTS667" s="112"/>
      <c r="JTT667" s="112"/>
      <c r="JTU667" s="112"/>
      <c r="JTV667" s="112"/>
      <c r="JTW667" s="112"/>
      <c r="JTX667" s="112"/>
      <c r="JTY667" s="112"/>
      <c r="JTZ667" s="112"/>
      <c r="JUA667" s="112"/>
      <c r="JUB667" s="112"/>
      <c r="JUC667" s="112"/>
      <c r="JUD667" s="112"/>
      <c r="JUE667" s="112"/>
      <c r="JUF667" s="112"/>
      <c r="JUG667" s="112"/>
      <c r="JUH667" s="112"/>
      <c r="JUI667" s="112"/>
      <c r="JUJ667" s="112"/>
      <c r="JUK667" s="112"/>
      <c r="JUL667" s="112"/>
      <c r="JUM667" s="112"/>
      <c r="JUN667" s="112"/>
      <c r="JUO667" s="112"/>
      <c r="JUP667" s="112"/>
      <c r="JUQ667" s="112"/>
      <c r="JUR667" s="112"/>
      <c r="JUS667" s="112"/>
      <c r="JUT667" s="112"/>
      <c r="JUU667" s="112"/>
      <c r="JUV667" s="112"/>
      <c r="JUW667" s="112"/>
      <c r="JUX667" s="112"/>
      <c r="JUY667" s="112"/>
      <c r="JUZ667" s="112"/>
      <c r="JVA667" s="112"/>
      <c r="JVB667" s="112"/>
      <c r="JVC667" s="112"/>
      <c r="JVD667" s="112"/>
      <c r="JVE667" s="112"/>
      <c r="JVF667" s="112"/>
      <c r="JVG667" s="112"/>
      <c r="JVH667" s="112"/>
      <c r="JVI667" s="112"/>
      <c r="JVJ667" s="112"/>
      <c r="JVK667" s="112"/>
      <c r="JVL667" s="112"/>
      <c r="JVM667" s="112"/>
      <c r="JVN667" s="112"/>
      <c r="JVO667" s="112"/>
      <c r="JVP667" s="112"/>
      <c r="JVQ667" s="112"/>
      <c r="JVR667" s="112"/>
      <c r="JVS667" s="112"/>
      <c r="JVT667" s="112"/>
      <c r="JVU667" s="112"/>
      <c r="JVV667" s="112"/>
      <c r="JVW667" s="112"/>
      <c r="JVX667" s="112"/>
      <c r="JVY667" s="112"/>
      <c r="JVZ667" s="112"/>
      <c r="JWA667" s="112"/>
      <c r="JWB667" s="112"/>
      <c r="JWC667" s="112"/>
      <c r="JWD667" s="112"/>
      <c r="JWE667" s="112"/>
      <c r="JWF667" s="112"/>
      <c r="JWG667" s="112"/>
      <c r="JWH667" s="112"/>
      <c r="JWI667" s="112"/>
      <c r="JWJ667" s="112"/>
      <c r="JWK667" s="112"/>
      <c r="JWL667" s="112"/>
      <c r="JWM667" s="112"/>
      <c r="JWN667" s="112"/>
      <c r="JWO667" s="112"/>
      <c r="JWP667" s="112"/>
      <c r="JWQ667" s="112"/>
      <c r="JWR667" s="112"/>
      <c r="JWS667" s="112"/>
      <c r="JWT667" s="112"/>
      <c r="JWU667" s="112"/>
      <c r="JWV667" s="112"/>
      <c r="JWW667" s="112"/>
      <c r="JWX667" s="112"/>
      <c r="JWY667" s="112"/>
      <c r="JWZ667" s="112"/>
      <c r="JXA667" s="112"/>
      <c r="JXB667" s="112"/>
      <c r="JXC667" s="112"/>
      <c r="JXD667" s="112"/>
      <c r="JXE667" s="112"/>
      <c r="JXF667" s="112"/>
      <c r="JXG667" s="112"/>
      <c r="JXH667" s="112"/>
      <c r="JXI667" s="112"/>
      <c r="JXJ667" s="112"/>
      <c r="JXK667" s="112"/>
      <c r="JXL667" s="112"/>
      <c r="JXM667" s="112"/>
      <c r="JXN667" s="112"/>
      <c r="JXO667" s="112"/>
      <c r="JXP667" s="112"/>
      <c r="JXQ667" s="112"/>
      <c r="JXR667" s="112"/>
      <c r="JXS667" s="112"/>
      <c r="JXT667" s="112"/>
      <c r="JXU667" s="112"/>
      <c r="JXV667" s="112"/>
      <c r="JXW667" s="112"/>
      <c r="JXX667" s="112"/>
      <c r="JXY667" s="112"/>
      <c r="JXZ667" s="112"/>
      <c r="JYA667" s="112"/>
      <c r="JYB667" s="112"/>
      <c r="JYC667" s="112"/>
      <c r="JYD667" s="112"/>
      <c r="JYE667" s="112"/>
      <c r="JYF667" s="112"/>
      <c r="JYG667" s="112"/>
      <c r="JYH667" s="112"/>
      <c r="JYI667" s="112"/>
      <c r="JYJ667" s="112"/>
      <c r="JYK667" s="112"/>
      <c r="JYL667" s="112"/>
      <c r="JYM667" s="112"/>
      <c r="JYN667" s="112"/>
      <c r="JYO667" s="112"/>
      <c r="JYP667" s="112"/>
      <c r="JYQ667" s="112"/>
      <c r="JYR667" s="112"/>
      <c r="JYS667" s="112"/>
      <c r="JYT667" s="112"/>
      <c r="JYU667" s="112"/>
      <c r="JYV667" s="112"/>
      <c r="JYW667" s="112"/>
      <c r="JYX667" s="112"/>
      <c r="JYY667" s="112"/>
      <c r="JYZ667" s="112"/>
      <c r="JZA667" s="112"/>
      <c r="JZB667" s="112"/>
      <c r="JZC667" s="112"/>
      <c r="JZD667" s="112"/>
      <c r="JZE667" s="112"/>
      <c r="JZF667" s="112"/>
      <c r="JZG667" s="112"/>
      <c r="JZH667" s="112"/>
      <c r="JZI667" s="112"/>
      <c r="JZJ667" s="112"/>
      <c r="JZK667" s="112"/>
      <c r="JZL667" s="112"/>
      <c r="JZM667" s="112"/>
      <c r="JZN667" s="112"/>
      <c r="JZO667" s="112"/>
      <c r="JZP667" s="112"/>
      <c r="JZQ667" s="112"/>
      <c r="JZR667" s="112"/>
      <c r="JZS667" s="112"/>
      <c r="JZT667" s="112"/>
      <c r="JZU667" s="112"/>
      <c r="JZV667" s="112"/>
      <c r="JZW667" s="112"/>
      <c r="JZX667" s="112"/>
      <c r="JZY667" s="112"/>
      <c r="JZZ667" s="112"/>
      <c r="KAA667" s="112"/>
      <c r="KAB667" s="112"/>
      <c r="KAC667" s="112"/>
      <c r="KAD667" s="112"/>
      <c r="KAE667" s="112"/>
      <c r="KAF667" s="112"/>
      <c r="KAG667" s="112"/>
      <c r="KAH667" s="112"/>
      <c r="KAI667" s="112"/>
      <c r="KAJ667" s="112"/>
      <c r="KAK667" s="112"/>
      <c r="KAL667" s="112"/>
      <c r="KAM667" s="112"/>
      <c r="KAN667" s="112"/>
      <c r="KAO667" s="112"/>
      <c r="KAP667" s="112"/>
      <c r="KAQ667" s="112"/>
      <c r="KAR667" s="112"/>
      <c r="KAS667" s="112"/>
      <c r="KAT667" s="112"/>
      <c r="KAU667" s="112"/>
      <c r="KAV667" s="112"/>
      <c r="KAW667" s="112"/>
      <c r="KAX667" s="112"/>
      <c r="KAY667" s="112"/>
      <c r="KAZ667" s="112"/>
      <c r="KBA667" s="112"/>
      <c r="KBB667" s="112"/>
      <c r="KBC667" s="112"/>
      <c r="KBD667" s="112"/>
      <c r="KBE667" s="112"/>
      <c r="KBF667" s="112"/>
      <c r="KBG667" s="112"/>
      <c r="KBH667" s="112"/>
      <c r="KBI667" s="112"/>
      <c r="KBJ667" s="112"/>
      <c r="KBK667" s="112"/>
      <c r="KBL667" s="112"/>
      <c r="KBM667" s="112"/>
      <c r="KBN667" s="112"/>
      <c r="KBO667" s="112"/>
      <c r="KBP667" s="112"/>
      <c r="KBQ667" s="112"/>
      <c r="KBR667" s="112"/>
      <c r="KBS667" s="112"/>
      <c r="KBT667" s="112"/>
      <c r="KBU667" s="112"/>
      <c r="KBV667" s="112"/>
      <c r="KBW667" s="112"/>
      <c r="KBX667" s="112"/>
      <c r="KBY667" s="112"/>
      <c r="KBZ667" s="112"/>
      <c r="KCA667" s="112"/>
      <c r="KCB667" s="112"/>
      <c r="KCC667" s="112"/>
      <c r="KCD667" s="112"/>
      <c r="KCE667" s="112"/>
      <c r="KCF667" s="112"/>
      <c r="KCG667" s="112"/>
      <c r="KCH667" s="112"/>
      <c r="KCI667" s="112"/>
      <c r="KCJ667" s="112"/>
      <c r="KCK667" s="112"/>
      <c r="KCL667" s="112"/>
      <c r="KCM667" s="112"/>
      <c r="KCN667" s="112"/>
      <c r="KCO667" s="112"/>
      <c r="KCP667" s="112"/>
      <c r="KCQ667" s="112"/>
      <c r="KCR667" s="112"/>
      <c r="KCS667" s="112"/>
      <c r="KCT667" s="112"/>
      <c r="KCU667" s="112"/>
      <c r="KCV667" s="112"/>
      <c r="KCW667" s="112"/>
      <c r="KCX667" s="112"/>
      <c r="KCY667" s="112"/>
      <c r="KCZ667" s="112"/>
      <c r="KDA667" s="112"/>
      <c r="KDB667" s="112"/>
      <c r="KDC667" s="112"/>
      <c r="KDD667" s="112"/>
      <c r="KDE667" s="112"/>
      <c r="KDF667" s="112"/>
      <c r="KDG667" s="112"/>
      <c r="KDH667" s="112"/>
      <c r="KDI667" s="112"/>
      <c r="KDJ667" s="112"/>
      <c r="KDK667" s="112"/>
      <c r="KDL667" s="112"/>
      <c r="KDM667" s="112"/>
      <c r="KDN667" s="112"/>
      <c r="KDO667" s="112"/>
      <c r="KDP667" s="112"/>
      <c r="KDQ667" s="112"/>
      <c r="KDR667" s="112"/>
      <c r="KDS667" s="112"/>
      <c r="KDT667" s="112"/>
      <c r="KDU667" s="112"/>
      <c r="KDV667" s="112"/>
      <c r="KDW667" s="112"/>
      <c r="KDX667" s="112"/>
      <c r="KDY667" s="112"/>
      <c r="KDZ667" s="112"/>
      <c r="KEA667" s="112"/>
      <c r="KEB667" s="112"/>
      <c r="KEC667" s="112"/>
      <c r="KED667" s="112"/>
      <c r="KEE667" s="112"/>
      <c r="KEF667" s="112"/>
      <c r="KEG667" s="112"/>
      <c r="KEH667" s="112"/>
      <c r="KEI667" s="112"/>
      <c r="KEJ667" s="112"/>
      <c r="KEK667" s="112"/>
      <c r="KEL667" s="112"/>
      <c r="KEM667" s="112"/>
      <c r="KEN667" s="112"/>
      <c r="KEO667" s="112"/>
      <c r="KEP667" s="112"/>
      <c r="KEQ667" s="112"/>
      <c r="KER667" s="112"/>
      <c r="KES667" s="112"/>
      <c r="KET667" s="112"/>
      <c r="KEU667" s="112"/>
      <c r="KEV667" s="112"/>
      <c r="KEW667" s="112"/>
      <c r="KEX667" s="112"/>
      <c r="KEY667" s="112"/>
      <c r="KEZ667" s="112"/>
      <c r="KFA667" s="112"/>
      <c r="KFB667" s="112"/>
      <c r="KFC667" s="112"/>
      <c r="KFD667" s="112"/>
      <c r="KFE667" s="112"/>
      <c r="KFF667" s="112"/>
      <c r="KFG667" s="112"/>
      <c r="KFH667" s="112"/>
      <c r="KFI667" s="112"/>
      <c r="KFJ667" s="112"/>
      <c r="KFK667" s="112"/>
      <c r="KFL667" s="112"/>
      <c r="KFM667" s="112"/>
      <c r="KFN667" s="112"/>
      <c r="KFO667" s="112"/>
      <c r="KFP667" s="112"/>
      <c r="KFQ667" s="112"/>
      <c r="KFR667" s="112"/>
      <c r="KFS667" s="112"/>
      <c r="KFT667" s="112"/>
      <c r="KFU667" s="112"/>
      <c r="KFV667" s="112"/>
      <c r="KFW667" s="112"/>
      <c r="KFX667" s="112"/>
      <c r="KFY667" s="112"/>
      <c r="KFZ667" s="112"/>
      <c r="KGA667" s="112"/>
      <c r="KGB667" s="112"/>
      <c r="KGC667" s="112"/>
      <c r="KGD667" s="112"/>
      <c r="KGE667" s="112"/>
      <c r="KGF667" s="112"/>
      <c r="KGG667" s="112"/>
      <c r="KGH667" s="112"/>
      <c r="KGI667" s="112"/>
      <c r="KGJ667" s="112"/>
      <c r="KGK667" s="112"/>
      <c r="KGL667" s="112"/>
      <c r="KGM667" s="112"/>
      <c r="KGN667" s="112"/>
      <c r="KGO667" s="112"/>
      <c r="KGP667" s="112"/>
      <c r="KGQ667" s="112"/>
      <c r="KGR667" s="112"/>
      <c r="KGS667" s="112"/>
      <c r="KGT667" s="112"/>
      <c r="KGU667" s="112"/>
      <c r="KGV667" s="112"/>
      <c r="KGW667" s="112"/>
      <c r="KGX667" s="112"/>
      <c r="KGY667" s="112"/>
      <c r="KGZ667" s="112"/>
      <c r="KHA667" s="112"/>
      <c r="KHB667" s="112"/>
      <c r="KHC667" s="112"/>
      <c r="KHD667" s="112"/>
      <c r="KHE667" s="112"/>
      <c r="KHF667" s="112"/>
      <c r="KHG667" s="112"/>
      <c r="KHH667" s="112"/>
      <c r="KHI667" s="112"/>
      <c r="KHJ667" s="112"/>
      <c r="KHK667" s="112"/>
      <c r="KHL667" s="112"/>
      <c r="KHM667" s="112"/>
      <c r="KHN667" s="112"/>
      <c r="KHO667" s="112"/>
      <c r="KHP667" s="112"/>
      <c r="KHQ667" s="112"/>
      <c r="KHR667" s="112"/>
      <c r="KHS667" s="112"/>
      <c r="KHT667" s="112"/>
      <c r="KHU667" s="112"/>
      <c r="KHV667" s="112"/>
      <c r="KHW667" s="112"/>
      <c r="KHX667" s="112"/>
      <c r="KHY667" s="112"/>
      <c r="KHZ667" s="112"/>
      <c r="KIA667" s="112"/>
      <c r="KIB667" s="112"/>
      <c r="KIC667" s="112"/>
      <c r="KID667" s="112"/>
      <c r="KIE667" s="112"/>
      <c r="KIF667" s="112"/>
      <c r="KIG667" s="112"/>
      <c r="KIH667" s="112"/>
      <c r="KII667" s="112"/>
      <c r="KIJ667" s="112"/>
      <c r="KIK667" s="112"/>
      <c r="KIL667" s="112"/>
      <c r="KIM667" s="112"/>
      <c r="KIN667" s="112"/>
      <c r="KIO667" s="112"/>
      <c r="KIP667" s="112"/>
      <c r="KIQ667" s="112"/>
      <c r="KIR667" s="112"/>
      <c r="KIS667" s="112"/>
      <c r="KIT667" s="112"/>
      <c r="KIU667" s="112"/>
      <c r="KIV667" s="112"/>
      <c r="KIW667" s="112"/>
      <c r="KIX667" s="112"/>
      <c r="KIY667" s="112"/>
      <c r="KIZ667" s="112"/>
      <c r="KJA667" s="112"/>
      <c r="KJB667" s="112"/>
      <c r="KJC667" s="112"/>
      <c r="KJD667" s="112"/>
      <c r="KJE667" s="112"/>
      <c r="KJF667" s="112"/>
      <c r="KJG667" s="112"/>
      <c r="KJH667" s="112"/>
      <c r="KJI667" s="112"/>
      <c r="KJJ667" s="112"/>
      <c r="KJK667" s="112"/>
      <c r="KJL667" s="112"/>
      <c r="KJM667" s="112"/>
      <c r="KJN667" s="112"/>
      <c r="KJO667" s="112"/>
      <c r="KJP667" s="112"/>
      <c r="KJQ667" s="112"/>
      <c r="KJR667" s="112"/>
      <c r="KJS667" s="112"/>
      <c r="KJT667" s="112"/>
      <c r="KJU667" s="112"/>
      <c r="KJV667" s="112"/>
      <c r="KJW667" s="112"/>
      <c r="KJX667" s="112"/>
      <c r="KJY667" s="112"/>
      <c r="KJZ667" s="112"/>
      <c r="KKA667" s="112"/>
      <c r="KKB667" s="112"/>
      <c r="KKC667" s="112"/>
      <c r="KKD667" s="112"/>
      <c r="KKE667" s="112"/>
      <c r="KKF667" s="112"/>
      <c r="KKG667" s="112"/>
      <c r="KKH667" s="112"/>
      <c r="KKI667" s="112"/>
      <c r="KKJ667" s="112"/>
      <c r="KKK667" s="112"/>
      <c r="KKL667" s="112"/>
      <c r="KKM667" s="112"/>
      <c r="KKN667" s="112"/>
      <c r="KKO667" s="112"/>
      <c r="KKP667" s="112"/>
      <c r="KKQ667" s="112"/>
      <c r="KKR667" s="112"/>
      <c r="KKS667" s="112"/>
      <c r="KKT667" s="112"/>
      <c r="KKU667" s="112"/>
      <c r="KKV667" s="112"/>
      <c r="KKW667" s="112"/>
      <c r="KKX667" s="112"/>
      <c r="KKY667" s="112"/>
      <c r="KKZ667" s="112"/>
      <c r="KLA667" s="112"/>
      <c r="KLB667" s="112"/>
      <c r="KLC667" s="112"/>
      <c r="KLD667" s="112"/>
      <c r="KLE667" s="112"/>
      <c r="KLF667" s="112"/>
      <c r="KLG667" s="112"/>
      <c r="KLH667" s="112"/>
      <c r="KLI667" s="112"/>
      <c r="KLJ667" s="112"/>
      <c r="KLK667" s="112"/>
      <c r="KLL667" s="112"/>
      <c r="KLM667" s="112"/>
      <c r="KLN667" s="112"/>
      <c r="KLO667" s="112"/>
      <c r="KLP667" s="112"/>
      <c r="KLQ667" s="112"/>
      <c r="KLR667" s="112"/>
      <c r="KLS667" s="112"/>
      <c r="KLT667" s="112"/>
      <c r="KLU667" s="112"/>
      <c r="KLV667" s="112"/>
      <c r="KLW667" s="112"/>
      <c r="KLX667" s="112"/>
      <c r="KLY667" s="112"/>
      <c r="KLZ667" s="112"/>
      <c r="KMA667" s="112"/>
      <c r="KMB667" s="112"/>
      <c r="KMC667" s="112"/>
      <c r="KMD667" s="112"/>
      <c r="KME667" s="112"/>
      <c r="KMF667" s="112"/>
      <c r="KMG667" s="112"/>
      <c r="KMH667" s="112"/>
      <c r="KMI667" s="112"/>
      <c r="KMJ667" s="112"/>
      <c r="KMK667" s="112"/>
      <c r="KML667" s="112"/>
      <c r="KMM667" s="112"/>
      <c r="KMN667" s="112"/>
      <c r="KMO667" s="112"/>
      <c r="KMP667" s="112"/>
      <c r="KMQ667" s="112"/>
      <c r="KMR667" s="112"/>
      <c r="KMS667" s="112"/>
      <c r="KMT667" s="112"/>
      <c r="KMU667" s="112"/>
      <c r="KMV667" s="112"/>
      <c r="KMW667" s="112"/>
      <c r="KMX667" s="112"/>
      <c r="KMY667" s="112"/>
      <c r="KMZ667" s="112"/>
      <c r="KNA667" s="112"/>
      <c r="KNB667" s="112"/>
      <c r="KNC667" s="112"/>
      <c r="KND667" s="112"/>
      <c r="KNE667" s="112"/>
      <c r="KNF667" s="112"/>
      <c r="KNG667" s="112"/>
      <c r="KNH667" s="112"/>
      <c r="KNI667" s="112"/>
      <c r="KNJ667" s="112"/>
      <c r="KNK667" s="112"/>
      <c r="KNL667" s="112"/>
      <c r="KNM667" s="112"/>
      <c r="KNN667" s="112"/>
      <c r="KNO667" s="112"/>
      <c r="KNP667" s="112"/>
      <c r="KNQ667" s="112"/>
      <c r="KNR667" s="112"/>
      <c r="KNS667" s="112"/>
      <c r="KNT667" s="112"/>
      <c r="KNU667" s="112"/>
      <c r="KNV667" s="112"/>
      <c r="KNW667" s="112"/>
      <c r="KNX667" s="112"/>
      <c r="KNY667" s="112"/>
      <c r="KNZ667" s="112"/>
      <c r="KOA667" s="112"/>
      <c r="KOB667" s="112"/>
      <c r="KOC667" s="112"/>
      <c r="KOD667" s="112"/>
      <c r="KOE667" s="112"/>
      <c r="KOF667" s="112"/>
      <c r="KOG667" s="112"/>
      <c r="KOH667" s="112"/>
      <c r="KOI667" s="112"/>
      <c r="KOJ667" s="112"/>
      <c r="KOK667" s="112"/>
      <c r="KOL667" s="112"/>
      <c r="KOM667" s="112"/>
      <c r="KON667" s="112"/>
      <c r="KOO667" s="112"/>
      <c r="KOP667" s="112"/>
      <c r="KOQ667" s="112"/>
      <c r="KOR667" s="112"/>
      <c r="KOS667" s="112"/>
      <c r="KOT667" s="112"/>
      <c r="KOU667" s="112"/>
      <c r="KOV667" s="112"/>
      <c r="KOW667" s="112"/>
      <c r="KOX667" s="112"/>
      <c r="KOY667" s="112"/>
      <c r="KOZ667" s="112"/>
      <c r="KPA667" s="112"/>
      <c r="KPB667" s="112"/>
      <c r="KPC667" s="112"/>
      <c r="KPD667" s="112"/>
      <c r="KPE667" s="112"/>
      <c r="KPF667" s="112"/>
      <c r="KPG667" s="112"/>
      <c r="KPH667" s="112"/>
      <c r="KPI667" s="112"/>
      <c r="KPJ667" s="112"/>
      <c r="KPK667" s="112"/>
      <c r="KPL667" s="112"/>
      <c r="KPM667" s="112"/>
      <c r="KPN667" s="112"/>
      <c r="KPO667" s="112"/>
      <c r="KPP667" s="112"/>
      <c r="KPQ667" s="112"/>
      <c r="KPR667" s="112"/>
      <c r="KPS667" s="112"/>
      <c r="KPT667" s="112"/>
      <c r="KPU667" s="112"/>
      <c r="KPV667" s="112"/>
      <c r="KPW667" s="112"/>
      <c r="KPX667" s="112"/>
      <c r="KPY667" s="112"/>
      <c r="KPZ667" s="112"/>
      <c r="KQA667" s="112"/>
      <c r="KQB667" s="112"/>
      <c r="KQC667" s="112"/>
      <c r="KQD667" s="112"/>
      <c r="KQE667" s="112"/>
      <c r="KQF667" s="112"/>
      <c r="KQG667" s="112"/>
      <c r="KQH667" s="112"/>
      <c r="KQI667" s="112"/>
      <c r="KQJ667" s="112"/>
      <c r="KQK667" s="112"/>
      <c r="KQL667" s="112"/>
      <c r="KQM667" s="112"/>
      <c r="KQN667" s="112"/>
      <c r="KQO667" s="112"/>
      <c r="KQP667" s="112"/>
      <c r="KQQ667" s="112"/>
      <c r="KQR667" s="112"/>
      <c r="KQS667" s="112"/>
      <c r="KQT667" s="112"/>
      <c r="KQU667" s="112"/>
      <c r="KQV667" s="112"/>
      <c r="KQW667" s="112"/>
      <c r="KQX667" s="112"/>
      <c r="KQY667" s="112"/>
      <c r="KQZ667" s="112"/>
      <c r="KRA667" s="112"/>
      <c r="KRB667" s="112"/>
      <c r="KRC667" s="112"/>
      <c r="KRD667" s="112"/>
      <c r="KRE667" s="112"/>
      <c r="KRF667" s="112"/>
      <c r="KRG667" s="112"/>
      <c r="KRH667" s="112"/>
      <c r="KRI667" s="112"/>
      <c r="KRJ667" s="112"/>
      <c r="KRK667" s="112"/>
      <c r="KRL667" s="112"/>
      <c r="KRM667" s="112"/>
      <c r="KRN667" s="112"/>
      <c r="KRO667" s="112"/>
      <c r="KRP667" s="112"/>
      <c r="KRQ667" s="112"/>
      <c r="KRR667" s="112"/>
      <c r="KRS667" s="112"/>
      <c r="KRT667" s="112"/>
      <c r="KRU667" s="112"/>
      <c r="KRV667" s="112"/>
      <c r="KRW667" s="112"/>
      <c r="KRX667" s="112"/>
      <c r="KRY667" s="112"/>
      <c r="KRZ667" s="112"/>
      <c r="KSA667" s="112"/>
      <c r="KSB667" s="112"/>
      <c r="KSC667" s="112"/>
      <c r="KSD667" s="112"/>
      <c r="KSE667" s="112"/>
      <c r="KSF667" s="112"/>
      <c r="KSG667" s="112"/>
      <c r="KSH667" s="112"/>
      <c r="KSI667" s="112"/>
      <c r="KSJ667" s="112"/>
      <c r="KSK667" s="112"/>
      <c r="KSL667" s="112"/>
      <c r="KSM667" s="112"/>
      <c r="KSN667" s="112"/>
      <c r="KSO667" s="112"/>
      <c r="KSP667" s="112"/>
      <c r="KSQ667" s="112"/>
      <c r="KSR667" s="112"/>
      <c r="KSS667" s="112"/>
      <c r="KST667" s="112"/>
      <c r="KSU667" s="112"/>
      <c r="KSV667" s="112"/>
      <c r="KSW667" s="112"/>
      <c r="KSX667" s="112"/>
      <c r="KSY667" s="112"/>
      <c r="KSZ667" s="112"/>
      <c r="KTA667" s="112"/>
      <c r="KTB667" s="112"/>
      <c r="KTC667" s="112"/>
      <c r="KTD667" s="112"/>
      <c r="KTE667" s="112"/>
      <c r="KTF667" s="112"/>
      <c r="KTG667" s="112"/>
      <c r="KTH667" s="112"/>
      <c r="KTI667" s="112"/>
      <c r="KTJ667" s="112"/>
      <c r="KTK667" s="112"/>
      <c r="KTL667" s="112"/>
      <c r="KTM667" s="112"/>
      <c r="KTN667" s="112"/>
      <c r="KTO667" s="112"/>
      <c r="KTP667" s="112"/>
      <c r="KTQ667" s="112"/>
      <c r="KTR667" s="112"/>
      <c r="KTS667" s="112"/>
      <c r="KTT667" s="112"/>
      <c r="KTU667" s="112"/>
      <c r="KTV667" s="112"/>
      <c r="KTW667" s="112"/>
      <c r="KTX667" s="112"/>
      <c r="KTY667" s="112"/>
      <c r="KTZ667" s="112"/>
      <c r="KUA667" s="112"/>
      <c r="KUB667" s="112"/>
      <c r="KUC667" s="112"/>
      <c r="KUD667" s="112"/>
      <c r="KUE667" s="112"/>
      <c r="KUF667" s="112"/>
      <c r="KUG667" s="112"/>
      <c r="KUH667" s="112"/>
      <c r="KUI667" s="112"/>
      <c r="KUJ667" s="112"/>
      <c r="KUK667" s="112"/>
      <c r="KUL667" s="112"/>
      <c r="KUM667" s="112"/>
      <c r="KUN667" s="112"/>
      <c r="KUO667" s="112"/>
      <c r="KUP667" s="112"/>
      <c r="KUQ667" s="112"/>
      <c r="KUR667" s="112"/>
      <c r="KUS667" s="112"/>
      <c r="KUT667" s="112"/>
      <c r="KUU667" s="112"/>
      <c r="KUV667" s="112"/>
      <c r="KUW667" s="112"/>
      <c r="KUX667" s="112"/>
      <c r="KUY667" s="112"/>
      <c r="KUZ667" s="112"/>
      <c r="KVA667" s="112"/>
      <c r="KVB667" s="112"/>
      <c r="KVC667" s="112"/>
      <c r="KVD667" s="112"/>
      <c r="KVE667" s="112"/>
      <c r="KVF667" s="112"/>
      <c r="KVG667" s="112"/>
      <c r="KVH667" s="112"/>
      <c r="KVI667" s="112"/>
      <c r="KVJ667" s="112"/>
      <c r="KVK667" s="112"/>
      <c r="KVL667" s="112"/>
      <c r="KVM667" s="112"/>
      <c r="KVN667" s="112"/>
      <c r="KVO667" s="112"/>
      <c r="KVP667" s="112"/>
      <c r="KVQ667" s="112"/>
      <c r="KVR667" s="112"/>
      <c r="KVS667" s="112"/>
      <c r="KVT667" s="112"/>
      <c r="KVU667" s="112"/>
      <c r="KVV667" s="112"/>
      <c r="KVW667" s="112"/>
      <c r="KVX667" s="112"/>
      <c r="KVY667" s="112"/>
      <c r="KVZ667" s="112"/>
      <c r="KWA667" s="112"/>
      <c r="KWB667" s="112"/>
      <c r="KWC667" s="112"/>
      <c r="KWD667" s="112"/>
      <c r="KWE667" s="112"/>
      <c r="KWF667" s="112"/>
      <c r="KWG667" s="112"/>
      <c r="KWH667" s="112"/>
      <c r="KWI667" s="112"/>
      <c r="KWJ667" s="112"/>
      <c r="KWK667" s="112"/>
      <c r="KWL667" s="112"/>
      <c r="KWM667" s="112"/>
      <c r="KWN667" s="112"/>
      <c r="KWO667" s="112"/>
      <c r="KWP667" s="112"/>
      <c r="KWQ667" s="112"/>
      <c r="KWR667" s="112"/>
      <c r="KWS667" s="112"/>
      <c r="KWT667" s="112"/>
      <c r="KWU667" s="112"/>
      <c r="KWV667" s="112"/>
      <c r="KWW667" s="112"/>
      <c r="KWX667" s="112"/>
      <c r="KWY667" s="112"/>
      <c r="KWZ667" s="112"/>
      <c r="KXA667" s="112"/>
      <c r="KXB667" s="112"/>
      <c r="KXC667" s="112"/>
      <c r="KXD667" s="112"/>
      <c r="KXE667" s="112"/>
      <c r="KXF667" s="112"/>
      <c r="KXG667" s="112"/>
      <c r="KXH667" s="112"/>
      <c r="KXI667" s="112"/>
      <c r="KXJ667" s="112"/>
      <c r="KXK667" s="112"/>
      <c r="KXL667" s="112"/>
      <c r="KXM667" s="112"/>
      <c r="KXN667" s="112"/>
      <c r="KXO667" s="112"/>
      <c r="KXP667" s="112"/>
      <c r="KXQ667" s="112"/>
      <c r="KXR667" s="112"/>
      <c r="KXS667" s="112"/>
      <c r="KXT667" s="112"/>
      <c r="KXU667" s="112"/>
      <c r="KXV667" s="112"/>
      <c r="KXW667" s="112"/>
      <c r="KXX667" s="112"/>
      <c r="KXY667" s="112"/>
      <c r="KXZ667" s="112"/>
      <c r="KYA667" s="112"/>
      <c r="KYB667" s="112"/>
      <c r="KYC667" s="112"/>
      <c r="KYD667" s="112"/>
      <c r="KYE667" s="112"/>
      <c r="KYF667" s="112"/>
      <c r="KYG667" s="112"/>
      <c r="KYH667" s="112"/>
      <c r="KYI667" s="112"/>
      <c r="KYJ667" s="112"/>
      <c r="KYK667" s="112"/>
      <c r="KYL667" s="112"/>
      <c r="KYM667" s="112"/>
      <c r="KYN667" s="112"/>
      <c r="KYO667" s="112"/>
      <c r="KYP667" s="112"/>
      <c r="KYQ667" s="112"/>
      <c r="KYR667" s="112"/>
      <c r="KYS667" s="112"/>
      <c r="KYT667" s="112"/>
      <c r="KYU667" s="112"/>
      <c r="KYV667" s="112"/>
      <c r="KYW667" s="112"/>
      <c r="KYX667" s="112"/>
      <c r="KYY667" s="112"/>
      <c r="KYZ667" s="112"/>
      <c r="KZA667" s="112"/>
      <c r="KZB667" s="112"/>
      <c r="KZC667" s="112"/>
      <c r="KZD667" s="112"/>
      <c r="KZE667" s="112"/>
      <c r="KZF667" s="112"/>
      <c r="KZG667" s="112"/>
      <c r="KZH667" s="112"/>
      <c r="KZI667" s="112"/>
      <c r="KZJ667" s="112"/>
      <c r="KZK667" s="112"/>
      <c r="KZL667" s="112"/>
      <c r="KZM667" s="112"/>
      <c r="KZN667" s="112"/>
      <c r="KZO667" s="112"/>
      <c r="KZP667" s="112"/>
      <c r="KZQ667" s="112"/>
      <c r="KZR667" s="112"/>
      <c r="KZS667" s="112"/>
      <c r="KZT667" s="112"/>
      <c r="KZU667" s="112"/>
      <c r="KZV667" s="112"/>
      <c r="KZW667" s="112"/>
      <c r="KZX667" s="112"/>
      <c r="KZY667" s="112"/>
      <c r="KZZ667" s="112"/>
      <c r="LAA667" s="112"/>
      <c r="LAB667" s="112"/>
      <c r="LAC667" s="112"/>
      <c r="LAD667" s="112"/>
      <c r="LAE667" s="112"/>
      <c r="LAF667" s="112"/>
      <c r="LAG667" s="112"/>
      <c r="LAH667" s="112"/>
      <c r="LAI667" s="112"/>
      <c r="LAJ667" s="112"/>
      <c r="LAK667" s="112"/>
      <c r="LAL667" s="112"/>
      <c r="LAM667" s="112"/>
      <c r="LAN667" s="112"/>
      <c r="LAO667" s="112"/>
      <c r="LAP667" s="112"/>
      <c r="LAQ667" s="112"/>
      <c r="LAR667" s="112"/>
      <c r="LAS667" s="112"/>
      <c r="LAT667" s="112"/>
      <c r="LAU667" s="112"/>
      <c r="LAV667" s="112"/>
      <c r="LAW667" s="112"/>
      <c r="LAX667" s="112"/>
      <c r="LAY667" s="112"/>
      <c r="LAZ667" s="112"/>
      <c r="LBA667" s="112"/>
      <c r="LBB667" s="112"/>
      <c r="LBC667" s="112"/>
      <c r="LBD667" s="112"/>
      <c r="LBE667" s="112"/>
      <c r="LBF667" s="112"/>
      <c r="LBG667" s="112"/>
      <c r="LBH667" s="112"/>
      <c r="LBI667" s="112"/>
      <c r="LBJ667" s="112"/>
      <c r="LBK667" s="112"/>
      <c r="LBL667" s="112"/>
      <c r="LBM667" s="112"/>
      <c r="LBN667" s="112"/>
      <c r="LBO667" s="112"/>
      <c r="LBP667" s="112"/>
      <c r="LBQ667" s="112"/>
      <c r="LBR667" s="112"/>
      <c r="LBS667" s="112"/>
      <c r="LBT667" s="112"/>
      <c r="LBU667" s="112"/>
      <c r="LBV667" s="112"/>
      <c r="LBW667" s="112"/>
      <c r="LBX667" s="112"/>
      <c r="LBY667" s="112"/>
      <c r="LBZ667" s="112"/>
      <c r="LCA667" s="112"/>
      <c r="LCB667" s="112"/>
      <c r="LCC667" s="112"/>
      <c r="LCD667" s="112"/>
      <c r="LCE667" s="112"/>
      <c r="LCF667" s="112"/>
      <c r="LCG667" s="112"/>
      <c r="LCH667" s="112"/>
      <c r="LCI667" s="112"/>
      <c r="LCJ667" s="112"/>
      <c r="LCK667" s="112"/>
      <c r="LCL667" s="112"/>
      <c r="LCM667" s="112"/>
      <c r="LCN667" s="112"/>
      <c r="LCO667" s="112"/>
      <c r="LCP667" s="112"/>
      <c r="LCQ667" s="112"/>
      <c r="LCR667" s="112"/>
      <c r="LCS667" s="112"/>
      <c r="LCT667" s="112"/>
      <c r="LCU667" s="112"/>
      <c r="LCV667" s="112"/>
      <c r="LCW667" s="112"/>
      <c r="LCX667" s="112"/>
      <c r="LCY667" s="112"/>
      <c r="LCZ667" s="112"/>
      <c r="LDA667" s="112"/>
      <c r="LDB667" s="112"/>
      <c r="LDC667" s="112"/>
      <c r="LDD667" s="112"/>
      <c r="LDE667" s="112"/>
      <c r="LDF667" s="112"/>
      <c r="LDG667" s="112"/>
      <c r="LDH667" s="112"/>
      <c r="LDI667" s="112"/>
      <c r="LDJ667" s="112"/>
      <c r="LDK667" s="112"/>
      <c r="LDL667" s="112"/>
      <c r="LDM667" s="112"/>
      <c r="LDN667" s="112"/>
      <c r="LDO667" s="112"/>
      <c r="LDP667" s="112"/>
      <c r="LDQ667" s="112"/>
      <c r="LDR667" s="112"/>
      <c r="LDS667" s="112"/>
      <c r="LDT667" s="112"/>
      <c r="LDU667" s="112"/>
      <c r="LDV667" s="112"/>
      <c r="LDW667" s="112"/>
      <c r="LDX667" s="112"/>
      <c r="LDY667" s="112"/>
      <c r="LDZ667" s="112"/>
      <c r="LEA667" s="112"/>
      <c r="LEB667" s="112"/>
      <c r="LEC667" s="112"/>
      <c r="LED667" s="112"/>
      <c r="LEE667" s="112"/>
      <c r="LEF667" s="112"/>
      <c r="LEG667" s="112"/>
      <c r="LEH667" s="112"/>
      <c r="LEI667" s="112"/>
      <c r="LEJ667" s="112"/>
      <c r="LEK667" s="112"/>
      <c r="LEL667" s="112"/>
      <c r="LEM667" s="112"/>
      <c r="LEN667" s="112"/>
      <c r="LEO667" s="112"/>
      <c r="LEP667" s="112"/>
      <c r="LEQ667" s="112"/>
      <c r="LER667" s="112"/>
      <c r="LES667" s="112"/>
      <c r="LET667" s="112"/>
      <c r="LEU667" s="112"/>
      <c r="LEV667" s="112"/>
      <c r="LEW667" s="112"/>
      <c r="LEX667" s="112"/>
      <c r="LEY667" s="112"/>
      <c r="LEZ667" s="112"/>
      <c r="LFA667" s="112"/>
      <c r="LFB667" s="112"/>
      <c r="LFC667" s="112"/>
      <c r="LFD667" s="112"/>
      <c r="LFE667" s="112"/>
      <c r="LFF667" s="112"/>
      <c r="LFG667" s="112"/>
      <c r="LFH667" s="112"/>
      <c r="LFI667" s="112"/>
      <c r="LFJ667" s="112"/>
      <c r="LFK667" s="112"/>
      <c r="LFL667" s="112"/>
      <c r="LFM667" s="112"/>
      <c r="LFN667" s="112"/>
      <c r="LFO667" s="112"/>
      <c r="LFP667" s="112"/>
      <c r="LFQ667" s="112"/>
      <c r="LFR667" s="112"/>
      <c r="LFS667" s="112"/>
      <c r="LFT667" s="112"/>
      <c r="LFU667" s="112"/>
      <c r="LFV667" s="112"/>
      <c r="LFW667" s="112"/>
      <c r="LFX667" s="112"/>
      <c r="LFY667" s="112"/>
      <c r="LFZ667" s="112"/>
      <c r="LGA667" s="112"/>
      <c r="LGB667" s="112"/>
      <c r="LGC667" s="112"/>
      <c r="LGD667" s="112"/>
      <c r="LGE667" s="112"/>
      <c r="LGF667" s="112"/>
      <c r="LGG667" s="112"/>
      <c r="LGH667" s="112"/>
      <c r="LGI667" s="112"/>
      <c r="LGJ667" s="112"/>
      <c r="LGK667" s="112"/>
      <c r="LGL667" s="112"/>
      <c r="LGM667" s="112"/>
      <c r="LGN667" s="112"/>
      <c r="LGO667" s="112"/>
      <c r="LGP667" s="112"/>
      <c r="LGQ667" s="112"/>
      <c r="LGR667" s="112"/>
      <c r="LGS667" s="112"/>
      <c r="LGT667" s="112"/>
      <c r="LGU667" s="112"/>
      <c r="LGV667" s="112"/>
      <c r="LGW667" s="112"/>
      <c r="LGX667" s="112"/>
      <c r="LGY667" s="112"/>
      <c r="LGZ667" s="112"/>
      <c r="LHA667" s="112"/>
      <c r="LHB667" s="112"/>
      <c r="LHC667" s="112"/>
      <c r="LHD667" s="112"/>
      <c r="LHE667" s="112"/>
      <c r="LHF667" s="112"/>
      <c r="LHG667" s="112"/>
      <c r="LHH667" s="112"/>
      <c r="LHI667" s="112"/>
      <c r="LHJ667" s="112"/>
      <c r="LHK667" s="112"/>
      <c r="LHL667" s="112"/>
      <c r="LHM667" s="112"/>
      <c r="LHN667" s="112"/>
      <c r="LHO667" s="112"/>
      <c r="LHP667" s="112"/>
      <c r="LHQ667" s="112"/>
      <c r="LHR667" s="112"/>
      <c r="LHS667" s="112"/>
      <c r="LHT667" s="112"/>
      <c r="LHU667" s="112"/>
      <c r="LHV667" s="112"/>
      <c r="LHW667" s="112"/>
      <c r="LHX667" s="112"/>
      <c r="LHY667" s="112"/>
      <c r="LHZ667" s="112"/>
      <c r="LIA667" s="112"/>
      <c r="LIB667" s="112"/>
      <c r="LIC667" s="112"/>
      <c r="LID667" s="112"/>
      <c r="LIE667" s="112"/>
      <c r="LIF667" s="112"/>
      <c r="LIG667" s="112"/>
      <c r="LIH667" s="112"/>
      <c r="LII667" s="112"/>
      <c r="LIJ667" s="112"/>
      <c r="LIK667" s="112"/>
      <c r="LIL667" s="112"/>
      <c r="LIM667" s="112"/>
      <c r="LIN667" s="112"/>
      <c r="LIO667" s="112"/>
      <c r="LIP667" s="112"/>
      <c r="LIQ667" s="112"/>
      <c r="LIR667" s="112"/>
      <c r="LIS667" s="112"/>
      <c r="LIT667" s="112"/>
      <c r="LIU667" s="112"/>
      <c r="LIV667" s="112"/>
      <c r="LIW667" s="112"/>
      <c r="LIX667" s="112"/>
      <c r="LIY667" s="112"/>
      <c r="LIZ667" s="112"/>
      <c r="LJA667" s="112"/>
      <c r="LJB667" s="112"/>
      <c r="LJC667" s="112"/>
      <c r="LJD667" s="112"/>
      <c r="LJE667" s="112"/>
      <c r="LJF667" s="112"/>
      <c r="LJG667" s="112"/>
      <c r="LJH667" s="112"/>
      <c r="LJI667" s="112"/>
      <c r="LJJ667" s="112"/>
      <c r="LJK667" s="112"/>
      <c r="LJL667" s="112"/>
      <c r="LJM667" s="112"/>
      <c r="LJN667" s="112"/>
      <c r="LJO667" s="112"/>
      <c r="LJP667" s="112"/>
      <c r="LJQ667" s="112"/>
      <c r="LJR667" s="112"/>
      <c r="LJS667" s="112"/>
      <c r="LJT667" s="112"/>
      <c r="LJU667" s="112"/>
      <c r="LJV667" s="112"/>
      <c r="LJW667" s="112"/>
      <c r="LJX667" s="112"/>
      <c r="LJY667" s="112"/>
      <c r="LJZ667" s="112"/>
      <c r="LKA667" s="112"/>
      <c r="LKB667" s="112"/>
      <c r="LKC667" s="112"/>
      <c r="LKD667" s="112"/>
      <c r="LKE667" s="112"/>
      <c r="LKF667" s="112"/>
      <c r="LKG667" s="112"/>
      <c r="LKH667" s="112"/>
      <c r="LKI667" s="112"/>
      <c r="LKJ667" s="112"/>
      <c r="LKK667" s="112"/>
      <c r="LKL667" s="112"/>
      <c r="LKM667" s="112"/>
      <c r="LKN667" s="112"/>
      <c r="LKO667" s="112"/>
      <c r="LKP667" s="112"/>
      <c r="LKQ667" s="112"/>
      <c r="LKR667" s="112"/>
      <c r="LKS667" s="112"/>
      <c r="LKT667" s="112"/>
      <c r="LKU667" s="112"/>
      <c r="LKV667" s="112"/>
      <c r="LKW667" s="112"/>
      <c r="LKX667" s="112"/>
      <c r="LKY667" s="112"/>
      <c r="LKZ667" s="112"/>
      <c r="LLA667" s="112"/>
      <c r="LLB667" s="112"/>
      <c r="LLC667" s="112"/>
      <c r="LLD667" s="112"/>
      <c r="LLE667" s="112"/>
      <c r="LLF667" s="112"/>
      <c r="LLG667" s="112"/>
      <c r="LLH667" s="112"/>
      <c r="LLI667" s="112"/>
      <c r="LLJ667" s="112"/>
      <c r="LLK667" s="112"/>
      <c r="LLL667" s="112"/>
      <c r="LLM667" s="112"/>
      <c r="LLN667" s="112"/>
      <c r="LLO667" s="112"/>
      <c r="LLP667" s="112"/>
      <c r="LLQ667" s="112"/>
      <c r="LLR667" s="112"/>
      <c r="LLS667" s="112"/>
      <c r="LLT667" s="112"/>
      <c r="LLU667" s="112"/>
      <c r="LLV667" s="112"/>
      <c r="LLW667" s="112"/>
      <c r="LLX667" s="112"/>
      <c r="LLY667" s="112"/>
      <c r="LLZ667" s="112"/>
      <c r="LMA667" s="112"/>
      <c r="LMB667" s="112"/>
      <c r="LMC667" s="112"/>
      <c r="LMD667" s="112"/>
      <c r="LME667" s="112"/>
      <c r="LMF667" s="112"/>
      <c r="LMG667" s="112"/>
      <c r="LMH667" s="112"/>
      <c r="LMI667" s="112"/>
      <c r="LMJ667" s="112"/>
      <c r="LMK667" s="112"/>
      <c r="LML667" s="112"/>
      <c r="LMM667" s="112"/>
      <c r="LMN667" s="112"/>
      <c r="LMO667" s="112"/>
      <c r="LMP667" s="112"/>
      <c r="LMQ667" s="112"/>
      <c r="LMR667" s="112"/>
      <c r="LMS667" s="112"/>
      <c r="LMT667" s="112"/>
      <c r="LMU667" s="112"/>
      <c r="LMV667" s="112"/>
      <c r="LMW667" s="112"/>
      <c r="LMX667" s="112"/>
      <c r="LMY667" s="112"/>
      <c r="LMZ667" s="112"/>
      <c r="LNA667" s="112"/>
      <c r="LNB667" s="112"/>
      <c r="LNC667" s="112"/>
      <c r="LND667" s="112"/>
      <c r="LNE667" s="112"/>
      <c r="LNF667" s="112"/>
      <c r="LNG667" s="112"/>
      <c r="LNH667" s="112"/>
      <c r="LNI667" s="112"/>
      <c r="LNJ667" s="112"/>
      <c r="LNK667" s="112"/>
      <c r="LNL667" s="112"/>
      <c r="LNM667" s="112"/>
      <c r="LNN667" s="112"/>
      <c r="LNO667" s="112"/>
      <c r="LNP667" s="112"/>
      <c r="LNQ667" s="112"/>
      <c r="LNR667" s="112"/>
      <c r="LNS667" s="112"/>
      <c r="LNT667" s="112"/>
      <c r="LNU667" s="112"/>
      <c r="LNV667" s="112"/>
      <c r="LNW667" s="112"/>
      <c r="LNX667" s="112"/>
      <c r="LNY667" s="112"/>
      <c r="LNZ667" s="112"/>
      <c r="LOA667" s="112"/>
      <c r="LOB667" s="112"/>
      <c r="LOC667" s="112"/>
      <c r="LOD667" s="112"/>
      <c r="LOE667" s="112"/>
      <c r="LOF667" s="112"/>
      <c r="LOG667" s="112"/>
      <c r="LOH667" s="112"/>
      <c r="LOI667" s="112"/>
      <c r="LOJ667" s="112"/>
      <c r="LOK667" s="112"/>
      <c r="LOL667" s="112"/>
      <c r="LOM667" s="112"/>
      <c r="LON667" s="112"/>
      <c r="LOO667" s="112"/>
      <c r="LOP667" s="112"/>
      <c r="LOQ667" s="112"/>
      <c r="LOR667" s="112"/>
      <c r="LOS667" s="112"/>
      <c r="LOT667" s="112"/>
      <c r="LOU667" s="112"/>
      <c r="LOV667" s="112"/>
      <c r="LOW667" s="112"/>
      <c r="LOX667" s="112"/>
      <c r="LOY667" s="112"/>
      <c r="LOZ667" s="112"/>
      <c r="LPA667" s="112"/>
      <c r="LPB667" s="112"/>
      <c r="LPC667" s="112"/>
      <c r="LPD667" s="112"/>
      <c r="LPE667" s="112"/>
      <c r="LPF667" s="112"/>
      <c r="LPG667" s="112"/>
      <c r="LPH667" s="112"/>
      <c r="LPI667" s="112"/>
      <c r="LPJ667" s="112"/>
      <c r="LPK667" s="112"/>
      <c r="LPL667" s="112"/>
      <c r="LPM667" s="112"/>
      <c r="LPN667" s="112"/>
      <c r="LPO667" s="112"/>
      <c r="LPP667" s="112"/>
      <c r="LPQ667" s="112"/>
      <c r="LPR667" s="112"/>
      <c r="LPS667" s="112"/>
      <c r="LPT667" s="112"/>
      <c r="LPU667" s="112"/>
      <c r="LPV667" s="112"/>
      <c r="LPW667" s="112"/>
      <c r="LPX667" s="112"/>
      <c r="LPY667" s="112"/>
      <c r="LPZ667" s="112"/>
      <c r="LQA667" s="112"/>
      <c r="LQB667" s="112"/>
      <c r="LQC667" s="112"/>
      <c r="LQD667" s="112"/>
      <c r="LQE667" s="112"/>
      <c r="LQF667" s="112"/>
      <c r="LQG667" s="112"/>
      <c r="LQH667" s="112"/>
      <c r="LQI667" s="112"/>
      <c r="LQJ667" s="112"/>
      <c r="LQK667" s="112"/>
      <c r="LQL667" s="112"/>
      <c r="LQM667" s="112"/>
      <c r="LQN667" s="112"/>
      <c r="LQO667" s="112"/>
      <c r="LQP667" s="112"/>
      <c r="LQQ667" s="112"/>
      <c r="LQR667" s="112"/>
      <c r="LQS667" s="112"/>
      <c r="LQT667" s="112"/>
      <c r="LQU667" s="112"/>
      <c r="LQV667" s="112"/>
      <c r="LQW667" s="112"/>
      <c r="LQX667" s="112"/>
      <c r="LQY667" s="112"/>
      <c r="LQZ667" s="112"/>
      <c r="LRA667" s="112"/>
      <c r="LRB667" s="112"/>
      <c r="LRC667" s="112"/>
      <c r="LRD667" s="112"/>
      <c r="LRE667" s="112"/>
      <c r="LRF667" s="112"/>
      <c r="LRG667" s="112"/>
      <c r="LRH667" s="112"/>
      <c r="LRI667" s="112"/>
      <c r="LRJ667" s="112"/>
      <c r="LRK667" s="112"/>
      <c r="LRL667" s="112"/>
      <c r="LRM667" s="112"/>
      <c r="LRN667" s="112"/>
      <c r="LRO667" s="112"/>
      <c r="LRP667" s="112"/>
      <c r="LRQ667" s="112"/>
      <c r="LRR667" s="112"/>
      <c r="LRS667" s="112"/>
      <c r="LRT667" s="112"/>
      <c r="LRU667" s="112"/>
      <c r="LRV667" s="112"/>
      <c r="LRW667" s="112"/>
      <c r="LRX667" s="112"/>
      <c r="LRY667" s="112"/>
      <c r="LRZ667" s="112"/>
      <c r="LSA667" s="112"/>
      <c r="LSB667" s="112"/>
      <c r="LSC667" s="112"/>
      <c r="LSD667" s="112"/>
      <c r="LSE667" s="112"/>
      <c r="LSF667" s="112"/>
      <c r="LSG667" s="112"/>
      <c r="LSH667" s="112"/>
      <c r="LSI667" s="112"/>
      <c r="LSJ667" s="112"/>
      <c r="LSK667" s="112"/>
      <c r="LSL667" s="112"/>
      <c r="LSM667" s="112"/>
      <c r="LSN667" s="112"/>
      <c r="LSO667" s="112"/>
      <c r="LSP667" s="112"/>
      <c r="LSQ667" s="112"/>
      <c r="LSR667" s="112"/>
      <c r="LSS667" s="112"/>
      <c r="LST667" s="112"/>
      <c r="LSU667" s="112"/>
      <c r="LSV667" s="112"/>
      <c r="LSW667" s="112"/>
      <c r="LSX667" s="112"/>
      <c r="LSY667" s="112"/>
      <c r="LSZ667" s="112"/>
      <c r="LTA667" s="112"/>
      <c r="LTB667" s="112"/>
      <c r="LTC667" s="112"/>
      <c r="LTD667" s="112"/>
      <c r="LTE667" s="112"/>
      <c r="LTF667" s="112"/>
      <c r="LTG667" s="112"/>
      <c r="LTH667" s="112"/>
      <c r="LTI667" s="112"/>
      <c r="LTJ667" s="112"/>
      <c r="LTK667" s="112"/>
      <c r="LTL667" s="112"/>
      <c r="LTM667" s="112"/>
      <c r="LTN667" s="112"/>
      <c r="LTO667" s="112"/>
      <c r="LTP667" s="112"/>
      <c r="LTQ667" s="112"/>
      <c r="LTR667" s="112"/>
      <c r="LTS667" s="112"/>
      <c r="LTT667" s="112"/>
      <c r="LTU667" s="112"/>
      <c r="LTV667" s="112"/>
      <c r="LTW667" s="112"/>
      <c r="LTX667" s="112"/>
      <c r="LTY667" s="112"/>
      <c r="LTZ667" s="112"/>
      <c r="LUA667" s="112"/>
      <c r="LUB667" s="112"/>
      <c r="LUC667" s="112"/>
      <c r="LUD667" s="112"/>
      <c r="LUE667" s="112"/>
      <c r="LUF667" s="112"/>
      <c r="LUG667" s="112"/>
      <c r="LUH667" s="112"/>
      <c r="LUI667" s="112"/>
      <c r="LUJ667" s="112"/>
      <c r="LUK667" s="112"/>
      <c r="LUL667" s="112"/>
      <c r="LUM667" s="112"/>
      <c r="LUN667" s="112"/>
      <c r="LUO667" s="112"/>
      <c r="LUP667" s="112"/>
      <c r="LUQ667" s="112"/>
      <c r="LUR667" s="112"/>
      <c r="LUS667" s="112"/>
      <c r="LUT667" s="112"/>
      <c r="LUU667" s="112"/>
      <c r="LUV667" s="112"/>
      <c r="LUW667" s="112"/>
      <c r="LUX667" s="112"/>
      <c r="LUY667" s="112"/>
      <c r="LUZ667" s="112"/>
      <c r="LVA667" s="112"/>
      <c r="LVB667" s="112"/>
      <c r="LVC667" s="112"/>
      <c r="LVD667" s="112"/>
      <c r="LVE667" s="112"/>
      <c r="LVF667" s="112"/>
      <c r="LVG667" s="112"/>
      <c r="LVH667" s="112"/>
      <c r="LVI667" s="112"/>
      <c r="LVJ667" s="112"/>
      <c r="LVK667" s="112"/>
      <c r="LVL667" s="112"/>
      <c r="LVM667" s="112"/>
      <c r="LVN667" s="112"/>
      <c r="LVO667" s="112"/>
      <c r="LVP667" s="112"/>
      <c r="LVQ667" s="112"/>
      <c r="LVR667" s="112"/>
      <c r="LVS667" s="112"/>
      <c r="LVT667" s="112"/>
      <c r="LVU667" s="112"/>
      <c r="LVV667" s="112"/>
      <c r="LVW667" s="112"/>
      <c r="LVX667" s="112"/>
      <c r="LVY667" s="112"/>
      <c r="LVZ667" s="112"/>
      <c r="LWA667" s="112"/>
      <c r="LWB667" s="112"/>
      <c r="LWC667" s="112"/>
      <c r="LWD667" s="112"/>
      <c r="LWE667" s="112"/>
      <c r="LWF667" s="112"/>
      <c r="LWG667" s="112"/>
      <c r="LWH667" s="112"/>
      <c r="LWI667" s="112"/>
      <c r="LWJ667" s="112"/>
      <c r="LWK667" s="112"/>
      <c r="LWL667" s="112"/>
      <c r="LWM667" s="112"/>
      <c r="LWN667" s="112"/>
      <c r="LWO667" s="112"/>
      <c r="LWP667" s="112"/>
      <c r="LWQ667" s="112"/>
      <c r="LWR667" s="112"/>
      <c r="LWS667" s="112"/>
      <c r="LWT667" s="112"/>
      <c r="LWU667" s="112"/>
      <c r="LWV667" s="112"/>
      <c r="LWW667" s="112"/>
      <c r="LWX667" s="112"/>
      <c r="LWY667" s="112"/>
      <c r="LWZ667" s="112"/>
      <c r="LXA667" s="112"/>
      <c r="LXB667" s="112"/>
      <c r="LXC667" s="112"/>
      <c r="LXD667" s="112"/>
      <c r="LXE667" s="112"/>
      <c r="LXF667" s="112"/>
      <c r="LXG667" s="112"/>
      <c r="LXH667" s="112"/>
      <c r="LXI667" s="112"/>
      <c r="LXJ667" s="112"/>
      <c r="LXK667" s="112"/>
      <c r="LXL667" s="112"/>
      <c r="LXM667" s="112"/>
      <c r="LXN667" s="112"/>
      <c r="LXO667" s="112"/>
      <c r="LXP667" s="112"/>
      <c r="LXQ667" s="112"/>
      <c r="LXR667" s="112"/>
      <c r="LXS667" s="112"/>
      <c r="LXT667" s="112"/>
      <c r="LXU667" s="112"/>
      <c r="LXV667" s="112"/>
      <c r="LXW667" s="112"/>
      <c r="LXX667" s="112"/>
      <c r="LXY667" s="112"/>
      <c r="LXZ667" s="112"/>
      <c r="LYA667" s="112"/>
      <c r="LYB667" s="112"/>
      <c r="LYC667" s="112"/>
      <c r="LYD667" s="112"/>
      <c r="LYE667" s="112"/>
      <c r="LYF667" s="112"/>
      <c r="LYG667" s="112"/>
      <c r="LYH667" s="112"/>
      <c r="LYI667" s="112"/>
      <c r="LYJ667" s="112"/>
      <c r="LYK667" s="112"/>
      <c r="LYL667" s="112"/>
      <c r="LYM667" s="112"/>
      <c r="LYN667" s="112"/>
      <c r="LYO667" s="112"/>
      <c r="LYP667" s="112"/>
      <c r="LYQ667" s="112"/>
      <c r="LYR667" s="112"/>
      <c r="LYS667" s="112"/>
      <c r="LYT667" s="112"/>
      <c r="LYU667" s="112"/>
      <c r="LYV667" s="112"/>
      <c r="LYW667" s="112"/>
      <c r="LYX667" s="112"/>
      <c r="LYY667" s="112"/>
      <c r="LYZ667" s="112"/>
      <c r="LZA667" s="112"/>
      <c r="LZB667" s="112"/>
      <c r="LZC667" s="112"/>
      <c r="LZD667" s="112"/>
      <c r="LZE667" s="112"/>
      <c r="LZF667" s="112"/>
      <c r="LZG667" s="112"/>
      <c r="LZH667" s="112"/>
      <c r="LZI667" s="112"/>
      <c r="LZJ667" s="112"/>
      <c r="LZK667" s="112"/>
      <c r="LZL667" s="112"/>
      <c r="LZM667" s="112"/>
      <c r="LZN667" s="112"/>
      <c r="LZO667" s="112"/>
      <c r="LZP667" s="112"/>
      <c r="LZQ667" s="112"/>
      <c r="LZR667" s="112"/>
      <c r="LZS667" s="112"/>
      <c r="LZT667" s="112"/>
      <c r="LZU667" s="112"/>
      <c r="LZV667" s="112"/>
      <c r="LZW667" s="112"/>
      <c r="LZX667" s="112"/>
      <c r="LZY667" s="112"/>
      <c r="LZZ667" s="112"/>
      <c r="MAA667" s="112"/>
      <c r="MAB667" s="112"/>
      <c r="MAC667" s="112"/>
      <c r="MAD667" s="112"/>
      <c r="MAE667" s="112"/>
      <c r="MAF667" s="112"/>
      <c r="MAG667" s="112"/>
      <c r="MAH667" s="112"/>
      <c r="MAI667" s="112"/>
      <c r="MAJ667" s="112"/>
      <c r="MAK667" s="112"/>
      <c r="MAL667" s="112"/>
      <c r="MAM667" s="112"/>
      <c r="MAN667" s="112"/>
      <c r="MAO667" s="112"/>
      <c r="MAP667" s="112"/>
      <c r="MAQ667" s="112"/>
      <c r="MAR667" s="112"/>
      <c r="MAS667" s="112"/>
      <c r="MAT667" s="112"/>
      <c r="MAU667" s="112"/>
      <c r="MAV667" s="112"/>
      <c r="MAW667" s="112"/>
      <c r="MAX667" s="112"/>
      <c r="MAY667" s="112"/>
      <c r="MAZ667" s="112"/>
      <c r="MBA667" s="112"/>
      <c r="MBB667" s="112"/>
      <c r="MBC667" s="112"/>
      <c r="MBD667" s="112"/>
      <c r="MBE667" s="112"/>
      <c r="MBF667" s="112"/>
      <c r="MBG667" s="112"/>
      <c r="MBH667" s="112"/>
      <c r="MBI667" s="112"/>
      <c r="MBJ667" s="112"/>
      <c r="MBK667" s="112"/>
      <c r="MBL667" s="112"/>
      <c r="MBM667" s="112"/>
      <c r="MBN667" s="112"/>
      <c r="MBO667" s="112"/>
      <c r="MBP667" s="112"/>
      <c r="MBQ667" s="112"/>
      <c r="MBR667" s="112"/>
      <c r="MBS667" s="112"/>
      <c r="MBT667" s="112"/>
      <c r="MBU667" s="112"/>
      <c r="MBV667" s="112"/>
      <c r="MBW667" s="112"/>
      <c r="MBX667" s="112"/>
      <c r="MBY667" s="112"/>
      <c r="MBZ667" s="112"/>
      <c r="MCA667" s="112"/>
      <c r="MCB667" s="112"/>
      <c r="MCC667" s="112"/>
      <c r="MCD667" s="112"/>
      <c r="MCE667" s="112"/>
      <c r="MCF667" s="112"/>
      <c r="MCG667" s="112"/>
      <c r="MCH667" s="112"/>
      <c r="MCI667" s="112"/>
      <c r="MCJ667" s="112"/>
      <c r="MCK667" s="112"/>
      <c r="MCL667" s="112"/>
      <c r="MCM667" s="112"/>
      <c r="MCN667" s="112"/>
      <c r="MCO667" s="112"/>
      <c r="MCP667" s="112"/>
      <c r="MCQ667" s="112"/>
      <c r="MCR667" s="112"/>
      <c r="MCS667" s="112"/>
      <c r="MCT667" s="112"/>
      <c r="MCU667" s="112"/>
      <c r="MCV667" s="112"/>
      <c r="MCW667" s="112"/>
      <c r="MCX667" s="112"/>
      <c r="MCY667" s="112"/>
      <c r="MCZ667" s="112"/>
      <c r="MDA667" s="112"/>
      <c r="MDB667" s="112"/>
      <c r="MDC667" s="112"/>
      <c r="MDD667" s="112"/>
      <c r="MDE667" s="112"/>
      <c r="MDF667" s="112"/>
      <c r="MDG667" s="112"/>
      <c r="MDH667" s="112"/>
      <c r="MDI667" s="112"/>
      <c r="MDJ667" s="112"/>
      <c r="MDK667" s="112"/>
      <c r="MDL667" s="112"/>
      <c r="MDM667" s="112"/>
      <c r="MDN667" s="112"/>
      <c r="MDO667" s="112"/>
      <c r="MDP667" s="112"/>
      <c r="MDQ667" s="112"/>
      <c r="MDR667" s="112"/>
      <c r="MDS667" s="112"/>
      <c r="MDT667" s="112"/>
      <c r="MDU667" s="112"/>
      <c r="MDV667" s="112"/>
      <c r="MDW667" s="112"/>
      <c r="MDX667" s="112"/>
      <c r="MDY667" s="112"/>
      <c r="MDZ667" s="112"/>
      <c r="MEA667" s="112"/>
      <c r="MEB667" s="112"/>
      <c r="MEC667" s="112"/>
      <c r="MED667" s="112"/>
      <c r="MEE667" s="112"/>
      <c r="MEF667" s="112"/>
      <c r="MEG667" s="112"/>
      <c r="MEH667" s="112"/>
      <c r="MEI667" s="112"/>
      <c r="MEJ667" s="112"/>
      <c r="MEK667" s="112"/>
      <c r="MEL667" s="112"/>
      <c r="MEM667" s="112"/>
      <c r="MEN667" s="112"/>
      <c r="MEO667" s="112"/>
      <c r="MEP667" s="112"/>
      <c r="MEQ667" s="112"/>
      <c r="MER667" s="112"/>
      <c r="MES667" s="112"/>
      <c r="MET667" s="112"/>
      <c r="MEU667" s="112"/>
      <c r="MEV667" s="112"/>
      <c r="MEW667" s="112"/>
      <c r="MEX667" s="112"/>
      <c r="MEY667" s="112"/>
      <c r="MEZ667" s="112"/>
      <c r="MFA667" s="112"/>
      <c r="MFB667" s="112"/>
      <c r="MFC667" s="112"/>
      <c r="MFD667" s="112"/>
      <c r="MFE667" s="112"/>
      <c r="MFF667" s="112"/>
      <c r="MFG667" s="112"/>
      <c r="MFH667" s="112"/>
      <c r="MFI667" s="112"/>
      <c r="MFJ667" s="112"/>
      <c r="MFK667" s="112"/>
      <c r="MFL667" s="112"/>
      <c r="MFM667" s="112"/>
      <c r="MFN667" s="112"/>
      <c r="MFO667" s="112"/>
      <c r="MFP667" s="112"/>
      <c r="MFQ667" s="112"/>
      <c r="MFR667" s="112"/>
      <c r="MFS667" s="112"/>
      <c r="MFT667" s="112"/>
      <c r="MFU667" s="112"/>
      <c r="MFV667" s="112"/>
      <c r="MFW667" s="112"/>
      <c r="MFX667" s="112"/>
      <c r="MFY667" s="112"/>
      <c r="MFZ667" s="112"/>
      <c r="MGA667" s="112"/>
      <c r="MGB667" s="112"/>
      <c r="MGC667" s="112"/>
      <c r="MGD667" s="112"/>
      <c r="MGE667" s="112"/>
      <c r="MGF667" s="112"/>
      <c r="MGG667" s="112"/>
      <c r="MGH667" s="112"/>
      <c r="MGI667" s="112"/>
      <c r="MGJ667" s="112"/>
      <c r="MGK667" s="112"/>
      <c r="MGL667" s="112"/>
      <c r="MGM667" s="112"/>
      <c r="MGN667" s="112"/>
      <c r="MGO667" s="112"/>
      <c r="MGP667" s="112"/>
      <c r="MGQ667" s="112"/>
      <c r="MGR667" s="112"/>
      <c r="MGS667" s="112"/>
      <c r="MGT667" s="112"/>
      <c r="MGU667" s="112"/>
      <c r="MGV667" s="112"/>
      <c r="MGW667" s="112"/>
      <c r="MGX667" s="112"/>
      <c r="MGY667" s="112"/>
      <c r="MGZ667" s="112"/>
      <c r="MHA667" s="112"/>
      <c r="MHB667" s="112"/>
      <c r="MHC667" s="112"/>
      <c r="MHD667" s="112"/>
      <c r="MHE667" s="112"/>
      <c r="MHF667" s="112"/>
      <c r="MHG667" s="112"/>
      <c r="MHH667" s="112"/>
      <c r="MHI667" s="112"/>
      <c r="MHJ667" s="112"/>
      <c r="MHK667" s="112"/>
      <c r="MHL667" s="112"/>
      <c r="MHM667" s="112"/>
      <c r="MHN667" s="112"/>
      <c r="MHO667" s="112"/>
      <c r="MHP667" s="112"/>
      <c r="MHQ667" s="112"/>
      <c r="MHR667" s="112"/>
      <c r="MHS667" s="112"/>
      <c r="MHT667" s="112"/>
      <c r="MHU667" s="112"/>
      <c r="MHV667" s="112"/>
      <c r="MHW667" s="112"/>
      <c r="MHX667" s="112"/>
      <c r="MHY667" s="112"/>
      <c r="MHZ667" s="112"/>
      <c r="MIA667" s="112"/>
      <c r="MIB667" s="112"/>
      <c r="MIC667" s="112"/>
      <c r="MID667" s="112"/>
      <c r="MIE667" s="112"/>
      <c r="MIF667" s="112"/>
      <c r="MIG667" s="112"/>
      <c r="MIH667" s="112"/>
      <c r="MII667" s="112"/>
      <c r="MIJ667" s="112"/>
      <c r="MIK667" s="112"/>
      <c r="MIL667" s="112"/>
      <c r="MIM667" s="112"/>
      <c r="MIN667" s="112"/>
      <c r="MIO667" s="112"/>
      <c r="MIP667" s="112"/>
      <c r="MIQ667" s="112"/>
      <c r="MIR667" s="112"/>
      <c r="MIS667" s="112"/>
      <c r="MIT667" s="112"/>
      <c r="MIU667" s="112"/>
      <c r="MIV667" s="112"/>
      <c r="MIW667" s="112"/>
      <c r="MIX667" s="112"/>
      <c r="MIY667" s="112"/>
      <c r="MIZ667" s="112"/>
      <c r="MJA667" s="112"/>
      <c r="MJB667" s="112"/>
      <c r="MJC667" s="112"/>
      <c r="MJD667" s="112"/>
      <c r="MJE667" s="112"/>
      <c r="MJF667" s="112"/>
      <c r="MJG667" s="112"/>
      <c r="MJH667" s="112"/>
      <c r="MJI667" s="112"/>
      <c r="MJJ667" s="112"/>
      <c r="MJK667" s="112"/>
      <c r="MJL667" s="112"/>
      <c r="MJM667" s="112"/>
      <c r="MJN667" s="112"/>
      <c r="MJO667" s="112"/>
      <c r="MJP667" s="112"/>
      <c r="MJQ667" s="112"/>
      <c r="MJR667" s="112"/>
      <c r="MJS667" s="112"/>
      <c r="MJT667" s="112"/>
      <c r="MJU667" s="112"/>
      <c r="MJV667" s="112"/>
      <c r="MJW667" s="112"/>
      <c r="MJX667" s="112"/>
      <c r="MJY667" s="112"/>
      <c r="MJZ667" s="112"/>
      <c r="MKA667" s="112"/>
      <c r="MKB667" s="112"/>
      <c r="MKC667" s="112"/>
      <c r="MKD667" s="112"/>
      <c r="MKE667" s="112"/>
      <c r="MKF667" s="112"/>
      <c r="MKG667" s="112"/>
      <c r="MKH667" s="112"/>
      <c r="MKI667" s="112"/>
      <c r="MKJ667" s="112"/>
      <c r="MKK667" s="112"/>
      <c r="MKL667" s="112"/>
      <c r="MKM667" s="112"/>
      <c r="MKN667" s="112"/>
      <c r="MKO667" s="112"/>
      <c r="MKP667" s="112"/>
      <c r="MKQ667" s="112"/>
      <c r="MKR667" s="112"/>
      <c r="MKS667" s="112"/>
      <c r="MKT667" s="112"/>
      <c r="MKU667" s="112"/>
      <c r="MKV667" s="112"/>
      <c r="MKW667" s="112"/>
      <c r="MKX667" s="112"/>
      <c r="MKY667" s="112"/>
      <c r="MKZ667" s="112"/>
      <c r="MLA667" s="112"/>
      <c r="MLB667" s="112"/>
      <c r="MLC667" s="112"/>
      <c r="MLD667" s="112"/>
      <c r="MLE667" s="112"/>
      <c r="MLF667" s="112"/>
      <c r="MLG667" s="112"/>
      <c r="MLH667" s="112"/>
      <c r="MLI667" s="112"/>
      <c r="MLJ667" s="112"/>
      <c r="MLK667" s="112"/>
      <c r="MLL667" s="112"/>
      <c r="MLM667" s="112"/>
      <c r="MLN667" s="112"/>
      <c r="MLO667" s="112"/>
      <c r="MLP667" s="112"/>
      <c r="MLQ667" s="112"/>
      <c r="MLR667" s="112"/>
      <c r="MLS667" s="112"/>
      <c r="MLT667" s="112"/>
      <c r="MLU667" s="112"/>
      <c r="MLV667" s="112"/>
      <c r="MLW667" s="112"/>
      <c r="MLX667" s="112"/>
      <c r="MLY667" s="112"/>
      <c r="MLZ667" s="112"/>
      <c r="MMA667" s="112"/>
      <c r="MMB667" s="112"/>
      <c r="MMC667" s="112"/>
      <c r="MMD667" s="112"/>
      <c r="MME667" s="112"/>
      <c r="MMF667" s="112"/>
      <c r="MMG667" s="112"/>
      <c r="MMH667" s="112"/>
      <c r="MMI667" s="112"/>
      <c r="MMJ667" s="112"/>
      <c r="MMK667" s="112"/>
      <c r="MML667" s="112"/>
      <c r="MMM667" s="112"/>
      <c r="MMN667" s="112"/>
      <c r="MMO667" s="112"/>
      <c r="MMP667" s="112"/>
      <c r="MMQ667" s="112"/>
      <c r="MMR667" s="112"/>
      <c r="MMS667" s="112"/>
      <c r="MMT667" s="112"/>
      <c r="MMU667" s="112"/>
      <c r="MMV667" s="112"/>
      <c r="MMW667" s="112"/>
      <c r="MMX667" s="112"/>
      <c r="MMY667" s="112"/>
      <c r="MMZ667" s="112"/>
      <c r="MNA667" s="112"/>
      <c r="MNB667" s="112"/>
      <c r="MNC667" s="112"/>
      <c r="MND667" s="112"/>
      <c r="MNE667" s="112"/>
      <c r="MNF667" s="112"/>
      <c r="MNG667" s="112"/>
      <c r="MNH667" s="112"/>
      <c r="MNI667" s="112"/>
      <c r="MNJ667" s="112"/>
      <c r="MNK667" s="112"/>
      <c r="MNL667" s="112"/>
      <c r="MNM667" s="112"/>
      <c r="MNN667" s="112"/>
      <c r="MNO667" s="112"/>
      <c r="MNP667" s="112"/>
      <c r="MNQ667" s="112"/>
      <c r="MNR667" s="112"/>
      <c r="MNS667" s="112"/>
      <c r="MNT667" s="112"/>
      <c r="MNU667" s="112"/>
      <c r="MNV667" s="112"/>
      <c r="MNW667" s="112"/>
      <c r="MNX667" s="112"/>
      <c r="MNY667" s="112"/>
      <c r="MNZ667" s="112"/>
      <c r="MOA667" s="112"/>
      <c r="MOB667" s="112"/>
      <c r="MOC667" s="112"/>
      <c r="MOD667" s="112"/>
      <c r="MOE667" s="112"/>
      <c r="MOF667" s="112"/>
      <c r="MOG667" s="112"/>
      <c r="MOH667" s="112"/>
      <c r="MOI667" s="112"/>
      <c r="MOJ667" s="112"/>
      <c r="MOK667" s="112"/>
      <c r="MOL667" s="112"/>
      <c r="MOM667" s="112"/>
      <c r="MON667" s="112"/>
      <c r="MOO667" s="112"/>
      <c r="MOP667" s="112"/>
      <c r="MOQ667" s="112"/>
      <c r="MOR667" s="112"/>
      <c r="MOS667" s="112"/>
      <c r="MOT667" s="112"/>
      <c r="MOU667" s="112"/>
      <c r="MOV667" s="112"/>
      <c r="MOW667" s="112"/>
      <c r="MOX667" s="112"/>
      <c r="MOY667" s="112"/>
      <c r="MOZ667" s="112"/>
      <c r="MPA667" s="112"/>
      <c r="MPB667" s="112"/>
      <c r="MPC667" s="112"/>
      <c r="MPD667" s="112"/>
      <c r="MPE667" s="112"/>
      <c r="MPF667" s="112"/>
      <c r="MPG667" s="112"/>
      <c r="MPH667" s="112"/>
      <c r="MPI667" s="112"/>
      <c r="MPJ667" s="112"/>
      <c r="MPK667" s="112"/>
      <c r="MPL667" s="112"/>
      <c r="MPM667" s="112"/>
      <c r="MPN667" s="112"/>
      <c r="MPO667" s="112"/>
      <c r="MPP667" s="112"/>
      <c r="MPQ667" s="112"/>
      <c r="MPR667" s="112"/>
      <c r="MPS667" s="112"/>
      <c r="MPT667" s="112"/>
      <c r="MPU667" s="112"/>
      <c r="MPV667" s="112"/>
      <c r="MPW667" s="112"/>
      <c r="MPX667" s="112"/>
      <c r="MPY667" s="112"/>
      <c r="MPZ667" s="112"/>
      <c r="MQA667" s="112"/>
      <c r="MQB667" s="112"/>
      <c r="MQC667" s="112"/>
      <c r="MQD667" s="112"/>
      <c r="MQE667" s="112"/>
      <c r="MQF667" s="112"/>
      <c r="MQG667" s="112"/>
      <c r="MQH667" s="112"/>
      <c r="MQI667" s="112"/>
      <c r="MQJ667" s="112"/>
      <c r="MQK667" s="112"/>
      <c r="MQL667" s="112"/>
      <c r="MQM667" s="112"/>
      <c r="MQN667" s="112"/>
      <c r="MQO667" s="112"/>
      <c r="MQP667" s="112"/>
      <c r="MQQ667" s="112"/>
      <c r="MQR667" s="112"/>
      <c r="MQS667" s="112"/>
      <c r="MQT667" s="112"/>
      <c r="MQU667" s="112"/>
      <c r="MQV667" s="112"/>
      <c r="MQW667" s="112"/>
      <c r="MQX667" s="112"/>
      <c r="MQY667" s="112"/>
      <c r="MQZ667" s="112"/>
      <c r="MRA667" s="112"/>
      <c r="MRB667" s="112"/>
      <c r="MRC667" s="112"/>
      <c r="MRD667" s="112"/>
      <c r="MRE667" s="112"/>
      <c r="MRF667" s="112"/>
      <c r="MRG667" s="112"/>
      <c r="MRH667" s="112"/>
      <c r="MRI667" s="112"/>
      <c r="MRJ667" s="112"/>
      <c r="MRK667" s="112"/>
      <c r="MRL667" s="112"/>
      <c r="MRM667" s="112"/>
      <c r="MRN667" s="112"/>
      <c r="MRO667" s="112"/>
      <c r="MRP667" s="112"/>
      <c r="MRQ667" s="112"/>
      <c r="MRR667" s="112"/>
      <c r="MRS667" s="112"/>
      <c r="MRT667" s="112"/>
      <c r="MRU667" s="112"/>
      <c r="MRV667" s="112"/>
      <c r="MRW667" s="112"/>
      <c r="MRX667" s="112"/>
      <c r="MRY667" s="112"/>
      <c r="MRZ667" s="112"/>
      <c r="MSA667" s="112"/>
      <c r="MSB667" s="112"/>
      <c r="MSC667" s="112"/>
      <c r="MSD667" s="112"/>
      <c r="MSE667" s="112"/>
      <c r="MSF667" s="112"/>
      <c r="MSG667" s="112"/>
      <c r="MSH667" s="112"/>
      <c r="MSI667" s="112"/>
      <c r="MSJ667" s="112"/>
      <c r="MSK667" s="112"/>
      <c r="MSL667" s="112"/>
      <c r="MSM667" s="112"/>
      <c r="MSN667" s="112"/>
      <c r="MSO667" s="112"/>
      <c r="MSP667" s="112"/>
      <c r="MSQ667" s="112"/>
      <c r="MSR667" s="112"/>
      <c r="MSS667" s="112"/>
      <c r="MST667" s="112"/>
      <c r="MSU667" s="112"/>
      <c r="MSV667" s="112"/>
      <c r="MSW667" s="112"/>
      <c r="MSX667" s="112"/>
      <c r="MSY667" s="112"/>
      <c r="MSZ667" s="112"/>
      <c r="MTA667" s="112"/>
      <c r="MTB667" s="112"/>
      <c r="MTC667" s="112"/>
      <c r="MTD667" s="112"/>
      <c r="MTE667" s="112"/>
      <c r="MTF667" s="112"/>
      <c r="MTG667" s="112"/>
      <c r="MTH667" s="112"/>
      <c r="MTI667" s="112"/>
      <c r="MTJ667" s="112"/>
      <c r="MTK667" s="112"/>
      <c r="MTL667" s="112"/>
      <c r="MTM667" s="112"/>
      <c r="MTN667" s="112"/>
      <c r="MTO667" s="112"/>
      <c r="MTP667" s="112"/>
      <c r="MTQ667" s="112"/>
      <c r="MTR667" s="112"/>
      <c r="MTS667" s="112"/>
      <c r="MTT667" s="112"/>
      <c r="MTU667" s="112"/>
      <c r="MTV667" s="112"/>
      <c r="MTW667" s="112"/>
      <c r="MTX667" s="112"/>
      <c r="MTY667" s="112"/>
      <c r="MTZ667" s="112"/>
      <c r="MUA667" s="112"/>
      <c r="MUB667" s="112"/>
      <c r="MUC667" s="112"/>
      <c r="MUD667" s="112"/>
      <c r="MUE667" s="112"/>
      <c r="MUF667" s="112"/>
      <c r="MUG667" s="112"/>
      <c r="MUH667" s="112"/>
      <c r="MUI667" s="112"/>
      <c r="MUJ667" s="112"/>
      <c r="MUK667" s="112"/>
      <c r="MUL667" s="112"/>
      <c r="MUM667" s="112"/>
      <c r="MUN667" s="112"/>
      <c r="MUO667" s="112"/>
      <c r="MUP667" s="112"/>
      <c r="MUQ667" s="112"/>
      <c r="MUR667" s="112"/>
      <c r="MUS667" s="112"/>
      <c r="MUT667" s="112"/>
      <c r="MUU667" s="112"/>
      <c r="MUV667" s="112"/>
      <c r="MUW667" s="112"/>
      <c r="MUX667" s="112"/>
      <c r="MUY667" s="112"/>
      <c r="MUZ667" s="112"/>
      <c r="MVA667" s="112"/>
      <c r="MVB667" s="112"/>
      <c r="MVC667" s="112"/>
      <c r="MVD667" s="112"/>
      <c r="MVE667" s="112"/>
      <c r="MVF667" s="112"/>
      <c r="MVG667" s="112"/>
      <c r="MVH667" s="112"/>
      <c r="MVI667" s="112"/>
      <c r="MVJ667" s="112"/>
      <c r="MVK667" s="112"/>
      <c r="MVL667" s="112"/>
      <c r="MVM667" s="112"/>
      <c r="MVN667" s="112"/>
      <c r="MVO667" s="112"/>
      <c r="MVP667" s="112"/>
      <c r="MVQ667" s="112"/>
      <c r="MVR667" s="112"/>
      <c r="MVS667" s="112"/>
      <c r="MVT667" s="112"/>
      <c r="MVU667" s="112"/>
      <c r="MVV667" s="112"/>
      <c r="MVW667" s="112"/>
      <c r="MVX667" s="112"/>
      <c r="MVY667" s="112"/>
      <c r="MVZ667" s="112"/>
      <c r="MWA667" s="112"/>
      <c r="MWB667" s="112"/>
      <c r="MWC667" s="112"/>
      <c r="MWD667" s="112"/>
      <c r="MWE667" s="112"/>
      <c r="MWF667" s="112"/>
      <c r="MWG667" s="112"/>
      <c r="MWH667" s="112"/>
      <c r="MWI667" s="112"/>
      <c r="MWJ667" s="112"/>
      <c r="MWK667" s="112"/>
      <c r="MWL667" s="112"/>
      <c r="MWM667" s="112"/>
      <c r="MWN667" s="112"/>
      <c r="MWO667" s="112"/>
      <c r="MWP667" s="112"/>
      <c r="MWQ667" s="112"/>
      <c r="MWR667" s="112"/>
      <c r="MWS667" s="112"/>
      <c r="MWT667" s="112"/>
      <c r="MWU667" s="112"/>
      <c r="MWV667" s="112"/>
      <c r="MWW667" s="112"/>
      <c r="MWX667" s="112"/>
      <c r="MWY667" s="112"/>
      <c r="MWZ667" s="112"/>
      <c r="MXA667" s="112"/>
      <c r="MXB667" s="112"/>
      <c r="MXC667" s="112"/>
      <c r="MXD667" s="112"/>
      <c r="MXE667" s="112"/>
      <c r="MXF667" s="112"/>
      <c r="MXG667" s="112"/>
      <c r="MXH667" s="112"/>
      <c r="MXI667" s="112"/>
      <c r="MXJ667" s="112"/>
      <c r="MXK667" s="112"/>
      <c r="MXL667" s="112"/>
      <c r="MXM667" s="112"/>
      <c r="MXN667" s="112"/>
      <c r="MXO667" s="112"/>
      <c r="MXP667" s="112"/>
      <c r="MXQ667" s="112"/>
      <c r="MXR667" s="112"/>
      <c r="MXS667" s="112"/>
      <c r="MXT667" s="112"/>
      <c r="MXU667" s="112"/>
      <c r="MXV667" s="112"/>
      <c r="MXW667" s="112"/>
      <c r="MXX667" s="112"/>
      <c r="MXY667" s="112"/>
      <c r="MXZ667" s="112"/>
      <c r="MYA667" s="112"/>
      <c r="MYB667" s="112"/>
      <c r="MYC667" s="112"/>
      <c r="MYD667" s="112"/>
      <c r="MYE667" s="112"/>
      <c r="MYF667" s="112"/>
      <c r="MYG667" s="112"/>
      <c r="MYH667" s="112"/>
      <c r="MYI667" s="112"/>
      <c r="MYJ667" s="112"/>
      <c r="MYK667" s="112"/>
      <c r="MYL667" s="112"/>
      <c r="MYM667" s="112"/>
      <c r="MYN667" s="112"/>
      <c r="MYO667" s="112"/>
      <c r="MYP667" s="112"/>
      <c r="MYQ667" s="112"/>
      <c r="MYR667" s="112"/>
      <c r="MYS667" s="112"/>
      <c r="MYT667" s="112"/>
      <c r="MYU667" s="112"/>
      <c r="MYV667" s="112"/>
      <c r="MYW667" s="112"/>
      <c r="MYX667" s="112"/>
      <c r="MYY667" s="112"/>
      <c r="MYZ667" s="112"/>
      <c r="MZA667" s="112"/>
      <c r="MZB667" s="112"/>
      <c r="MZC667" s="112"/>
      <c r="MZD667" s="112"/>
      <c r="MZE667" s="112"/>
      <c r="MZF667" s="112"/>
      <c r="MZG667" s="112"/>
      <c r="MZH667" s="112"/>
      <c r="MZI667" s="112"/>
      <c r="MZJ667" s="112"/>
      <c r="MZK667" s="112"/>
      <c r="MZL667" s="112"/>
      <c r="MZM667" s="112"/>
      <c r="MZN667" s="112"/>
      <c r="MZO667" s="112"/>
      <c r="MZP667" s="112"/>
      <c r="MZQ667" s="112"/>
      <c r="MZR667" s="112"/>
      <c r="MZS667" s="112"/>
      <c r="MZT667" s="112"/>
      <c r="MZU667" s="112"/>
      <c r="MZV667" s="112"/>
      <c r="MZW667" s="112"/>
      <c r="MZX667" s="112"/>
      <c r="MZY667" s="112"/>
      <c r="MZZ667" s="112"/>
      <c r="NAA667" s="112"/>
      <c r="NAB667" s="112"/>
      <c r="NAC667" s="112"/>
      <c r="NAD667" s="112"/>
      <c r="NAE667" s="112"/>
      <c r="NAF667" s="112"/>
      <c r="NAG667" s="112"/>
      <c r="NAH667" s="112"/>
      <c r="NAI667" s="112"/>
      <c r="NAJ667" s="112"/>
      <c r="NAK667" s="112"/>
      <c r="NAL667" s="112"/>
      <c r="NAM667" s="112"/>
      <c r="NAN667" s="112"/>
      <c r="NAO667" s="112"/>
      <c r="NAP667" s="112"/>
      <c r="NAQ667" s="112"/>
      <c r="NAR667" s="112"/>
      <c r="NAS667" s="112"/>
      <c r="NAT667" s="112"/>
      <c r="NAU667" s="112"/>
      <c r="NAV667" s="112"/>
      <c r="NAW667" s="112"/>
      <c r="NAX667" s="112"/>
      <c r="NAY667" s="112"/>
      <c r="NAZ667" s="112"/>
      <c r="NBA667" s="112"/>
      <c r="NBB667" s="112"/>
      <c r="NBC667" s="112"/>
      <c r="NBD667" s="112"/>
      <c r="NBE667" s="112"/>
      <c r="NBF667" s="112"/>
      <c r="NBG667" s="112"/>
      <c r="NBH667" s="112"/>
      <c r="NBI667" s="112"/>
      <c r="NBJ667" s="112"/>
      <c r="NBK667" s="112"/>
      <c r="NBL667" s="112"/>
      <c r="NBM667" s="112"/>
      <c r="NBN667" s="112"/>
      <c r="NBO667" s="112"/>
      <c r="NBP667" s="112"/>
      <c r="NBQ667" s="112"/>
      <c r="NBR667" s="112"/>
      <c r="NBS667" s="112"/>
      <c r="NBT667" s="112"/>
      <c r="NBU667" s="112"/>
      <c r="NBV667" s="112"/>
      <c r="NBW667" s="112"/>
      <c r="NBX667" s="112"/>
      <c r="NBY667" s="112"/>
      <c r="NBZ667" s="112"/>
      <c r="NCA667" s="112"/>
      <c r="NCB667" s="112"/>
      <c r="NCC667" s="112"/>
      <c r="NCD667" s="112"/>
      <c r="NCE667" s="112"/>
      <c r="NCF667" s="112"/>
      <c r="NCG667" s="112"/>
      <c r="NCH667" s="112"/>
      <c r="NCI667" s="112"/>
      <c r="NCJ667" s="112"/>
      <c r="NCK667" s="112"/>
      <c r="NCL667" s="112"/>
      <c r="NCM667" s="112"/>
      <c r="NCN667" s="112"/>
      <c r="NCO667" s="112"/>
      <c r="NCP667" s="112"/>
      <c r="NCQ667" s="112"/>
      <c r="NCR667" s="112"/>
      <c r="NCS667" s="112"/>
      <c r="NCT667" s="112"/>
      <c r="NCU667" s="112"/>
      <c r="NCV667" s="112"/>
      <c r="NCW667" s="112"/>
      <c r="NCX667" s="112"/>
      <c r="NCY667" s="112"/>
      <c r="NCZ667" s="112"/>
      <c r="NDA667" s="112"/>
      <c r="NDB667" s="112"/>
      <c r="NDC667" s="112"/>
      <c r="NDD667" s="112"/>
      <c r="NDE667" s="112"/>
      <c r="NDF667" s="112"/>
      <c r="NDG667" s="112"/>
      <c r="NDH667" s="112"/>
      <c r="NDI667" s="112"/>
      <c r="NDJ667" s="112"/>
      <c r="NDK667" s="112"/>
      <c r="NDL667" s="112"/>
      <c r="NDM667" s="112"/>
      <c r="NDN667" s="112"/>
      <c r="NDO667" s="112"/>
      <c r="NDP667" s="112"/>
      <c r="NDQ667" s="112"/>
      <c r="NDR667" s="112"/>
      <c r="NDS667" s="112"/>
      <c r="NDT667" s="112"/>
      <c r="NDU667" s="112"/>
      <c r="NDV667" s="112"/>
      <c r="NDW667" s="112"/>
      <c r="NDX667" s="112"/>
      <c r="NDY667" s="112"/>
      <c r="NDZ667" s="112"/>
      <c r="NEA667" s="112"/>
      <c r="NEB667" s="112"/>
      <c r="NEC667" s="112"/>
      <c r="NED667" s="112"/>
      <c r="NEE667" s="112"/>
      <c r="NEF667" s="112"/>
      <c r="NEG667" s="112"/>
      <c r="NEH667" s="112"/>
      <c r="NEI667" s="112"/>
      <c r="NEJ667" s="112"/>
      <c r="NEK667" s="112"/>
      <c r="NEL667" s="112"/>
      <c r="NEM667" s="112"/>
      <c r="NEN667" s="112"/>
      <c r="NEO667" s="112"/>
      <c r="NEP667" s="112"/>
      <c r="NEQ667" s="112"/>
      <c r="NER667" s="112"/>
      <c r="NES667" s="112"/>
      <c r="NET667" s="112"/>
      <c r="NEU667" s="112"/>
      <c r="NEV667" s="112"/>
      <c r="NEW667" s="112"/>
      <c r="NEX667" s="112"/>
      <c r="NEY667" s="112"/>
      <c r="NEZ667" s="112"/>
      <c r="NFA667" s="112"/>
      <c r="NFB667" s="112"/>
      <c r="NFC667" s="112"/>
      <c r="NFD667" s="112"/>
      <c r="NFE667" s="112"/>
      <c r="NFF667" s="112"/>
      <c r="NFG667" s="112"/>
      <c r="NFH667" s="112"/>
      <c r="NFI667" s="112"/>
      <c r="NFJ667" s="112"/>
      <c r="NFK667" s="112"/>
      <c r="NFL667" s="112"/>
      <c r="NFM667" s="112"/>
      <c r="NFN667" s="112"/>
      <c r="NFO667" s="112"/>
      <c r="NFP667" s="112"/>
      <c r="NFQ667" s="112"/>
      <c r="NFR667" s="112"/>
      <c r="NFS667" s="112"/>
      <c r="NFT667" s="112"/>
      <c r="NFU667" s="112"/>
      <c r="NFV667" s="112"/>
      <c r="NFW667" s="112"/>
      <c r="NFX667" s="112"/>
      <c r="NFY667" s="112"/>
      <c r="NFZ667" s="112"/>
      <c r="NGA667" s="112"/>
      <c r="NGB667" s="112"/>
      <c r="NGC667" s="112"/>
      <c r="NGD667" s="112"/>
      <c r="NGE667" s="112"/>
      <c r="NGF667" s="112"/>
      <c r="NGG667" s="112"/>
      <c r="NGH667" s="112"/>
      <c r="NGI667" s="112"/>
      <c r="NGJ667" s="112"/>
      <c r="NGK667" s="112"/>
      <c r="NGL667" s="112"/>
      <c r="NGM667" s="112"/>
      <c r="NGN667" s="112"/>
      <c r="NGO667" s="112"/>
      <c r="NGP667" s="112"/>
      <c r="NGQ667" s="112"/>
      <c r="NGR667" s="112"/>
      <c r="NGS667" s="112"/>
      <c r="NGT667" s="112"/>
      <c r="NGU667" s="112"/>
      <c r="NGV667" s="112"/>
      <c r="NGW667" s="112"/>
      <c r="NGX667" s="112"/>
      <c r="NGY667" s="112"/>
      <c r="NGZ667" s="112"/>
      <c r="NHA667" s="112"/>
      <c r="NHB667" s="112"/>
      <c r="NHC667" s="112"/>
      <c r="NHD667" s="112"/>
      <c r="NHE667" s="112"/>
      <c r="NHF667" s="112"/>
      <c r="NHG667" s="112"/>
      <c r="NHH667" s="112"/>
      <c r="NHI667" s="112"/>
      <c r="NHJ667" s="112"/>
      <c r="NHK667" s="112"/>
      <c r="NHL667" s="112"/>
      <c r="NHM667" s="112"/>
      <c r="NHN667" s="112"/>
      <c r="NHO667" s="112"/>
      <c r="NHP667" s="112"/>
      <c r="NHQ667" s="112"/>
      <c r="NHR667" s="112"/>
      <c r="NHS667" s="112"/>
      <c r="NHT667" s="112"/>
      <c r="NHU667" s="112"/>
      <c r="NHV667" s="112"/>
      <c r="NHW667" s="112"/>
      <c r="NHX667" s="112"/>
      <c r="NHY667" s="112"/>
      <c r="NHZ667" s="112"/>
      <c r="NIA667" s="112"/>
      <c r="NIB667" s="112"/>
      <c r="NIC667" s="112"/>
      <c r="NID667" s="112"/>
      <c r="NIE667" s="112"/>
      <c r="NIF667" s="112"/>
      <c r="NIG667" s="112"/>
      <c r="NIH667" s="112"/>
      <c r="NII667" s="112"/>
      <c r="NIJ667" s="112"/>
      <c r="NIK667" s="112"/>
      <c r="NIL667" s="112"/>
      <c r="NIM667" s="112"/>
      <c r="NIN667" s="112"/>
      <c r="NIO667" s="112"/>
      <c r="NIP667" s="112"/>
      <c r="NIQ667" s="112"/>
      <c r="NIR667" s="112"/>
      <c r="NIS667" s="112"/>
      <c r="NIT667" s="112"/>
      <c r="NIU667" s="112"/>
      <c r="NIV667" s="112"/>
      <c r="NIW667" s="112"/>
      <c r="NIX667" s="112"/>
      <c r="NIY667" s="112"/>
      <c r="NIZ667" s="112"/>
      <c r="NJA667" s="112"/>
      <c r="NJB667" s="112"/>
      <c r="NJC667" s="112"/>
      <c r="NJD667" s="112"/>
      <c r="NJE667" s="112"/>
      <c r="NJF667" s="112"/>
      <c r="NJG667" s="112"/>
      <c r="NJH667" s="112"/>
      <c r="NJI667" s="112"/>
      <c r="NJJ667" s="112"/>
      <c r="NJK667" s="112"/>
      <c r="NJL667" s="112"/>
      <c r="NJM667" s="112"/>
      <c r="NJN667" s="112"/>
      <c r="NJO667" s="112"/>
      <c r="NJP667" s="112"/>
      <c r="NJQ667" s="112"/>
      <c r="NJR667" s="112"/>
      <c r="NJS667" s="112"/>
      <c r="NJT667" s="112"/>
      <c r="NJU667" s="112"/>
      <c r="NJV667" s="112"/>
      <c r="NJW667" s="112"/>
      <c r="NJX667" s="112"/>
      <c r="NJY667" s="112"/>
      <c r="NJZ667" s="112"/>
      <c r="NKA667" s="112"/>
      <c r="NKB667" s="112"/>
      <c r="NKC667" s="112"/>
      <c r="NKD667" s="112"/>
      <c r="NKE667" s="112"/>
      <c r="NKF667" s="112"/>
      <c r="NKG667" s="112"/>
      <c r="NKH667" s="112"/>
      <c r="NKI667" s="112"/>
      <c r="NKJ667" s="112"/>
      <c r="NKK667" s="112"/>
      <c r="NKL667" s="112"/>
      <c r="NKM667" s="112"/>
      <c r="NKN667" s="112"/>
      <c r="NKO667" s="112"/>
      <c r="NKP667" s="112"/>
      <c r="NKQ667" s="112"/>
      <c r="NKR667" s="112"/>
      <c r="NKS667" s="112"/>
      <c r="NKT667" s="112"/>
      <c r="NKU667" s="112"/>
      <c r="NKV667" s="112"/>
      <c r="NKW667" s="112"/>
      <c r="NKX667" s="112"/>
      <c r="NKY667" s="112"/>
      <c r="NKZ667" s="112"/>
      <c r="NLA667" s="112"/>
      <c r="NLB667" s="112"/>
      <c r="NLC667" s="112"/>
      <c r="NLD667" s="112"/>
      <c r="NLE667" s="112"/>
      <c r="NLF667" s="112"/>
      <c r="NLG667" s="112"/>
      <c r="NLH667" s="112"/>
      <c r="NLI667" s="112"/>
      <c r="NLJ667" s="112"/>
      <c r="NLK667" s="112"/>
      <c r="NLL667" s="112"/>
      <c r="NLM667" s="112"/>
      <c r="NLN667" s="112"/>
      <c r="NLO667" s="112"/>
      <c r="NLP667" s="112"/>
      <c r="NLQ667" s="112"/>
      <c r="NLR667" s="112"/>
      <c r="NLS667" s="112"/>
      <c r="NLT667" s="112"/>
      <c r="NLU667" s="112"/>
      <c r="NLV667" s="112"/>
      <c r="NLW667" s="112"/>
      <c r="NLX667" s="112"/>
      <c r="NLY667" s="112"/>
      <c r="NLZ667" s="112"/>
      <c r="NMA667" s="112"/>
      <c r="NMB667" s="112"/>
      <c r="NMC667" s="112"/>
      <c r="NMD667" s="112"/>
      <c r="NME667" s="112"/>
      <c r="NMF667" s="112"/>
      <c r="NMG667" s="112"/>
      <c r="NMH667" s="112"/>
      <c r="NMI667" s="112"/>
      <c r="NMJ667" s="112"/>
      <c r="NMK667" s="112"/>
      <c r="NML667" s="112"/>
      <c r="NMM667" s="112"/>
      <c r="NMN667" s="112"/>
      <c r="NMO667" s="112"/>
      <c r="NMP667" s="112"/>
      <c r="NMQ667" s="112"/>
      <c r="NMR667" s="112"/>
      <c r="NMS667" s="112"/>
      <c r="NMT667" s="112"/>
      <c r="NMU667" s="112"/>
      <c r="NMV667" s="112"/>
      <c r="NMW667" s="112"/>
      <c r="NMX667" s="112"/>
      <c r="NMY667" s="112"/>
      <c r="NMZ667" s="112"/>
      <c r="NNA667" s="112"/>
      <c r="NNB667" s="112"/>
      <c r="NNC667" s="112"/>
      <c r="NND667" s="112"/>
      <c r="NNE667" s="112"/>
      <c r="NNF667" s="112"/>
      <c r="NNG667" s="112"/>
      <c r="NNH667" s="112"/>
      <c r="NNI667" s="112"/>
      <c r="NNJ667" s="112"/>
      <c r="NNK667" s="112"/>
      <c r="NNL667" s="112"/>
      <c r="NNM667" s="112"/>
      <c r="NNN667" s="112"/>
      <c r="NNO667" s="112"/>
      <c r="NNP667" s="112"/>
      <c r="NNQ667" s="112"/>
      <c r="NNR667" s="112"/>
      <c r="NNS667" s="112"/>
      <c r="NNT667" s="112"/>
      <c r="NNU667" s="112"/>
      <c r="NNV667" s="112"/>
      <c r="NNW667" s="112"/>
      <c r="NNX667" s="112"/>
      <c r="NNY667" s="112"/>
      <c r="NNZ667" s="112"/>
      <c r="NOA667" s="112"/>
      <c r="NOB667" s="112"/>
      <c r="NOC667" s="112"/>
      <c r="NOD667" s="112"/>
      <c r="NOE667" s="112"/>
      <c r="NOF667" s="112"/>
      <c r="NOG667" s="112"/>
      <c r="NOH667" s="112"/>
      <c r="NOI667" s="112"/>
      <c r="NOJ667" s="112"/>
      <c r="NOK667" s="112"/>
      <c r="NOL667" s="112"/>
      <c r="NOM667" s="112"/>
      <c r="NON667" s="112"/>
      <c r="NOO667" s="112"/>
      <c r="NOP667" s="112"/>
      <c r="NOQ667" s="112"/>
      <c r="NOR667" s="112"/>
      <c r="NOS667" s="112"/>
      <c r="NOT667" s="112"/>
      <c r="NOU667" s="112"/>
      <c r="NOV667" s="112"/>
      <c r="NOW667" s="112"/>
      <c r="NOX667" s="112"/>
      <c r="NOY667" s="112"/>
      <c r="NOZ667" s="112"/>
      <c r="NPA667" s="112"/>
      <c r="NPB667" s="112"/>
      <c r="NPC667" s="112"/>
      <c r="NPD667" s="112"/>
      <c r="NPE667" s="112"/>
      <c r="NPF667" s="112"/>
      <c r="NPG667" s="112"/>
      <c r="NPH667" s="112"/>
      <c r="NPI667" s="112"/>
      <c r="NPJ667" s="112"/>
      <c r="NPK667" s="112"/>
      <c r="NPL667" s="112"/>
      <c r="NPM667" s="112"/>
      <c r="NPN667" s="112"/>
      <c r="NPO667" s="112"/>
      <c r="NPP667" s="112"/>
      <c r="NPQ667" s="112"/>
      <c r="NPR667" s="112"/>
      <c r="NPS667" s="112"/>
      <c r="NPT667" s="112"/>
      <c r="NPU667" s="112"/>
      <c r="NPV667" s="112"/>
      <c r="NPW667" s="112"/>
      <c r="NPX667" s="112"/>
      <c r="NPY667" s="112"/>
      <c r="NPZ667" s="112"/>
      <c r="NQA667" s="112"/>
      <c r="NQB667" s="112"/>
      <c r="NQC667" s="112"/>
      <c r="NQD667" s="112"/>
      <c r="NQE667" s="112"/>
      <c r="NQF667" s="112"/>
      <c r="NQG667" s="112"/>
      <c r="NQH667" s="112"/>
      <c r="NQI667" s="112"/>
      <c r="NQJ667" s="112"/>
      <c r="NQK667" s="112"/>
      <c r="NQL667" s="112"/>
      <c r="NQM667" s="112"/>
      <c r="NQN667" s="112"/>
      <c r="NQO667" s="112"/>
      <c r="NQP667" s="112"/>
      <c r="NQQ667" s="112"/>
      <c r="NQR667" s="112"/>
      <c r="NQS667" s="112"/>
      <c r="NQT667" s="112"/>
      <c r="NQU667" s="112"/>
      <c r="NQV667" s="112"/>
      <c r="NQW667" s="112"/>
      <c r="NQX667" s="112"/>
      <c r="NQY667" s="112"/>
      <c r="NQZ667" s="112"/>
      <c r="NRA667" s="112"/>
      <c r="NRB667" s="112"/>
      <c r="NRC667" s="112"/>
      <c r="NRD667" s="112"/>
      <c r="NRE667" s="112"/>
      <c r="NRF667" s="112"/>
      <c r="NRG667" s="112"/>
      <c r="NRH667" s="112"/>
      <c r="NRI667" s="112"/>
      <c r="NRJ667" s="112"/>
      <c r="NRK667" s="112"/>
      <c r="NRL667" s="112"/>
      <c r="NRM667" s="112"/>
      <c r="NRN667" s="112"/>
      <c r="NRO667" s="112"/>
      <c r="NRP667" s="112"/>
      <c r="NRQ667" s="112"/>
      <c r="NRR667" s="112"/>
      <c r="NRS667" s="112"/>
      <c r="NRT667" s="112"/>
      <c r="NRU667" s="112"/>
      <c r="NRV667" s="112"/>
      <c r="NRW667" s="112"/>
      <c r="NRX667" s="112"/>
      <c r="NRY667" s="112"/>
      <c r="NRZ667" s="112"/>
      <c r="NSA667" s="112"/>
      <c r="NSB667" s="112"/>
      <c r="NSC667" s="112"/>
      <c r="NSD667" s="112"/>
      <c r="NSE667" s="112"/>
      <c r="NSF667" s="112"/>
      <c r="NSG667" s="112"/>
      <c r="NSH667" s="112"/>
      <c r="NSI667" s="112"/>
      <c r="NSJ667" s="112"/>
      <c r="NSK667" s="112"/>
      <c r="NSL667" s="112"/>
      <c r="NSM667" s="112"/>
      <c r="NSN667" s="112"/>
      <c r="NSO667" s="112"/>
      <c r="NSP667" s="112"/>
      <c r="NSQ667" s="112"/>
      <c r="NSR667" s="112"/>
      <c r="NSS667" s="112"/>
      <c r="NST667" s="112"/>
      <c r="NSU667" s="112"/>
      <c r="NSV667" s="112"/>
      <c r="NSW667" s="112"/>
      <c r="NSX667" s="112"/>
      <c r="NSY667" s="112"/>
      <c r="NSZ667" s="112"/>
      <c r="NTA667" s="112"/>
      <c r="NTB667" s="112"/>
      <c r="NTC667" s="112"/>
      <c r="NTD667" s="112"/>
      <c r="NTE667" s="112"/>
      <c r="NTF667" s="112"/>
      <c r="NTG667" s="112"/>
      <c r="NTH667" s="112"/>
      <c r="NTI667" s="112"/>
      <c r="NTJ667" s="112"/>
      <c r="NTK667" s="112"/>
      <c r="NTL667" s="112"/>
      <c r="NTM667" s="112"/>
      <c r="NTN667" s="112"/>
      <c r="NTO667" s="112"/>
      <c r="NTP667" s="112"/>
      <c r="NTQ667" s="112"/>
      <c r="NTR667" s="112"/>
      <c r="NTS667" s="112"/>
      <c r="NTT667" s="112"/>
      <c r="NTU667" s="112"/>
      <c r="NTV667" s="112"/>
      <c r="NTW667" s="112"/>
      <c r="NTX667" s="112"/>
      <c r="NTY667" s="112"/>
      <c r="NTZ667" s="112"/>
      <c r="NUA667" s="112"/>
      <c r="NUB667" s="112"/>
      <c r="NUC667" s="112"/>
      <c r="NUD667" s="112"/>
      <c r="NUE667" s="112"/>
      <c r="NUF667" s="112"/>
      <c r="NUG667" s="112"/>
      <c r="NUH667" s="112"/>
      <c r="NUI667" s="112"/>
      <c r="NUJ667" s="112"/>
      <c r="NUK667" s="112"/>
      <c r="NUL667" s="112"/>
      <c r="NUM667" s="112"/>
      <c r="NUN667" s="112"/>
      <c r="NUO667" s="112"/>
      <c r="NUP667" s="112"/>
      <c r="NUQ667" s="112"/>
      <c r="NUR667" s="112"/>
      <c r="NUS667" s="112"/>
      <c r="NUT667" s="112"/>
      <c r="NUU667" s="112"/>
      <c r="NUV667" s="112"/>
      <c r="NUW667" s="112"/>
      <c r="NUX667" s="112"/>
      <c r="NUY667" s="112"/>
      <c r="NUZ667" s="112"/>
      <c r="NVA667" s="112"/>
      <c r="NVB667" s="112"/>
      <c r="NVC667" s="112"/>
      <c r="NVD667" s="112"/>
      <c r="NVE667" s="112"/>
      <c r="NVF667" s="112"/>
      <c r="NVG667" s="112"/>
      <c r="NVH667" s="112"/>
      <c r="NVI667" s="112"/>
      <c r="NVJ667" s="112"/>
      <c r="NVK667" s="112"/>
      <c r="NVL667" s="112"/>
      <c r="NVM667" s="112"/>
      <c r="NVN667" s="112"/>
      <c r="NVO667" s="112"/>
      <c r="NVP667" s="112"/>
      <c r="NVQ667" s="112"/>
      <c r="NVR667" s="112"/>
      <c r="NVS667" s="112"/>
      <c r="NVT667" s="112"/>
      <c r="NVU667" s="112"/>
      <c r="NVV667" s="112"/>
      <c r="NVW667" s="112"/>
      <c r="NVX667" s="112"/>
      <c r="NVY667" s="112"/>
      <c r="NVZ667" s="112"/>
      <c r="NWA667" s="112"/>
      <c r="NWB667" s="112"/>
      <c r="NWC667" s="112"/>
      <c r="NWD667" s="112"/>
      <c r="NWE667" s="112"/>
      <c r="NWF667" s="112"/>
      <c r="NWG667" s="112"/>
      <c r="NWH667" s="112"/>
      <c r="NWI667" s="112"/>
      <c r="NWJ667" s="112"/>
      <c r="NWK667" s="112"/>
      <c r="NWL667" s="112"/>
      <c r="NWM667" s="112"/>
      <c r="NWN667" s="112"/>
      <c r="NWO667" s="112"/>
      <c r="NWP667" s="112"/>
      <c r="NWQ667" s="112"/>
      <c r="NWR667" s="112"/>
      <c r="NWS667" s="112"/>
      <c r="NWT667" s="112"/>
      <c r="NWU667" s="112"/>
      <c r="NWV667" s="112"/>
      <c r="NWW667" s="112"/>
      <c r="NWX667" s="112"/>
      <c r="NWY667" s="112"/>
      <c r="NWZ667" s="112"/>
      <c r="NXA667" s="112"/>
      <c r="NXB667" s="112"/>
      <c r="NXC667" s="112"/>
      <c r="NXD667" s="112"/>
      <c r="NXE667" s="112"/>
      <c r="NXF667" s="112"/>
      <c r="NXG667" s="112"/>
      <c r="NXH667" s="112"/>
      <c r="NXI667" s="112"/>
      <c r="NXJ667" s="112"/>
      <c r="NXK667" s="112"/>
      <c r="NXL667" s="112"/>
      <c r="NXM667" s="112"/>
      <c r="NXN667" s="112"/>
      <c r="NXO667" s="112"/>
      <c r="NXP667" s="112"/>
      <c r="NXQ667" s="112"/>
      <c r="NXR667" s="112"/>
      <c r="NXS667" s="112"/>
      <c r="NXT667" s="112"/>
      <c r="NXU667" s="112"/>
      <c r="NXV667" s="112"/>
      <c r="NXW667" s="112"/>
      <c r="NXX667" s="112"/>
      <c r="NXY667" s="112"/>
      <c r="NXZ667" s="112"/>
      <c r="NYA667" s="112"/>
      <c r="NYB667" s="112"/>
      <c r="NYC667" s="112"/>
      <c r="NYD667" s="112"/>
      <c r="NYE667" s="112"/>
      <c r="NYF667" s="112"/>
      <c r="NYG667" s="112"/>
      <c r="NYH667" s="112"/>
      <c r="NYI667" s="112"/>
      <c r="NYJ667" s="112"/>
      <c r="NYK667" s="112"/>
      <c r="NYL667" s="112"/>
      <c r="NYM667" s="112"/>
      <c r="NYN667" s="112"/>
      <c r="NYO667" s="112"/>
      <c r="NYP667" s="112"/>
      <c r="NYQ667" s="112"/>
      <c r="NYR667" s="112"/>
      <c r="NYS667" s="112"/>
      <c r="NYT667" s="112"/>
      <c r="NYU667" s="112"/>
      <c r="NYV667" s="112"/>
      <c r="NYW667" s="112"/>
      <c r="NYX667" s="112"/>
      <c r="NYY667" s="112"/>
      <c r="NYZ667" s="112"/>
      <c r="NZA667" s="112"/>
      <c r="NZB667" s="112"/>
      <c r="NZC667" s="112"/>
      <c r="NZD667" s="112"/>
      <c r="NZE667" s="112"/>
      <c r="NZF667" s="112"/>
      <c r="NZG667" s="112"/>
      <c r="NZH667" s="112"/>
      <c r="NZI667" s="112"/>
      <c r="NZJ667" s="112"/>
      <c r="NZK667" s="112"/>
      <c r="NZL667" s="112"/>
      <c r="NZM667" s="112"/>
      <c r="NZN667" s="112"/>
      <c r="NZO667" s="112"/>
      <c r="NZP667" s="112"/>
      <c r="NZQ667" s="112"/>
      <c r="NZR667" s="112"/>
      <c r="NZS667" s="112"/>
      <c r="NZT667" s="112"/>
      <c r="NZU667" s="112"/>
      <c r="NZV667" s="112"/>
      <c r="NZW667" s="112"/>
      <c r="NZX667" s="112"/>
      <c r="NZY667" s="112"/>
      <c r="NZZ667" s="112"/>
      <c r="OAA667" s="112"/>
      <c r="OAB667" s="112"/>
      <c r="OAC667" s="112"/>
      <c r="OAD667" s="112"/>
      <c r="OAE667" s="112"/>
      <c r="OAF667" s="112"/>
      <c r="OAG667" s="112"/>
      <c r="OAH667" s="112"/>
      <c r="OAI667" s="112"/>
      <c r="OAJ667" s="112"/>
      <c r="OAK667" s="112"/>
      <c r="OAL667" s="112"/>
      <c r="OAM667" s="112"/>
      <c r="OAN667" s="112"/>
      <c r="OAO667" s="112"/>
      <c r="OAP667" s="112"/>
      <c r="OAQ667" s="112"/>
      <c r="OAR667" s="112"/>
      <c r="OAS667" s="112"/>
      <c r="OAT667" s="112"/>
      <c r="OAU667" s="112"/>
      <c r="OAV667" s="112"/>
      <c r="OAW667" s="112"/>
      <c r="OAX667" s="112"/>
      <c r="OAY667" s="112"/>
      <c r="OAZ667" s="112"/>
      <c r="OBA667" s="112"/>
      <c r="OBB667" s="112"/>
      <c r="OBC667" s="112"/>
      <c r="OBD667" s="112"/>
      <c r="OBE667" s="112"/>
      <c r="OBF667" s="112"/>
      <c r="OBG667" s="112"/>
      <c r="OBH667" s="112"/>
      <c r="OBI667" s="112"/>
      <c r="OBJ667" s="112"/>
      <c r="OBK667" s="112"/>
      <c r="OBL667" s="112"/>
      <c r="OBM667" s="112"/>
      <c r="OBN667" s="112"/>
      <c r="OBO667" s="112"/>
      <c r="OBP667" s="112"/>
      <c r="OBQ667" s="112"/>
      <c r="OBR667" s="112"/>
      <c r="OBS667" s="112"/>
      <c r="OBT667" s="112"/>
      <c r="OBU667" s="112"/>
      <c r="OBV667" s="112"/>
      <c r="OBW667" s="112"/>
      <c r="OBX667" s="112"/>
      <c r="OBY667" s="112"/>
      <c r="OBZ667" s="112"/>
      <c r="OCA667" s="112"/>
      <c r="OCB667" s="112"/>
      <c r="OCC667" s="112"/>
      <c r="OCD667" s="112"/>
      <c r="OCE667" s="112"/>
      <c r="OCF667" s="112"/>
      <c r="OCG667" s="112"/>
      <c r="OCH667" s="112"/>
      <c r="OCI667" s="112"/>
      <c r="OCJ667" s="112"/>
      <c r="OCK667" s="112"/>
      <c r="OCL667" s="112"/>
      <c r="OCM667" s="112"/>
      <c r="OCN667" s="112"/>
      <c r="OCO667" s="112"/>
      <c r="OCP667" s="112"/>
      <c r="OCQ667" s="112"/>
      <c r="OCR667" s="112"/>
      <c r="OCS667" s="112"/>
      <c r="OCT667" s="112"/>
      <c r="OCU667" s="112"/>
      <c r="OCV667" s="112"/>
      <c r="OCW667" s="112"/>
      <c r="OCX667" s="112"/>
      <c r="OCY667" s="112"/>
      <c r="OCZ667" s="112"/>
      <c r="ODA667" s="112"/>
      <c r="ODB667" s="112"/>
      <c r="ODC667" s="112"/>
      <c r="ODD667" s="112"/>
      <c r="ODE667" s="112"/>
      <c r="ODF667" s="112"/>
      <c r="ODG667" s="112"/>
      <c r="ODH667" s="112"/>
      <c r="ODI667" s="112"/>
      <c r="ODJ667" s="112"/>
      <c r="ODK667" s="112"/>
      <c r="ODL667" s="112"/>
      <c r="ODM667" s="112"/>
      <c r="ODN667" s="112"/>
      <c r="ODO667" s="112"/>
      <c r="ODP667" s="112"/>
      <c r="ODQ667" s="112"/>
      <c r="ODR667" s="112"/>
      <c r="ODS667" s="112"/>
      <c r="ODT667" s="112"/>
      <c r="ODU667" s="112"/>
      <c r="ODV667" s="112"/>
      <c r="ODW667" s="112"/>
      <c r="ODX667" s="112"/>
      <c r="ODY667" s="112"/>
      <c r="ODZ667" s="112"/>
      <c r="OEA667" s="112"/>
      <c r="OEB667" s="112"/>
      <c r="OEC667" s="112"/>
      <c r="OED667" s="112"/>
      <c r="OEE667" s="112"/>
      <c r="OEF667" s="112"/>
      <c r="OEG667" s="112"/>
      <c r="OEH667" s="112"/>
      <c r="OEI667" s="112"/>
      <c r="OEJ667" s="112"/>
      <c r="OEK667" s="112"/>
      <c r="OEL667" s="112"/>
      <c r="OEM667" s="112"/>
      <c r="OEN667" s="112"/>
      <c r="OEO667" s="112"/>
      <c r="OEP667" s="112"/>
      <c r="OEQ667" s="112"/>
      <c r="OER667" s="112"/>
      <c r="OES667" s="112"/>
      <c r="OET667" s="112"/>
      <c r="OEU667" s="112"/>
      <c r="OEV667" s="112"/>
      <c r="OEW667" s="112"/>
      <c r="OEX667" s="112"/>
      <c r="OEY667" s="112"/>
      <c r="OEZ667" s="112"/>
      <c r="OFA667" s="112"/>
      <c r="OFB667" s="112"/>
      <c r="OFC667" s="112"/>
      <c r="OFD667" s="112"/>
      <c r="OFE667" s="112"/>
      <c r="OFF667" s="112"/>
      <c r="OFG667" s="112"/>
      <c r="OFH667" s="112"/>
      <c r="OFI667" s="112"/>
      <c r="OFJ667" s="112"/>
      <c r="OFK667" s="112"/>
      <c r="OFL667" s="112"/>
      <c r="OFM667" s="112"/>
      <c r="OFN667" s="112"/>
      <c r="OFO667" s="112"/>
      <c r="OFP667" s="112"/>
      <c r="OFQ667" s="112"/>
      <c r="OFR667" s="112"/>
      <c r="OFS667" s="112"/>
      <c r="OFT667" s="112"/>
      <c r="OFU667" s="112"/>
      <c r="OFV667" s="112"/>
      <c r="OFW667" s="112"/>
      <c r="OFX667" s="112"/>
      <c r="OFY667" s="112"/>
      <c r="OFZ667" s="112"/>
      <c r="OGA667" s="112"/>
      <c r="OGB667" s="112"/>
      <c r="OGC667" s="112"/>
      <c r="OGD667" s="112"/>
      <c r="OGE667" s="112"/>
      <c r="OGF667" s="112"/>
      <c r="OGG667" s="112"/>
      <c r="OGH667" s="112"/>
      <c r="OGI667" s="112"/>
      <c r="OGJ667" s="112"/>
      <c r="OGK667" s="112"/>
      <c r="OGL667" s="112"/>
      <c r="OGM667" s="112"/>
      <c r="OGN667" s="112"/>
      <c r="OGO667" s="112"/>
      <c r="OGP667" s="112"/>
      <c r="OGQ667" s="112"/>
      <c r="OGR667" s="112"/>
      <c r="OGS667" s="112"/>
      <c r="OGT667" s="112"/>
      <c r="OGU667" s="112"/>
      <c r="OGV667" s="112"/>
      <c r="OGW667" s="112"/>
      <c r="OGX667" s="112"/>
      <c r="OGY667" s="112"/>
      <c r="OGZ667" s="112"/>
      <c r="OHA667" s="112"/>
      <c r="OHB667" s="112"/>
      <c r="OHC667" s="112"/>
      <c r="OHD667" s="112"/>
      <c r="OHE667" s="112"/>
      <c r="OHF667" s="112"/>
      <c r="OHG667" s="112"/>
      <c r="OHH667" s="112"/>
      <c r="OHI667" s="112"/>
      <c r="OHJ667" s="112"/>
      <c r="OHK667" s="112"/>
      <c r="OHL667" s="112"/>
      <c r="OHM667" s="112"/>
      <c r="OHN667" s="112"/>
      <c r="OHO667" s="112"/>
      <c r="OHP667" s="112"/>
      <c r="OHQ667" s="112"/>
      <c r="OHR667" s="112"/>
      <c r="OHS667" s="112"/>
      <c r="OHT667" s="112"/>
      <c r="OHU667" s="112"/>
      <c r="OHV667" s="112"/>
      <c r="OHW667" s="112"/>
      <c r="OHX667" s="112"/>
      <c r="OHY667" s="112"/>
      <c r="OHZ667" s="112"/>
      <c r="OIA667" s="112"/>
      <c r="OIB667" s="112"/>
      <c r="OIC667" s="112"/>
      <c r="OID667" s="112"/>
      <c r="OIE667" s="112"/>
      <c r="OIF667" s="112"/>
      <c r="OIG667" s="112"/>
      <c r="OIH667" s="112"/>
      <c r="OII667" s="112"/>
      <c r="OIJ667" s="112"/>
      <c r="OIK667" s="112"/>
      <c r="OIL667" s="112"/>
      <c r="OIM667" s="112"/>
      <c r="OIN667" s="112"/>
      <c r="OIO667" s="112"/>
      <c r="OIP667" s="112"/>
      <c r="OIQ667" s="112"/>
      <c r="OIR667" s="112"/>
      <c r="OIS667" s="112"/>
      <c r="OIT667" s="112"/>
      <c r="OIU667" s="112"/>
      <c r="OIV667" s="112"/>
      <c r="OIW667" s="112"/>
      <c r="OIX667" s="112"/>
      <c r="OIY667" s="112"/>
      <c r="OIZ667" s="112"/>
      <c r="OJA667" s="112"/>
      <c r="OJB667" s="112"/>
      <c r="OJC667" s="112"/>
      <c r="OJD667" s="112"/>
      <c r="OJE667" s="112"/>
      <c r="OJF667" s="112"/>
      <c r="OJG667" s="112"/>
      <c r="OJH667" s="112"/>
      <c r="OJI667" s="112"/>
      <c r="OJJ667" s="112"/>
      <c r="OJK667" s="112"/>
      <c r="OJL667" s="112"/>
      <c r="OJM667" s="112"/>
      <c r="OJN667" s="112"/>
      <c r="OJO667" s="112"/>
      <c r="OJP667" s="112"/>
      <c r="OJQ667" s="112"/>
      <c r="OJR667" s="112"/>
      <c r="OJS667" s="112"/>
      <c r="OJT667" s="112"/>
      <c r="OJU667" s="112"/>
      <c r="OJV667" s="112"/>
      <c r="OJW667" s="112"/>
      <c r="OJX667" s="112"/>
      <c r="OJY667" s="112"/>
      <c r="OJZ667" s="112"/>
      <c r="OKA667" s="112"/>
      <c r="OKB667" s="112"/>
      <c r="OKC667" s="112"/>
      <c r="OKD667" s="112"/>
      <c r="OKE667" s="112"/>
      <c r="OKF667" s="112"/>
      <c r="OKG667" s="112"/>
      <c r="OKH667" s="112"/>
      <c r="OKI667" s="112"/>
      <c r="OKJ667" s="112"/>
      <c r="OKK667" s="112"/>
      <c r="OKL667" s="112"/>
      <c r="OKM667" s="112"/>
      <c r="OKN667" s="112"/>
      <c r="OKO667" s="112"/>
      <c r="OKP667" s="112"/>
      <c r="OKQ667" s="112"/>
      <c r="OKR667" s="112"/>
      <c r="OKS667" s="112"/>
      <c r="OKT667" s="112"/>
      <c r="OKU667" s="112"/>
      <c r="OKV667" s="112"/>
      <c r="OKW667" s="112"/>
      <c r="OKX667" s="112"/>
      <c r="OKY667" s="112"/>
      <c r="OKZ667" s="112"/>
      <c r="OLA667" s="112"/>
      <c r="OLB667" s="112"/>
      <c r="OLC667" s="112"/>
      <c r="OLD667" s="112"/>
      <c r="OLE667" s="112"/>
      <c r="OLF667" s="112"/>
      <c r="OLG667" s="112"/>
      <c r="OLH667" s="112"/>
      <c r="OLI667" s="112"/>
      <c r="OLJ667" s="112"/>
      <c r="OLK667" s="112"/>
      <c r="OLL667" s="112"/>
      <c r="OLM667" s="112"/>
      <c r="OLN667" s="112"/>
      <c r="OLO667" s="112"/>
      <c r="OLP667" s="112"/>
      <c r="OLQ667" s="112"/>
      <c r="OLR667" s="112"/>
      <c r="OLS667" s="112"/>
      <c r="OLT667" s="112"/>
      <c r="OLU667" s="112"/>
      <c r="OLV667" s="112"/>
      <c r="OLW667" s="112"/>
      <c r="OLX667" s="112"/>
      <c r="OLY667" s="112"/>
      <c r="OLZ667" s="112"/>
      <c r="OMA667" s="112"/>
      <c r="OMB667" s="112"/>
      <c r="OMC667" s="112"/>
      <c r="OMD667" s="112"/>
      <c r="OME667" s="112"/>
      <c r="OMF667" s="112"/>
      <c r="OMG667" s="112"/>
      <c r="OMH667" s="112"/>
      <c r="OMI667" s="112"/>
      <c r="OMJ667" s="112"/>
      <c r="OMK667" s="112"/>
      <c r="OML667" s="112"/>
      <c r="OMM667" s="112"/>
      <c r="OMN667" s="112"/>
      <c r="OMO667" s="112"/>
      <c r="OMP667" s="112"/>
      <c r="OMQ667" s="112"/>
      <c r="OMR667" s="112"/>
      <c r="OMS667" s="112"/>
      <c r="OMT667" s="112"/>
      <c r="OMU667" s="112"/>
      <c r="OMV667" s="112"/>
      <c r="OMW667" s="112"/>
      <c r="OMX667" s="112"/>
      <c r="OMY667" s="112"/>
      <c r="OMZ667" s="112"/>
      <c r="ONA667" s="112"/>
      <c r="ONB667" s="112"/>
      <c r="ONC667" s="112"/>
      <c r="OND667" s="112"/>
      <c r="ONE667" s="112"/>
      <c r="ONF667" s="112"/>
      <c r="ONG667" s="112"/>
      <c r="ONH667" s="112"/>
      <c r="ONI667" s="112"/>
      <c r="ONJ667" s="112"/>
      <c r="ONK667" s="112"/>
      <c r="ONL667" s="112"/>
      <c r="ONM667" s="112"/>
      <c r="ONN667" s="112"/>
      <c r="ONO667" s="112"/>
      <c r="ONP667" s="112"/>
      <c r="ONQ667" s="112"/>
      <c r="ONR667" s="112"/>
      <c r="ONS667" s="112"/>
      <c r="ONT667" s="112"/>
      <c r="ONU667" s="112"/>
      <c r="ONV667" s="112"/>
      <c r="ONW667" s="112"/>
      <c r="ONX667" s="112"/>
      <c r="ONY667" s="112"/>
      <c r="ONZ667" s="112"/>
      <c r="OOA667" s="112"/>
      <c r="OOB667" s="112"/>
      <c r="OOC667" s="112"/>
      <c r="OOD667" s="112"/>
      <c r="OOE667" s="112"/>
      <c r="OOF667" s="112"/>
      <c r="OOG667" s="112"/>
      <c r="OOH667" s="112"/>
      <c r="OOI667" s="112"/>
      <c r="OOJ667" s="112"/>
      <c r="OOK667" s="112"/>
      <c r="OOL667" s="112"/>
      <c r="OOM667" s="112"/>
      <c r="OON667" s="112"/>
      <c r="OOO667" s="112"/>
      <c r="OOP667" s="112"/>
      <c r="OOQ667" s="112"/>
      <c r="OOR667" s="112"/>
      <c r="OOS667" s="112"/>
      <c r="OOT667" s="112"/>
      <c r="OOU667" s="112"/>
      <c r="OOV667" s="112"/>
      <c r="OOW667" s="112"/>
      <c r="OOX667" s="112"/>
      <c r="OOY667" s="112"/>
      <c r="OOZ667" s="112"/>
      <c r="OPA667" s="112"/>
      <c r="OPB667" s="112"/>
      <c r="OPC667" s="112"/>
      <c r="OPD667" s="112"/>
      <c r="OPE667" s="112"/>
      <c r="OPF667" s="112"/>
      <c r="OPG667" s="112"/>
      <c r="OPH667" s="112"/>
      <c r="OPI667" s="112"/>
      <c r="OPJ667" s="112"/>
      <c r="OPK667" s="112"/>
      <c r="OPL667" s="112"/>
      <c r="OPM667" s="112"/>
      <c r="OPN667" s="112"/>
      <c r="OPO667" s="112"/>
      <c r="OPP667" s="112"/>
      <c r="OPQ667" s="112"/>
      <c r="OPR667" s="112"/>
      <c r="OPS667" s="112"/>
      <c r="OPT667" s="112"/>
      <c r="OPU667" s="112"/>
      <c r="OPV667" s="112"/>
      <c r="OPW667" s="112"/>
      <c r="OPX667" s="112"/>
      <c r="OPY667" s="112"/>
      <c r="OPZ667" s="112"/>
      <c r="OQA667" s="112"/>
      <c r="OQB667" s="112"/>
      <c r="OQC667" s="112"/>
      <c r="OQD667" s="112"/>
      <c r="OQE667" s="112"/>
      <c r="OQF667" s="112"/>
      <c r="OQG667" s="112"/>
      <c r="OQH667" s="112"/>
      <c r="OQI667" s="112"/>
      <c r="OQJ667" s="112"/>
      <c r="OQK667" s="112"/>
      <c r="OQL667" s="112"/>
      <c r="OQM667" s="112"/>
      <c r="OQN667" s="112"/>
      <c r="OQO667" s="112"/>
      <c r="OQP667" s="112"/>
      <c r="OQQ667" s="112"/>
      <c r="OQR667" s="112"/>
      <c r="OQS667" s="112"/>
      <c r="OQT667" s="112"/>
      <c r="OQU667" s="112"/>
      <c r="OQV667" s="112"/>
      <c r="OQW667" s="112"/>
      <c r="OQX667" s="112"/>
      <c r="OQY667" s="112"/>
      <c r="OQZ667" s="112"/>
      <c r="ORA667" s="112"/>
      <c r="ORB667" s="112"/>
      <c r="ORC667" s="112"/>
      <c r="ORD667" s="112"/>
      <c r="ORE667" s="112"/>
      <c r="ORF667" s="112"/>
      <c r="ORG667" s="112"/>
      <c r="ORH667" s="112"/>
      <c r="ORI667" s="112"/>
      <c r="ORJ667" s="112"/>
      <c r="ORK667" s="112"/>
      <c r="ORL667" s="112"/>
      <c r="ORM667" s="112"/>
      <c r="ORN667" s="112"/>
      <c r="ORO667" s="112"/>
      <c r="ORP667" s="112"/>
      <c r="ORQ667" s="112"/>
      <c r="ORR667" s="112"/>
      <c r="ORS667" s="112"/>
      <c r="ORT667" s="112"/>
      <c r="ORU667" s="112"/>
      <c r="ORV667" s="112"/>
      <c r="ORW667" s="112"/>
      <c r="ORX667" s="112"/>
      <c r="ORY667" s="112"/>
      <c r="ORZ667" s="112"/>
      <c r="OSA667" s="112"/>
      <c r="OSB667" s="112"/>
      <c r="OSC667" s="112"/>
      <c r="OSD667" s="112"/>
      <c r="OSE667" s="112"/>
      <c r="OSF667" s="112"/>
      <c r="OSG667" s="112"/>
      <c r="OSH667" s="112"/>
      <c r="OSI667" s="112"/>
      <c r="OSJ667" s="112"/>
      <c r="OSK667" s="112"/>
      <c r="OSL667" s="112"/>
      <c r="OSM667" s="112"/>
      <c r="OSN667" s="112"/>
      <c r="OSO667" s="112"/>
      <c r="OSP667" s="112"/>
      <c r="OSQ667" s="112"/>
      <c r="OSR667" s="112"/>
      <c r="OSS667" s="112"/>
      <c r="OST667" s="112"/>
      <c r="OSU667" s="112"/>
      <c r="OSV667" s="112"/>
      <c r="OSW667" s="112"/>
      <c r="OSX667" s="112"/>
      <c r="OSY667" s="112"/>
      <c r="OSZ667" s="112"/>
      <c r="OTA667" s="112"/>
      <c r="OTB667" s="112"/>
      <c r="OTC667" s="112"/>
      <c r="OTD667" s="112"/>
      <c r="OTE667" s="112"/>
      <c r="OTF667" s="112"/>
      <c r="OTG667" s="112"/>
      <c r="OTH667" s="112"/>
      <c r="OTI667" s="112"/>
      <c r="OTJ667" s="112"/>
      <c r="OTK667" s="112"/>
      <c r="OTL667" s="112"/>
      <c r="OTM667" s="112"/>
      <c r="OTN667" s="112"/>
      <c r="OTO667" s="112"/>
      <c r="OTP667" s="112"/>
      <c r="OTQ667" s="112"/>
      <c r="OTR667" s="112"/>
      <c r="OTS667" s="112"/>
      <c r="OTT667" s="112"/>
      <c r="OTU667" s="112"/>
      <c r="OTV667" s="112"/>
      <c r="OTW667" s="112"/>
      <c r="OTX667" s="112"/>
      <c r="OTY667" s="112"/>
      <c r="OTZ667" s="112"/>
      <c r="OUA667" s="112"/>
      <c r="OUB667" s="112"/>
      <c r="OUC667" s="112"/>
      <c r="OUD667" s="112"/>
      <c r="OUE667" s="112"/>
      <c r="OUF667" s="112"/>
      <c r="OUG667" s="112"/>
      <c r="OUH667" s="112"/>
      <c r="OUI667" s="112"/>
      <c r="OUJ667" s="112"/>
      <c r="OUK667" s="112"/>
      <c r="OUL667" s="112"/>
      <c r="OUM667" s="112"/>
      <c r="OUN667" s="112"/>
      <c r="OUO667" s="112"/>
      <c r="OUP667" s="112"/>
      <c r="OUQ667" s="112"/>
      <c r="OUR667" s="112"/>
      <c r="OUS667" s="112"/>
      <c r="OUT667" s="112"/>
      <c r="OUU667" s="112"/>
      <c r="OUV667" s="112"/>
      <c r="OUW667" s="112"/>
      <c r="OUX667" s="112"/>
      <c r="OUY667" s="112"/>
      <c r="OUZ667" s="112"/>
      <c r="OVA667" s="112"/>
      <c r="OVB667" s="112"/>
      <c r="OVC667" s="112"/>
      <c r="OVD667" s="112"/>
      <c r="OVE667" s="112"/>
      <c r="OVF667" s="112"/>
      <c r="OVG667" s="112"/>
      <c r="OVH667" s="112"/>
      <c r="OVI667" s="112"/>
      <c r="OVJ667" s="112"/>
      <c r="OVK667" s="112"/>
      <c r="OVL667" s="112"/>
      <c r="OVM667" s="112"/>
      <c r="OVN667" s="112"/>
      <c r="OVO667" s="112"/>
      <c r="OVP667" s="112"/>
      <c r="OVQ667" s="112"/>
      <c r="OVR667" s="112"/>
      <c r="OVS667" s="112"/>
      <c r="OVT667" s="112"/>
      <c r="OVU667" s="112"/>
      <c r="OVV667" s="112"/>
      <c r="OVW667" s="112"/>
      <c r="OVX667" s="112"/>
      <c r="OVY667" s="112"/>
      <c r="OVZ667" s="112"/>
      <c r="OWA667" s="112"/>
      <c r="OWB667" s="112"/>
      <c r="OWC667" s="112"/>
      <c r="OWD667" s="112"/>
      <c r="OWE667" s="112"/>
      <c r="OWF667" s="112"/>
      <c r="OWG667" s="112"/>
      <c r="OWH667" s="112"/>
      <c r="OWI667" s="112"/>
      <c r="OWJ667" s="112"/>
      <c r="OWK667" s="112"/>
      <c r="OWL667" s="112"/>
      <c r="OWM667" s="112"/>
      <c r="OWN667" s="112"/>
      <c r="OWO667" s="112"/>
      <c r="OWP667" s="112"/>
      <c r="OWQ667" s="112"/>
      <c r="OWR667" s="112"/>
      <c r="OWS667" s="112"/>
      <c r="OWT667" s="112"/>
      <c r="OWU667" s="112"/>
      <c r="OWV667" s="112"/>
      <c r="OWW667" s="112"/>
      <c r="OWX667" s="112"/>
      <c r="OWY667" s="112"/>
      <c r="OWZ667" s="112"/>
      <c r="OXA667" s="112"/>
      <c r="OXB667" s="112"/>
      <c r="OXC667" s="112"/>
      <c r="OXD667" s="112"/>
      <c r="OXE667" s="112"/>
      <c r="OXF667" s="112"/>
      <c r="OXG667" s="112"/>
      <c r="OXH667" s="112"/>
      <c r="OXI667" s="112"/>
      <c r="OXJ667" s="112"/>
      <c r="OXK667" s="112"/>
      <c r="OXL667" s="112"/>
      <c r="OXM667" s="112"/>
      <c r="OXN667" s="112"/>
      <c r="OXO667" s="112"/>
      <c r="OXP667" s="112"/>
      <c r="OXQ667" s="112"/>
      <c r="OXR667" s="112"/>
      <c r="OXS667" s="112"/>
      <c r="OXT667" s="112"/>
      <c r="OXU667" s="112"/>
      <c r="OXV667" s="112"/>
      <c r="OXW667" s="112"/>
      <c r="OXX667" s="112"/>
      <c r="OXY667" s="112"/>
      <c r="OXZ667" s="112"/>
      <c r="OYA667" s="112"/>
      <c r="OYB667" s="112"/>
      <c r="OYC667" s="112"/>
      <c r="OYD667" s="112"/>
      <c r="OYE667" s="112"/>
      <c r="OYF667" s="112"/>
      <c r="OYG667" s="112"/>
      <c r="OYH667" s="112"/>
      <c r="OYI667" s="112"/>
      <c r="OYJ667" s="112"/>
      <c r="OYK667" s="112"/>
      <c r="OYL667" s="112"/>
      <c r="OYM667" s="112"/>
      <c r="OYN667" s="112"/>
      <c r="OYO667" s="112"/>
      <c r="OYP667" s="112"/>
      <c r="OYQ667" s="112"/>
      <c r="OYR667" s="112"/>
      <c r="OYS667" s="112"/>
      <c r="OYT667" s="112"/>
      <c r="OYU667" s="112"/>
      <c r="OYV667" s="112"/>
      <c r="OYW667" s="112"/>
      <c r="OYX667" s="112"/>
      <c r="OYY667" s="112"/>
      <c r="OYZ667" s="112"/>
      <c r="OZA667" s="112"/>
      <c r="OZB667" s="112"/>
      <c r="OZC667" s="112"/>
      <c r="OZD667" s="112"/>
      <c r="OZE667" s="112"/>
      <c r="OZF667" s="112"/>
      <c r="OZG667" s="112"/>
      <c r="OZH667" s="112"/>
      <c r="OZI667" s="112"/>
      <c r="OZJ667" s="112"/>
      <c r="OZK667" s="112"/>
      <c r="OZL667" s="112"/>
      <c r="OZM667" s="112"/>
      <c r="OZN667" s="112"/>
      <c r="OZO667" s="112"/>
      <c r="OZP667" s="112"/>
      <c r="OZQ667" s="112"/>
      <c r="OZR667" s="112"/>
      <c r="OZS667" s="112"/>
      <c r="OZT667" s="112"/>
      <c r="OZU667" s="112"/>
      <c r="OZV667" s="112"/>
      <c r="OZW667" s="112"/>
      <c r="OZX667" s="112"/>
      <c r="OZY667" s="112"/>
      <c r="OZZ667" s="112"/>
      <c r="PAA667" s="112"/>
      <c r="PAB667" s="112"/>
      <c r="PAC667" s="112"/>
      <c r="PAD667" s="112"/>
      <c r="PAE667" s="112"/>
      <c r="PAF667" s="112"/>
      <c r="PAG667" s="112"/>
      <c r="PAH667" s="112"/>
      <c r="PAI667" s="112"/>
      <c r="PAJ667" s="112"/>
      <c r="PAK667" s="112"/>
      <c r="PAL667" s="112"/>
      <c r="PAM667" s="112"/>
      <c r="PAN667" s="112"/>
      <c r="PAO667" s="112"/>
      <c r="PAP667" s="112"/>
      <c r="PAQ667" s="112"/>
      <c r="PAR667" s="112"/>
      <c r="PAS667" s="112"/>
      <c r="PAT667" s="112"/>
      <c r="PAU667" s="112"/>
      <c r="PAV667" s="112"/>
      <c r="PAW667" s="112"/>
      <c r="PAX667" s="112"/>
      <c r="PAY667" s="112"/>
      <c r="PAZ667" s="112"/>
      <c r="PBA667" s="112"/>
      <c r="PBB667" s="112"/>
      <c r="PBC667" s="112"/>
      <c r="PBD667" s="112"/>
      <c r="PBE667" s="112"/>
      <c r="PBF667" s="112"/>
      <c r="PBG667" s="112"/>
      <c r="PBH667" s="112"/>
      <c r="PBI667" s="112"/>
      <c r="PBJ667" s="112"/>
      <c r="PBK667" s="112"/>
      <c r="PBL667" s="112"/>
      <c r="PBM667" s="112"/>
      <c r="PBN667" s="112"/>
      <c r="PBO667" s="112"/>
      <c r="PBP667" s="112"/>
      <c r="PBQ667" s="112"/>
      <c r="PBR667" s="112"/>
      <c r="PBS667" s="112"/>
      <c r="PBT667" s="112"/>
      <c r="PBU667" s="112"/>
      <c r="PBV667" s="112"/>
      <c r="PBW667" s="112"/>
      <c r="PBX667" s="112"/>
      <c r="PBY667" s="112"/>
      <c r="PBZ667" s="112"/>
      <c r="PCA667" s="112"/>
      <c r="PCB667" s="112"/>
      <c r="PCC667" s="112"/>
      <c r="PCD667" s="112"/>
      <c r="PCE667" s="112"/>
      <c r="PCF667" s="112"/>
      <c r="PCG667" s="112"/>
      <c r="PCH667" s="112"/>
      <c r="PCI667" s="112"/>
      <c r="PCJ667" s="112"/>
      <c r="PCK667" s="112"/>
      <c r="PCL667" s="112"/>
      <c r="PCM667" s="112"/>
      <c r="PCN667" s="112"/>
      <c r="PCO667" s="112"/>
      <c r="PCP667" s="112"/>
      <c r="PCQ667" s="112"/>
      <c r="PCR667" s="112"/>
      <c r="PCS667" s="112"/>
      <c r="PCT667" s="112"/>
      <c r="PCU667" s="112"/>
      <c r="PCV667" s="112"/>
      <c r="PCW667" s="112"/>
      <c r="PCX667" s="112"/>
      <c r="PCY667" s="112"/>
      <c r="PCZ667" s="112"/>
      <c r="PDA667" s="112"/>
      <c r="PDB667" s="112"/>
      <c r="PDC667" s="112"/>
      <c r="PDD667" s="112"/>
      <c r="PDE667" s="112"/>
      <c r="PDF667" s="112"/>
      <c r="PDG667" s="112"/>
      <c r="PDH667" s="112"/>
      <c r="PDI667" s="112"/>
      <c r="PDJ667" s="112"/>
      <c r="PDK667" s="112"/>
      <c r="PDL667" s="112"/>
      <c r="PDM667" s="112"/>
      <c r="PDN667" s="112"/>
      <c r="PDO667" s="112"/>
      <c r="PDP667" s="112"/>
      <c r="PDQ667" s="112"/>
      <c r="PDR667" s="112"/>
      <c r="PDS667" s="112"/>
      <c r="PDT667" s="112"/>
      <c r="PDU667" s="112"/>
      <c r="PDV667" s="112"/>
      <c r="PDW667" s="112"/>
      <c r="PDX667" s="112"/>
      <c r="PDY667" s="112"/>
      <c r="PDZ667" s="112"/>
      <c r="PEA667" s="112"/>
      <c r="PEB667" s="112"/>
      <c r="PEC667" s="112"/>
      <c r="PED667" s="112"/>
      <c r="PEE667" s="112"/>
      <c r="PEF667" s="112"/>
      <c r="PEG667" s="112"/>
      <c r="PEH667" s="112"/>
      <c r="PEI667" s="112"/>
      <c r="PEJ667" s="112"/>
      <c r="PEK667" s="112"/>
      <c r="PEL667" s="112"/>
      <c r="PEM667" s="112"/>
      <c r="PEN667" s="112"/>
      <c r="PEO667" s="112"/>
      <c r="PEP667" s="112"/>
      <c r="PEQ667" s="112"/>
      <c r="PER667" s="112"/>
      <c r="PES667" s="112"/>
      <c r="PET667" s="112"/>
      <c r="PEU667" s="112"/>
      <c r="PEV667" s="112"/>
      <c r="PEW667" s="112"/>
      <c r="PEX667" s="112"/>
      <c r="PEY667" s="112"/>
      <c r="PEZ667" s="112"/>
      <c r="PFA667" s="112"/>
      <c r="PFB667" s="112"/>
      <c r="PFC667" s="112"/>
      <c r="PFD667" s="112"/>
      <c r="PFE667" s="112"/>
      <c r="PFF667" s="112"/>
      <c r="PFG667" s="112"/>
      <c r="PFH667" s="112"/>
      <c r="PFI667" s="112"/>
      <c r="PFJ667" s="112"/>
      <c r="PFK667" s="112"/>
      <c r="PFL667" s="112"/>
      <c r="PFM667" s="112"/>
      <c r="PFN667" s="112"/>
      <c r="PFO667" s="112"/>
      <c r="PFP667" s="112"/>
      <c r="PFQ667" s="112"/>
      <c r="PFR667" s="112"/>
      <c r="PFS667" s="112"/>
      <c r="PFT667" s="112"/>
      <c r="PFU667" s="112"/>
      <c r="PFV667" s="112"/>
      <c r="PFW667" s="112"/>
      <c r="PFX667" s="112"/>
      <c r="PFY667" s="112"/>
      <c r="PFZ667" s="112"/>
      <c r="PGA667" s="112"/>
      <c r="PGB667" s="112"/>
      <c r="PGC667" s="112"/>
      <c r="PGD667" s="112"/>
      <c r="PGE667" s="112"/>
      <c r="PGF667" s="112"/>
      <c r="PGG667" s="112"/>
      <c r="PGH667" s="112"/>
      <c r="PGI667" s="112"/>
      <c r="PGJ667" s="112"/>
      <c r="PGK667" s="112"/>
      <c r="PGL667" s="112"/>
      <c r="PGM667" s="112"/>
      <c r="PGN667" s="112"/>
      <c r="PGO667" s="112"/>
      <c r="PGP667" s="112"/>
      <c r="PGQ667" s="112"/>
      <c r="PGR667" s="112"/>
      <c r="PGS667" s="112"/>
      <c r="PGT667" s="112"/>
      <c r="PGU667" s="112"/>
      <c r="PGV667" s="112"/>
      <c r="PGW667" s="112"/>
      <c r="PGX667" s="112"/>
      <c r="PGY667" s="112"/>
      <c r="PGZ667" s="112"/>
      <c r="PHA667" s="112"/>
      <c r="PHB667" s="112"/>
      <c r="PHC667" s="112"/>
      <c r="PHD667" s="112"/>
      <c r="PHE667" s="112"/>
      <c r="PHF667" s="112"/>
      <c r="PHG667" s="112"/>
      <c r="PHH667" s="112"/>
      <c r="PHI667" s="112"/>
      <c r="PHJ667" s="112"/>
      <c r="PHK667" s="112"/>
      <c r="PHL667" s="112"/>
      <c r="PHM667" s="112"/>
      <c r="PHN667" s="112"/>
      <c r="PHO667" s="112"/>
      <c r="PHP667" s="112"/>
      <c r="PHQ667" s="112"/>
      <c r="PHR667" s="112"/>
      <c r="PHS667" s="112"/>
      <c r="PHT667" s="112"/>
      <c r="PHU667" s="112"/>
      <c r="PHV667" s="112"/>
      <c r="PHW667" s="112"/>
      <c r="PHX667" s="112"/>
      <c r="PHY667" s="112"/>
      <c r="PHZ667" s="112"/>
      <c r="PIA667" s="112"/>
      <c r="PIB667" s="112"/>
      <c r="PIC667" s="112"/>
      <c r="PID667" s="112"/>
      <c r="PIE667" s="112"/>
      <c r="PIF667" s="112"/>
      <c r="PIG667" s="112"/>
      <c r="PIH667" s="112"/>
      <c r="PII667" s="112"/>
      <c r="PIJ667" s="112"/>
      <c r="PIK667" s="112"/>
      <c r="PIL667" s="112"/>
      <c r="PIM667" s="112"/>
      <c r="PIN667" s="112"/>
      <c r="PIO667" s="112"/>
      <c r="PIP667" s="112"/>
      <c r="PIQ667" s="112"/>
      <c r="PIR667" s="112"/>
      <c r="PIS667" s="112"/>
      <c r="PIT667" s="112"/>
      <c r="PIU667" s="112"/>
      <c r="PIV667" s="112"/>
      <c r="PIW667" s="112"/>
      <c r="PIX667" s="112"/>
      <c r="PIY667" s="112"/>
      <c r="PIZ667" s="112"/>
      <c r="PJA667" s="112"/>
      <c r="PJB667" s="112"/>
      <c r="PJC667" s="112"/>
      <c r="PJD667" s="112"/>
      <c r="PJE667" s="112"/>
      <c r="PJF667" s="112"/>
      <c r="PJG667" s="112"/>
      <c r="PJH667" s="112"/>
      <c r="PJI667" s="112"/>
      <c r="PJJ667" s="112"/>
      <c r="PJK667" s="112"/>
      <c r="PJL667" s="112"/>
      <c r="PJM667" s="112"/>
      <c r="PJN667" s="112"/>
      <c r="PJO667" s="112"/>
      <c r="PJP667" s="112"/>
      <c r="PJQ667" s="112"/>
      <c r="PJR667" s="112"/>
      <c r="PJS667" s="112"/>
      <c r="PJT667" s="112"/>
      <c r="PJU667" s="112"/>
      <c r="PJV667" s="112"/>
      <c r="PJW667" s="112"/>
      <c r="PJX667" s="112"/>
      <c r="PJY667" s="112"/>
      <c r="PJZ667" s="112"/>
      <c r="PKA667" s="112"/>
      <c r="PKB667" s="112"/>
      <c r="PKC667" s="112"/>
      <c r="PKD667" s="112"/>
      <c r="PKE667" s="112"/>
      <c r="PKF667" s="112"/>
      <c r="PKG667" s="112"/>
      <c r="PKH667" s="112"/>
      <c r="PKI667" s="112"/>
      <c r="PKJ667" s="112"/>
      <c r="PKK667" s="112"/>
      <c r="PKL667" s="112"/>
      <c r="PKM667" s="112"/>
      <c r="PKN667" s="112"/>
      <c r="PKO667" s="112"/>
      <c r="PKP667" s="112"/>
      <c r="PKQ667" s="112"/>
      <c r="PKR667" s="112"/>
      <c r="PKS667" s="112"/>
      <c r="PKT667" s="112"/>
      <c r="PKU667" s="112"/>
      <c r="PKV667" s="112"/>
      <c r="PKW667" s="112"/>
      <c r="PKX667" s="112"/>
      <c r="PKY667" s="112"/>
      <c r="PKZ667" s="112"/>
      <c r="PLA667" s="112"/>
      <c r="PLB667" s="112"/>
      <c r="PLC667" s="112"/>
      <c r="PLD667" s="112"/>
      <c r="PLE667" s="112"/>
      <c r="PLF667" s="112"/>
      <c r="PLG667" s="112"/>
      <c r="PLH667" s="112"/>
      <c r="PLI667" s="112"/>
      <c r="PLJ667" s="112"/>
      <c r="PLK667" s="112"/>
      <c r="PLL667" s="112"/>
      <c r="PLM667" s="112"/>
      <c r="PLN667" s="112"/>
      <c r="PLO667" s="112"/>
      <c r="PLP667" s="112"/>
      <c r="PLQ667" s="112"/>
      <c r="PLR667" s="112"/>
      <c r="PLS667" s="112"/>
      <c r="PLT667" s="112"/>
      <c r="PLU667" s="112"/>
      <c r="PLV667" s="112"/>
      <c r="PLW667" s="112"/>
      <c r="PLX667" s="112"/>
      <c r="PLY667" s="112"/>
      <c r="PLZ667" s="112"/>
      <c r="PMA667" s="112"/>
      <c r="PMB667" s="112"/>
      <c r="PMC667" s="112"/>
      <c r="PMD667" s="112"/>
      <c r="PME667" s="112"/>
      <c r="PMF667" s="112"/>
      <c r="PMG667" s="112"/>
      <c r="PMH667" s="112"/>
      <c r="PMI667" s="112"/>
      <c r="PMJ667" s="112"/>
      <c r="PMK667" s="112"/>
      <c r="PML667" s="112"/>
      <c r="PMM667" s="112"/>
      <c r="PMN667" s="112"/>
      <c r="PMO667" s="112"/>
      <c r="PMP667" s="112"/>
      <c r="PMQ667" s="112"/>
      <c r="PMR667" s="112"/>
      <c r="PMS667" s="112"/>
      <c r="PMT667" s="112"/>
      <c r="PMU667" s="112"/>
      <c r="PMV667" s="112"/>
      <c r="PMW667" s="112"/>
      <c r="PMX667" s="112"/>
      <c r="PMY667" s="112"/>
      <c r="PMZ667" s="112"/>
      <c r="PNA667" s="112"/>
      <c r="PNB667" s="112"/>
      <c r="PNC667" s="112"/>
      <c r="PND667" s="112"/>
      <c r="PNE667" s="112"/>
      <c r="PNF667" s="112"/>
      <c r="PNG667" s="112"/>
      <c r="PNH667" s="112"/>
      <c r="PNI667" s="112"/>
      <c r="PNJ667" s="112"/>
      <c r="PNK667" s="112"/>
      <c r="PNL667" s="112"/>
      <c r="PNM667" s="112"/>
      <c r="PNN667" s="112"/>
      <c r="PNO667" s="112"/>
      <c r="PNP667" s="112"/>
      <c r="PNQ667" s="112"/>
      <c r="PNR667" s="112"/>
      <c r="PNS667" s="112"/>
      <c r="PNT667" s="112"/>
      <c r="PNU667" s="112"/>
      <c r="PNV667" s="112"/>
      <c r="PNW667" s="112"/>
      <c r="PNX667" s="112"/>
      <c r="PNY667" s="112"/>
      <c r="PNZ667" s="112"/>
      <c r="POA667" s="112"/>
      <c r="POB667" s="112"/>
      <c r="POC667" s="112"/>
      <c r="POD667" s="112"/>
      <c r="POE667" s="112"/>
      <c r="POF667" s="112"/>
      <c r="POG667" s="112"/>
      <c r="POH667" s="112"/>
      <c r="POI667" s="112"/>
      <c r="POJ667" s="112"/>
      <c r="POK667" s="112"/>
      <c r="POL667" s="112"/>
      <c r="POM667" s="112"/>
      <c r="PON667" s="112"/>
      <c r="POO667" s="112"/>
      <c r="POP667" s="112"/>
      <c r="POQ667" s="112"/>
      <c r="POR667" s="112"/>
      <c r="POS667" s="112"/>
      <c r="POT667" s="112"/>
      <c r="POU667" s="112"/>
      <c r="POV667" s="112"/>
      <c r="POW667" s="112"/>
      <c r="POX667" s="112"/>
      <c r="POY667" s="112"/>
      <c r="POZ667" s="112"/>
      <c r="PPA667" s="112"/>
      <c r="PPB667" s="112"/>
      <c r="PPC667" s="112"/>
      <c r="PPD667" s="112"/>
      <c r="PPE667" s="112"/>
      <c r="PPF667" s="112"/>
      <c r="PPG667" s="112"/>
      <c r="PPH667" s="112"/>
      <c r="PPI667" s="112"/>
      <c r="PPJ667" s="112"/>
      <c r="PPK667" s="112"/>
      <c r="PPL667" s="112"/>
      <c r="PPM667" s="112"/>
      <c r="PPN667" s="112"/>
      <c r="PPO667" s="112"/>
      <c r="PPP667" s="112"/>
      <c r="PPQ667" s="112"/>
      <c r="PPR667" s="112"/>
      <c r="PPS667" s="112"/>
      <c r="PPT667" s="112"/>
      <c r="PPU667" s="112"/>
      <c r="PPV667" s="112"/>
      <c r="PPW667" s="112"/>
      <c r="PPX667" s="112"/>
      <c r="PPY667" s="112"/>
      <c r="PPZ667" s="112"/>
      <c r="PQA667" s="112"/>
      <c r="PQB667" s="112"/>
      <c r="PQC667" s="112"/>
      <c r="PQD667" s="112"/>
      <c r="PQE667" s="112"/>
      <c r="PQF667" s="112"/>
      <c r="PQG667" s="112"/>
      <c r="PQH667" s="112"/>
      <c r="PQI667" s="112"/>
      <c r="PQJ667" s="112"/>
      <c r="PQK667" s="112"/>
      <c r="PQL667" s="112"/>
      <c r="PQM667" s="112"/>
      <c r="PQN667" s="112"/>
      <c r="PQO667" s="112"/>
      <c r="PQP667" s="112"/>
      <c r="PQQ667" s="112"/>
      <c r="PQR667" s="112"/>
      <c r="PQS667" s="112"/>
      <c r="PQT667" s="112"/>
      <c r="PQU667" s="112"/>
      <c r="PQV667" s="112"/>
      <c r="PQW667" s="112"/>
      <c r="PQX667" s="112"/>
      <c r="PQY667" s="112"/>
      <c r="PQZ667" s="112"/>
      <c r="PRA667" s="112"/>
      <c r="PRB667" s="112"/>
      <c r="PRC667" s="112"/>
      <c r="PRD667" s="112"/>
      <c r="PRE667" s="112"/>
      <c r="PRF667" s="112"/>
      <c r="PRG667" s="112"/>
      <c r="PRH667" s="112"/>
      <c r="PRI667" s="112"/>
      <c r="PRJ667" s="112"/>
      <c r="PRK667" s="112"/>
      <c r="PRL667" s="112"/>
      <c r="PRM667" s="112"/>
      <c r="PRN667" s="112"/>
      <c r="PRO667" s="112"/>
      <c r="PRP667" s="112"/>
      <c r="PRQ667" s="112"/>
      <c r="PRR667" s="112"/>
      <c r="PRS667" s="112"/>
      <c r="PRT667" s="112"/>
      <c r="PRU667" s="112"/>
      <c r="PRV667" s="112"/>
      <c r="PRW667" s="112"/>
      <c r="PRX667" s="112"/>
      <c r="PRY667" s="112"/>
      <c r="PRZ667" s="112"/>
      <c r="PSA667" s="112"/>
      <c r="PSB667" s="112"/>
      <c r="PSC667" s="112"/>
      <c r="PSD667" s="112"/>
      <c r="PSE667" s="112"/>
      <c r="PSF667" s="112"/>
      <c r="PSG667" s="112"/>
      <c r="PSH667" s="112"/>
      <c r="PSI667" s="112"/>
      <c r="PSJ667" s="112"/>
      <c r="PSK667" s="112"/>
      <c r="PSL667" s="112"/>
      <c r="PSM667" s="112"/>
      <c r="PSN667" s="112"/>
      <c r="PSO667" s="112"/>
      <c r="PSP667" s="112"/>
      <c r="PSQ667" s="112"/>
      <c r="PSR667" s="112"/>
      <c r="PSS667" s="112"/>
      <c r="PST667" s="112"/>
      <c r="PSU667" s="112"/>
      <c r="PSV667" s="112"/>
      <c r="PSW667" s="112"/>
      <c r="PSX667" s="112"/>
      <c r="PSY667" s="112"/>
      <c r="PSZ667" s="112"/>
      <c r="PTA667" s="112"/>
      <c r="PTB667" s="112"/>
      <c r="PTC667" s="112"/>
      <c r="PTD667" s="112"/>
      <c r="PTE667" s="112"/>
      <c r="PTF667" s="112"/>
      <c r="PTG667" s="112"/>
      <c r="PTH667" s="112"/>
      <c r="PTI667" s="112"/>
      <c r="PTJ667" s="112"/>
      <c r="PTK667" s="112"/>
      <c r="PTL667" s="112"/>
      <c r="PTM667" s="112"/>
      <c r="PTN667" s="112"/>
      <c r="PTO667" s="112"/>
      <c r="PTP667" s="112"/>
      <c r="PTQ667" s="112"/>
      <c r="PTR667" s="112"/>
      <c r="PTS667" s="112"/>
      <c r="PTT667" s="112"/>
      <c r="PTU667" s="112"/>
      <c r="PTV667" s="112"/>
      <c r="PTW667" s="112"/>
      <c r="PTX667" s="112"/>
      <c r="PTY667" s="112"/>
      <c r="PTZ667" s="112"/>
      <c r="PUA667" s="112"/>
      <c r="PUB667" s="112"/>
      <c r="PUC667" s="112"/>
      <c r="PUD667" s="112"/>
      <c r="PUE667" s="112"/>
      <c r="PUF667" s="112"/>
      <c r="PUG667" s="112"/>
      <c r="PUH667" s="112"/>
      <c r="PUI667" s="112"/>
      <c r="PUJ667" s="112"/>
      <c r="PUK667" s="112"/>
      <c r="PUL667" s="112"/>
      <c r="PUM667" s="112"/>
      <c r="PUN667" s="112"/>
      <c r="PUO667" s="112"/>
      <c r="PUP667" s="112"/>
      <c r="PUQ667" s="112"/>
      <c r="PUR667" s="112"/>
      <c r="PUS667" s="112"/>
      <c r="PUT667" s="112"/>
      <c r="PUU667" s="112"/>
      <c r="PUV667" s="112"/>
      <c r="PUW667" s="112"/>
      <c r="PUX667" s="112"/>
      <c r="PUY667" s="112"/>
      <c r="PUZ667" s="112"/>
      <c r="PVA667" s="112"/>
      <c r="PVB667" s="112"/>
      <c r="PVC667" s="112"/>
      <c r="PVD667" s="112"/>
      <c r="PVE667" s="112"/>
      <c r="PVF667" s="112"/>
      <c r="PVG667" s="112"/>
      <c r="PVH667" s="112"/>
      <c r="PVI667" s="112"/>
      <c r="PVJ667" s="112"/>
      <c r="PVK667" s="112"/>
      <c r="PVL667" s="112"/>
      <c r="PVM667" s="112"/>
      <c r="PVN667" s="112"/>
      <c r="PVO667" s="112"/>
      <c r="PVP667" s="112"/>
      <c r="PVQ667" s="112"/>
      <c r="PVR667" s="112"/>
      <c r="PVS667" s="112"/>
      <c r="PVT667" s="112"/>
      <c r="PVU667" s="112"/>
      <c r="PVV667" s="112"/>
      <c r="PVW667" s="112"/>
      <c r="PVX667" s="112"/>
      <c r="PVY667" s="112"/>
      <c r="PVZ667" s="112"/>
      <c r="PWA667" s="112"/>
      <c r="PWB667" s="112"/>
      <c r="PWC667" s="112"/>
      <c r="PWD667" s="112"/>
      <c r="PWE667" s="112"/>
      <c r="PWF667" s="112"/>
      <c r="PWG667" s="112"/>
      <c r="PWH667" s="112"/>
      <c r="PWI667" s="112"/>
      <c r="PWJ667" s="112"/>
      <c r="PWK667" s="112"/>
      <c r="PWL667" s="112"/>
      <c r="PWM667" s="112"/>
      <c r="PWN667" s="112"/>
      <c r="PWO667" s="112"/>
      <c r="PWP667" s="112"/>
      <c r="PWQ667" s="112"/>
      <c r="PWR667" s="112"/>
      <c r="PWS667" s="112"/>
      <c r="PWT667" s="112"/>
      <c r="PWU667" s="112"/>
      <c r="PWV667" s="112"/>
      <c r="PWW667" s="112"/>
      <c r="PWX667" s="112"/>
      <c r="PWY667" s="112"/>
      <c r="PWZ667" s="112"/>
      <c r="PXA667" s="112"/>
      <c r="PXB667" s="112"/>
      <c r="PXC667" s="112"/>
      <c r="PXD667" s="112"/>
      <c r="PXE667" s="112"/>
      <c r="PXF667" s="112"/>
      <c r="PXG667" s="112"/>
      <c r="PXH667" s="112"/>
      <c r="PXI667" s="112"/>
      <c r="PXJ667" s="112"/>
      <c r="PXK667" s="112"/>
      <c r="PXL667" s="112"/>
      <c r="PXM667" s="112"/>
      <c r="PXN667" s="112"/>
      <c r="PXO667" s="112"/>
      <c r="PXP667" s="112"/>
      <c r="PXQ667" s="112"/>
      <c r="PXR667" s="112"/>
      <c r="PXS667" s="112"/>
      <c r="PXT667" s="112"/>
      <c r="PXU667" s="112"/>
      <c r="PXV667" s="112"/>
      <c r="PXW667" s="112"/>
      <c r="PXX667" s="112"/>
      <c r="PXY667" s="112"/>
      <c r="PXZ667" s="112"/>
      <c r="PYA667" s="112"/>
      <c r="PYB667" s="112"/>
      <c r="PYC667" s="112"/>
      <c r="PYD667" s="112"/>
      <c r="PYE667" s="112"/>
      <c r="PYF667" s="112"/>
      <c r="PYG667" s="112"/>
      <c r="PYH667" s="112"/>
      <c r="PYI667" s="112"/>
      <c r="PYJ667" s="112"/>
      <c r="PYK667" s="112"/>
      <c r="PYL667" s="112"/>
      <c r="PYM667" s="112"/>
      <c r="PYN667" s="112"/>
      <c r="PYO667" s="112"/>
      <c r="PYP667" s="112"/>
      <c r="PYQ667" s="112"/>
      <c r="PYR667" s="112"/>
      <c r="PYS667" s="112"/>
      <c r="PYT667" s="112"/>
      <c r="PYU667" s="112"/>
      <c r="PYV667" s="112"/>
      <c r="PYW667" s="112"/>
      <c r="PYX667" s="112"/>
      <c r="PYY667" s="112"/>
      <c r="PYZ667" s="112"/>
      <c r="PZA667" s="112"/>
      <c r="PZB667" s="112"/>
      <c r="PZC667" s="112"/>
      <c r="PZD667" s="112"/>
      <c r="PZE667" s="112"/>
      <c r="PZF667" s="112"/>
      <c r="PZG667" s="112"/>
      <c r="PZH667" s="112"/>
      <c r="PZI667" s="112"/>
      <c r="PZJ667" s="112"/>
      <c r="PZK667" s="112"/>
      <c r="PZL667" s="112"/>
      <c r="PZM667" s="112"/>
      <c r="PZN667" s="112"/>
      <c r="PZO667" s="112"/>
      <c r="PZP667" s="112"/>
      <c r="PZQ667" s="112"/>
      <c r="PZR667" s="112"/>
      <c r="PZS667" s="112"/>
      <c r="PZT667" s="112"/>
      <c r="PZU667" s="112"/>
      <c r="PZV667" s="112"/>
      <c r="PZW667" s="112"/>
      <c r="PZX667" s="112"/>
      <c r="PZY667" s="112"/>
      <c r="PZZ667" s="112"/>
      <c r="QAA667" s="112"/>
      <c r="QAB667" s="112"/>
      <c r="QAC667" s="112"/>
      <c r="QAD667" s="112"/>
      <c r="QAE667" s="112"/>
      <c r="QAF667" s="112"/>
      <c r="QAG667" s="112"/>
      <c r="QAH667" s="112"/>
      <c r="QAI667" s="112"/>
      <c r="QAJ667" s="112"/>
      <c r="QAK667" s="112"/>
      <c r="QAL667" s="112"/>
      <c r="QAM667" s="112"/>
      <c r="QAN667" s="112"/>
      <c r="QAO667" s="112"/>
      <c r="QAP667" s="112"/>
      <c r="QAQ667" s="112"/>
      <c r="QAR667" s="112"/>
      <c r="QAS667" s="112"/>
      <c r="QAT667" s="112"/>
      <c r="QAU667" s="112"/>
      <c r="QAV667" s="112"/>
      <c r="QAW667" s="112"/>
      <c r="QAX667" s="112"/>
      <c r="QAY667" s="112"/>
      <c r="QAZ667" s="112"/>
      <c r="QBA667" s="112"/>
      <c r="QBB667" s="112"/>
      <c r="QBC667" s="112"/>
      <c r="QBD667" s="112"/>
      <c r="QBE667" s="112"/>
      <c r="QBF667" s="112"/>
      <c r="QBG667" s="112"/>
      <c r="QBH667" s="112"/>
      <c r="QBI667" s="112"/>
      <c r="QBJ667" s="112"/>
      <c r="QBK667" s="112"/>
      <c r="QBL667" s="112"/>
      <c r="QBM667" s="112"/>
      <c r="QBN667" s="112"/>
      <c r="QBO667" s="112"/>
      <c r="QBP667" s="112"/>
      <c r="QBQ667" s="112"/>
      <c r="QBR667" s="112"/>
      <c r="QBS667" s="112"/>
      <c r="QBT667" s="112"/>
      <c r="QBU667" s="112"/>
      <c r="QBV667" s="112"/>
      <c r="QBW667" s="112"/>
      <c r="QBX667" s="112"/>
      <c r="QBY667" s="112"/>
      <c r="QBZ667" s="112"/>
      <c r="QCA667" s="112"/>
      <c r="QCB667" s="112"/>
      <c r="QCC667" s="112"/>
      <c r="QCD667" s="112"/>
      <c r="QCE667" s="112"/>
      <c r="QCF667" s="112"/>
      <c r="QCG667" s="112"/>
      <c r="QCH667" s="112"/>
      <c r="QCI667" s="112"/>
      <c r="QCJ667" s="112"/>
      <c r="QCK667" s="112"/>
      <c r="QCL667" s="112"/>
      <c r="QCM667" s="112"/>
      <c r="QCN667" s="112"/>
      <c r="QCO667" s="112"/>
      <c r="QCP667" s="112"/>
      <c r="QCQ667" s="112"/>
      <c r="QCR667" s="112"/>
      <c r="QCS667" s="112"/>
      <c r="QCT667" s="112"/>
      <c r="QCU667" s="112"/>
      <c r="QCV667" s="112"/>
      <c r="QCW667" s="112"/>
      <c r="QCX667" s="112"/>
      <c r="QCY667" s="112"/>
      <c r="QCZ667" s="112"/>
      <c r="QDA667" s="112"/>
      <c r="QDB667" s="112"/>
      <c r="QDC667" s="112"/>
      <c r="QDD667" s="112"/>
      <c r="QDE667" s="112"/>
      <c r="QDF667" s="112"/>
      <c r="QDG667" s="112"/>
      <c r="QDH667" s="112"/>
      <c r="QDI667" s="112"/>
      <c r="QDJ667" s="112"/>
      <c r="QDK667" s="112"/>
      <c r="QDL667" s="112"/>
      <c r="QDM667" s="112"/>
      <c r="QDN667" s="112"/>
      <c r="QDO667" s="112"/>
      <c r="QDP667" s="112"/>
      <c r="QDQ667" s="112"/>
      <c r="QDR667" s="112"/>
      <c r="QDS667" s="112"/>
      <c r="QDT667" s="112"/>
      <c r="QDU667" s="112"/>
      <c r="QDV667" s="112"/>
      <c r="QDW667" s="112"/>
      <c r="QDX667" s="112"/>
      <c r="QDY667" s="112"/>
      <c r="QDZ667" s="112"/>
      <c r="QEA667" s="112"/>
      <c r="QEB667" s="112"/>
      <c r="QEC667" s="112"/>
      <c r="QED667" s="112"/>
      <c r="QEE667" s="112"/>
      <c r="QEF667" s="112"/>
      <c r="QEG667" s="112"/>
      <c r="QEH667" s="112"/>
      <c r="QEI667" s="112"/>
      <c r="QEJ667" s="112"/>
      <c r="QEK667" s="112"/>
      <c r="QEL667" s="112"/>
      <c r="QEM667" s="112"/>
      <c r="QEN667" s="112"/>
      <c r="QEO667" s="112"/>
      <c r="QEP667" s="112"/>
      <c r="QEQ667" s="112"/>
      <c r="QER667" s="112"/>
      <c r="QES667" s="112"/>
      <c r="QET667" s="112"/>
      <c r="QEU667" s="112"/>
      <c r="QEV667" s="112"/>
      <c r="QEW667" s="112"/>
      <c r="QEX667" s="112"/>
      <c r="QEY667" s="112"/>
      <c r="QEZ667" s="112"/>
      <c r="QFA667" s="112"/>
      <c r="QFB667" s="112"/>
      <c r="QFC667" s="112"/>
      <c r="QFD667" s="112"/>
      <c r="QFE667" s="112"/>
      <c r="QFF667" s="112"/>
      <c r="QFG667" s="112"/>
      <c r="QFH667" s="112"/>
      <c r="QFI667" s="112"/>
      <c r="QFJ667" s="112"/>
      <c r="QFK667" s="112"/>
      <c r="QFL667" s="112"/>
      <c r="QFM667" s="112"/>
      <c r="QFN667" s="112"/>
      <c r="QFO667" s="112"/>
      <c r="QFP667" s="112"/>
      <c r="QFQ667" s="112"/>
      <c r="QFR667" s="112"/>
      <c r="QFS667" s="112"/>
      <c r="QFT667" s="112"/>
      <c r="QFU667" s="112"/>
      <c r="QFV667" s="112"/>
      <c r="QFW667" s="112"/>
      <c r="QFX667" s="112"/>
      <c r="QFY667" s="112"/>
      <c r="QFZ667" s="112"/>
      <c r="QGA667" s="112"/>
      <c r="QGB667" s="112"/>
      <c r="QGC667" s="112"/>
      <c r="QGD667" s="112"/>
      <c r="QGE667" s="112"/>
      <c r="QGF667" s="112"/>
      <c r="QGG667" s="112"/>
      <c r="QGH667" s="112"/>
      <c r="QGI667" s="112"/>
      <c r="QGJ667" s="112"/>
      <c r="QGK667" s="112"/>
      <c r="QGL667" s="112"/>
      <c r="QGM667" s="112"/>
      <c r="QGN667" s="112"/>
      <c r="QGO667" s="112"/>
      <c r="QGP667" s="112"/>
      <c r="QGQ667" s="112"/>
      <c r="QGR667" s="112"/>
      <c r="QGS667" s="112"/>
      <c r="QGT667" s="112"/>
      <c r="QGU667" s="112"/>
      <c r="QGV667" s="112"/>
      <c r="QGW667" s="112"/>
      <c r="QGX667" s="112"/>
      <c r="QGY667" s="112"/>
      <c r="QGZ667" s="112"/>
      <c r="QHA667" s="112"/>
      <c r="QHB667" s="112"/>
      <c r="QHC667" s="112"/>
      <c r="QHD667" s="112"/>
      <c r="QHE667" s="112"/>
      <c r="QHF667" s="112"/>
      <c r="QHG667" s="112"/>
      <c r="QHH667" s="112"/>
      <c r="QHI667" s="112"/>
      <c r="QHJ667" s="112"/>
      <c r="QHK667" s="112"/>
      <c r="QHL667" s="112"/>
      <c r="QHM667" s="112"/>
      <c r="QHN667" s="112"/>
      <c r="QHO667" s="112"/>
      <c r="QHP667" s="112"/>
      <c r="QHQ667" s="112"/>
      <c r="QHR667" s="112"/>
      <c r="QHS667" s="112"/>
      <c r="QHT667" s="112"/>
      <c r="QHU667" s="112"/>
      <c r="QHV667" s="112"/>
      <c r="QHW667" s="112"/>
      <c r="QHX667" s="112"/>
      <c r="QHY667" s="112"/>
      <c r="QHZ667" s="112"/>
      <c r="QIA667" s="112"/>
      <c r="QIB667" s="112"/>
      <c r="QIC667" s="112"/>
      <c r="QID667" s="112"/>
      <c r="QIE667" s="112"/>
      <c r="QIF667" s="112"/>
      <c r="QIG667" s="112"/>
      <c r="QIH667" s="112"/>
      <c r="QII667" s="112"/>
      <c r="QIJ667" s="112"/>
      <c r="QIK667" s="112"/>
      <c r="QIL667" s="112"/>
      <c r="QIM667" s="112"/>
      <c r="QIN667" s="112"/>
      <c r="QIO667" s="112"/>
      <c r="QIP667" s="112"/>
      <c r="QIQ667" s="112"/>
      <c r="QIR667" s="112"/>
      <c r="QIS667" s="112"/>
      <c r="QIT667" s="112"/>
      <c r="QIU667" s="112"/>
      <c r="QIV667" s="112"/>
      <c r="QIW667" s="112"/>
      <c r="QIX667" s="112"/>
      <c r="QIY667" s="112"/>
      <c r="QIZ667" s="112"/>
      <c r="QJA667" s="112"/>
      <c r="QJB667" s="112"/>
      <c r="QJC667" s="112"/>
      <c r="QJD667" s="112"/>
      <c r="QJE667" s="112"/>
      <c r="QJF667" s="112"/>
      <c r="QJG667" s="112"/>
      <c r="QJH667" s="112"/>
      <c r="QJI667" s="112"/>
      <c r="QJJ667" s="112"/>
      <c r="QJK667" s="112"/>
      <c r="QJL667" s="112"/>
      <c r="QJM667" s="112"/>
      <c r="QJN667" s="112"/>
      <c r="QJO667" s="112"/>
      <c r="QJP667" s="112"/>
      <c r="QJQ667" s="112"/>
      <c r="QJR667" s="112"/>
      <c r="QJS667" s="112"/>
      <c r="QJT667" s="112"/>
      <c r="QJU667" s="112"/>
      <c r="QJV667" s="112"/>
      <c r="QJW667" s="112"/>
      <c r="QJX667" s="112"/>
      <c r="QJY667" s="112"/>
      <c r="QJZ667" s="112"/>
      <c r="QKA667" s="112"/>
      <c r="QKB667" s="112"/>
      <c r="QKC667" s="112"/>
      <c r="QKD667" s="112"/>
      <c r="QKE667" s="112"/>
      <c r="QKF667" s="112"/>
      <c r="QKG667" s="112"/>
      <c r="QKH667" s="112"/>
      <c r="QKI667" s="112"/>
      <c r="QKJ667" s="112"/>
      <c r="QKK667" s="112"/>
      <c r="QKL667" s="112"/>
      <c r="QKM667" s="112"/>
      <c r="QKN667" s="112"/>
      <c r="QKO667" s="112"/>
      <c r="QKP667" s="112"/>
      <c r="QKQ667" s="112"/>
      <c r="QKR667" s="112"/>
      <c r="QKS667" s="112"/>
      <c r="QKT667" s="112"/>
      <c r="QKU667" s="112"/>
      <c r="QKV667" s="112"/>
      <c r="QKW667" s="112"/>
      <c r="QKX667" s="112"/>
      <c r="QKY667" s="112"/>
      <c r="QKZ667" s="112"/>
      <c r="QLA667" s="112"/>
      <c r="QLB667" s="112"/>
      <c r="QLC667" s="112"/>
      <c r="QLD667" s="112"/>
      <c r="QLE667" s="112"/>
      <c r="QLF667" s="112"/>
      <c r="QLG667" s="112"/>
      <c r="QLH667" s="112"/>
      <c r="QLI667" s="112"/>
      <c r="QLJ667" s="112"/>
      <c r="QLK667" s="112"/>
      <c r="QLL667" s="112"/>
      <c r="QLM667" s="112"/>
      <c r="QLN667" s="112"/>
      <c r="QLO667" s="112"/>
      <c r="QLP667" s="112"/>
      <c r="QLQ667" s="112"/>
      <c r="QLR667" s="112"/>
      <c r="QLS667" s="112"/>
      <c r="QLT667" s="112"/>
      <c r="QLU667" s="112"/>
      <c r="QLV667" s="112"/>
      <c r="QLW667" s="112"/>
      <c r="QLX667" s="112"/>
      <c r="QLY667" s="112"/>
      <c r="QLZ667" s="112"/>
      <c r="QMA667" s="112"/>
      <c r="QMB667" s="112"/>
      <c r="QMC667" s="112"/>
      <c r="QMD667" s="112"/>
      <c r="QME667" s="112"/>
      <c r="QMF667" s="112"/>
      <c r="QMG667" s="112"/>
      <c r="QMH667" s="112"/>
      <c r="QMI667" s="112"/>
      <c r="QMJ667" s="112"/>
      <c r="QMK667" s="112"/>
      <c r="QML667" s="112"/>
      <c r="QMM667" s="112"/>
      <c r="QMN667" s="112"/>
      <c r="QMO667" s="112"/>
      <c r="QMP667" s="112"/>
      <c r="QMQ667" s="112"/>
      <c r="QMR667" s="112"/>
      <c r="QMS667" s="112"/>
      <c r="QMT667" s="112"/>
      <c r="QMU667" s="112"/>
      <c r="QMV667" s="112"/>
      <c r="QMW667" s="112"/>
      <c r="QMX667" s="112"/>
      <c r="QMY667" s="112"/>
      <c r="QMZ667" s="112"/>
      <c r="QNA667" s="112"/>
      <c r="QNB667" s="112"/>
      <c r="QNC667" s="112"/>
      <c r="QND667" s="112"/>
      <c r="QNE667" s="112"/>
      <c r="QNF667" s="112"/>
      <c r="QNG667" s="112"/>
      <c r="QNH667" s="112"/>
      <c r="QNI667" s="112"/>
      <c r="QNJ667" s="112"/>
      <c r="QNK667" s="112"/>
      <c r="QNL667" s="112"/>
      <c r="QNM667" s="112"/>
      <c r="QNN667" s="112"/>
      <c r="QNO667" s="112"/>
      <c r="QNP667" s="112"/>
      <c r="QNQ667" s="112"/>
      <c r="QNR667" s="112"/>
      <c r="QNS667" s="112"/>
      <c r="QNT667" s="112"/>
      <c r="QNU667" s="112"/>
      <c r="QNV667" s="112"/>
      <c r="QNW667" s="112"/>
      <c r="QNX667" s="112"/>
      <c r="QNY667" s="112"/>
      <c r="QNZ667" s="112"/>
      <c r="QOA667" s="112"/>
      <c r="QOB667" s="112"/>
      <c r="QOC667" s="112"/>
      <c r="QOD667" s="112"/>
      <c r="QOE667" s="112"/>
      <c r="QOF667" s="112"/>
      <c r="QOG667" s="112"/>
      <c r="QOH667" s="112"/>
      <c r="QOI667" s="112"/>
      <c r="QOJ667" s="112"/>
      <c r="QOK667" s="112"/>
      <c r="QOL667" s="112"/>
      <c r="QOM667" s="112"/>
      <c r="QON667" s="112"/>
      <c r="QOO667" s="112"/>
      <c r="QOP667" s="112"/>
      <c r="QOQ667" s="112"/>
      <c r="QOR667" s="112"/>
      <c r="QOS667" s="112"/>
      <c r="QOT667" s="112"/>
      <c r="QOU667" s="112"/>
      <c r="QOV667" s="112"/>
      <c r="QOW667" s="112"/>
      <c r="QOX667" s="112"/>
      <c r="QOY667" s="112"/>
      <c r="QOZ667" s="112"/>
      <c r="QPA667" s="112"/>
      <c r="QPB667" s="112"/>
      <c r="QPC667" s="112"/>
      <c r="QPD667" s="112"/>
      <c r="QPE667" s="112"/>
      <c r="QPF667" s="112"/>
      <c r="QPG667" s="112"/>
      <c r="QPH667" s="112"/>
      <c r="QPI667" s="112"/>
      <c r="QPJ667" s="112"/>
      <c r="QPK667" s="112"/>
      <c r="QPL667" s="112"/>
      <c r="QPM667" s="112"/>
      <c r="QPN667" s="112"/>
      <c r="QPO667" s="112"/>
      <c r="QPP667" s="112"/>
      <c r="QPQ667" s="112"/>
      <c r="QPR667" s="112"/>
      <c r="QPS667" s="112"/>
      <c r="QPT667" s="112"/>
      <c r="QPU667" s="112"/>
      <c r="QPV667" s="112"/>
      <c r="QPW667" s="112"/>
      <c r="QPX667" s="112"/>
      <c r="QPY667" s="112"/>
      <c r="QPZ667" s="112"/>
      <c r="QQA667" s="112"/>
      <c r="QQB667" s="112"/>
      <c r="QQC667" s="112"/>
      <c r="QQD667" s="112"/>
      <c r="QQE667" s="112"/>
      <c r="QQF667" s="112"/>
      <c r="QQG667" s="112"/>
      <c r="QQH667" s="112"/>
      <c r="QQI667" s="112"/>
      <c r="QQJ667" s="112"/>
      <c r="QQK667" s="112"/>
      <c r="QQL667" s="112"/>
      <c r="QQM667" s="112"/>
      <c r="QQN667" s="112"/>
      <c r="QQO667" s="112"/>
      <c r="QQP667" s="112"/>
      <c r="QQQ667" s="112"/>
      <c r="QQR667" s="112"/>
      <c r="QQS667" s="112"/>
      <c r="QQT667" s="112"/>
      <c r="QQU667" s="112"/>
      <c r="QQV667" s="112"/>
      <c r="QQW667" s="112"/>
      <c r="QQX667" s="112"/>
      <c r="QQY667" s="112"/>
      <c r="QQZ667" s="112"/>
      <c r="QRA667" s="112"/>
      <c r="QRB667" s="112"/>
      <c r="QRC667" s="112"/>
      <c r="QRD667" s="112"/>
      <c r="QRE667" s="112"/>
      <c r="QRF667" s="112"/>
      <c r="QRG667" s="112"/>
      <c r="QRH667" s="112"/>
      <c r="QRI667" s="112"/>
      <c r="QRJ667" s="112"/>
      <c r="QRK667" s="112"/>
      <c r="QRL667" s="112"/>
      <c r="QRM667" s="112"/>
      <c r="QRN667" s="112"/>
      <c r="QRO667" s="112"/>
      <c r="QRP667" s="112"/>
      <c r="QRQ667" s="112"/>
      <c r="QRR667" s="112"/>
      <c r="QRS667" s="112"/>
      <c r="QRT667" s="112"/>
      <c r="QRU667" s="112"/>
      <c r="QRV667" s="112"/>
      <c r="QRW667" s="112"/>
      <c r="QRX667" s="112"/>
      <c r="QRY667" s="112"/>
      <c r="QRZ667" s="112"/>
      <c r="QSA667" s="112"/>
      <c r="QSB667" s="112"/>
      <c r="QSC667" s="112"/>
      <c r="QSD667" s="112"/>
      <c r="QSE667" s="112"/>
      <c r="QSF667" s="112"/>
      <c r="QSG667" s="112"/>
      <c r="QSH667" s="112"/>
      <c r="QSI667" s="112"/>
      <c r="QSJ667" s="112"/>
      <c r="QSK667" s="112"/>
      <c r="QSL667" s="112"/>
      <c r="QSM667" s="112"/>
      <c r="QSN667" s="112"/>
      <c r="QSO667" s="112"/>
      <c r="QSP667" s="112"/>
      <c r="QSQ667" s="112"/>
      <c r="QSR667" s="112"/>
      <c r="QSS667" s="112"/>
      <c r="QST667" s="112"/>
      <c r="QSU667" s="112"/>
      <c r="QSV667" s="112"/>
      <c r="QSW667" s="112"/>
      <c r="QSX667" s="112"/>
      <c r="QSY667" s="112"/>
      <c r="QSZ667" s="112"/>
      <c r="QTA667" s="112"/>
      <c r="QTB667" s="112"/>
      <c r="QTC667" s="112"/>
      <c r="QTD667" s="112"/>
      <c r="QTE667" s="112"/>
      <c r="QTF667" s="112"/>
      <c r="QTG667" s="112"/>
      <c r="QTH667" s="112"/>
      <c r="QTI667" s="112"/>
      <c r="QTJ667" s="112"/>
      <c r="QTK667" s="112"/>
      <c r="QTL667" s="112"/>
      <c r="QTM667" s="112"/>
      <c r="QTN667" s="112"/>
      <c r="QTO667" s="112"/>
      <c r="QTP667" s="112"/>
      <c r="QTQ667" s="112"/>
      <c r="QTR667" s="112"/>
      <c r="QTS667" s="112"/>
      <c r="QTT667" s="112"/>
      <c r="QTU667" s="112"/>
      <c r="QTV667" s="112"/>
      <c r="QTW667" s="112"/>
      <c r="QTX667" s="112"/>
      <c r="QTY667" s="112"/>
      <c r="QTZ667" s="112"/>
      <c r="QUA667" s="112"/>
      <c r="QUB667" s="112"/>
      <c r="QUC667" s="112"/>
      <c r="QUD667" s="112"/>
      <c r="QUE667" s="112"/>
      <c r="QUF667" s="112"/>
      <c r="QUG667" s="112"/>
      <c r="QUH667" s="112"/>
      <c r="QUI667" s="112"/>
      <c r="QUJ667" s="112"/>
      <c r="QUK667" s="112"/>
      <c r="QUL667" s="112"/>
      <c r="QUM667" s="112"/>
      <c r="QUN667" s="112"/>
      <c r="QUO667" s="112"/>
      <c r="QUP667" s="112"/>
      <c r="QUQ667" s="112"/>
      <c r="QUR667" s="112"/>
      <c r="QUS667" s="112"/>
      <c r="QUT667" s="112"/>
      <c r="QUU667" s="112"/>
      <c r="QUV667" s="112"/>
      <c r="QUW667" s="112"/>
      <c r="QUX667" s="112"/>
      <c r="QUY667" s="112"/>
      <c r="QUZ667" s="112"/>
      <c r="QVA667" s="112"/>
      <c r="QVB667" s="112"/>
      <c r="QVC667" s="112"/>
      <c r="QVD667" s="112"/>
      <c r="QVE667" s="112"/>
      <c r="QVF667" s="112"/>
      <c r="QVG667" s="112"/>
      <c r="QVH667" s="112"/>
      <c r="QVI667" s="112"/>
      <c r="QVJ667" s="112"/>
      <c r="QVK667" s="112"/>
      <c r="QVL667" s="112"/>
      <c r="QVM667" s="112"/>
      <c r="QVN667" s="112"/>
      <c r="QVO667" s="112"/>
      <c r="QVP667" s="112"/>
      <c r="QVQ667" s="112"/>
      <c r="QVR667" s="112"/>
      <c r="QVS667" s="112"/>
      <c r="QVT667" s="112"/>
      <c r="QVU667" s="112"/>
      <c r="QVV667" s="112"/>
      <c r="QVW667" s="112"/>
      <c r="QVX667" s="112"/>
      <c r="QVY667" s="112"/>
      <c r="QVZ667" s="112"/>
      <c r="QWA667" s="112"/>
      <c r="QWB667" s="112"/>
      <c r="QWC667" s="112"/>
      <c r="QWD667" s="112"/>
      <c r="QWE667" s="112"/>
      <c r="QWF667" s="112"/>
      <c r="QWG667" s="112"/>
      <c r="QWH667" s="112"/>
      <c r="QWI667" s="112"/>
      <c r="QWJ667" s="112"/>
      <c r="QWK667" s="112"/>
      <c r="QWL667" s="112"/>
      <c r="QWM667" s="112"/>
      <c r="QWN667" s="112"/>
      <c r="QWO667" s="112"/>
      <c r="QWP667" s="112"/>
      <c r="QWQ667" s="112"/>
      <c r="QWR667" s="112"/>
      <c r="QWS667" s="112"/>
      <c r="QWT667" s="112"/>
      <c r="QWU667" s="112"/>
      <c r="QWV667" s="112"/>
      <c r="QWW667" s="112"/>
      <c r="QWX667" s="112"/>
      <c r="QWY667" s="112"/>
      <c r="QWZ667" s="112"/>
      <c r="QXA667" s="112"/>
      <c r="QXB667" s="112"/>
      <c r="QXC667" s="112"/>
      <c r="QXD667" s="112"/>
      <c r="QXE667" s="112"/>
      <c r="QXF667" s="112"/>
      <c r="QXG667" s="112"/>
      <c r="QXH667" s="112"/>
      <c r="QXI667" s="112"/>
      <c r="QXJ667" s="112"/>
      <c r="QXK667" s="112"/>
      <c r="QXL667" s="112"/>
      <c r="QXM667" s="112"/>
      <c r="QXN667" s="112"/>
      <c r="QXO667" s="112"/>
      <c r="QXP667" s="112"/>
      <c r="QXQ667" s="112"/>
      <c r="QXR667" s="112"/>
      <c r="QXS667" s="112"/>
      <c r="QXT667" s="112"/>
      <c r="QXU667" s="112"/>
      <c r="QXV667" s="112"/>
      <c r="QXW667" s="112"/>
      <c r="QXX667" s="112"/>
      <c r="QXY667" s="112"/>
      <c r="QXZ667" s="112"/>
      <c r="QYA667" s="112"/>
      <c r="QYB667" s="112"/>
      <c r="QYC667" s="112"/>
      <c r="QYD667" s="112"/>
      <c r="QYE667" s="112"/>
      <c r="QYF667" s="112"/>
      <c r="QYG667" s="112"/>
      <c r="QYH667" s="112"/>
      <c r="QYI667" s="112"/>
      <c r="QYJ667" s="112"/>
      <c r="QYK667" s="112"/>
      <c r="QYL667" s="112"/>
      <c r="QYM667" s="112"/>
      <c r="QYN667" s="112"/>
      <c r="QYO667" s="112"/>
      <c r="QYP667" s="112"/>
      <c r="QYQ667" s="112"/>
      <c r="QYR667" s="112"/>
      <c r="QYS667" s="112"/>
      <c r="QYT667" s="112"/>
      <c r="QYU667" s="112"/>
      <c r="QYV667" s="112"/>
      <c r="QYW667" s="112"/>
      <c r="QYX667" s="112"/>
      <c r="QYY667" s="112"/>
      <c r="QYZ667" s="112"/>
      <c r="QZA667" s="112"/>
      <c r="QZB667" s="112"/>
      <c r="QZC667" s="112"/>
      <c r="QZD667" s="112"/>
      <c r="QZE667" s="112"/>
      <c r="QZF667" s="112"/>
      <c r="QZG667" s="112"/>
      <c r="QZH667" s="112"/>
      <c r="QZI667" s="112"/>
      <c r="QZJ667" s="112"/>
      <c r="QZK667" s="112"/>
      <c r="QZL667" s="112"/>
      <c r="QZM667" s="112"/>
      <c r="QZN667" s="112"/>
      <c r="QZO667" s="112"/>
      <c r="QZP667" s="112"/>
      <c r="QZQ667" s="112"/>
      <c r="QZR667" s="112"/>
      <c r="QZS667" s="112"/>
      <c r="QZT667" s="112"/>
      <c r="QZU667" s="112"/>
      <c r="QZV667" s="112"/>
      <c r="QZW667" s="112"/>
      <c r="QZX667" s="112"/>
      <c r="QZY667" s="112"/>
      <c r="QZZ667" s="112"/>
      <c r="RAA667" s="112"/>
      <c r="RAB667" s="112"/>
      <c r="RAC667" s="112"/>
      <c r="RAD667" s="112"/>
      <c r="RAE667" s="112"/>
      <c r="RAF667" s="112"/>
      <c r="RAG667" s="112"/>
      <c r="RAH667" s="112"/>
      <c r="RAI667" s="112"/>
      <c r="RAJ667" s="112"/>
      <c r="RAK667" s="112"/>
      <c r="RAL667" s="112"/>
      <c r="RAM667" s="112"/>
      <c r="RAN667" s="112"/>
      <c r="RAO667" s="112"/>
      <c r="RAP667" s="112"/>
      <c r="RAQ667" s="112"/>
      <c r="RAR667" s="112"/>
      <c r="RAS667" s="112"/>
      <c r="RAT667" s="112"/>
      <c r="RAU667" s="112"/>
      <c r="RAV667" s="112"/>
      <c r="RAW667" s="112"/>
      <c r="RAX667" s="112"/>
      <c r="RAY667" s="112"/>
      <c r="RAZ667" s="112"/>
      <c r="RBA667" s="112"/>
      <c r="RBB667" s="112"/>
      <c r="RBC667" s="112"/>
      <c r="RBD667" s="112"/>
      <c r="RBE667" s="112"/>
      <c r="RBF667" s="112"/>
      <c r="RBG667" s="112"/>
      <c r="RBH667" s="112"/>
      <c r="RBI667" s="112"/>
      <c r="RBJ667" s="112"/>
      <c r="RBK667" s="112"/>
      <c r="RBL667" s="112"/>
      <c r="RBM667" s="112"/>
      <c r="RBN667" s="112"/>
      <c r="RBO667" s="112"/>
      <c r="RBP667" s="112"/>
      <c r="RBQ667" s="112"/>
      <c r="RBR667" s="112"/>
      <c r="RBS667" s="112"/>
      <c r="RBT667" s="112"/>
      <c r="RBU667" s="112"/>
      <c r="RBV667" s="112"/>
      <c r="RBW667" s="112"/>
      <c r="RBX667" s="112"/>
      <c r="RBY667" s="112"/>
      <c r="RBZ667" s="112"/>
      <c r="RCA667" s="112"/>
      <c r="RCB667" s="112"/>
      <c r="RCC667" s="112"/>
      <c r="RCD667" s="112"/>
      <c r="RCE667" s="112"/>
      <c r="RCF667" s="112"/>
      <c r="RCG667" s="112"/>
      <c r="RCH667" s="112"/>
      <c r="RCI667" s="112"/>
      <c r="RCJ667" s="112"/>
      <c r="RCK667" s="112"/>
      <c r="RCL667" s="112"/>
      <c r="RCM667" s="112"/>
      <c r="RCN667" s="112"/>
      <c r="RCO667" s="112"/>
      <c r="RCP667" s="112"/>
      <c r="RCQ667" s="112"/>
      <c r="RCR667" s="112"/>
      <c r="RCS667" s="112"/>
      <c r="RCT667" s="112"/>
      <c r="RCU667" s="112"/>
      <c r="RCV667" s="112"/>
      <c r="RCW667" s="112"/>
      <c r="RCX667" s="112"/>
      <c r="RCY667" s="112"/>
      <c r="RCZ667" s="112"/>
      <c r="RDA667" s="112"/>
      <c r="RDB667" s="112"/>
      <c r="RDC667" s="112"/>
      <c r="RDD667" s="112"/>
      <c r="RDE667" s="112"/>
      <c r="RDF667" s="112"/>
      <c r="RDG667" s="112"/>
      <c r="RDH667" s="112"/>
      <c r="RDI667" s="112"/>
      <c r="RDJ667" s="112"/>
      <c r="RDK667" s="112"/>
      <c r="RDL667" s="112"/>
      <c r="RDM667" s="112"/>
      <c r="RDN667" s="112"/>
      <c r="RDO667" s="112"/>
      <c r="RDP667" s="112"/>
      <c r="RDQ667" s="112"/>
      <c r="RDR667" s="112"/>
      <c r="RDS667" s="112"/>
      <c r="RDT667" s="112"/>
      <c r="RDU667" s="112"/>
      <c r="RDV667" s="112"/>
      <c r="RDW667" s="112"/>
      <c r="RDX667" s="112"/>
      <c r="RDY667" s="112"/>
      <c r="RDZ667" s="112"/>
      <c r="REA667" s="112"/>
      <c r="REB667" s="112"/>
      <c r="REC667" s="112"/>
      <c r="RED667" s="112"/>
      <c r="REE667" s="112"/>
      <c r="REF667" s="112"/>
      <c r="REG667" s="112"/>
      <c r="REH667" s="112"/>
      <c r="REI667" s="112"/>
      <c r="REJ667" s="112"/>
      <c r="REK667" s="112"/>
      <c r="REL667" s="112"/>
      <c r="REM667" s="112"/>
      <c r="REN667" s="112"/>
      <c r="REO667" s="112"/>
      <c r="REP667" s="112"/>
      <c r="REQ667" s="112"/>
      <c r="RER667" s="112"/>
      <c r="RES667" s="112"/>
      <c r="RET667" s="112"/>
      <c r="REU667" s="112"/>
      <c r="REV667" s="112"/>
      <c r="REW667" s="112"/>
      <c r="REX667" s="112"/>
      <c r="REY667" s="112"/>
      <c r="REZ667" s="112"/>
      <c r="RFA667" s="112"/>
      <c r="RFB667" s="112"/>
      <c r="RFC667" s="112"/>
      <c r="RFD667" s="112"/>
      <c r="RFE667" s="112"/>
      <c r="RFF667" s="112"/>
      <c r="RFG667" s="112"/>
      <c r="RFH667" s="112"/>
      <c r="RFI667" s="112"/>
      <c r="RFJ667" s="112"/>
      <c r="RFK667" s="112"/>
      <c r="RFL667" s="112"/>
      <c r="RFM667" s="112"/>
      <c r="RFN667" s="112"/>
      <c r="RFO667" s="112"/>
      <c r="RFP667" s="112"/>
      <c r="RFQ667" s="112"/>
      <c r="RFR667" s="112"/>
      <c r="RFS667" s="112"/>
      <c r="RFT667" s="112"/>
      <c r="RFU667" s="112"/>
      <c r="RFV667" s="112"/>
      <c r="RFW667" s="112"/>
      <c r="RFX667" s="112"/>
      <c r="RFY667" s="112"/>
      <c r="RFZ667" s="112"/>
      <c r="RGA667" s="112"/>
      <c r="RGB667" s="112"/>
      <c r="RGC667" s="112"/>
      <c r="RGD667" s="112"/>
      <c r="RGE667" s="112"/>
      <c r="RGF667" s="112"/>
      <c r="RGG667" s="112"/>
      <c r="RGH667" s="112"/>
      <c r="RGI667" s="112"/>
      <c r="RGJ667" s="112"/>
      <c r="RGK667" s="112"/>
      <c r="RGL667" s="112"/>
      <c r="RGM667" s="112"/>
      <c r="RGN667" s="112"/>
      <c r="RGO667" s="112"/>
      <c r="RGP667" s="112"/>
      <c r="RGQ667" s="112"/>
      <c r="RGR667" s="112"/>
      <c r="RGS667" s="112"/>
      <c r="RGT667" s="112"/>
      <c r="RGU667" s="112"/>
      <c r="RGV667" s="112"/>
      <c r="RGW667" s="112"/>
      <c r="RGX667" s="112"/>
      <c r="RGY667" s="112"/>
      <c r="RGZ667" s="112"/>
      <c r="RHA667" s="112"/>
      <c r="RHB667" s="112"/>
      <c r="RHC667" s="112"/>
      <c r="RHD667" s="112"/>
      <c r="RHE667" s="112"/>
      <c r="RHF667" s="112"/>
      <c r="RHG667" s="112"/>
      <c r="RHH667" s="112"/>
      <c r="RHI667" s="112"/>
      <c r="RHJ667" s="112"/>
      <c r="RHK667" s="112"/>
      <c r="RHL667" s="112"/>
      <c r="RHM667" s="112"/>
      <c r="RHN667" s="112"/>
      <c r="RHO667" s="112"/>
      <c r="RHP667" s="112"/>
      <c r="RHQ667" s="112"/>
      <c r="RHR667" s="112"/>
      <c r="RHS667" s="112"/>
      <c r="RHT667" s="112"/>
      <c r="RHU667" s="112"/>
      <c r="RHV667" s="112"/>
      <c r="RHW667" s="112"/>
      <c r="RHX667" s="112"/>
      <c r="RHY667" s="112"/>
      <c r="RHZ667" s="112"/>
      <c r="RIA667" s="112"/>
      <c r="RIB667" s="112"/>
      <c r="RIC667" s="112"/>
      <c r="RID667" s="112"/>
      <c r="RIE667" s="112"/>
      <c r="RIF667" s="112"/>
      <c r="RIG667" s="112"/>
      <c r="RIH667" s="112"/>
      <c r="RII667" s="112"/>
      <c r="RIJ667" s="112"/>
      <c r="RIK667" s="112"/>
      <c r="RIL667" s="112"/>
      <c r="RIM667" s="112"/>
      <c r="RIN667" s="112"/>
      <c r="RIO667" s="112"/>
      <c r="RIP667" s="112"/>
      <c r="RIQ667" s="112"/>
      <c r="RIR667" s="112"/>
      <c r="RIS667" s="112"/>
      <c r="RIT667" s="112"/>
      <c r="RIU667" s="112"/>
      <c r="RIV667" s="112"/>
      <c r="RIW667" s="112"/>
      <c r="RIX667" s="112"/>
      <c r="RIY667" s="112"/>
      <c r="RIZ667" s="112"/>
      <c r="RJA667" s="112"/>
      <c r="RJB667" s="112"/>
      <c r="RJC667" s="112"/>
      <c r="RJD667" s="112"/>
      <c r="RJE667" s="112"/>
      <c r="RJF667" s="112"/>
      <c r="RJG667" s="112"/>
      <c r="RJH667" s="112"/>
      <c r="RJI667" s="112"/>
      <c r="RJJ667" s="112"/>
      <c r="RJK667" s="112"/>
      <c r="RJL667" s="112"/>
      <c r="RJM667" s="112"/>
      <c r="RJN667" s="112"/>
      <c r="RJO667" s="112"/>
      <c r="RJP667" s="112"/>
      <c r="RJQ667" s="112"/>
      <c r="RJR667" s="112"/>
      <c r="RJS667" s="112"/>
      <c r="RJT667" s="112"/>
      <c r="RJU667" s="112"/>
      <c r="RJV667" s="112"/>
      <c r="RJW667" s="112"/>
      <c r="RJX667" s="112"/>
      <c r="RJY667" s="112"/>
      <c r="RJZ667" s="112"/>
      <c r="RKA667" s="112"/>
      <c r="RKB667" s="112"/>
      <c r="RKC667" s="112"/>
      <c r="RKD667" s="112"/>
      <c r="RKE667" s="112"/>
      <c r="RKF667" s="112"/>
      <c r="RKG667" s="112"/>
      <c r="RKH667" s="112"/>
      <c r="RKI667" s="112"/>
      <c r="RKJ667" s="112"/>
      <c r="RKK667" s="112"/>
      <c r="RKL667" s="112"/>
      <c r="RKM667" s="112"/>
      <c r="RKN667" s="112"/>
      <c r="RKO667" s="112"/>
      <c r="RKP667" s="112"/>
      <c r="RKQ667" s="112"/>
      <c r="RKR667" s="112"/>
      <c r="RKS667" s="112"/>
      <c r="RKT667" s="112"/>
      <c r="RKU667" s="112"/>
      <c r="RKV667" s="112"/>
      <c r="RKW667" s="112"/>
      <c r="RKX667" s="112"/>
      <c r="RKY667" s="112"/>
      <c r="RKZ667" s="112"/>
      <c r="RLA667" s="112"/>
      <c r="RLB667" s="112"/>
      <c r="RLC667" s="112"/>
      <c r="RLD667" s="112"/>
      <c r="RLE667" s="112"/>
      <c r="RLF667" s="112"/>
      <c r="RLG667" s="112"/>
      <c r="RLH667" s="112"/>
      <c r="RLI667" s="112"/>
      <c r="RLJ667" s="112"/>
      <c r="RLK667" s="112"/>
      <c r="RLL667" s="112"/>
      <c r="RLM667" s="112"/>
      <c r="RLN667" s="112"/>
      <c r="RLO667" s="112"/>
      <c r="RLP667" s="112"/>
      <c r="RLQ667" s="112"/>
      <c r="RLR667" s="112"/>
      <c r="RLS667" s="112"/>
      <c r="RLT667" s="112"/>
      <c r="RLU667" s="112"/>
      <c r="RLV667" s="112"/>
      <c r="RLW667" s="112"/>
      <c r="RLX667" s="112"/>
      <c r="RLY667" s="112"/>
      <c r="RLZ667" s="112"/>
      <c r="RMA667" s="112"/>
      <c r="RMB667" s="112"/>
      <c r="RMC667" s="112"/>
      <c r="RMD667" s="112"/>
      <c r="RME667" s="112"/>
      <c r="RMF667" s="112"/>
      <c r="RMG667" s="112"/>
      <c r="RMH667" s="112"/>
      <c r="RMI667" s="112"/>
      <c r="RMJ667" s="112"/>
      <c r="RMK667" s="112"/>
      <c r="RML667" s="112"/>
      <c r="RMM667" s="112"/>
      <c r="RMN667" s="112"/>
      <c r="RMO667" s="112"/>
      <c r="RMP667" s="112"/>
      <c r="RMQ667" s="112"/>
      <c r="RMR667" s="112"/>
      <c r="RMS667" s="112"/>
      <c r="RMT667" s="112"/>
      <c r="RMU667" s="112"/>
      <c r="RMV667" s="112"/>
      <c r="RMW667" s="112"/>
      <c r="RMX667" s="112"/>
      <c r="RMY667" s="112"/>
      <c r="RMZ667" s="112"/>
      <c r="RNA667" s="112"/>
      <c r="RNB667" s="112"/>
      <c r="RNC667" s="112"/>
      <c r="RND667" s="112"/>
      <c r="RNE667" s="112"/>
      <c r="RNF667" s="112"/>
      <c r="RNG667" s="112"/>
      <c r="RNH667" s="112"/>
      <c r="RNI667" s="112"/>
      <c r="RNJ667" s="112"/>
      <c r="RNK667" s="112"/>
      <c r="RNL667" s="112"/>
      <c r="RNM667" s="112"/>
      <c r="RNN667" s="112"/>
      <c r="RNO667" s="112"/>
      <c r="RNP667" s="112"/>
      <c r="RNQ667" s="112"/>
      <c r="RNR667" s="112"/>
      <c r="RNS667" s="112"/>
      <c r="RNT667" s="112"/>
      <c r="RNU667" s="112"/>
      <c r="RNV667" s="112"/>
      <c r="RNW667" s="112"/>
      <c r="RNX667" s="112"/>
      <c r="RNY667" s="112"/>
      <c r="RNZ667" s="112"/>
      <c r="ROA667" s="112"/>
      <c r="ROB667" s="112"/>
      <c r="ROC667" s="112"/>
      <c r="ROD667" s="112"/>
      <c r="ROE667" s="112"/>
      <c r="ROF667" s="112"/>
      <c r="ROG667" s="112"/>
      <c r="ROH667" s="112"/>
      <c r="ROI667" s="112"/>
      <c r="ROJ667" s="112"/>
      <c r="ROK667" s="112"/>
      <c r="ROL667" s="112"/>
      <c r="ROM667" s="112"/>
      <c r="RON667" s="112"/>
      <c r="ROO667" s="112"/>
      <c r="ROP667" s="112"/>
      <c r="ROQ667" s="112"/>
      <c r="ROR667" s="112"/>
      <c r="ROS667" s="112"/>
      <c r="ROT667" s="112"/>
      <c r="ROU667" s="112"/>
      <c r="ROV667" s="112"/>
      <c r="ROW667" s="112"/>
      <c r="ROX667" s="112"/>
      <c r="ROY667" s="112"/>
      <c r="ROZ667" s="112"/>
      <c r="RPA667" s="112"/>
      <c r="RPB667" s="112"/>
      <c r="RPC667" s="112"/>
      <c r="RPD667" s="112"/>
      <c r="RPE667" s="112"/>
      <c r="RPF667" s="112"/>
      <c r="RPG667" s="112"/>
      <c r="RPH667" s="112"/>
      <c r="RPI667" s="112"/>
      <c r="RPJ667" s="112"/>
      <c r="RPK667" s="112"/>
      <c r="RPL667" s="112"/>
      <c r="RPM667" s="112"/>
      <c r="RPN667" s="112"/>
      <c r="RPO667" s="112"/>
      <c r="RPP667" s="112"/>
      <c r="RPQ667" s="112"/>
      <c r="RPR667" s="112"/>
      <c r="RPS667" s="112"/>
      <c r="RPT667" s="112"/>
      <c r="RPU667" s="112"/>
      <c r="RPV667" s="112"/>
      <c r="RPW667" s="112"/>
      <c r="RPX667" s="112"/>
      <c r="RPY667" s="112"/>
      <c r="RPZ667" s="112"/>
      <c r="RQA667" s="112"/>
      <c r="RQB667" s="112"/>
      <c r="RQC667" s="112"/>
      <c r="RQD667" s="112"/>
      <c r="RQE667" s="112"/>
      <c r="RQF667" s="112"/>
      <c r="RQG667" s="112"/>
      <c r="RQH667" s="112"/>
      <c r="RQI667" s="112"/>
      <c r="RQJ667" s="112"/>
      <c r="RQK667" s="112"/>
      <c r="RQL667" s="112"/>
      <c r="RQM667" s="112"/>
      <c r="RQN667" s="112"/>
      <c r="RQO667" s="112"/>
      <c r="RQP667" s="112"/>
      <c r="RQQ667" s="112"/>
      <c r="RQR667" s="112"/>
      <c r="RQS667" s="112"/>
      <c r="RQT667" s="112"/>
      <c r="RQU667" s="112"/>
      <c r="RQV667" s="112"/>
      <c r="RQW667" s="112"/>
      <c r="RQX667" s="112"/>
      <c r="RQY667" s="112"/>
      <c r="RQZ667" s="112"/>
      <c r="RRA667" s="112"/>
      <c r="RRB667" s="112"/>
      <c r="RRC667" s="112"/>
      <c r="RRD667" s="112"/>
      <c r="RRE667" s="112"/>
      <c r="RRF667" s="112"/>
      <c r="RRG667" s="112"/>
      <c r="RRH667" s="112"/>
      <c r="RRI667" s="112"/>
      <c r="RRJ667" s="112"/>
      <c r="RRK667" s="112"/>
      <c r="RRL667" s="112"/>
      <c r="RRM667" s="112"/>
      <c r="RRN667" s="112"/>
      <c r="RRO667" s="112"/>
      <c r="RRP667" s="112"/>
      <c r="RRQ667" s="112"/>
      <c r="RRR667" s="112"/>
      <c r="RRS667" s="112"/>
      <c r="RRT667" s="112"/>
      <c r="RRU667" s="112"/>
      <c r="RRV667" s="112"/>
      <c r="RRW667" s="112"/>
      <c r="RRX667" s="112"/>
      <c r="RRY667" s="112"/>
      <c r="RRZ667" s="112"/>
      <c r="RSA667" s="112"/>
      <c r="RSB667" s="112"/>
      <c r="RSC667" s="112"/>
      <c r="RSD667" s="112"/>
      <c r="RSE667" s="112"/>
      <c r="RSF667" s="112"/>
      <c r="RSG667" s="112"/>
      <c r="RSH667" s="112"/>
      <c r="RSI667" s="112"/>
      <c r="RSJ667" s="112"/>
      <c r="RSK667" s="112"/>
      <c r="RSL667" s="112"/>
      <c r="RSM667" s="112"/>
      <c r="RSN667" s="112"/>
      <c r="RSO667" s="112"/>
      <c r="RSP667" s="112"/>
      <c r="RSQ667" s="112"/>
      <c r="RSR667" s="112"/>
      <c r="RSS667" s="112"/>
      <c r="RST667" s="112"/>
      <c r="RSU667" s="112"/>
      <c r="RSV667" s="112"/>
      <c r="RSW667" s="112"/>
      <c r="RSX667" s="112"/>
      <c r="RSY667" s="112"/>
      <c r="RSZ667" s="112"/>
      <c r="RTA667" s="112"/>
      <c r="RTB667" s="112"/>
      <c r="RTC667" s="112"/>
      <c r="RTD667" s="112"/>
      <c r="RTE667" s="112"/>
      <c r="RTF667" s="112"/>
      <c r="RTG667" s="112"/>
      <c r="RTH667" s="112"/>
      <c r="RTI667" s="112"/>
      <c r="RTJ667" s="112"/>
      <c r="RTK667" s="112"/>
      <c r="RTL667" s="112"/>
      <c r="RTM667" s="112"/>
      <c r="RTN667" s="112"/>
      <c r="RTO667" s="112"/>
      <c r="RTP667" s="112"/>
      <c r="RTQ667" s="112"/>
      <c r="RTR667" s="112"/>
      <c r="RTS667" s="112"/>
      <c r="RTT667" s="112"/>
      <c r="RTU667" s="112"/>
      <c r="RTV667" s="112"/>
      <c r="RTW667" s="112"/>
      <c r="RTX667" s="112"/>
      <c r="RTY667" s="112"/>
      <c r="RTZ667" s="112"/>
      <c r="RUA667" s="112"/>
      <c r="RUB667" s="112"/>
      <c r="RUC667" s="112"/>
      <c r="RUD667" s="112"/>
      <c r="RUE667" s="112"/>
      <c r="RUF667" s="112"/>
      <c r="RUG667" s="112"/>
      <c r="RUH667" s="112"/>
      <c r="RUI667" s="112"/>
      <c r="RUJ667" s="112"/>
      <c r="RUK667" s="112"/>
      <c r="RUL667" s="112"/>
      <c r="RUM667" s="112"/>
      <c r="RUN667" s="112"/>
      <c r="RUO667" s="112"/>
      <c r="RUP667" s="112"/>
      <c r="RUQ667" s="112"/>
      <c r="RUR667" s="112"/>
      <c r="RUS667" s="112"/>
      <c r="RUT667" s="112"/>
      <c r="RUU667" s="112"/>
      <c r="RUV667" s="112"/>
      <c r="RUW667" s="112"/>
      <c r="RUX667" s="112"/>
      <c r="RUY667" s="112"/>
      <c r="RUZ667" s="112"/>
      <c r="RVA667" s="112"/>
      <c r="RVB667" s="112"/>
      <c r="RVC667" s="112"/>
      <c r="RVD667" s="112"/>
      <c r="RVE667" s="112"/>
      <c r="RVF667" s="112"/>
      <c r="RVG667" s="112"/>
      <c r="RVH667" s="112"/>
      <c r="RVI667" s="112"/>
      <c r="RVJ667" s="112"/>
      <c r="RVK667" s="112"/>
      <c r="RVL667" s="112"/>
      <c r="RVM667" s="112"/>
      <c r="RVN667" s="112"/>
      <c r="RVO667" s="112"/>
      <c r="RVP667" s="112"/>
      <c r="RVQ667" s="112"/>
      <c r="RVR667" s="112"/>
      <c r="RVS667" s="112"/>
      <c r="RVT667" s="112"/>
      <c r="RVU667" s="112"/>
      <c r="RVV667" s="112"/>
      <c r="RVW667" s="112"/>
      <c r="RVX667" s="112"/>
      <c r="RVY667" s="112"/>
      <c r="RVZ667" s="112"/>
      <c r="RWA667" s="112"/>
      <c r="RWB667" s="112"/>
      <c r="RWC667" s="112"/>
      <c r="RWD667" s="112"/>
      <c r="RWE667" s="112"/>
      <c r="RWF667" s="112"/>
      <c r="RWG667" s="112"/>
      <c r="RWH667" s="112"/>
      <c r="RWI667" s="112"/>
      <c r="RWJ667" s="112"/>
      <c r="RWK667" s="112"/>
      <c r="RWL667" s="112"/>
      <c r="RWM667" s="112"/>
      <c r="RWN667" s="112"/>
      <c r="RWO667" s="112"/>
      <c r="RWP667" s="112"/>
      <c r="RWQ667" s="112"/>
      <c r="RWR667" s="112"/>
      <c r="RWS667" s="112"/>
      <c r="RWT667" s="112"/>
      <c r="RWU667" s="112"/>
      <c r="RWV667" s="112"/>
      <c r="RWW667" s="112"/>
      <c r="RWX667" s="112"/>
      <c r="RWY667" s="112"/>
      <c r="RWZ667" s="112"/>
      <c r="RXA667" s="112"/>
      <c r="RXB667" s="112"/>
      <c r="RXC667" s="112"/>
      <c r="RXD667" s="112"/>
      <c r="RXE667" s="112"/>
      <c r="RXF667" s="112"/>
      <c r="RXG667" s="112"/>
      <c r="RXH667" s="112"/>
      <c r="RXI667" s="112"/>
      <c r="RXJ667" s="112"/>
      <c r="RXK667" s="112"/>
      <c r="RXL667" s="112"/>
      <c r="RXM667" s="112"/>
      <c r="RXN667" s="112"/>
      <c r="RXO667" s="112"/>
      <c r="RXP667" s="112"/>
      <c r="RXQ667" s="112"/>
      <c r="RXR667" s="112"/>
      <c r="RXS667" s="112"/>
      <c r="RXT667" s="112"/>
      <c r="RXU667" s="112"/>
      <c r="RXV667" s="112"/>
      <c r="RXW667" s="112"/>
      <c r="RXX667" s="112"/>
      <c r="RXY667" s="112"/>
      <c r="RXZ667" s="112"/>
      <c r="RYA667" s="112"/>
      <c r="RYB667" s="112"/>
      <c r="RYC667" s="112"/>
      <c r="RYD667" s="112"/>
      <c r="RYE667" s="112"/>
      <c r="RYF667" s="112"/>
      <c r="RYG667" s="112"/>
      <c r="RYH667" s="112"/>
      <c r="RYI667" s="112"/>
      <c r="RYJ667" s="112"/>
      <c r="RYK667" s="112"/>
      <c r="RYL667" s="112"/>
      <c r="RYM667" s="112"/>
      <c r="RYN667" s="112"/>
      <c r="RYO667" s="112"/>
      <c r="RYP667" s="112"/>
      <c r="RYQ667" s="112"/>
      <c r="RYR667" s="112"/>
      <c r="RYS667" s="112"/>
      <c r="RYT667" s="112"/>
      <c r="RYU667" s="112"/>
      <c r="RYV667" s="112"/>
      <c r="RYW667" s="112"/>
      <c r="RYX667" s="112"/>
      <c r="RYY667" s="112"/>
      <c r="RYZ667" s="112"/>
      <c r="RZA667" s="112"/>
      <c r="RZB667" s="112"/>
      <c r="RZC667" s="112"/>
      <c r="RZD667" s="112"/>
      <c r="RZE667" s="112"/>
      <c r="RZF667" s="112"/>
      <c r="RZG667" s="112"/>
      <c r="RZH667" s="112"/>
      <c r="RZI667" s="112"/>
      <c r="RZJ667" s="112"/>
      <c r="RZK667" s="112"/>
      <c r="RZL667" s="112"/>
      <c r="RZM667" s="112"/>
      <c r="RZN667" s="112"/>
      <c r="RZO667" s="112"/>
      <c r="RZP667" s="112"/>
      <c r="RZQ667" s="112"/>
      <c r="RZR667" s="112"/>
      <c r="RZS667" s="112"/>
      <c r="RZT667" s="112"/>
      <c r="RZU667" s="112"/>
      <c r="RZV667" s="112"/>
      <c r="RZW667" s="112"/>
      <c r="RZX667" s="112"/>
      <c r="RZY667" s="112"/>
      <c r="RZZ667" s="112"/>
      <c r="SAA667" s="112"/>
      <c r="SAB667" s="112"/>
      <c r="SAC667" s="112"/>
      <c r="SAD667" s="112"/>
      <c r="SAE667" s="112"/>
      <c r="SAF667" s="112"/>
      <c r="SAG667" s="112"/>
      <c r="SAH667" s="112"/>
      <c r="SAI667" s="112"/>
      <c r="SAJ667" s="112"/>
      <c r="SAK667" s="112"/>
      <c r="SAL667" s="112"/>
      <c r="SAM667" s="112"/>
      <c r="SAN667" s="112"/>
      <c r="SAO667" s="112"/>
      <c r="SAP667" s="112"/>
      <c r="SAQ667" s="112"/>
      <c r="SAR667" s="112"/>
      <c r="SAS667" s="112"/>
      <c r="SAT667" s="112"/>
      <c r="SAU667" s="112"/>
      <c r="SAV667" s="112"/>
      <c r="SAW667" s="112"/>
      <c r="SAX667" s="112"/>
      <c r="SAY667" s="112"/>
      <c r="SAZ667" s="112"/>
      <c r="SBA667" s="112"/>
      <c r="SBB667" s="112"/>
      <c r="SBC667" s="112"/>
      <c r="SBD667" s="112"/>
      <c r="SBE667" s="112"/>
      <c r="SBF667" s="112"/>
      <c r="SBG667" s="112"/>
      <c r="SBH667" s="112"/>
      <c r="SBI667" s="112"/>
      <c r="SBJ667" s="112"/>
      <c r="SBK667" s="112"/>
      <c r="SBL667" s="112"/>
      <c r="SBM667" s="112"/>
      <c r="SBN667" s="112"/>
      <c r="SBO667" s="112"/>
      <c r="SBP667" s="112"/>
      <c r="SBQ667" s="112"/>
      <c r="SBR667" s="112"/>
      <c r="SBS667" s="112"/>
      <c r="SBT667" s="112"/>
      <c r="SBU667" s="112"/>
      <c r="SBV667" s="112"/>
      <c r="SBW667" s="112"/>
      <c r="SBX667" s="112"/>
      <c r="SBY667" s="112"/>
      <c r="SBZ667" s="112"/>
      <c r="SCA667" s="112"/>
      <c r="SCB667" s="112"/>
      <c r="SCC667" s="112"/>
      <c r="SCD667" s="112"/>
      <c r="SCE667" s="112"/>
      <c r="SCF667" s="112"/>
      <c r="SCG667" s="112"/>
      <c r="SCH667" s="112"/>
      <c r="SCI667" s="112"/>
      <c r="SCJ667" s="112"/>
      <c r="SCK667" s="112"/>
      <c r="SCL667" s="112"/>
      <c r="SCM667" s="112"/>
      <c r="SCN667" s="112"/>
      <c r="SCO667" s="112"/>
      <c r="SCP667" s="112"/>
      <c r="SCQ667" s="112"/>
      <c r="SCR667" s="112"/>
      <c r="SCS667" s="112"/>
      <c r="SCT667" s="112"/>
      <c r="SCU667" s="112"/>
      <c r="SCV667" s="112"/>
      <c r="SCW667" s="112"/>
      <c r="SCX667" s="112"/>
      <c r="SCY667" s="112"/>
      <c r="SCZ667" s="112"/>
      <c r="SDA667" s="112"/>
      <c r="SDB667" s="112"/>
      <c r="SDC667" s="112"/>
      <c r="SDD667" s="112"/>
      <c r="SDE667" s="112"/>
      <c r="SDF667" s="112"/>
      <c r="SDG667" s="112"/>
      <c r="SDH667" s="112"/>
      <c r="SDI667" s="112"/>
      <c r="SDJ667" s="112"/>
      <c r="SDK667" s="112"/>
      <c r="SDL667" s="112"/>
      <c r="SDM667" s="112"/>
      <c r="SDN667" s="112"/>
      <c r="SDO667" s="112"/>
      <c r="SDP667" s="112"/>
      <c r="SDQ667" s="112"/>
      <c r="SDR667" s="112"/>
      <c r="SDS667" s="112"/>
      <c r="SDT667" s="112"/>
      <c r="SDU667" s="112"/>
      <c r="SDV667" s="112"/>
      <c r="SDW667" s="112"/>
      <c r="SDX667" s="112"/>
      <c r="SDY667" s="112"/>
      <c r="SDZ667" s="112"/>
      <c r="SEA667" s="112"/>
      <c r="SEB667" s="112"/>
      <c r="SEC667" s="112"/>
      <c r="SED667" s="112"/>
      <c r="SEE667" s="112"/>
      <c r="SEF667" s="112"/>
      <c r="SEG667" s="112"/>
      <c r="SEH667" s="112"/>
      <c r="SEI667" s="112"/>
      <c r="SEJ667" s="112"/>
      <c r="SEK667" s="112"/>
      <c r="SEL667" s="112"/>
      <c r="SEM667" s="112"/>
      <c r="SEN667" s="112"/>
      <c r="SEO667" s="112"/>
      <c r="SEP667" s="112"/>
      <c r="SEQ667" s="112"/>
      <c r="SER667" s="112"/>
      <c r="SES667" s="112"/>
      <c r="SET667" s="112"/>
      <c r="SEU667" s="112"/>
      <c r="SEV667" s="112"/>
      <c r="SEW667" s="112"/>
      <c r="SEX667" s="112"/>
      <c r="SEY667" s="112"/>
      <c r="SEZ667" s="112"/>
      <c r="SFA667" s="112"/>
      <c r="SFB667" s="112"/>
      <c r="SFC667" s="112"/>
      <c r="SFD667" s="112"/>
      <c r="SFE667" s="112"/>
      <c r="SFF667" s="112"/>
      <c r="SFG667" s="112"/>
      <c r="SFH667" s="112"/>
      <c r="SFI667" s="112"/>
      <c r="SFJ667" s="112"/>
      <c r="SFK667" s="112"/>
      <c r="SFL667" s="112"/>
      <c r="SFM667" s="112"/>
      <c r="SFN667" s="112"/>
      <c r="SFO667" s="112"/>
      <c r="SFP667" s="112"/>
      <c r="SFQ667" s="112"/>
      <c r="SFR667" s="112"/>
      <c r="SFS667" s="112"/>
      <c r="SFT667" s="112"/>
      <c r="SFU667" s="112"/>
      <c r="SFV667" s="112"/>
      <c r="SFW667" s="112"/>
      <c r="SFX667" s="112"/>
      <c r="SFY667" s="112"/>
      <c r="SFZ667" s="112"/>
      <c r="SGA667" s="112"/>
      <c r="SGB667" s="112"/>
      <c r="SGC667" s="112"/>
      <c r="SGD667" s="112"/>
      <c r="SGE667" s="112"/>
      <c r="SGF667" s="112"/>
      <c r="SGG667" s="112"/>
      <c r="SGH667" s="112"/>
      <c r="SGI667" s="112"/>
      <c r="SGJ667" s="112"/>
      <c r="SGK667" s="112"/>
      <c r="SGL667" s="112"/>
      <c r="SGM667" s="112"/>
      <c r="SGN667" s="112"/>
      <c r="SGO667" s="112"/>
      <c r="SGP667" s="112"/>
      <c r="SGQ667" s="112"/>
      <c r="SGR667" s="112"/>
      <c r="SGS667" s="112"/>
      <c r="SGT667" s="112"/>
      <c r="SGU667" s="112"/>
      <c r="SGV667" s="112"/>
      <c r="SGW667" s="112"/>
      <c r="SGX667" s="112"/>
      <c r="SGY667" s="112"/>
      <c r="SGZ667" s="112"/>
      <c r="SHA667" s="112"/>
      <c r="SHB667" s="112"/>
      <c r="SHC667" s="112"/>
      <c r="SHD667" s="112"/>
      <c r="SHE667" s="112"/>
      <c r="SHF667" s="112"/>
      <c r="SHG667" s="112"/>
      <c r="SHH667" s="112"/>
      <c r="SHI667" s="112"/>
      <c r="SHJ667" s="112"/>
      <c r="SHK667" s="112"/>
      <c r="SHL667" s="112"/>
      <c r="SHM667" s="112"/>
      <c r="SHN667" s="112"/>
      <c r="SHO667" s="112"/>
      <c r="SHP667" s="112"/>
      <c r="SHQ667" s="112"/>
      <c r="SHR667" s="112"/>
      <c r="SHS667" s="112"/>
      <c r="SHT667" s="112"/>
      <c r="SHU667" s="112"/>
      <c r="SHV667" s="112"/>
      <c r="SHW667" s="112"/>
      <c r="SHX667" s="112"/>
      <c r="SHY667" s="112"/>
      <c r="SHZ667" s="112"/>
      <c r="SIA667" s="112"/>
      <c r="SIB667" s="112"/>
      <c r="SIC667" s="112"/>
      <c r="SID667" s="112"/>
      <c r="SIE667" s="112"/>
      <c r="SIF667" s="112"/>
      <c r="SIG667" s="112"/>
      <c r="SIH667" s="112"/>
      <c r="SII667" s="112"/>
      <c r="SIJ667" s="112"/>
      <c r="SIK667" s="112"/>
      <c r="SIL667" s="112"/>
      <c r="SIM667" s="112"/>
      <c r="SIN667" s="112"/>
      <c r="SIO667" s="112"/>
      <c r="SIP667" s="112"/>
      <c r="SIQ667" s="112"/>
      <c r="SIR667" s="112"/>
      <c r="SIS667" s="112"/>
      <c r="SIT667" s="112"/>
      <c r="SIU667" s="112"/>
      <c r="SIV667" s="112"/>
      <c r="SIW667" s="112"/>
      <c r="SIX667" s="112"/>
      <c r="SIY667" s="112"/>
      <c r="SIZ667" s="112"/>
      <c r="SJA667" s="112"/>
      <c r="SJB667" s="112"/>
      <c r="SJC667" s="112"/>
      <c r="SJD667" s="112"/>
      <c r="SJE667" s="112"/>
      <c r="SJF667" s="112"/>
      <c r="SJG667" s="112"/>
      <c r="SJH667" s="112"/>
      <c r="SJI667" s="112"/>
      <c r="SJJ667" s="112"/>
      <c r="SJK667" s="112"/>
      <c r="SJL667" s="112"/>
      <c r="SJM667" s="112"/>
      <c r="SJN667" s="112"/>
      <c r="SJO667" s="112"/>
      <c r="SJP667" s="112"/>
      <c r="SJQ667" s="112"/>
      <c r="SJR667" s="112"/>
      <c r="SJS667" s="112"/>
      <c r="SJT667" s="112"/>
      <c r="SJU667" s="112"/>
      <c r="SJV667" s="112"/>
      <c r="SJW667" s="112"/>
      <c r="SJX667" s="112"/>
      <c r="SJY667" s="112"/>
      <c r="SJZ667" s="112"/>
      <c r="SKA667" s="112"/>
      <c r="SKB667" s="112"/>
      <c r="SKC667" s="112"/>
      <c r="SKD667" s="112"/>
      <c r="SKE667" s="112"/>
      <c r="SKF667" s="112"/>
      <c r="SKG667" s="112"/>
      <c r="SKH667" s="112"/>
      <c r="SKI667" s="112"/>
      <c r="SKJ667" s="112"/>
      <c r="SKK667" s="112"/>
      <c r="SKL667" s="112"/>
      <c r="SKM667" s="112"/>
      <c r="SKN667" s="112"/>
      <c r="SKO667" s="112"/>
      <c r="SKP667" s="112"/>
      <c r="SKQ667" s="112"/>
      <c r="SKR667" s="112"/>
      <c r="SKS667" s="112"/>
      <c r="SKT667" s="112"/>
      <c r="SKU667" s="112"/>
      <c r="SKV667" s="112"/>
      <c r="SKW667" s="112"/>
      <c r="SKX667" s="112"/>
      <c r="SKY667" s="112"/>
      <c r="SKZ667" s="112"/>
      <c r="SLA667" s="112"/>
      <c r="SLB667" s="112"/>
      <c r="SLC667" s="112"/>
      <c r="SLD667" s="112"/>
      <c r="SLE667" s="112"/>
      <c r="SLF667" s="112"/>
      <c r="SLG667" s="112"/>
      <c r="SLH667" s="112"/>
      <c r="SLI667" s="112"/>
      <c r="SLJ667" s="112"/>
      <c r="SLK667" s="112"/>
      <c r="SLL667" s="112"/>
      <c r="SLM667" s="112"/>
      <c r="SLN667" s="112"/>
      <c r="SLO667" s="112"/>
      <c r="SLP667" s="112"/>
      <c r="SLQ667" s="112"/>
      <c r="SLR667" s="112"/>
      <c r="SLS667" s="112"/>
      <c r="SLT667" s="112"/>
      <c r="SLU667" s="112"/>
      <c r="SLV667" s="112"/>
      <c r="SLW667" s="112"/>
      <c r="SLX667" s="112"/>
      <c r="SLY667" s="112"/>
      <c r="SLZ667" s="112"/>
      <c r="SMA667" s="112"/>
      <c r="SMB667" s="112"/>
      <c r="SMC667" s="112"/>
      <c r="SMD667" s="112"/>
      <c r="SME667" s="112"/>
      <c r="SMF667" s="112"/>
      <c r="SMG667" s="112"/>
      <c r="SMH667" s="112"/>
      <c r="SMI667" s="112"/>
      <c r="SMJ667" s="112"/>
      <c r="SMK667" s="112"/>
      <c r="SML667" s="112"/>
      <c r="SMM667" s="112"/>
      <c r="SMN667" s="112"/>
      <c r="SMO667" s="112"/>
      <c r="SMP667" s="112"/>
      <c r="SMQ667" s="112"/>
      <c r="SMR667" s="112"/>
      <c r="SMS667" s="112"/>
      <c r="SMT667" s="112"/>
      <c r="SMU667" s="112"/>
      <c r="SMV667" s="112"/>
      <c r="SMW667" s="112"/>
      <c r="SMX667" s="112"/>
      <c r="SMY667" s="112"/>
      <c r="SMZ667" s="112"/>
      <c r="SNA667" s="112"/>
      <c r="SNB667" s="112"/>
      <c r="SNC667" s="112"/>
      <c r="SND667" s="112"/>
      <c r="SNE667" s="112"/>
      <c r="SNF667" s="112"/>
      <c r="SNG667" s="112"/>
      <c r="SNH667" s="112"/>
      <c r="SNI667" s="112"/>
      <c r="SNJ667" s="112"/>
      <c r="SNK667" s="112"/>
      <c r="SNL667" s="112"/>
      <c r="SNM667" s="112"/>
      <c r="SNN667" s="112"/>
      <c r="SNO667" s="112"/>
      <c r="SNP667" s="112"/>
      <c r="SNQ667" s="112"/>
      <c r="SNR667" s="112"/>
      <c r="SNS667" s="112"/>
      <c r="SNT667" s="112"/>
      <c r="SNU667" s="112"/>
      <c r="SNV667" s="112"/>
      <c r="SNW667" s="112"/>
      <c r="SNX667" s="112"/>
      <c r="SNY667" s="112"/>
      <c r="SNZ667" s="112"/>
      <c r="SOA667" s="112"/>
      <c r="SOB667" s="112"/>
      <c r="SOC667" s="112"/>
      <c r="SOD667" s="112"/>
      <c r="SOE667" s="112"/>
      <c r="SOF667" s="112"/>
      <c r="SOG667" s="112"/>
      <c r="SOH667" s="112"/>
      <c r="SOI667" s="112"/>
      <c r="SOJ667" s="112"/>
      <c r="SOK667" s="112"/>
      <c r="SOL667" s="112"/>
      <c r="SOM667" s="112"/>
      <c r="SON667" s="112"/>
      <c r="SOO667" s="112"/>
      <c r="SOP667" s="112"/>
      <c r="SOQ667" s="112"/>
      <c r="SOR667" s="112"/>
      <c r="SOS667" s="112"/>
      <c r="SOT667" s="112"/>
      <c r="SOU667" s="112"/>
      <c r="SOV667" s="112"/>
      <c r="SOW667" s="112"/>
      <c r="SOX667" s="112"/>
      <c r="SOY667" s="112"/>
      <c r="SOZ667" s="112"/>
      <c r="SPA667" s="112"/>
      <c r="SPB667" s="112"/>
      <c r="SPC667" s="112"/>
      <c r="SPD667" s="112"/>
      <c r="SPE667" s="112"/>
      <c r="SPF667" s="112"/>
      <c r="SPG667" s="112"/>
      <c r="SPH667" s="112"/>
      <c r="SPI667" s="112"/>
      <c r="SPJ667" s="112"/>
      <c r="SPK667" s="112"/>
      <c r="SPL667" s="112"/>
      <c r="SPM667" s="112"/>
      <c r="SPN667" s="112"/>
      <c r="SPO667" s="112"/>
      <c r="SPP667" s="112"/>
      <c r="SPQ667" s="112"/>
      <c r="SPR667" s="112"/>
      <c r="SPS667" s="112"/>
      <c r="SPT667" s="112"/>
      <c r="SPU667" s="112"/>
      <c r="SPV667" s="112"/>
      <c r="SPW667" s="112"/>
      <c r="SPX667" s="112"/>
      <c r="SPY667" s="112"/>
      <c r="SPZ667" s="112"/>
      <c r="SQA667" s="112"/>
      <c r="SQB667" s="112"/>
      <c r="SQC667" s="112"/>
      <c r="SQD667" s="112"/>
      <c r="SQE667" s="112"/>
      <c r="SQF667" s="112"/>
      <c r="SQG667" s="112"/>
      <c r="SQH667" s="112"/>
      <c r="SQI667" s="112"/>
      <c r="SQJ667" s="112"/>
      <c r="SQK667" s="112"/>
      <c r="SQL667" s="112"/>
      <c r="SQM667" s="112"/>
      <c r="SQN667" s="112"/>
      <c r="SQO667" s="112"/>
      <c r="SQP667" s="112"/>
      <c r="SQQ667" s="112"/>
      <c r="SQR667" s="112"/>
      <c r="SQS667" s="112"/>
      <c r="SQT667" s="112"/>
      <c r="SQU667" s="112"/>
      <c r="SQV667" s="112"/>
      <c r="SQW667" s="112"/>
      <c r="SQX667" s="112"/>
      <c r="SQY667" s="112"/>
      <c r="SQZ667" s="112"/>
      <c r="SRA667" s="112"/>
      <c r="SRB667" s="112"/>
      <c r="SRC667" s="112"/>
      <c r="SRD667" s="112"/>
      <c r="SRE667" s="112"/>
      <c r="SRF667" s="112"/>
      <c r="SRG667" s="112"/>
      <c r="SRH667" s="112"/>
      <c r="SRI667" s="112"/>
      <c r="SRJ667" s="112"/>
      <c r="SRK667" s="112"/>
      <c r="SRL667" s="112"/>
      <c r="SRM667" s="112"/>
      <c r="SRN667" s="112"/>
      <c r="SRO667" s="112"/>
      <c r="SRP667" s="112"/>
      <c r="SRQ667" s="112"/>
      <c r="SRR667" s="112"/>
      <c r="SRS667" s="112"/>
      <c r="SRT667" s="112"/>
      <c r="SRU667" s="112"/>
      <c r="SRV667" s="112"/>
      <c r="SRW667" s="112"/>
      <c r="SRX667" s="112"/>
      <c r="SRY667" s="112"/>
      <c r="SRZ667" s="112"/>
      <c r="SSA667" s="112"/>
      <c r="SSB667" s="112"/>
      <c r="SSC667" s="112"/>
      <c r="SSD667" s="112"/>
      <c r="SSE667" s="112"/>
      <c r="SSF667" s="112"/>
      <c r="SSG667" s="112"/>
      <c r="SSH667" s="112"/>
      <c r="SSI667" s="112"/>
      <c r="SSJ667" s="112"/>
      <c r="SSK667" s="112"/>
      <c r="SSL667" s="112"/>
      <c r="SSM667" s="112"/>
      <c r="SSN667" s="112"/>
      <c r="SSO667" s="112"/>
      <c r="SSP667" s="112"/>
      <c r="SSQ667" s="112"/>
      <c r="SSR667" s="112"/>
      <c r="SSS667" s="112"/>
      <c r="SST667" s="112"/>
      <c r="SSU667" s="112"/>
      <c r="SSV667" s="112"/>
      <c r="SSW667" s="112"/>
      <c r="SSX667" s="112"/>
      <c r="SSY667" s="112"/>
      <c r="SSZ667" s="112"/>
      <c r="STA667" s="112"/>
      <c r="STB667" s="112"/>
      <c r="STC667" s="112"/>
      <c r="STD667" s="112"/>
      <c r="STE667" s="112"/>
      <c r="STF667" s="112"/>
      <c r="STG667" s="112"/>
      <c r="STH667" s="112"/>
      <c r="STI667" s="112"/>
      <c r="STJ667" s="112"/>
      <c r="STK667" s="112"/>
      <c r="STL667" s="112"/>
      <c r="STM667" s="112"/>
      <c r="STN667" s="112"/>
      <c r="STO667" s="112"/>
      <c r="STP667" s="112"/>
      <c r="STQ667" s="112"/>
      <c r="STR667" s="112"/>
      <c r="STS667" s="112"/>
      <c r="STT667" s="112"/>
      <c r="STU667" s="112"/>
      <c r="STV667" s="112"/>
      <c r="STW667" s="112"/>
      <c r="STX667" s="112"/>
      <c r="STY667" s="112"/>
      <c r="STZ667" s="112"/>
      <c r="SUA667" s="112"/>
      <c r="SUB667" s="112"/>
      <c r="SUC667" s="112"/>
      <c r="SUD667" s="112"/>
      <c r="SUE667" s="112"/>
      <c r="SUF667" s="112"/>
      <c r="SUG667" s="112"/>
      <c r="SUH667" s="112"/>
      <c r="SUI667" s="112"/>
      <c r="SUJ667" s="112"/>
      <c r="SUK667" s="112"/>
      <c r="SUL667" s="112"/>
      <c r="SUM667" s="112"/>
      <c r="SUN667" s="112"/>
      <c r="SUO667" s="112"/>
      <c r="SUP667" s="112"/>
      <c r="SUQ667" s="112"/>
      <c r="SUR667" s="112"/>
      <c r="SUS667" s="112"/>
      <c r="SUT667" s="112"/>
      <c r="SUU667" s="112"/>
      <c r="SUV667" s="112"/>
      <c r="SUW667" s="112"/>
      <c r="SUX667" s="112"/>
      <c r="SUY667" s="112"/>
      <c r="SUZ667" s="112"/>
      <c r="SVA667" s="112"/>
      <c r="SVB667" s="112"/>
      <c r="SVC667" s="112"/>
      <c r="SVD667" s="112"/>
      <c r="SVE667" s="112"/>
      <c r="SVF667" s="112"/>
      <c r="SVG667" s="112"/>
      <c r="SVH667" s="112"/>
      <c r="SVI667" s="112"/>
      <c r="SVJ667" s="112"/>
      <c r="SVK667" s="112"/>
      <c r="SVL667" s="112"/>
      <c r="SVM667" s="112"/>
      <c r="SVN667" s="112"/>
      <c r="SVO667" s="112"/>
      <c r="SVP667" s="112"/>
      <c r="SVQ667" s="112"/>
      <c r="SVR667" s="112"/>
      <c r="SVS667" s="112"/>
      <c r="SVT667" s="112"/>
      <c r="SVU667" s="112"/>
      <c r="SVV667" s="112"/>
      <c r="SVW667" s="112"/>
      <c r="SVX667" s="112"/>
      <c r="SVY667" s="112"/>
      <c r="SVZ667" s="112"/>
      <c r="SWA667" s="112"/>
      <c r="SWB667" s="112"/>
      <c r="SWC667" s="112"/>
      <c r="SWD667" s="112"/>
      <c r="SWE667" s="112"/>
      <c r="SWF667" s="112"/>
      <c r="SWG667" s="112"/>
      <c r="SWH667" s="112"/>
      <c r="SWI667" s="112"/>
      <c r="SWJ667" s="112"/>
      <c r="SWK667" s="112"/>
      <c r="SWL667" s="112"/>
      <c r="SWM667" s="112"/>
      <c r="SWN667" s="112"/>
      <c r="SWO667" s="112"/>
      <c r="SWP667" s="112"/>
      <c r="SWQ667" s="112"/>
      <c r="SWR667" s="112"/>
      <c r="SWS667" s="112"/>
      <c r="SWT667" s="112"/>
      <c r="SWU667" s="112"/>
      <c r="SWV667" s="112"/>
      <c r="SWW667" s="112"/>
      <c r="SWX667" s="112"/>
      <c r="SWY667" s="112"/>
      <c r="SWZ667" s="112"/>
      <c r="SXA667" s="112"/>
      <c r="SXB667" s="112"/>
      <c r="SXC667" s="112"/>
      <c r="SXD667" s="112"/>
      <c r="SXE667" s="112"/>
      <c r="SXF667" s="112"/>
      <c r="SXG667" s="112"/>
      <c r="SXH667" s="112"/>
      <c r="SXI667" s="112"/>
      <c r="SXJ667" s="112"/>
      <c r="SXK667" s="112"/>
      <c r="SXL667" s="112"/>
      <c r="SXM667" s="112"/>
      <c r="SXN667" s="112"/>
      <c r="SXO667" s="112"/>
      <c r="SXP667" s="112"/>
      <c r="SXQ667" s="112"/>
      <c r="SXR667" s="112"/>
      <c r="SXS667" s="112"/>
      <c r="SXT667" s="112"/>
      <c r="SXU667" s="112"/>
      <c r="SXV667" s="112"/>
      <c r="SXW667" s="112"/>
      <c r="SXX667" s="112"/>
      <c r="SXY667" s="112"/>
      <c r="SXZ667" s="112"/>
      <c r="SYA667" s="112"/>
      <c r="SYB667" s="112"/>
      <c r="SYC667" s="112"/>
      <c r="SYD667" s="112"/>
      <c r="SYE667" s="112"/>
      <c r="SYF667" s="112"/>
      <c r="SYG667" s="112"/>
      <c r="SYH667" s="112"/>
      <c r="SYI667" s="112"/>
      <c r="SYJ667" s="112"/>
      <c r="SYK667" s="112"/>
      <c r="SYL667" s="112"/>
      <c r="SYM667" s="112"/>
      <c r="SYN667" s="112"/>
      <c r="SYO667" s="112"/>
      <c r="SYP667" s="112"/>
      <c r="SYQ667" s="112"/>
      <c r="SYR667" s="112"/>
      <c r="SYS667" s="112"/>
      <c r="SYT667" s="112"/>
      <c r="SYU667" s="112"/>
      <c r="SYV667" s="112"/>
      <c r="SYW667" s="112"/>
      <c r="SYX667" s="112"/>
      <c r="SYY667" s="112"/>
      <c r="SYZ667" s="112"/>
      <c r="SZA667" s="112"/>
      <c r="SZB667" s="112"/>
      <c r="SZC667" s="112"/>
      <c r="SZD667" s="112"/>
      <c r="SZE667" s="112"/>
      <c r="SZF667" s="112"/>
      <c r="SZG667" s="112"/>
      <c r="SZH667" s="112"/>
      <c r="SZI667" s="112"/>
      <c r="SZJ667" s="112"/>
      <c r="SZK667" s="112"/>
      <c r="SZL667" s="112"/>
      <c r="SZM667" s="112"/>
      <c r="SZN667" s="112"/>
      <c r="SZO667" s="112"/>
      <c r="SZP667" s="112"/>
      <c r="SZQ667" s="112"/>
      <c r="SZR667" s="112"/>
      <c r="SZS667" s="112"/>
      <c r="SZT667" s="112"/>
      <c r="SZU667" s="112"/>
      <c r="SZV667" s="112"/>
      <c r="SZW667" s="112"/>
      <c r="SZX667" s="112"/>
      <c r="SZY667" s="112"/>
      <c r="SZZ667" s="112"/>
      <c r="TAA667" s="112"/>
      <c r="TAB667" s="112"/>
      <c r="TAC667" s="112"/>
      <c r="TAD667" s="112"/>
      <c r="TAE667" s="112"/>
      <c r="TAF667" s="112"/>
      <c r="TAG667" s="112"/>
      <c r="TAH667" s="112"/>
      <c r="TAI667" s="112"/>
      <c r="TAJ667" s="112"/>
      <c r="TAK667" s="112"/>
      <c r="TAL667" s="112"/>
      <c r="TAM667" s="112"/>
      <c r="TAN667" s="112"/>
      <c r="TAO667" s="112"/>
      <c r="TAP667" s="112"/>
      <c r="TAQ667" s="112"/>
      <c r="TAR667" s="112"/>
      <c r="TAS667" s="112"/>
      <c r="TAT667" s="112"/>
      <c r="TAU667" s="112"/>
      <c r="TAV667" s="112"/>
      <c r="TAW667" s="112"/>
      <c r="TAX667" s="112"/>
      <c r="TAY667" s="112"/>
      <c r="TAZ667" s="112"/>
      <c r="TBA667" s="112"/>
      <c r="TBB667" s="112"/>
      <c r="TBC667" s="112"/>
      <c r="TBD667" s="112"/>
      <c r="TBE667" s="112"/>
      <c r="TBF667" s="112"/>
      <c r="TBG667" s="112"/>
      <c r="TBH667" s="112"/>
      <c r="TBI667" s="112"/>
      <c r="TBJ667" s="112"/>
      <c r="TBK667" s="112"/>
      <c r="TBL667" s="112"/>
      <c r="TBM667" s="112"/>
      <c r="TBN667" s="112"/>
      <c r="TBO667" s="112"/>
      <c r="TBP667" s="112"/>
      <c r="TBQ667" s="112"/>
      <c r="TBR667" s="112"/>
      <c r="TBS667" s="112"/>
      <c r="TBT667" s="112"/>
      <c r="TBU667" s="112"/>
      <c r="TBV667" s="112"/>
      <c r="TBW667" s="112"/>
      <c r="TBX667" s="112"/>
      <c r="TBY667" s="112"/>
      <c r="TBZ667" s="112"/>
      <c r="TCA667" s="112"/>
      <c r="TCB667" s="112"/>
      <c r="TCC667" s="112"/>
      <c r="TCD667" s="112"/>
      <c r="TCE667" s="112"/>
      <c r="TCF667" s="112"/>
      <c r="TCG667" s="112"/>
      <c r="TCH667" s="112"/>
      <c r="TCI667" s="112"/>
      <c r="TCJ667" s="112"/>
      <c r="TCK667" s="112"/>
      <c r="TCL667" s="112"/>
      <c r="TCM667" s="112"/>
      <c r="TCN667" s="112"/>
      <c r="TCO667" s="112"/>
      <c r="TCP667" s="112"/>
      <c r="TCQ667" s="112"/>
      <c r="TCR667" s="112"/>
      <c r="TCS667" s="112"/>
      <c r="TCT667" s="112"/>
      <c r="TCU667" s="112"/>
      <c r="TCV667" s="112"/>
      <c r="TCW667" s="112"/>
      <c r="TCX667" s="112"/>
      <c r="TCY667" s="112"/>
      <c r="TCZ667" s="112"/>
      <c r="TDA667" s="112"/>
      <c r="TDB667" s="112"/>
      <c r="TDC667" s="112"/>
      <c r="TDD667" s="112"/>
      <c r="TDE667" s="112"/>
      <c r="TDF667" s="112"/>
      <c r="TDG667" s="112"/>
      <c r="TDH667" s="112"/>
      <c r="TDI667" s="112"/>
      <c r="TDJ667" s="112"/>
      <c r="TDK667" s="112"/>
      <c r="TDL667" s="112"/>
      <c r="TDM667" s="112"/>
      <c r="TDN667" s="112"/>
      <c r="TDO667" s="112"/>
      <c r="TDP667" s="112"/>
      <c r="TDQ667" s="112"/>
      <c r="TDR667" s="112"/>
      <c r="TDS667" s="112"/>
      <c r="TDT667" s="112"/>
      <c r="TDU667" s="112"/>
      <c r="TDV667" s="112"/>
      <c r="TDW667" s="112"/>
      <c r="TDX667" s="112"/>
      <c r="TDY667" s="112"/>
      <c r="TDZ667" s="112"/>
      <c r="TEA667" s="112"/>
      <c r="TEB667" s="112"/>
      <c r="TEC667" s="112"/>
      <c r="TED667" s="112"/>
      <c r="TEE667" s="112"/>
      <c r="TEF667" s="112"/>
      <c r="TEG667" s="112"/>
      <c r="TEH667" s="112"/>
      <c r="TEI667" s="112"/>
      <c r="TEJ667" s="112"/>
      <c r="TEK667" s="112"/>
      <c r="TEL667" s="112"/>
      <c r="TEM667" s="112"/>
      <c r="TEN667" s="112"/>
      <c r="TEO667" s="112"/>
      <c r="TEP667" s="112"/>
      <c r="TEQ667" s="112"/>
      <c r="TER667" s="112"/>
      <c r="TES667" s="112"/>
      <c r="TET667" s="112"/>
      <c r="TEU667" s="112"/>
      <c r="TEV667" s="112"/>
      <c r="TEW667" s="112"/>
      <c r="TEX667" s="112"/>
      <c r="TEY667" s="112"/>
      <c r="TEZ667" s="112"/>
      <c r="TFA667" s="112"/>
      <c r="TFB667" s="112"/>
      <c r="TFC667" s="112"/>
      <c r="TFD667" s="112"/>
      <c r="TFE667" s="112"/>
      <c r="TFF667" s="112"/>
      <c r="TFG667" s="112"/>
      <c r="TFH667" s="112"/>
      <c r="TFI667" s="112"/>
      <c r="TFJ667" s="112"/>
      <c r="TFK667" s="112"/>
      <c r="TFL667" s="112"/>
      <c r="TFM667" s="112"/>
      <c r="TFN667" s="112"/>
      <c r="TFO667" s="112"/>
      <c r="TFP667" s="112"/>
      <c r="TFQ667" s="112"/>
      <c r="TFR667" s="112"/>
      <c r="TFS667" s="112"/>
      <c r="TFT667" s="112"/>
      <c r="TFU667" s="112"/>
      <c r="TFV667" s="112"/>
      <c r="TFW667" s="112"/>
      <c r="TFX667" s="112"/>
      <c r="TFY667" s="112"/>
      <c r="TFZ667" s="112"/>
      <c r="TGA667" s="112"/>
      <c r="TGB667" s="112"/>
      <c r="TGC667" s="112"/>
      <c r="TGD667" s="112"/>
      <c r="TGE667" s="112"/>
      <c r="TGF667" s="112"/>
      <c r="TGG667" s="112"/>
      <c r="TGH667" s="112"/>
      <c r="TGI667" s="112"/>
      <c r="TGJ667" s="112"/>
      <c r="TGK667" s="112"/>
      <c r="TGL667" s="112"/>
      <c r="TGM667" s="112"/>
      <c r="TGN667" s="112"/>
      <c r="TGO667" s="112"/>
      <c r="TGP667" s="112"/>
      <c r="TGQ667" s="112"/>
      <c r="TGR667" s="112"/>
      <c r="TGS667" s="112"/>
      <c r="TGT667" s="112"/>
      <c r="TGU667" s="112"/>
      <c r="TGV667" s="112"/>
      <c r="TGW667" s="112"/>
      <c r="TGX667" s="112"/>
      <c r="TGY667" s="112"/>
      <c r="TGZ667" s="112"/>
      <c r="THA667" s="112"/>
      <c r="THB667" s="112"/>
      <c r="THC667" s="112"/>
      <c r="THD667" s="112"/>
      <c r="THE667" s="112"/>
      <c r="THF667" s="112"/>
      <c r="THG667" s="112"/>
      <c r="THH667" s="112"/>
      <c r="THI667" s="112"/>
      <c r="THJ667" s="112"/>
      <c r="THK667" s="112"/>
      <c r="THL667" s="112"/>
      <c r="THM667" s="112"/>
      <c r="THN667" s="112"/>
      <c r="THO667" s="112"/>
      <c r="THP667" s="112"/>
      <c r="THQ667" s="112"/>
      <c r="THR667" s="112"/>
      <c r="THS667" s="112"/>
      <c r="THT667" s="112"/>
      <c r="THU667" s="112"/>
      <c r="THV667" s="112"/>
      <c r="THW667" s="112"/>
      <c r="THX667" s="112"/>
      <c r="THY667" s="112"/>
      <c r="THZ667" s="112"/>
      <c r="TIA667" s="112"/>
      <c r="TIB667" s="112"/>
      <c r="TIC667" s="112"/>
      <c r="TID667" s="112"/>
      <c r="TIE667" s="112"/>
      <c r="TIF667" s="112"/>
      <c r="TIG667" s="112"/>
      <c r="TIH667" s="112"/>
      <c r="TII667" s="112"/>
      <c r="TIJ667" s="112"/>
      <c r="TIK667" s="112"/>
      <c r="TIL667" s="112"/>
      <c r="TIM667" s="112"/>
      <c r="TIN667" s="112"/>
      <c r="TIO667" s="112"/>
      <c r="TIP667" s="112"/>
      <c r="TIQ667" s="112"/>
      <c r="TIR667" s="112"/>
      <c r="TIS667" s="112"/>
      <c r="TIT667" s="112"/>
      <c r="TIU667" s="112"/>
      <c r="TIV667" s="112"/>
      <c r="TIW667" s="112"/>
      <c r="TIX667" s="112"/>
      <c r="TIY667" s="112"/>
      <c r="TIZ667" s="112"/>
      <c r="TJA667" s="112"/>
      <c r="TJB667" s="112"/>
      <c r="TJC667" s="112"/>
      <c r="TJD667" s="112"/>
      <c r="TJE667" s="112"/>
      <c r="TJF667" s="112"/>
      <c r="TJG667" s="112"/>
      <c r="TJH667" s="112"/>
      <c r="TJI667" s="112"/>
      <c r="TJJ667" s="112"/>
      <c r="TJK667" s="112"/>
      <c r="TJL667" s="112"/>
      <c r="TJM667" s="112"/>
      <c r="TJN667" s="112"/>
      <c r="TJO667" s="112"/>
      <c r="TJP667" s="112"/>
      <c r="TJQ667" s="112"/>
      <c r="TJR667" s="112"/>
      <c r="TJS667" s="112"/>
      <c r="TJT667" s="112"/>
      <c r="TJU667" s="112"/>
      <c r="TJV667" s="112"/>
      <c r="TJW667" s="112"/>
      <c r="TJX667" s="112"/>
      <c r="TJY667" s="112"/>
      <c r="TJZ667" s="112"/>
      <c r="TKA667" s="112"/>
      <c r="TKB667" s="112"/>
      <c r="TKC667" s="112"/>
      <c r="TKD667" s="112"/>
      <c r="TKE667" s="112"/>
      <c r="TKF667" s="112"/>
      <c r="TKG667" s="112"/>
      <c r="TKH667" s="112"/>
      <c r="TKI667" s="112"/>
      <c r="TKJ667" s="112"/>
      <c r="TKK667" s="112"/>
      <c r="TKL667" s="112"/>
      <c r="TKM667" s="112"/>
      <c r="TKN667" s="112"/>
      <c r="TKO667" s="112"/>
      <c r="TKP667" s="112"/>
      <c r="TKQ667" s="112"/>
      <c r="TKR667" s="112"/>
      <c r="TKS667" s="112"/>
      <c r="TKT667" s="112"/>
      <c r="TKU667" s="112"/>
      <c r="TKV667" s="112"/>
      <c r="TKW667" s="112"/>
      <c r="TKX667" s="112"/>
      <c r="TKY667" s="112"/>
      <c r="TKZ667" s="112"/>
      <c r="TLA667" s="112"/>
      <c r="TLB667" s="112"/>
      <c r="TLC667" s="112"/>
      <c r="TLD667" s="112"/>
      <c r="TLE667" s="112"/>
      <c r="TLF667" s="112"/>
      <c r="TLG667" s="112"/>
      <c r="TLH667" s="112"/>
      <c r="TLI667" s="112"/>
      <c r="TLJ667" s="112"/>
      <c r="TLK667" s="112"/>
      <c r="TLL667" s="112"/>
      <c r="TLM667" s="112"/>
      <c r="TLN667" s="112"/>
      <c r="TLO667" s="112"/>
      <c r="TLP667" s="112"/>
      <c r="TLQ667" s="112"/>
      <c r="TLR667" s="112"/>
      <c r="TLS667" s="112"/>
      <c r="TLT667" s="112"/>
      <c r="TLU667" s="112"/>
      <c r="TLV667" s="112"/>
      <c r="TLW667" s="112"/>
      <c r="TLX667" s="112"/>
      <c r="TLY667" s="112"/>
      <c r="TLZ667" s="112"/>
      <c r="TMA667" s="112"/>
      <c r="TMB667" s="112"/>
      <c r="TMC667" s="112"/>
      <c r="TMD667" s="112"/>
      <c r="TME667" s="112"/>
      <c r="TMF667" s="112"/>
      <c r="TMG667" s="112"/>
      <c r="TMH667" s="112"/>
      <c r="TMI667" s="112"/>
      <c r="TMJ667" s="112"/>
      <c r="TMK667" s="112"/>
      <c r="TML667" s="112"/>
      <c r="TMM667" s="112"/>
      <c r="TMN667" s="112"/>
      <c r="TMO667" s="112"/>
      <c r="TMP667" s="112"/>
      <c r="TMQ667" s="112"/>
      <c r="TMR667" s="112"/>
      <c r="TMS667" s="112"/>
      <c r="TMT667" s="112"/>
      <c r="TMU667" s="112"/>
      <c r="TMV667" s="112"/>
      <c r="TMW667" s="112"/>
      <c r="TMX667" s="112"/>
      <c r="TMY667" s="112"/>
      <c r="TMZ667" s="112"/>
      <c r="TNA667" s="112"/>
      <c r="TNB667" s="112"/>
      <c r="TNC667" s="112"/>
      <c r="TND667" s="112"/>
      <c r="TNE667" s="112"/>
      <c r="TNF667" s="112"/>
      <c r="TNG667" s="112"/>
      <c r="TNH667" s="112"/>
      <c r="TNI667" s="112"/>
      <c r="TNJ667" s="112"/>
      <c r="TNK667" s="112"/>
      <c r="TNL667" s="112"/>
      <c r="TNM667" s="112"/>
      <c r="TNN667" s="112"/>
      <c r="TNO667" s="112"/>
      <c r="TNP667" s="112"/>
      <c r="TNQ667" s="112"/>
      <c r="TNR667" s="112"/>
      <c r="TNS667" s="112"/>
      <c r="TNT667" s="112"/>
      <c r="TNU667" s="112"/>
      <c r="TNV667" s="112"/>
      <c r="TNW667" s="112"/>
      <c r="TNX667" s="112"/>
      <c r="TNY667" s="112"/>
      <c r="TNZ667" s="112"/>
      <c r="TOA667" s="112"/>
      <c r="TOB667" s="112"/>
      <c r="TOC667" s="112"/>
      <c r="TOD667" s="112"/>
      <c r="TOE667" s="112"/>
      <c r="TOF667" s="112"/>
      <c r="TOG667" s="112"/>
      <c r="TOH667" s="112"/>
      <c r="TOI667" s="112"/>
      <c r="TOJ667" s="112"/>
      <c r="TOK667" s="112"/>
      <c r="TOL667" s="112"/>
      <c r="TOM667" s="112"/>
      <c r="TON667" s="112"/>
      <c r="TOO667" s="112"/>
      <c r="TOP667" s="112"/>
      <c r="TOQ667" s="112"/>
      <c r="TOR667" s="112"/>
      <c r="TOS667" s="112"/>
      <c r="TOT667" s="112"/>
      <c r="TOU667" s="112"/>
      <c r="TOV667" s="112"/>
      <c r="TOW667" s="112"/>
      <c r="TOX667" s="112"/>
      <c r="TOY667" s="112"/>
      <c r="TOZ667" s="112"/>
      <c r="TPA667" s="112"/>
      <c r="TPB667" s="112"/>
      <c r="TPC667" s="112"/>
      <c r="TPD667" s="112"/>
      <c r="TPE667" s="112"/>
      <c r="TPF667" s="112"/>
      <c r="TPG667" s="112"/>
      <c r="TPH667" s="112"/>
      <c r="TPI667" s="112"/>
      <c r="TPJ667" s="112"/>
      <c r="TPK667" s="112"/>
      <c r="TPL667" s="112"/>
      <c r="TPM667" s="112"/>
      <c r="TPN667" s="112"/>
      <c r="TPO667" s="112"/>
      <c r="TPP667" s="112"/>
      <c r="TPQ667" s="112"/>
      <c r="TPR667" s="112"/>
      <c r="TPS667" s="112"/>
      <c r="TPT667" s="112"/>
      <c r="TPU667" s="112"/>
      <c r="TPV667" s="112"/>
      <c r="TPW667" s="112"/>
      <c r="TPX667" s="112"/>
      <c r="TPY667" s="112"/>
      <c r="TPZ667" s="112"/>
      <c r="TQA667" s="112"/>
      <c r="TQB667" s="112"/>
      <c r="TQC667" s="112"/>
      <c r="TQD667" s="112"/>
      <c r="TQE667" s="112"/>
      <c r="TQF667" s="112"/>
      <c r="TQG667" s="112"/>
      <c r="TQH667" s="112"/>
      <c r="TQI667" s="112"/>
      <c r="TQJ667" s="112"/>
      <c r="TQK667" s="112"/>
      <c r="TQL667" s="112"/>
      <c r="TQM667" s="112"/>
      <c r="TQN667" s="112"/>
      <c r="TQO667" s="112"/>
      <c r="TQP667" s="112"/>
      <c r="TQQ667" s="112"/>
      <c r="TQR667" s="112"/>
      <c r="TQS667" s="112"/>
      <c r="TQT667" s="112"/>
      <c r="TQU667" s="112"/>
      <c r="TQV667" s="112"/>
      <c r="TQW667" s="112"/>
      <c r="TQX667" s="112"/>
      <c r="TQY667" s="112"/>
      <c r="TQZ667" s="112"/>
      <c r="TRA667" s="112"/>
      <c r="TRB667" s="112"/>
      <c r="TRC667" s="112"/>
      <c r="TRD667" s="112"/>
      <c r="TRE667" s="112"/>
      <c r="TRF667" s="112"/>
      <c r="TRG667" s="112"/>
      <c r="TRH667" s="112"/>
      <c r="TRI667" s="112"/>
      <c r="TRJ667" s="112"/>
      <c r="TRK667" s="112"/>
      <c r="TRL667" s="112"/>
      <c r="TRM667" s="112"/>
      <c r="TRN667" s="112"/>
      <c r="TRO667" s="112"/>
      <c r="TRP667" s="112"/>
      <c r="TRQ667" s="112"/>
      <c r="TRR667" s="112"/>
      <c r="TRS667" s="112"/>
      <c r="TRT667" s="112"/>
      <c r="TRU667" s="112"/>
      <c r="TRV667" s="112"/>
      <c r="TRW667" s="112"/>
      <c r="TRX667" s="112"/>
      <c r="TRY667" s="112"/>
      <c r="TRZ667" s="112"/>
      <c r="TSA667" s="112"/>
      <c r="TSB667" s="112"/>
      <c r="TSC667" s="112"/>
      <c r="TSD667" s="112"/>
      <c r="TSE667" s="112"/>
      <c r="TSF667" s="112"/>
      <c r="TSG667" s="112"/>
      <c r="TSH667" s="112"/>
      <c r="TSI667" s="112"/>
      <c r="TSJ667" s="112"/>
      <c r="TSK667" s="112"/>
      <c r="TSL667" s="112"/>
      <c r="TSM667" s="112"/>
      <c r="TSN667" s="112"/>
      <c r="TSO667" s="112"/>
      <c r="TSP667" s="112"/>
      <c r="TSQ667" s="112"/>
      <c r="TSR667" s="112"/>
      <c r="TSS667" s="112"/>
      <c r="TST667" s="112"/>
      <c r="TSU667" s="112"/>
      <c r="TSV667" s="112"/>
      <c r="TSW667" s="112"/>
      <c r="TSX667" s="112"/>
      <c r="TSY667" s="112"/>
      <c r="TSZ667" s="112"/>
      <c r="TTA667" s="112"/>
      <c r="TTB667" s="112"/>
      <c r="TTC667" s="112"/>
      <c r="TTD667" s="112"/>
      <c r="TTE667" s="112"/>
      <c r="TTF667" s="112"/>
      <c r="TTG667" s="112"/>
      <c r="TTH667" s="112"/>
      <c r="TTI667" s="112"/>
      <c r="TTJ667" s="112"/>
      <c r="TTK667" s="112"/>
      <c r="TTL667" s="112"/>
      <c r="TTM667" s="112"/>
      <c r="TTN667" s="112"/>
      <c r="TTO667" s="112"/>
      <c r="TTP667" s="112"/>
      <c r="TTQ667" s="112"/>
      <c r="TTR667" s="112"/>
      <c r="TTS667" s="112"/>
      <c r="TTT667" s="112"/>
      <c r="TTU667" s="112"/>
      <c r="TTV667" s="112"/>
      <c r="TTW667" s="112"/>
      <c r="TTX667" s="112"/>
      <c r="TTY667" s="112"/>
      <c r="TTZ667" s="112"/>
      <c r="TUA667" s="112"/>
      <c r="TUB667" s="112"/>
      <c r="TUC667" s="112"/>
      <c r="TUD667" s="112"/>
      <c r="TUE667" s="112"/>
      <c r="TUF667" s="112"/>
      <c r="TUG667" s="112"/>
      <c r="TUH667" s="112"/>
      <c r="TUI667" s="112"/>
      <c r="TUJ667" s="112"/>
      <c r="TUK667" s="112"/>
      <c r="TUL667" s="112"/>
      <c r="TUM667" s="112"/>
      <c r="TUN667" s="112"/>
      <c r="TUO667" s="112"/>
      <c r="TUP667" s="112"/>
      <c r="TUQ667" s="112"/>
      <c r="TUR667" s="112"/>
      <c r="TUS667" s="112"/>
      <c r="TUT667" s="112"/>
      <c r="TUU667" s="112"/>
      <c r="TUV667" s="112"/>
      <c r="TUW667" s="112"/>
      <c r="TUX667" s="112"/>
      <c r="TUY667" s="112"/>
      <c r="TUZ667" s="112"/>
      <c r="TVA667" s="112"/>
      <c r="TVB667" s="112"/>
      <c r="TVC667" s="112"/>
      <c r="TVD667" s="112"/>
      <c r="TVE667" s="112"/>
      <c r="TVF667" s="112"/>
      <c r="TVG667" s="112"/>
      <c r="TVH667" s="112"/>
      <c r="TVI667" s="112"/>
      <c r="TVJ667" s="112"/>
      <c r="TVK667" s="112"/>
      <c r="TVL667" s="112"/>
      <c r="TVM667" s="112"/>
      <c r="TVN667" s="112"/>
      <c r="TVO667" s="112"/>
      <c r="TVP667" s="112"/>
      <c r="TVQ667" s="112"/>
      <c r="TVR667" s="112"/>
      <c r="TVS667" s="112"/>
      <c r="TVT667" s="112"/>
      <c r="TVU667" s="112"/>
      <c r="TVV667" s="112"/>
      <c r="TVW667" s="112"/>
      <c r="TVX667" s="112"/>
      <c r="TVY667" s="112"/>
      <c r="TVZ667" s="112"/>
      <c r="TWA667" s="112"/>
      <c r="TWB667" s="112"/>
      <c r="TWC667" s="112"/>
      <c r="TWD667" s="112"/>
      <c r="TWE667" s="112"/>
      <c r="TWF667" s="112"/>
      <c r="TWG667" s="112"/>
      <c r="TWH667" s="112"/>
      <c r="TWI667" s="112"/>
      <c r="TWJ667" s="112"/>
      <c r="TWK667" s="112"/>
      <c r="TWL667" s="112"/>
      <c r="TWM667" s="112"/>
      <c r="TWN667" s="112"/>
      <c r="TWO667" s="112"/>
      <c r="TWP667" s="112"/>
      <c r="TWQ667" s="112"/>
      <c r="TWR667" s="112"/>
      <c r="TWS667" s="112"/>
      <c r="TWT667" s="112"/>
      <c r="TWU667" s="112"/>
      <c r="TWV667" s="112"/>
      <c r="TWW667" s="112"/>
      <c r="TWX667" s="112"/>
      <c r="TWY667" s="112"/>
      <c r="TWZ667" s="112"/>
      <c r="TXA667" s="112"/>
      <c r="TXB667" s="112"/>
      <c r="TXC667" s="112"/>
      <c r="TXD667" s="112"/>
      <c r="TXE667" s="112"/>
      <c r="TXF667" s="112"/>
      <c r="TXG667" s="112"/>
      <c r="TXH667" s="112"/>
      <c r="TXI667" s="112"/>
      <c r="TXJ667" s="112"/>
      <c r="TXK667" s="112"/>
      <c r="TXL667" s="112"/>
      <c r="TXM667" s="112"/>
      <c r="TXN667" s="112"/>
      <c r="TXO667" s="112"/>
      <c r="TXP667" s="112"/>
      <c r="TXQ667" s="112"/>
      <c r="TXR667" s="112"/>
      <c r="TXS667" s="112"/>
      <c r="TXT667" s="112"/>
      <c r="TXU667" s="112"/>
      <c r="TXV667" s="112"/>
      <c r="TXW667" s="112"/>
      <c r="TXX667" s="112"/>
      <c r="TXY667" s="112"/>
      <c r="TXZ667" s="112"/>
      <c r="TYA667" s="112"/>
      <c r="TYB667" s="112"/>
      <c r="TYC667" s="112"/>
      <c r="TYD667" s="112"/>
      <c r="TYE667" s="112"/>
      <c r="TYF667" s="112"/>
      <c r="TYG667" s="112"/>
      <c r="TYH667" s="112"/>
      <c r="TYI667" s="112"/>
      <c r="TYJ667" s="112"/>
      <c r="TYK667" s="112"/>
      <c r="TYL667" s="112"/>
      <c r="TYM667" s="112"/>
      <c r="TYN667" s="112"/>
      <c r="TYO667" s="112"/>
      <c r="TYP667" s="112"/>
      <c r="TYQ667" s="112"/>
      <c r="TYR667" s="112"/>
      <c r="TYS667" s="112"/>
      <c r="TYT667" s="112"/>
      <c r="TYU667" s="112"/>
      <c r="TYV667" s="112"/>
      <c r="TYW667" s="112"/>
      <c r="TYX667" s="112"/>
      <c r="TYY667" s="112"/>
      <c r="TYZ667" s="112"/>
      <c r="TZA667" s="112"/>
      <c r="TZB667" s="112"/>
      <c r="TZC667" s="112"/>
      <c r="TZD667" s="112"/>
      <c r="TZE667" s="112"/>
      <c r="TZF667" s="112"/>
      <c r="TZG667" s="112"/>
      <c r="TZH667" s="112"/>
      <c r="TZI667" s="112"/>
      <c r="TZJ667" s="112"/>
      <c r="TZK667" s="112"/>
      <c r="TZL667" s="112"/>
      <c r="TZM667" s="112"/>
      <c r="TZN667" s="112"/>
      <c r="TZO667" s="112"/>
      <c r="TZP667" s="112"/>
      <c r="TZQ667" s="112"/>
      <c r="TZR667" s="112"/>
      <c r="TZS667" s="112"/>
      <c r="TZT667" s="112"/>
      <c r="TZU667" s="112"/>
      <c r="TZV667" s="112"/>
      <c r="TZW667" s="112"/>
      <c r="TZX667" s="112"/>
      <c r="TZY667" s="112"/>
      <c r="TZZ667" s="112"/>
      <c r="UAA667" s="112"/>
      <c r="UAB667" s="112"/>
      <c r="UAC667" s="112"/>
      <c r="UAD667" s="112"/>
      <c r="UAE667" s="112"/>
      <c r="UAF667" s="112"/>
      <c r="UAG667" s="112"/>
      <c r="UAH667" s="112"/>
      <c r="UAI667" s="112"/>
      <c r="UAJ667" s="112"/>
      <c r="UAK667" s="112"/>
      <c r="UAL667" s="112"/>
      <c r="UAM667" s="112"/>
      <c r="UAN667" s="112"/>
      <c r="UAO667" s="112"/>
      <c r="UAP667" s="112"/>
      <c r="UAQ667" s="112"/>
      <c r="UAR667" s="112"/>
      <c r="UAS667" s="112"/>
      <c r="UAT667" s="112"/>
      <c r="UAU667" s="112"/>
      <c r="UAV667" s="112"/>
      <c r="UAW667" s="112"/>
      <c r="UAX667" s="112"/>
      <c r="UAY667" s="112"/>
      <c r="UAZ667" s="112"/>
      <c r="UBA667" s="112"/>
      <c r="UBB667" s="112"/>
      <c r="UBC667" s="112"/>
      <c r="UBD667" s="112"/>
      <c r="UBE667" s="112"/>
      <c r="UBF667" s="112"/>
      <c r="UBG667" s="112"/>
      <c r="UBH667" s="112"/>
      <c r="UBI667" s="112"/>
      <c r="UBJ667" s="112"/>
      <c r="UBK667" s="112"/>
      <c r="UBL667" s="112"/>
      <c r="UBM667" s="112"/>
      <c r="UBN667" s="112"/>
      <c r="UBO667" s="112"/>
      <c r="UBP667" s="112"/>
      <c r="UBQ667" s="112"/>
      <c r="UBR667" s="112"/>
      <c r="UBS667" s="112"/>
      <c r="UBT667" s="112"/>
      <c r="UBU667" s="112"/>
      <c r="UBV667" s="112"/>
      <c r="UBW667" s="112"/>
      <c r="UBX667" s="112"/>
      <c r="UBY667" s="112"/>
      <c r="UBZ667" s="112"/>
      <c r="UCA667" s="112"/>
      <c r="UCB667" s="112"/>
      <c r="UCC667" s="112"/>
      <c r="UCD667" s="112"/>
      <c r="UCE667" s="112"/>
      <c r="UCF667" s="112"/>
      <c r="UCG667" s="112"/>
      <c r="UCH667" s="112"/>
      <c r="UCI667" s="112"/>
      <c r="UCJ667" s="112"/>
      <c r="UCK667" s="112"/>
      <c r="UCL667" s="112"/>
      <c r="UCM667" s="112"/>
      <c r="UCN667" s="112"/>
      <c r="UCO667" s="112"/>
      <c r="UCP667" s="112"/>
      <c r="UCQ667" s="112"/>
      <c r="UCR667" s="112"/>
      <c r="UCS667" s="112"/>
      <c r="UCT667" s="112"/>
      <c r="UCU667" s="112"/>
      <c r="UCV667" s="112"/>
      <c r="UCW667" s="112"/>
      <c r="UCX667" s="112"/>
      <c r="UCY667" s="112"/>
      <c r="UCZ667" s="112"/>
      <c r="UDA667" s="112"/>
      <c r="UDB667" s="112"/>
      <c r="UDC667" s="112"/>
      <c r="UDD667" s="112"/>
      <c r="UDE667" s="112"/>
      <c r="UDF667" s="112"/>
      <c r="UDG667" s="112"/>
      <c r="UDH667" s="112"/>
      <c r="UDI667" s="112"/>
      <c r="UDJ667" s="112"/>
      <c r="UDK667" s="112"/>
      <c r="UDL667" s="112"/>
      <c r="UDM667" s="112"/>
      <c r="UDN667" s="112"/>
      <c r="UDO667" s="112"/>
      <c r="UDP667" s="112"/>
      <c r="UDQ667" s="112"/>
      <c r="UDR667" s="112"/>
      <c r="UDS667" s="112"/>
      <c r="UDT667" s="112"/>
      <c r="UDU667" s="112"/>
      <c r="UDV667" s="112"/>
      <c r="UDW667" s="112"/>
      <c r="UDX667" s="112"/>
      <c r="UDY667" s="112"/>
      <c r="UDZ667" s="112"/>
      <c r="UEA667" s="112"/>
      <c r="UEB667" s="112"/>
      <c r="UEC667" s="112"/>
      <c r="UED667" s="112"/>
      <c r="UEE667" s="112"/>
      <c r="UEF667" s="112"/>
      <c r="UEG667" s="112"/>
      <c r="UEH667" s="112"/>
      <c r="UEI667" s="112"/>
      <c r="UEJ667" s="112"/>
      <c r="UEK667" s="112"/>
      <c r="UEL667" s="112"/>
      <c r="UEM667" s="112"/>
      <c r="UEN667" s="112"/>
      <c r="UEO667" s="112"/>
      <c r="UEP667" s="112"/>
      <c r="UEQ667" s="112"/>
      <c r="UER667" s="112"/>
      <c r="UES667" s="112"/>
      <c r="UET667" s="112"/>
      <c r="UEU667" s="112"/>
      <c r="UEV667" s="112"/>
      <c r="UEW667" s="112"/>
      <c r="UEX667" s="112"/>
      <c r="UEY667" s="112"/>
      <c r="UEZ667" s="112"/>
      <c r="UFA667" s="112"/>
      <c r="UFB667" s="112"/>
      <c r="UFC667" s="112"/>
      <c r="UFD667" s="112"/>
      <c r="UFE667" s="112"/>
      <c r="UFF667" s="112"/>
      <c r="UFG667" s="112"/>
      <c r="UFH667" s="112"/>
      <c r="UFI667" s="112"/>
      <c r="UFJ667" s="112"/>
      <c r="UFK667" s="112"/>
      <c r="UFL667" s="112"/>
      <c r="UFM667" s="112"/>
      <c r="UFN667" s="112"/>
      <c r="UFO667" s="112"/>
      <c r="UFP667" s="112"/>
      <c r="UFQ667" s="112"/>
      <c r="UFR667" s="112"/>
      <c r="UFS667" s="112"/>
      <c r="UFT667" s="112"/>
      <c r="UFU667" s="112"/>
      <c r="UFV667" s="112"/>
      <c r="UFW667" s="112"/>
      <c r="UFX667" s="112"/>
      <c r="UFY667" s="112"/>
      <c r="UFZ667" s="112"/>
      <c r="UGA667" s="112"/>
      <c r="UGB667" s="112"/>
      <c r="UGC667" s="112"/>
      <c r="UGD667" s="112"/>
      <c r="UGE667" s="112"/>
      <c r="UGF667" s="112"/>
      <c r="UGG667" s="112"/>
      <c r="UGH667" s="112"/>
      <c r="UGI667" s="112"/>
      <c r="UGJ667" s="112"/>
      <c r="UGK667" s="112"/>
      <c r="UGL667" s="112"/>
      <c r="UGM667" s="112"/>
      <c r="UGN667" s="112"/>
      <c r="UGO667" s="112"/>
      <c r="UGP667" s="112"/>
      <c r="UGQ667" s="112"/>
      <c r="UGR667" s="112"/>
      <c r="UGS667" s="112"/>
      <c r="UGT667" s="112"/>
      <c r="UGU667" s="112"/>
      <c r="UGV667" s="112"/>
      <c r="UGW667" s="112"/>
      <c r="UGX667" s="112"/>
      <c r="UGY667" s="112"/>
      <c r="UGZ667" s="112"/>
      <c r="UHA667" s="112"/>
      <c r="UHB667" s="112"/>
      <c r="UHC667" s="112"/>
      <c r="UHD667" s="112"/>
      <c r="UHE667" s="112"/>
      <c r="UHF667" s="112"/>
      <c r="UHG667" s="112"/>
      <c r="UHH667" s="112"/>
      <c r="UHI667" s="112"/>
      <c r="UHJ667" s="112"/>
      <c r="UHK667" s="112"/>
      <c r="UHL667" s="112"/>
      <c r="UHM667" s="112"/>
      <c r="UHN667" s="112"/>
      <c r="UHO667" s="112"/>
      <c r="UHP667" s="112"/>
      <c r="UHQ667" s="112"/>
      <c r="UHR667" s="112"/>
      <c r="UHS667" s="112"/>
      <c r="UHT667" s="112"/>
      <c r="UHU667" s="112"/>
      <c r="UHV667" s="112"/>
      <c r="UHW667" s="112"/>
      <c r="UHX667" s="112"/>
      <c r="UHY667" s="112"/>
      <c r="UHZ667" s="112"/>
      <c r="UIA667" s="112"/>
      <c r="UIB667" s="112"/>
      <c r="UIC667" s="112"/>
      <c r="UID667" s="112"/>
      <c r="UIE667" s="112"/>
      <c r="UIF667" s="112"/>
      <c r="UIG667" s="112"/>
      <c r="UIH667" s="112"/>
      <c r="UII667" s="112"/>
      <c r="UIJ667" s="112"/>
      <c r="UIK667" s="112"/>
      <c r="UIL667" s="112"/>
      <c r="UIM667" s="112"/>
      <c r="UIN667" s="112"/>
      <c r="UIO667" s="112"/>
      <c r="UIP667" s="112"/>
      <c r="UIQ667" s="112"/>
      <c r="UIR667" s="112"/>
      <c r="UIS667" s="112"/>
      <c r="UIT667" s="112"/>
      <c r="UIU667" s="112"/>
      <c r="UIV667" s="112"/>
      <c r="UIW667" s="112"/>
      <c r="UIX667" s="112"/>
      <c r="UIY667" s="112"/>
      <c r="UIZ667" s="112"/>
      <c r="UJA667" s="112"/>
      <c r="UJB667" s="112"/>
      <c r="UJC667" s="112"/>
      <c r="UJD667" s="112"/>
      <c r="UJE667" s="112"/>
      <c r="UJF667" s="112"/>
      <c r="UJG667" s="112"/>
      <c r="UJH667" s="112"/>
      <c r="UJI667" s="112"/>
      <c r="UJJ667" s="112"/>
      <c r="UJK667" s="112"/>
      <c r="UJL667" s="112"/>
      <c r="UJM667" s="112"/>
      <c r="UJN667" s="112"/>
      <c r="UJO667" s="112"/>
      <c r="UJP667" s="112"/>
      <c r="UJQ667" s="112"/>
      <c r="UJR667" s="112"/>
      <c r="UJS667" s="112"/>
      <c r="UJT667" s="112"/>
      <c r="UJU667" s="112"/>
      <c r="UJV667" s="112"/>
      <c r="UJW667" s="112"/>
      <c r="UJX667" s="112"/>
      <c r="UJY667" s="112"/>
      <c r="UJZ667" s="112"/>
      <c r="UKA667" s="112"/>
      <c r="UKB667" s="112"/>
      <c r="UKC667" s="112"/>
      <c r="UKD667" s="112"/>
      <c r="UKE667" s="112"/>
      <c r="UKF667" s="112"/>
      <c r="UKG667" s="112"/>
      <c r="UKH667" s="112"/>
      <c r="UKI667" s="112"/>
      <c r="UKJ667" s="112"/>
      <c r="UKK667" s="112"/>
      <c r="UKL667" s="112"/>
      <c r="UKM667" s="112"/>
      <c r="UKN667" s="112"/>
      <c r="UKO667" s="112"/>
      <c r="UKP667" s="112"/>
      <c r="UKQ667" s="112"/>
      <c r="UKR667" s="112"/>
      <c r="UKS667" s="112"/>
      <c r="UKT667" s="112"/>
      <c r="UKU667" s="112"/>
      <c r="UKV667" s="112"/>
      <c r="UKW667" s="112"/>
      <c r="UKX667" s="112"/>
      <c r="UKY667" s="112"/>
      <c r="UKZ667" s="112"/>
      <c r="ULA667" s="112"/>
      <c r="ULB667" s="112"/>
      <c r="ULC667" s="112"/>
      <c r="ULD667" s="112"/>
      <c r="ULE667" s="112"/>
      <c r="ULF667" s="112"/>
      <c r="ULG667" s="112"/>
      <c r="ULH667" s="112"/>
      <c r="ULI667" s="112"/>
      <c r="ULJ667" s="112"/>
      <c r="ULK667" s="112"/>
      <c r="ULL667" s="112"/>
      <c r="ULM667" s="112"/>
      <c r="ULN667" s="112"/>
      <c r="ULO667" s="112"/>
      <c r="ULP667" s="112"/>
      <c r="ULQ667" s="112"/>
      <c r="ULR667" s="112"/>
      <c r="ULS667" s="112"/>
      <c r="ULT667" s="112"/>
      <c r="ULU667" s="112"/>
      <c r="ULV667" s="112"/>
      <c r="ULW667" s="112"/>
      <c r="ULX667" s="112"/>
      <c r="ULY667" s="112"/>
      <c r="ULZ667" s="112"/>
      <c r="UMA667" s="112"/>
      <c r="UMB667" s="112"/>
      <c r="UMC667" s="112"/>
      <c r="UMD667" s="112"/>
      <c r="UME667" s="112"/>
      <c r="UMF667" s="112"/>
      <c r="UMG667" s="112"/>
      <c r="UMH667" s="112"/>
      <c r="UMI667" s="112"/>
      <c r="UMJ667" s="112"/>
      <c r="UMK667" s="112"/>
      <c r="UML667" s="112"/>
      <c r="UMM667" s="112"/>
      <c r="UMN667" s="112"/>
      <c r="UMO667" s="112"/>
      <c r="UMP667" s="112"/>
      <c r="UMQ667" s="112"/>
      <c r="UMR667" s="112"/>
      <c r="UMS667" s="112"/>
      <c r="UMT667" s="112"/>
      <c r="UMU667" s="112"/>
      <c r="UMV667" s="112"/>
      <c r="UMW667" s="112"/>
      <c r="UMX667" s="112"/>
      <c r="UMY667" s="112"/>
      <c r="UMZ667" s="112"/>
      <c r="UNA667" s="112"/>
      <c r="UNB667" s="112"/>
      <c r="UNC667" s="112"/>
      <c r="UND667" s="112"/>
      <c r="UNE667" s="112"/>
      <c r="UNF667" s="112"/>
      <c r="UNG667" s="112"/>
      <c r="UNH667" s="112"/>
      <c r="UNI667" s="112"/>
      <c r="UNJ667" s="112"/>
      <c r="UNK667" s="112"/>
      <c r="UNL667" s="112"/>
      <c r="UNM667" s="112"/>
      <c r="UNN667" s="112"/>
      <c r="UNO667" s="112"/>
      <c r="UNP667" s="112"/>
      <c r="UNQ667" s="112"/>
      <c r="UNR667" s="112"/>
      <c r="UNS667" s="112"/>
      <c r="UNT667" s="112"/>
      <c r="UNU667" s="112"/>
      <c r="UNV667" s="112"/>
      <c r="UNW667" s="112"/>
      <c r="UNX667" s="112"/>
      <c r="UNY667" s="112"/>
      <c r="UNZ667" s="112"/>
      <c r="UOA667" s="112"/>
      <c r="UOB667" s="112"/>
      <c r="UOC667" s="112"/>
      <c r="UOD667" s="112"/>
      <c r="UOE667" s="112"/>
      <c r="UOF667" s="112"/>
      <c r="UOG667" s="112"/>
      <c r="UOH667" s="112"/>
      <c r="UOI667" s="112"/>
      <c r="UOJ667" s="112"/>
      <c r="UOK667" s="112"/>
      <c r="UOL667" s="112"/>
      <c r="UOM667" s="112"/>
      <c r="UON667" s="112"/>
      <c r="UOO667" s="112"/>
      <c r="UOP667" s="112"/>
      <c r="UOQ667" s="112"/>
      <c r="UOR667" s="112"/>
      <c r="UOS667" s="112"/>
      <c r="UOT667" s="112"/>
      <c r="UOU667" s="112"/>
      <c r="UOV667" s="112"/>
      <c r="UOW667" s="112"/>
      <c r="UOX667" s="112"/>
      <c r="UOY667" s="112"/>
      <c r="UOZ667" s="112"/>
      <c r="UPA667" s="112"/>
      <c r="UPB667" s="112"/>
      <c r="UPC667" s="112"/>
      <c r="UPD667" s="112"/>
      <c r="UPE667" s="112"/>
      <c r="UPF667" s="112"/>
      <c r="UPG667" s="112"/>
      <c r="UPH667" s="112"/>
      <c r="UPI667" s="112"/>
      <c r="UPJ667" s="112"/>
      <c r="UPK667" s="112"/>
      <c r="UPL667" s="112"/>
      <c r="UPM667" s="112"/>
      <c r="UPN667" s="112"/>
      <c r="UPO667" s="112"/>
      <c r="UPP667" s="112"/>
      <c r="UPQ667" s="112"/>
      <c r="UPR667" s="112"/>
      <c r="UPS667" s="112"/>
      <c r="UPT667" s="112"/>
      <c r="UPU667" s="112"/>
      <c r="UPV667" s="112"/>
      <c r="UPW667" s="112"/>
      <c r="UPX667" s="112"/>
      <c r="UPY667" s="112"/>
      <c r="UPZ667" s="112"/>
      <c r="UQA667" s="112"/>
      <c r="UQB667" s="112"/>
      <c r="UQC667" s="112"/>
      <c r="UQD667" s="112"/>
      <c r="UQE667" s="112"/>
      <c r="UQF667" s="112"/>
      <c r="UQG667" s="112"/>
      <c r="UQH667" s="112"/>
      <c r="UQI667" s="112"/>
      <c r="UQJ667" s="112"/>
      <c r="UQK667" s="112"/>
      <c r="UQL667" s="112"/>
      <c r="UQM667" s="112"/>
      <c r="UQN667" s="112"/>
      <c r="UQO667" s="112"/>
      <c r="UQP667" s="112"/>
      <c r="UQQ667" s="112"/>
      <c r="UQR667" s="112"/>
      <c r="UQS667" s="112"/>
      <c r="UQT667" s="112"/>
      <c r="UQU667" s="112"/>
      <c r="UQV667" s="112"/>
      <c r="UQW667" s="112"/>
      <c r="UQX667" s="112"/>
      <c r="UQY667" s="112"/>
      <c r="UQZ667" s="112"/>
      <c r="URA667" s="112"/>
      <c r="URB667" s="112"/>
      <c r="URC667" s="112"/>
      <c r="URD667" s="112"/>
      <c r="URE667" s="112"/>
      <c r="URF667" s="112"/>
      <c r="URG667" s="112"/>
      <c r="URH667" s="112"/>
      <c r="URI667" s="112"/>
      <c r="URJ667" s="112"/>
      <c r="URK667" s="112"/>
      <c r="URL667" s="112"/>
      <c r="URM667" s="112"/>
      <c r="URN667" s="112"/>
      <c r="URO667" s="112"/>
      <c r="URP667" s="112"/>
      <c r="URQ667" s="112"/>
      <c r="URR667" s="112"/>
      <c r="URS667" s="112"/>
      <c r="URT667" s="112"/>
      <c r="URU667" s="112"/>
      <c r="URV667" s="112"/>
      <c r="URW667" s="112"/>
      <c r="URX667" s="112"/>
      <c r="URY667" s="112"/>
      <c r="URZ667" s="112"/>
      <c r="USA667" s="112"/>
      <c r="USB667" s="112"/>
      <c r="USC667" s="112"/>
      <c r="USD667" s="112"/>
      <c r="USE667" s="112"/>
      <c r="USF667" s="112"/>
      <c r="USG667" s="112"/>
      <c r="USH667" s="112"/>
      <c r="USI667" s="112"/>
      <c r="USJ667" s="112"/>
      <c r="USK667" s="112"/>
      <c r="USL667" s="112"/>
      <c r="USM667" s="112"/>
      <c r="USN667" s="112"/>
      <c r="USO667" s="112"/>
      <c r="USP667" s="112"/>
      <c r="USQ667" s="112"/>
      <c r="USR667" s="112"/>
      <c r="USS667" s="112"/>
      <c r="UST667" s="112"/>
      <c r="USU667" s="112"/>
      <c r="USV667" s="112"/>
      <c r="USW667" s="112"/>
      <c r="USX667" s="112"/>
      <c r="USY667" s="112"/>
      <c r="USZ667" s="112"/>
      <c r="UTA667" s="112"/>
      <c r="UTB667" s="112"/>
      <c r="UTC667" s="112"/>
      <c r="UTD667" s="112"/>
      <c r="UTE667" s="112"/>
      <c r="UTF667" s="112"/>
      <c r="UTG667" s="112"/>
      <c r="UTH667" s="112"/>
      <c r="UTI667" s="112"/>
      <c r="UTJ667" s="112"/>
      <c r="UTK667" s="112"/>
      <c r="UTL667" s="112"/>
      <c r="UTM667" s="112"/>
      <c r="UTN667" s="112"/>
      <c r="UTO667" s="112"/>
      <c r="UTP667" s="112"/>
      <c r="UTQ667" s="112"/>
      <c r="UTR667" s="112"/>
      <c r="UTS667" s="112"/>
      <c r="UTT667" s="112"/>
      <c r="UTU667" s="112"/>
      <c r="UTV667" s="112"/>
      <c r="UTW667" s="112"/>
      <c r="UTX667" s="112"/>
      <c r="UTY667" s="112"/>
      <c r="UTZ667" s="112"/>
      <c r="UUA667" s="112"/>
      <c r="UUB667" s="112"/>
      <c r="UUC667" s="112"/>
      <c r="UUD667" s="112"/>
      <c r="UUE667" s="112"/>
      <c r="UUF667" s="112"/>
      <c r="UUG667" s="112"/>
      <c r="UUH667" s="112"/>
      <c r="UUI667" s="112"/>
      <c r="UUJ667" s="112"/>
      <c r="UUK667" s="112"/>
      <c r="UUL667" s="112"/>
      <c r="UUM667" s="112"/>
      <c r="UUN667" s="112"/>
      <c r="UUO667" s="112"/>
      <c r="UUP667" s="112"/>
      <c r="UUQ667" s="112"/>
      <c r="UUR667" s="112"/>
      <c r="UUS667" s="112"/>
      <c r="UUT667" s="112"/>
      <c r="UUU667" s="112"/>
      <c r="UUV667" s="112"/>
      <c r="UUW667" s="112"/>
      <c r="UUX667" s="112"/>
      <c r="UUY667" s="112"/>
      <c r="UUZ667" s="112"/>
      <c r="UVA667" s="112"/>
      <c r="UVB667" s="112"/>
      <c r="UVC667" s="112"/>
      <c r="UVD667" s="112"/>
      <c r="UVE667" s="112"/>
      <c r="UVF667" s="112"/>
      <c r="UVG667" s="112"/>
      <c r="UVH667" s="112"/>
      <c r="UVI667" s="112"/>
      <c r="UVJ667" s="112"/>
      <c r="UVK667" s="112"/>
      <c r="UVL667" s="112"/>
      <c r="UVM667" s="112"/>
      <c r="UVN667" s="112"/>
      <c r="UVO667" s="112"/>
      <c r="UVP667" s="112"/>
      <c r="UVQ667" s="112"/>
      <c r="UVR667" s="112"/>
      <c r="UVS667" s="112"/>
      <c r="UVT667" s="112"/>
      <c r="UVU667" s="112"/>
      <c r="UVV667" s="112"/>
      <c r="UVW667" s="112"/>
      <c r="UVX667" s="112"/>
      <c r="UVY667" s="112"/>
      <c r="UVZ667" s="112"/>
      <c r="UWA667" s="112"/>
      <c r="UWB667" s="112"/>
      <c r="UWC667" s="112"/>
      <c r="UWD667" s="112"/>
      <c r="UWE667" s="112"/>
      <c r="UWF667" s="112"/>
      <c r="UWG667" s="112"/>
      <c r="UWH667" s="112"/>
      <c r="UWI667" s="112"/>
      <c r="UWJ667" s="112"/>
      <c r="UWK667" s="112"/>
      <c r="UWL667" s="112"/>
      <c r="UWM667" s="112"/>
      <c r="UWN667" s="112"/>
      <c r="UWO667" s="112"/>
      <c r="UWP667" s="112"/>
      <c r="UWQ667" s="112"/>
      <c r="UWR667" s="112"/>
      <c r="UWS667" s="112"/>
      <c r="UWT667" s="112"/>
      <c r="UWU667" s="112"/>
      <c r="UWV667" s="112"/>
      <c r="UWW667" s="112"/>
      <c r="UWX667" s="112"/>
      <c r="UWY667" s="112"/>
      <c r="UWZ667" s="112"/>
      <c r="UXA667" s="112"/>
      <c r="UXB667" s="112"/>
      <c r="UXC667" s="112"/>
      <c r="UXD667" s="112"/>
      <c r="UXE667" s="112"/>
      <c r="UXF667" s="112"/>
      <c r="UXG667" s="112"/>
      <c r="UXH667" s="112"/>
      <c r="UXI667" s="112"/>
      <c r="UXJ667" s="112"/>
      <c r="UXK667" s="112"/>
      <c r="UXL667" s="112"/>
      <c r="UXM667" s="112"/>
      <c r="UXN667" s="112"/>
      <c r="UXO667" s="112"/>
      <c r="UXP667" s="112"/>
      <c r="UXQ667" s="112"/>
      <c r="UXR667" s="112"/>
      <c r="UXS667" s="112"/>
      <c r="UXT667" s="112"/>
      <c r="UXU667" s="112"/>
      <c r="UXV667" s="112"/>
      <c r="UXW667" s="112"/>
      <c r="UXX667" s="112"/>
      <c r="UXY667" s="112"/>
      <c r="UXZ667" s="112"/>
      <c r="UYA667" s="112"/>
      <c r="UYB667" s="112"/>
      <c r="UYC667" s="112"/>
      <c r="UYD667" s="112"/>
      <c r="UYE667" s="112"/>
      <c r="UYF667" s="112"/>
      <c r="UYG667" s="112"/>
      <c r="UYH667" s="112"/>
      <c r="UYI667" s="112"/>
      <c r="UYJ667" s="112"/>
      <c r="UYK667" s="112"/>
      <c r="UYL667" s="112"/>
      <c r="UYM667" s="112"/>
      <c r="UYN667" s="112"/>
      <c r="UYO667" s="112"/>
      <c r="UYP667" s="112"/>
      <c r="UYQ667" s="112"/>
      <c r="UYR667" s="112"/>
      <c r="UYS667" s="112"/>
      <c r="UYT667" s="112"/>
      <c r="UYU667" s="112"/>
      <c r="UYV667" s="112"/>
      <c r="UYW667" s="112"/>
      <c r="UYX667" s="112"/>
      <c r="UYY667" s="112"/>
      <c r="UYZ667" s="112"/>
      <c r="UZA667" s="112"/>
      <c r="UZB667" s="112"/>
      <c r="UZC667" s="112"/>
      <c r="UZD667" s="112"/>
      <c r="UZE667" s="112"/>
      <c r="UZF667" s="112"/>
      <c r="UZG667" s="112"/>
      <c r="UZH667" s="112"/>
      <c r="UZI667" s="112"/>
      <c r="UZJ667" s="112"/>
      <c r="UZK667" s="112"/>
      <c r="UZL667" s="112"/>
      <c r="UZM667" s="112"/>
      <c r="UZN667" s="112"/>
      <c r="UZO667" s="112"/>
      <c r="UZP667" s="112"/>
      <c r="UZQ667" s="112"/>
      <c r="UZR667" s="112"/>
      <c r="UZS667" s="112"/>
      <c r="UZT667" s="112"/>
      <c r="UZU667" s="112"/>
      <c r="UZV667" s="112"/>
      <c r="UZW667" s="112"/>
      <c r="UZX667" s="112"/>
      <c r="UZY667" s="112"/>
      <c r="UZZ667" s="112"/>
      <c r="VAA667" s="112"/>
      <c r="VAB667" s="112"/>
      <c r="VAC667" s="112"/>
      <c r="VAD667" s="112"/>
      <c r="VAE667" s="112"/>
      <c r="VAF667" s="112"/>
      <c r="VAG667" s="112"/>
      <c r="VAH667" s="112"/>
      <c r="VAI667" s="112"/>
      <c r="VAJ667" s="112"/>
      <c r="VAK667" s="112"/>
      <c r="VAL667" s="112"/>
      <c r="VAM667" s="112"/>
      <c r="VAN667" s="112"/>
      <c r="VAO667" s="112"/>
      <c r="VAP667" s="112"/>
      <c r="VAQ667" s="112"/>
      <c r="VAR667" s="112"/>
      <c r="VAS667" s="112"/>
      <c r="VAT667" s="112"/>
      <c r="VAU667" s="112"/>
      <c r="VAV667" s="112"/>
      <c r="VAW667" s="112"/>
      <c r="VAX667" s="112"/>
      <c r="VAY667" s="112"/>
      <c r="VAZ667" s="112"/>
      <c r="VBA667" s="112"/>
      <c r="VBB667" s="112"/>
      <c r="VBC667" s="112"/>
      <c r="VBD667" s="112"/>
      <c r="VBE667" s="112"/>
      <c r="VBF667" s="112"/>
      <c r="VBG667" s="112"/>
      <c r="VBH667" s="112"/>
      <c r="VBI667" s="112"/>
      <c r="VBJ667" s="112"/>
      <c r="VBK667" s="112"/>
      <c r="VBL667" s="112"/>
      <c r="VBM667" s="112"/>
      <c r="VBN667" s="112"/>
      <c r="VBO667" s="112"/>
      <c r="VBP667" s="112"/>
      <c r="VBQ667" s="112"/>
      <c r="VBR667" s="112"/>
      <c r="VBS667" s="112"/>
      <c r="VBT667" s="112"/>
      <c r="VBU667" s="112"/>
      <c r="VBV667" s="112"/>
      <c r="VBW667" s="112"/>
      <c r="VBX667" s="112"/>
      <c r="VBY667" s="112"/>
      <c r="VBZ667" s="112"/>
      <c r="VCA667" s="112"/>
      <c r="VCB667" s="112"/>
      <c r="VCC667" s="112"/>
      <c r="VCD667" s="112"/>
      <c r="VCE667" s="112"/>
      <c r="VCF667" s="112"/>
      <c r="VCG667" s="112"/>
      <c r="VCH667" s="112"/>
      <c r="VCI667" s="112"/>
      <c r="VCJ667" s="112"/>
      <c r="VCK667" s="112"/>
      <c r="VCL667" s="112"/>
      <c r="VCM667" s="112"/>
      <c r="VCN667" s="112"/>
      <c r="VCO667" s="112"/>
      <c r="VCP667" s="112"/>
      <c r="VCQ667" s="112"/>
      <c r="VCR667" s="112"/>
      <c r="VCS667" s="112"/>
      <c r="VCT667" s="112"/>
      <c r="VCU667" s="112"/>
      <c r="VCV667" s="112"/>
      <c r="VCW667" s="112"/>
      <c r="VCX667" s="112"/>
      <c r="VCY667" s="112"/>
      <c r="VCZ667" s="112"/>
      <c r="VDA667" s="112"/>
      <c r="VDB667" s="112"/>
      <c r="VDC667" s="112"/>
      <c r="VDD667" s="112"/>
      <c r="VDE667" s="112"/>
      <c r="VDF667" s="112"/>
      <c r="VDG667" s="112"/>
      <c r="VDH667" s="112"/>
      <c r="VDI667" s="112"/>
      <c r="VDJ667" s="112"/>
      <c r="VDK667" s="112"/>
      <c r="VDL667" s="112"/>
      <c r="VDM667" s="112"/>
      <c r="VDN667" s="112"/>
      <c r="VDO667" s="112"/>
      <c r="VDP667" s="112"/>
      <c r="VDQ667" s="112"/>
      <c r="VDR667" s="112"/>
      <c r="VDS667" s="112"/>
      <c r="VDT667" s="112"/>
      <c r="VDU667" s="112"/>
      <c r="VDV667" s="112"/>
      <c r="VDW667" s="112"/>
      <c r="VDX667" s="112"/>
      <c r="VDY667" s="112"/>
      <c r="VDZ667" s="112"/>
      <c r="VEA667" s="112"/>
      <c r="VEB667" s="112"/>
      <c r="VEC667" s="112"/>
      <c r="VED667" s="112"/>
      <c r="VEE667" s="112"/>
      <c r="VEF667" s="112"/>
      <c r="VEG667" s="112"/>
      <c r="VEH667" s="112"/>
      <c r="VEI667" s="112"/>
      <c r="VEJ667" s="112"/>
      <c r="VEK667" s="112"/>
      <c r="VEL667" s="112"/>
      <c r="VEM667" s="112"/>
      <c r="VEN667" s="112"/>
      <c r="VEO667" s="112"/>
      <c r="VEP667" s="112"/>
      <c r="VEQ667" s="112"/>
      <c r="VER667" s="112"/>
      <c r="VES667" s="112"/>
      <c r="VET667" s="112"/>
      <c r="VEU667" s="112"/>
      <c r="VEV667" s="112"/>
      <c r="VEW667" s="112"/>
      <c r="VEX667" s="112"/>
      <c r="VEY667" s="112"/>
      <c r="VEZ667" s="112"/>
      <c r="VFA667" s="112"/>
      <c r="VFB667" s="112"/>
      <c r="VFC667" s="112"/>
      <c r="VFD667" s="112"/>
      <c r="VFE667" s="112"/>
      <c r="VFF667" s="112"/>
      <c r="VFG667" s="112"/>
      <c r="VFH667" s="112"/>
      <c r="VFI667" s="112"/>
      <c r="VFJ667" s="112"/>
      <c r="VFK667" s="112"/>
      <c r="VFL667" s="112"/>
      <c r="VFM667" s="112"/>
      <c r="VFN667" s="112"/>
      <c r="VFO667" s="112"/>
      <c r="VFP667" s="112"/>
      <c r="VFQ667" s="112"/>
      <c r="VFR667" s="112"/>
      <c r="VFS667" s="112"/>
      <c r="VFT667" s="112"/>
      <c r="VFU667" s="112"/>
      <c r="VFV667" s="112"/>
      <c r="VFW667" s="112"/>
      <c r="VFX667" s="112"/>
      <c r="VFY667" s="112"/>
      <c r="VFZ667" s="112"/>
      <c r="VGA667" s="112"/>
      <c r="VGB667" s="112"/>
      <c r="VGC667" s="112"/>
      <c r="VGD667" s="112"/>
      <c r="VGE667" s="112"/>
      <c r="VGF667" s="112"/>
      <c r="VGG667" s="112"/>
      <c r="VGH667" s="112"/>
      <c r="VGI667" s="112"/>
      <c r="VGJ667" s="112"/>
      <c r="VGK667" s="112"/>
      <c r="VGL667" s="112"/>
      <c r="VGM667" s="112"/>
      <c r="VGN667" s="112"/>
      <c r="VGO667" s="112"/>
      <c r="VGP667" s="112"/>
      <c r="VGQ667" s="112"/>
      <c r="VGR667" s="112"/>
      <c r="VGS667" s="112"/>
      <c r="VGT667" s="112"/>
      <c r="VGU667" s="112"/>
      <c r="VGV667" s="112"/>
      <c r="VGW667" s="112"/>
      <c r="VGX667" s="112"/>
      <c r="VGY667" s="112"/>
      <c r="VGZ667" s="112"/>
      <c r="VHA667" s="112"/>
      <c r="VHB667" s="112"/>
      <c r="VHC667" s="112"/>
      <c r="VHD667" s="112"/>
      <c r="VHE667" s="112"/>
      <c r="VHF667" s="112"/>
      <c r="VHG667" s="112"/>
      <c r="VHH667" s="112"/>
      <c r="VHI667" s="112"/>
      <c r="VHJ667" s="112"/>
      <c r="VHK667" s="112"/>
      <c r="VHL667" s="112"/>
      <c r="VHM667" s="112"/>
      <c r="VHN667" s="112"/>
      <c r="VHO667" s="112"/>
      <c r="VHP667" s="112"/>
      <c r="VHQ667" s="112"/>
      <c r="VHR667" s="112"/>
      <c r="VHS667" s="112"/>
      <c r="VHT667" s="112"/>
      <c r="VHU667" s="112"/>
      <c r="VHV667" s="112"/>
      <c r="VHW667" s="112"/>
      <c r="VHX667" s="112"/>
      <c r="VHY667" s="112"/>
      <c r="VHZ667" s="112"/>
      <c r="VIA667" s="112"/>
      <c r="VIB667" s="112"/>
      <c r="VIC667" s="112"/>
      <c r="VID667" s="112"/>
      <c r="VIE667" s="112"/>
      <c r="VIF667" s="112"/>
      <c r="VIG667" s="112"/>
      <c r="VIH667" s="112"/>
      <c r="VII667" s="112"/>
      <c r="VIJ667" s="112"/>
      <c r="VIK667" s="112"/>
      <c r="VIL667" s="112"/>
      <c r="VIM667" s="112"/>
      <c r="VIN667" s="112"/>
      <c r="VIO667" s="112"/>
      <c r="VIP667" s="112"/>
      <c r="VIQ667" s="112"/>
      <c r="VIR667" s="112"/>
      <c r="VIS667" s="112"/>
      <c r="VIT667" s="112"/>
      <c r="VIU667" s="112"/>
      <c r="VIV667" s="112"/>
      <c r="VIW667" s="112"/>
      <c r="VIX667" s="112"/>
      <c r="VIY667" s="112"/>
      <c r="VIZ667" s="112"/>
      <c r="VJA667" s="112"/>
      <c r="VJB667" s="112"/>
      <c r="VJC667" s="112"/>
      <c r="VJD667" s="112"/>
      <c r="VJE667" s="112"/>
      <c r="VJF667" s="112"/>
      <c r="VJG667" s="112"/>
      <c r="VJH667" s="112"/>
      <c r="VJI667" s="112"/>
      <c r="VJJ667" s="112"/>
      <c r="VJK667" s="112"/>
      <c r="VJL667" s="112"/>
      <c r="VJM667" s="112"/>
      <c r="VJN667" s="112"/>
      <c r="VJO667" s="112"/>
      <c r="VJP667" s="112"/>
      <c r="VJQ667" s="112"/>
      <c r="VJR667" s="112"/>
      <c r="VJS667" s="112"/>
      <c r="VJT667" s="112"/>
      <c r="VJU667" s="112"/>
      <c r="VJV667" s="112"/>
      <c r="VJW667" s="112"/>
      <c r="VJX667" s="112"/>
      <c r="VJY667" s="112"/>
      <c r="VJZ667" s="112"/>
      <c r="VKA667" s="112"/>
      <c r="VKB667" s="112"/>
      <c r="VKC667" s="112"/>
      <c r="VKD667" s="112"/>
      <c r="VKE667" s="112"/>
      <c r="VKF667" s="112"/>
      <c r="VKG667" s="112"/>
      <c r="VKH667" s="112"/>
      <c r="VKI667" s="112"/>
      <c r="VKJ667" s="112"/>
      <c r="VKK667" s="112"/>
      <c r="VKL667" s="112"/>
      <c r="VKM667" s="112"/>
      <c r="VKN667" s="112"/>
      <c r="VKO667" s="112"/>
      <c r="VKP667" s="112"/>
      <c r="VKQ667" s="112"/>
      <c r="VKR667" s="112"/>
      <c r="VKS667" s="112"/>
      <c r="VKT667" s="112"/>
      <c r="VKU667" s="112"/>
      <c r="VKV667" s="112"/>
      <c r="VKW667" s="112"/>
      <c r="VKX667" s="112"/>
      <c r="VKY667" s="112"/>
      <c r="VKZ667" s="112"/>
      <c r="VLA667" s="112"/>
      <c r="VLB667" s="112"/>
      <c r="VLC667" s="112"/>
      <c r="VLD667" s="112"/>
      <c r="VLE667" s="112"/>
      <c r="VLF667" s="112"/>
      <c r="VLG667" s="112"/>
      <c r="VLH667" s="112"/>
      <c r="VLI667" s="112"/>
      <c r="VLJ667" s="112"/>
      <c r="VLK667" s="112"/>
      <c r="VLL667" s="112"/>
      <c r="VLM667" s="112"/>
      <c r="VLN667" s="112"/>
      <c r="VLO667" s="112"/>
      <c r="VLP667" s="112"/>
      <c r="VLQ667" s="112"/>
      <c r="VLR667" s="112"/>
      <c r="VLS667" s="112"/>
      <c r="VLT667" s="112"/>
      <c r="VLU667" s="112"/>
      <c r="VLV667" s="112"/>
      <c r="VLW667" s="112"/>
      <c r="VLX667" s="112"/>
      <c r="VLY667" s="112"/>
      <c r="VLZ667" s="112"/>
      <c r="VMA667" s="112"/>
      <c r="VMB667" s="112"/>
      <c r="VMC667" s="112"/>
      <c r="VMD667" s="112"/>
      <c r="VME667" s="112"/>
      <c r="VMF667" s="112"/>
      <c r="VMG667" s="112"/>
      <c r="VMH667" s="112"/>
      <c r="VMI667" s="112"/>
      <c r="VMJ667" s="112"/>
      <c r="VMK667" s="112"/>
      <c r="VML667" s="112"/>
      <c r="VMM667" s="112"/>
      <c r="VMN667" s="112"/>
      <c r="VMO667" s="112"/>
      <c r="VMP667" s="112"/>
      <c r="VMQ667" s="112"/>
      <c r="VMR667" s="112"/>
      <c r="VMS667" s="112"/>
      <c r="VMT667" s="112"/>
      <c r="VMU667" s="112"/>
      <c r="VMV667" s="112"/>
      <c r="VMW667" s="112"/>
      <c r="VMX667" s="112"/>
      <c r="VMY667" s="112"/>
      <c r="VMZ667" s="112"/>
      <c r="VNA667" s="112"/>
      <c r="VNB667" s="112"/>
      <c r="VNC667" s="112"/>
      <c r="VND667" s="112"/>
      <c r="VNE667" s="112"/>
      <c r="VNF667" s="112"/>
      <c r="VNG667" s="112"/>
      <c r="VNH667" s="112"/>
      <c r="VNI667" s="112"/>
      <c r="VNJ667" s="112"/>
      <c r="VNK667" s="112"/>
      <c r="VNL667" s="112"/>
      <c r="VNM667" s="112"/>
      <c r="VNN667" s="112"/>
      <c r="VNO667" s="112"/>
      <c r="VNP667" s="112"/>
      <c r="VNQ667" s="112"/>
      <c r="VNR667" s="112"/>
      <c r="VNS667" s="112"/>
      <c r="VNT667" s="112"/>
      <c r="VNU667" s="112"/>
      <c r="VNV667" s="112"/>
      <c r="VNW667" s="112"/>
      <c r="VNX667" s="112"/>
      <c r="VNY667" s="112"/>
      <c r="VNZ667" s="112"/>
      <c r="VOA667" s="112"/>
      <c r="VOB667" s="112"/>
      <c r="VOC667" s="112"/>
      <c r="VOD667" s="112"/>
      <c r="VOE667" s="112"/>
      <c r="VOF667" s="112"/>
      <c r="VOG667" s="112"/>
      <c r="VOH667" s="112"/>
      <c r="VOI667" s="112"/>
      <c r="VOJ667" s="112"/>
      <c r="VOK667" s="112"/>
      <c r="VOL667" s="112"/>
      <c r="VOM667" s="112"/>
      <c r="VON667" s="112"/>
      <c r="VOO667" s="112"/>
      <c r="VOP667" s="112"/>
      <c r="VOQ667" s="112"/>
      <c r="VOR667" s="112"/>
      <c r="VOS667" s="112"/>
      <c r="VOT667" s="112"/>
      <c r="VOU667" s="112"/>
      <c r="VOV667" s="112"/>
      <c r="VOW667" s="112"/>
      <c r="VOX667" s="112"/>
      <c r="VOY667" s="112"/>
      <c r="VOZ667" s="112"/>
      <c r="VPA667" s="112"/>
      <c r="VPB667" s="112"/>
      <c r="VPC667" s="112"/>
      <c r="VPD667" s="112"/>
      <c r="VPE667" s="112"/>
      <c r="VPF667" s="112"/>
      <c r="VPG667" s="112"/>
      <c r="VPH667" s="112"/>
      <c r="VPI667" s="112"/>
      <c r="VPJ667" s="112"/>
      <c r="VPK667" s="112"/>
      <c r="VPL667" s="112"/>
      <c r="VPM667" s="112"/>
      <c r="VPN667" s="112"/>
      <c r="VPO667" s="112"/>
      <c r="VPP667" s="112"/>
      <c r="VPQ667" s="112"/>
      <c r="VPR667" s="112"/>
      <c r="VPS667" s="112"/>
      <c r="VPT667" s="112"/>
      <c r="VPU667" s="112"/>
      <c r="VPV667" s="112"/>
      <c r="VPW667" s="112"/>
      <c r="VPX667" s="112"/>
      <c r="VPY667" s="112"/>
      <c r="VPZ667" s="112"/>
      <c r="VQA667" s="112"/>
      <c r="VQB667" s="112"/>
      <c r="VQC667" s="112"/>
      <c r="VQD667" s="112"/>
      <c r="VQE667" s="112"/>
      <c r="VQF667" s="112"/>
      <c r="VQG667" s="112"/>
      <c r="VQH667" s="112"/>
      <c r="VQI667" s="112"/>
      <c r="VQJ667" s="112"/>
      <c r="VQK667" s="112"/>
      <c r="VQL667" s="112"/>
      <c r="VQM667" s="112"/>
      <c r="VQN667" s="112"/>
      <c r="VQO667" s="112"/>
      <c r="VQP667" s="112"/>
      <c r="VQQ667" s="112"/>
      <c r="VQR667" s="112"/>
      <c r="VQS667" s="112"/>
      <c r="VQT667" s="112"/>
      <c r="VQU667" s="112"/>
      <c r="VQV667" s="112"/>
      <c r="VQW667" s="112"/>
      <c r="VQX667" s="112"/>
      <c r="VQY667" s="112"/>
      <c r="VQZ667" s="112"/>
      <c r="VRA667" s="112"/>
      <c r="VRB667" s="112"/>
      <c r="VRC667" s="112"/>
      <c r="VRD667" s="112"/>
      <c r="VRE667" s="112"/>
      <c r="VRF667" s="112"/>
      <c r="VRG667" s="112"/>
      <c r="VRH667" s="112"/>
      <c r="VRI667" s="112"/>
      <c r="VRJ667" s="112"/>
      <c r="VRK667" s="112"/>
      <c r="VRL667" s="112"/>
      <c r="VRM667" s="112"/>
      <c r="VRN667" s="112"/>
      <c r="VRO667" s="112"/>
      <c r="VRP667" s="112"/>
      <c r="VRQ667" s="112"/>
      <c r="VRR667" s="112"/>
      <c r="VRS667" s="112"/>
      <c r="VRT667" s="112"/>
      <c r="VRU667" s="112"/>
      <c r="VRV667" s="112"/>
      <c r="VRW667" s="112"/>
      <c r="VRX667" s="112"/>
      <c r="VRY667" s="112"/>
      <c r="VRZ667" s="112"/>
      <c r="VSA667" s="112"/>
      <c r="VSB667" s="112"/>
      <c r="VSC667" s="112"/>
      <c r="VSD667" s="112"/>
      <c r="VSE667" s="112"/>
      <c r="VSF667" s="112"/>
      <c r="VSG667" s="112"/>
      <c r="VSH667" s="112"/>
      <c r="VSI667" s="112"/>
      <c r="VSJ667" s="112"/>
      <c r="VSK667" s="112"/>
      <c r="VSL667" s="112"/>
      <c r="VSM667" s="112"/>
      <c r="VSN667" s="112"/>
      <c r="VSO667" s="112"/>
      <c r="VSP667" s="112"/>
      <c r="VSQ667" s="112"/>
      <c r="VSR667" s="112"/>
      <c r="VSS667" s="112"/>
      <c r="VST667" s="112"/>
      <c r="VSU667" s="112"/>
      <c r="VSV667" s="112"/>
      <c r="VSW667" s="112"/>
      <c r="VSX667" s="112"/>
      <c r="VSY667" s="112"/>
      <c r="VSZ667" s="112"/>
      <c r="VTA667" s="112"/>
      <c r="VTB667" s="112"/>
      <c r="VTC667" s="112"/>
      <c r="VTD667" s="112"/>
      <c r="VTE667" s="112"/>
      <c r="VTF667" s="112"/>
      <c r="VTG667" s="112"/>
      <c r="VTH667" s="112"/>
      <c r="VTI667" s="112"/>
      <c r="VTJ667" s="112"/>
      <c r="VTK667" s="112"/>
      <c r="VTL667" s="112"/>
      <c r="VTM667" s="112"/>
      <c r="VTN667" s="112"/>
      <c r="VTO667" s="112"/>
      <c r="VTP667" s="112"/>
      <c r="VTQ667" s="112"/>
      <c r="VTR667" s="112"/>
      <c r="VTS667" s="112"/>
      <c r="VTT667" s="112"/>
      <c r="VTU667" s="112"/>
      <c r="VTV667" s="112"/>
      <c r="VTW667" s="112"/>
      <c r="VTX667" s="112"/>
      <c r="VTY667" s="112"/>
      <c r="VTZ667" s="112"/>
      <c r="VUA667" s="112"/>
      <c r="VUB667" s="112"/>
      <c r="VUC667" s="112"/>
      <c r="VUD667" s="112"/>
      <c r="VUE667" s="112"/>
      <c r="VUF667" s="112"/>
      <c r="VUG667" s="112"/>
      <c r="VUH667" s="112"/>
      <c r="VUI667" s="112"/>
      <c r="VUJ667" s="112"/>
      <c r="VUK667" s="112"/>
      <c r="VUL667" s="112"/>
      <c r="VUM667" s="112"/>
      <c r="VUN667" s="112"/>
      <c r="VUO667" s="112"/>
      <c r="VUP667" s="112"/>
      <c r="VUQ667" s="112"/>
      <c r="VUR667" s="112"/>
      <c r="VUS667" s="112"/>
      <c r="VUT667" s="112"/>
      <c r="VUU667" s="112"/>
      <c r="VUV667" s="112"/>
      <c r="VUW667" s="112"/>
      <c r="VUX667" s="112"/>
      <c r="VUY667" s="112"/>
      <c r="VUZ667" s="112"/>
      <c r="VVA667" s="112"/>
      <c r="VVB667" s="112"/>
      <c r="VVC667" s="112"/>
      <c r="VVD667" s="112"/>
      <c r="VVE667" s="112"/>
      <c r="VVF667" s="112"/>
      <c r="VVG667" s="112"/>
      <c r="VVH667" s="112"/>
      <c r="VVI667" s="112"/>
      <c r="VVJ667" s="112"/>
      <c r="VVK667" s="112"/>
      <c r="VVL667" s="112"/>
      <c r="VVM667" s="112"/>
      <c r="VVN667" s="112"/>
      <c r="VVO667" s="112"/>
      <c r="VVP667" s="112"/>
      <c r="VVQ667" s="112"/>
      <c r="VVR667" s="112"/>
      <c r="VVS667" s="112"/>
      <c r="VVT667" s="112"/>
      <c r="VVU667" s="112"/>
      <c r="VVV667" s="112"/>
      <c r="VVW667" s="112"/>
      <c r="VVX667" s="112"/>
      <c r="VVY667" s="112"/>
      <c r="VVZ667" s="112"/>
      <c r="VWA667" s="112"/>
      <c r="VWB667" s="112"/>
      <c r="VWC667" s="112"/>
      <c r="VWD667" s="112"/>
      <c r="VWE667" s="112"/>
      <c r="VWF667" s="112"/>
      <c r="VWG667" s="112"/>
      <c r="VWH667" s="112"/>
      <c r="VWI667" s="112"/>
      <c r="VWJ667" s="112"/>
      <c r="VWK667" s="112"/>
      <c r="VWL667" s="112"/>
      <c r="VWM667" s="112"/>
      <c r="VWN667" s="112"/>
      <c r="VWO667" s="112"/>
      <c r="VWP667" s="112"/>
      <c r="VWQ667" s="112"/>
      <c r="VWR667" s="112"/>
      <c r="VWS667" s="112"/>
      <c r="VWT667" s="112"/>
      <c r="VWU667" s="112"/>
      <c r="VWV667" s="112"/>
      <c r="VWW667" s="112"/>
      <c r="VWX667" s="112"/>
      <c r="VWY667" s="112"/>
      <c r="VWZ667" s="112"/>
      <c r="VXA667" s="112"/>
      <c r="VXB667" s="112"/>
      <c r="VXC667" s="112"/>
      <c r="VXD667" s="112"/>
      <c r="VXE667" s="112"/>
      <c r="VXF667" s="112"/>
      <c r="VXG667" s="112"/>
      <c r="VXH667" s="112"/>
      <c r="VXI667" s="112"/>
      <c r="VXJ667" s="112"/>
      <c r="VXK667" s="112"/>
      <c r="VXL667" s="112"/>
      <c r="VXM667" s="112"/>
      <c r="VXN667" s="112"/>
      <c r="VXO667" s="112"/>
      <c r="VXP667" s="112"/>
      <c r="VXQ667" s="112"/>
      <c r="VXR667" s="112"/>
      <c r="VXS667" s="112"/>
      <c r="VXT667" s="112"/>
      <c r="VXU667" s="112"/>
      <c r="VXV667" s="112"/>
      <c r="VXW667" s="112"/>
      <c r="VXX667" s="112"/>
      <c r="VXY667" s="112"/>
      <c r="VXZ667" s="112"/>
      <c r="VYA667" s="112"/>
      <c r="VYB667" s="112"/>
      <c r="VYC667" s="112"/>
      <c r="VYD667" s="112"/>
      <c r="VYE667" s="112"/>
      <c r="VYF667" s="112"/>
      <c r="VYG667" s="112"/>
      <c r="VYH667" s="112"/>
      <c r="VYI667" s="112"/>
      <c r="VYJ667" s="112"/>
      <c r="VYK667" s="112"/>
      <c r="VYL667" s="112"/>
      <c r="VYM667" s="112"/>
      <c r="VYN667" s="112"/>
      <c r="VYO667" s="112"/>
      <c r="VYP667" s="112"/>
      <c r="VYQ667" s="112"/>
      <c r="VYR667" s="112"/>
      <c r="VYS667" s="112"/>
      <c r="VYT667" s="112"/>
      <c r="VYU667" s="112"/>
      <c r="VYV667" s="112"/>
      <c r="VYW667" s="112"/>
      <c r="VYX667" s="112"/>
      <c r="VYY667" s="112"/>
      <c r="VYZ667" s="112"/>
      <c r="VZA667" s="112"/>
      <c r="VZB667" s="112"/>
      <c r="VZC667" s="112"/>
      <c r="VZD667" s="112"/>
      <c r="VZE667" s="112"/>
      <c r="VZF667" s="112"/>
      <c r="VZG667" s="112"/>
      <c r="VZH667" s="112"/>
      <c r="VZI667" s="112"/>
      <c r="VZJ667" s="112"/>
      <c r="VZK667" s="112"/>
      <c r="VZL667" s="112"/>
      <c r="VZM667" s="112"/>
      <c r="VZN667" s="112"/>
      <c r="VZO667" s="112"/>
      <c r="VZP667" s="112"/>
      <c r="VZQ667" s="112"/>
      <c r="VZR667" s="112"/>
      <c r="VZS667" s="112"/>
      <c r="VZT667" s="112"/>
      <c r="VZU667" s="112"/>
      <c r="VZV667" s="112"/>
      <c r="VZW667" s="112"/>
      <c r="VZX667" s="112"/>
      <c r="VZY667" s="112"/>
      <c r="VZZ667" s="112"/>
      <c r="WAA667" s="112"/>
      <c r="WAB667" s="112"/>
      <c r="WAC667" s="112"/>
      <c r="WAD667" s="112"/>
      <c r="WAE667" s="112"/>
      <c r="WAF667" s="112"/>
      <c r="WAG667" s="112"/>
      <c r="WAH667" s="112"/>
      <c r="WAI667" s="112"/>
      <c r="WAJ667" s="112"/>
      <c r="WAK667" s="112"/>
      <c r="WAL667" s="112"/>
      <c r="WAM667" s="112"/>
      <c r="WAN667" s="112"/>
      <c r="WAO667" s="112"/>
      <c r="WAP667" s="112"/>
      <c r="WAQ667" s="112"/>
      <c r="WAR667" s="112"/>
      <c r="WAS667" s="112"/>
      <c r="WAT667" s="112"/>
      <c r="WAU667" s="112"/>
      <c r="WAV667" s="112"/>
      <c r="WAW667" s="112"/>
      <c r="WAX667" s="112"/>
      <c r="WAY667" s="112"/>
      <c r="WAZ667" s="112"/>
      <c r="WBA667" s="112"/>
      <c r="WBB667" s="112"/>
      <c r="WBC667" s="112"/>
      <c r="WBD667" s="112"/>
      <c r="WBE667" s="112"/>
      <c r="WBF667" s="112"/>
      <c r="WBG667" s="112"/>
      <c r="WBH667" s="112"/>
      <c r="WBI667" s="112"/>
      <c r="WBJ667" s="112"/>
      <c r="WBK667" s="112"/>
      <c r="WBL667" s="112"/>
      <c r="WBM667" s="112"/>
      <c r="WBN667" s="112"/>
      <c r="WBO667" s="112"/>
      <c r="WBP667" s="112"/>
      <c r="WBQ667" s="112"/>
      <c r="WBR667" s="112"/>
      <c r="WBS667" s="112"/>
      <c r="WBT667" s="112"/>
      <c r="WBU667" s="112"/>
      <c r="WBV667" s="112"/>
      <c r="WBW667" s="112"/>
      <c r="WBX667" s="112"/>
      <c r="WBY667" s="112"/>
      <c r="WBZ667" s="112"/>
      <c r="WCA667" s="112"/>
      <c r="WCB667" s="112"/>
      <c r="WCC667" s="112"/>
      <c r="WCD667" s="112"/>
      <c r="WCE667" s="112"/>
      <c r="WCF667" s="112"/>
      <c r="WCG667" s="112"/>
      <c r="WCH667" s="112"/>
      <c r="WCI667" s="112"/>
      <c r="WCJ667" s="112"/>
      <c r="WCK667" s="112"/>
      <c r="WCL667" s="112"/>
      <c r="WCM667" s="112"/>
      <c r="WCN667" s="112"/>
      <c r="WCO667" s="112"/>
      <c r="WCP667" s="112"/>
      <c r="WCQ667" s="112"/>
      <c r="WCR667" s="112"/>
      <c r="WCS667" s="112"/>
      <c r="WCT667" s="112"/>
      <c r="WCU667" s="112"/>
      <c r="WCV667" s="112"/>
      <c r="WCW667" s="112"/>
      <c r="WCX667" s="112"/>
      <c r="WCY667" s="112"/>
      <c r="WCZ667" s="112"/>
      <c r="WDA667" s="112"/>
      <c r="WDB667" s="112"/>
      <c r="WDC667" s="112"/>
      <c r="WDD667" s="112"/>
      <c r="WDE667" s="112"/>
      <c r="WDF667" s="112"/>
      <c r="WDG667" s="112"/>
      <c r="WDH667" s="112"/>
      <c r="WDI667" s="112"/>
      <c r="WDJ667" s="112"/>
      <c r="WDK667" s="112"/>
      <c r="WDL667" s="112"/>
      <c r="WDM667" s="112"/>
      <c r="WDN667" s="112"/>
      <c r="WDO667" s="112"/>
      <c r="WDP667" s="112"/>
      <c r="WDQ667" s="112"/>
      <c r="WDR667" s="112"/>
      <c r="WDS667" s="112"/>
      <c r="WDT667" s="112"/>
      <c r="WDU667" s="112"/>
      <c r="WDV667" s="112"/>
      <c r="WDW667" s="112"/>
      <c r="WDX667" s="112"/>
      <c r="WDY667" s="112"/>
      <c r="WDZ667" s="112"/>
      <c r="WEA667" s="112"/>
      <c r="WEB667" s="112"/>
      <c r="WEC667" s="112"/>
      <c r="WED667" s="112"/>
      <c r="WEE667" s="112"/>
      <c r="WEF667" s="112"/>
      <c r="WEG667" s="112"/>
      <c r="WEH667" s="112"/>
      <c r="WEI667" s="112"/>
      <c r="WEJ667" s="112"/>
      <c r="WEK667" s="112"/>
      <c r="WEL667" s="112"/>
      <c r="WEM667" s="112"/>
      <c r="WEN667" s="112"/>
      <c r="WEO667" s="112"/>
      <c r="WEP667" s="112"/>
      <c r="WEQ667" s="112"/>
      <c r="WER667" s="112"/>
      <c r="WES667" s="112"/>
      <c r="WET667" s="112"/>
      <c r="WEU667" s="112"/>
      <c r="WEV667" s="112"/>
      <c r="WEW667" s="112"/>
      <c r="WEX667" s="112"/>
      <c r="WEY667" s="112"/>
      <c r="WEZ667" s="112"/>
      <c r="WFA667" s="112"/>
      <c r="WFB667" s="112"/>
      <c r="WFC667" s="112"/>
      <c r="WFD667" s="112"/>
      <c r="WFE667" s="112"/>
      <c r="WFF667" s="112"/>
      <c r="WFG667" s="112"/>
      <c r="WFH667" s="112"/>
      <c r="WFI667" s="112"/>
      <c r="WFJ667" s="112"/>
      <c r="WFK667" s="112"/>
      <c r="WFL667" s="112"/>
      <c r="WFM667" s="112"/>
      <c r="WFN667" s="112"/>
      <c r="WFO667" s="112"/>
      <c r="WFP667" s="112"/>
      <c r="WFQ667" s="112"/>
      <c r="WFR667" s="112"/>
      <c r="WFS667" s="112"/>
      <c r="WFT667" s="112"/>
      <c r="WFU667" s="112"/>
      <c r="WFV667" s="112"/>
      <c r="WFW667" s="112"/>
      <c r="WFX667" s="112"/>
      <c r="WFY667" s="112"/>
      <c r="WFZ667" s="112"/>
      <c r="WGA667" s="112"/>
      <c r="WGB667" s="112"/>
      <c r="WGC667" s="112"/>
      <c r="WGD667" s="112"/>
      <c r="WGE667" s="112"/>
      <c r="WGF667" s="112"/>
      <c r="WGG667" s="112"/>
      <c r="WGH667" s="112"/>
      <c r="WGI667" s="112"/>
      <c r="WGJ667" s="112"/>
      <c r="WGK667" s="112"/>
      <c r="WGL667" s="112"/>
      <c r="WGM667" s="112"/>
      <c r="WGN667" s="112"/>
      <c r="WGO667" s="112"/>
      <c r="WGP667" s="112"/>
      <c r="WGQ667" s="112"/>
      <c r="WGR667" s="112"/>
      <c r="WGS667" s="112"/>
      <c r="WGT667" s="112"/>
      <c r="WGU667" s="112"/>
      <c r="WGV667" s="112"/>
      <c r="WGW667" s="112"/>
      <c r="WGX667" s="112"/>
      <c r="WGY667" s="112"/>
      <c r="WGZ667" s="112"/>
      <c r="WHA667" s="112"/>
      <c r="WHB667" s="112"/>
      <c r="WHC667" s="112"/>
      <c r="WHD667" s="112"/>
      <c r="WHE667" s="112"/>
      <c r="WHF667" s="112"/>
      <c r="WHG667" s="112"/>
      <c r="WHH667" s="112"/>
      <c r="WHI667" s="112"/>
      <c r="WHJ667" s="112"/>
      <c r="WHK667" s="112"/>
      <c r="WHL667" s="112"/>
      <c r="WHM667" s="112"/>
      <c r="WHN667" s="112"/>
      <c r="WHO667" s="112"/>
      <c r="WHP667" s="112"/>
      <c r="WHQ667" s="112"/>
      <c r="WHR667" s="112"/>
      <c r="WHS667" s="112"/>
      <c r="WHT667" s="112"/>
      <c r="WHU667" s="112"/>
      <c r="WHV667" s="112"/>
      <c r="WHW667" s="112"/>
      <c r="WHX667" s="112"/>
      <c r="WHY667" s="112"/>
      <c r="WHZ667" s="112"/>
      <c r="WIA667" s="112"/>
      <c r="WIB667" s="112"/>
      <c r="WIC667" s="112"/>
      <c r="WID667" s="112"/>
      <c r="WIE667" s="112"/>
      <c r="WIF667" s="112"/>
      <c r="WIG667" s="112"/>
      <c r="WIH667" s="112"/>
      <c r="WII667" s="112"/>
      <c r="WIJ667" s="112"/>
      <c r="WIK667" s="112"/>
      <c r="WIL667" s="112"/>
      <c r="WIM667" s="112"/>
      <c r="WIN667" s="112"/>
      <c r="WIO667" s="112"/>
      <c r="WIP667" s="112"/>
      <c r="WIQ667" s="112"/>
      <c r="WIR667" s="112"/>
      <c r="WIS667" s="112"/>
      <c r="WIT667" s="112"/>
      <c r="WIU667" s="112"/>
      <c r="WIV667" s="112"/>
      <c r="WIW667" s="112"/>
      <c r="WIX667" s="112"/>
      <c r="WIY667" s="112"/>
      <c r="WIZ667" s="112"/>
      <c r="WJA667" s="112"/>
      <c r="WJB667" s="112"/>
      <c r="WJC667" s="112"/>
      <c r="WJD667" s="112"/>
      <c r="WJE667" s="112"/>
      <c r="WJF667" s="112"/>
      <c r="WJG667" s="112"/>
      <c r="WJH667" s="112"/>
      <c r="WJI667" s="112"/>
      <c r="WJJ667" s="112"/>
      <c r="WJK667" s="112"/>
      <c r="WJL667" s="112"/>
      <c r="WJM667" s="112"/>
      <c r="WJN667" s="112"/>
      <c r="WJO667" s="112"/>
      <c r="WJP667" s="112"/>
      <c r="WJQ667" s="112"/>
      <c r="WJR667" s="112"/>
      <c r="WJS667" s="112"/>
      <c r="WJT667" s="112"/>
      <c r="WJU667" s="112"/>
      <c r="WJV667" s="112"/>
      <c r="WJW667" s="112"/>
      <c r="WJX667" s="112"/>
      <c r="WJY667" s="112"/>
      <c r="WJZ667" s="112"/>
      <c r="WKA667" s="112"/>
      <c r="WKB667" s="112"/>
      <c r="WKC667" s="112"/>
      <c r="WKD667" s="112"/>
      <c r="WKE667" s="112"/>
      <c r="WKF667" s="112"/>
      <c r="WKG667" s="112"/>
      <c r="WKH667" s="112"/>
      <c r="WKI667" s="112"/>
      <c r="WKJ667" s="112"/>
      <c r="WKK667" s="112"/>
      <c r="WKL667" s="112"/>
      <c r="WKM667" s="112"/>
      <c r="WKN667" s="112"/>
      <c r="WKO667" s="112"/>
      <c r="WKP667" s="112"/>
      <c r="WKQ667" s="112"/>
      <c r="WKR667" s="112"/>
      <c r="WKS667" s="112"/>
      <c r="WKT667" s="112"/>
      <c r="WKU667" s="112"/>
      <c r="WKV667" s="112"/>
      <c r="WKW667" s="112"/>
      <c r="WKX667" s="112"/>
      <c r="WKY667" s="112"/>
      <c r="WKZ667" s="112"/>
      <c r="WLA667" s="112"/>
      <c r="WLB667" s="112"/>
      <c r="WLC667" s="112"/>
      <c r="WLD667" s="112"/>
      <c r="WLE667" s="112"/>
      <c r="WLF667" s="112"/>
      <c r="WLG667" s="112"/>
      <c r="WLH667" s="112"/>
      <c r="WLI667" s="112"/>
      <c r="WLJ667" s="112"/>
      <c r="WLK667" s="112"/>
      <c r="WLL667" s="112"/>
      <c r="WLM667" s="112"/>
      <c r="WLN667" s="112"/>
      <c r="WLO667" s="112"/>
      <c r="WLP667" s="112"/>
      <c r="WLQ667" s="112"/>
      <c r="WLR667" s="112"/>
      <c r="WLS667" s="112"/>
      <c r="WLT667" s="112"/>
      <c r="WLU667" s="112"/>
      <c r="WLV667" s="112"/>
      <c r="WLW667" s="112"/>
      <c r="WLX667" s="112"/>
      <c r="WLY667" s="112"/>
      <c r="WLZ667" s="112"/>
      <c r="WMA667" s="112"/>
      <c r="WMB667" s="112"/>
      <c r="WMC667" s="112"/>
      <c r="WMD667" s="112"/>
      <c r="WME667" s="112"/>
      <c r="WMF667" s="112"/>
      <c r="WMG667" s="112"/>
      <c r="WMH667" s="112"/>
      <c r="WMI667" s="112"/>
      <c r="WMJ667" s="112"/>
      <c r="WMK667" s="112"/>
      <c r="WML667" s="112"/>
      <c r="WMM667" s="112"/>
      <c r="WMN667" s="112"/>
      <c r="WMO667" s="112"/>
      <c r="WMP667" s="112"/>
      <c r="WMQ667" s="112"/>
      <c r="WMR667" s="112"/>
      <c r="WMS667" s="112"/>
      <c r="WMT667" s="112"/>
      <c r="WMU667" s="112"/>
      <c r="WMV667" s="112"/>
      <c r="WMW667" s="112"/>
      <c r="WMX667" s="112"/>
      <c r="WMY667" s="112"/>
      <c r="WMZ667" s="112"/>
      <c r="WNA667" s="112"/>
      <c r="WNB667" s="112"/>
      <c r="WNC667" s="112"/>
      <c r="WND667" s="112"/>
      <c r="WNE667" s="112"/>
      <c r="WNF667" s="112"/>
      <c r="WNG667" s="112"/>
      <c r="WNH667" s="112"/>
      <c r="WNI667" s="112"/>
      <c r="WNJ667" s="112"/>
      <c r="WNK667" s="112"/>
      <c r="WNL667" s="112"/>
      <c r="WNM667" s="112"/>
      <c r="WNN667" s="112"/>
      <c r="WNO667" s="112"/>
      <c r="WNP667" s="112"/>
      <c r="WNQ667" s="112"/>
      <c r="WNR667" s="112"/>
      <c r="WNS667" s="112"/>
      <c r="WNT667" s="112"/>
      <c r="WNU667" s="112"/>
      <c r="WNV667" s="112"/>
      <c r="WNW667" s="112"/>
      <c r="WNX667" s="112"/>
      <c r="WNY667" s="112"/>
      <c r="WNZ667" s="112"/>
      <c r="WOA667" s="112"/>
      <c r="WOB667" s="112"/>
      <c r="WOC667" s="112"/>
      <c r="WOD667" s="112"/>
      <c r="WOE667" s="112"/>
      <c r="WOF667" s="112"/>
      <c r="WOG667" s="112"/>
      <c r="WOH667" s="112"/>
      <c r="WOI667" s="112"/>
      <c r="WOJ667" s="112"/>
      <c r="WOK667" s="112"/>
      <c r="WOL667" s="112"/>
      <c r="WOM667" s="112"/>
      <c r="WON667" s="112"/>
      <c r="WOO667" s="112"/>
      <c r="WOP667" s="112"/>
      <c r="WOQ667" s="112"/>
      <c r="WOR667" s="112"/>
      <c r="WOS667" s="112"/>
      <c r="WOT667" s="112"/>
      <c r="WOU667" s="112"/>
      <c r="WOV667" s="112"/>
      <c r="WOW667" s="112"/>
      <c r="WOX667" s="112"/>
      <c r="WOY667" s="112"/>
      <c r="WOZ667" s="112"/>
      <c r="WPA667" s="112"/>
      <c r="WPB667" s="112"/>
      <c r="WPC667" s="112"/>
      <c r="WPD667" s="112"/>
      <c r="WPE667" s="112"/>
      <c r="WPF667" s="112"/>
      <c r="WPG667" s="112"/>
      <c r="WPH667" s="112"/>
      <c r="WPI667" s="112"/>
      <c r="WPJ667" s="112"/>
      <c r="WPK667" s="112"/>
      <c r="WPL667" s="112"/>
      <c r="WPM667" s="112"/>
      <c r="WPN667" s="112"/>
      <c r="WPO667" s="112"/>
      <c r="WPP667" s="112"/>
      <c r="WPQ667" s="112"/>
      <c r="WPR667" s="112"/>
      <c r="WPS667" s="112"/>
      <c r="WPT667" s="112"/>
      <c r="WPU667" s="112"/>
      <c r="WPV667" s="112"/>
      <c r="WPW667" s="112"/>
      <c r="WPX667" s="112"/>
      <c r="WPY667" s="112"/>
      <c r="WPZ667" s="112"/>
      <c r="WQA667" s="112"/>
      <c r="WQB667" s="112"/>
      <c r="WQC667" s="112"/>
      <c r="WQD667" s="112"/>
      <c r="WQE667" s="112"/>
      <c r="WQF667" s="112"/>
      <c r="WQG667" s="112"/>
      <c r="WQH667" s="112"/>
      <c r="WQI667" s="112"/>
      <c r="WQJ667" s="112"/>
      <c r="WQK667" s="112"/>
      <c r="WQL667" s="112"/>
      <c r="WQM667" s="112"/>
      <c r="WQN667" s="112"/>
      <c r="WQO667" s="112"/>
      <c r="WQP667" s="112"/>
      <c r="WQQ667" s="112"/>
      <c r="WQR667" s="112"/>
      <c r="WQS667" s="112"/>
      <c r="WQT667" s="112"/>
      <c r="WQU667" s="112"/>
      <c r="WQV667" s="112"/>
      <c r="WQW667" s="112"/>
      <c r="WQX667" s="112"/>
      <c r="WQY667" s="112"/>
      <c r="WQZ667" s="112"/>
      <c r="WRA667" s="112"/>
      <c r="WRB667" s="112"/>
      <c r="WRC667" s="112"/>
      <c r="WRD667" s="112"/>
      <c r="WRE667" s="112"/>
      <c r="WRF667" s="112"/>
      <c r="WRG667" s="112"/>
      <c r="WRH667" s="112"/>
      <c r="WRI667" s="112"/>
      <c r="WRJ667" s="112"/>
      <c r="WRK667" s="112"/>
      <c r="WRL667" s="112"/>
      <c r="WRM667" s="112"/>
      <c r="WRN667" s="112"/>
      <c r="WRO667" s="112"/>
      <c r="WRP667" s="112"/>
      <c r="WRQ667" s="112"/>
      <c r="WRR667" s="112"/>
      <c r="WRS667" s="112"/>
      <c r="WRT667" s="112"/>
      <c r="WRU667" s="112"/>
      <c r="WRV667" s="112"/>
      <c r="WRW667" s="112"/>
      <c r="WRX667" s="112"/>
      <c r="WRY667" s="112"/>
      <c r="WRZ667" s="112"/>
      <c r="WSA667" s="112"/>
      <c r="WSB667" s="112"/>
      <c r="WSC667" s="112"/>
      <c r="WSD667" s="112"/>
      <c r="WSE667" s="112"/>
      <c r="WSF667" s="112"/>
      <c r="WSG667" s="112"/>
      <c r="WSH667" s="112"/>
      <c r="WSI667" s="112"/>
      <c r="WSJ667" s="112"/>
      <c r="WSK667" s="112"/>
      <c r="WSL667" s="112"/>
      <c r="WSM667" s="112"/>
      <c r="WSN667" s="112"/>
      <c r="WSO667" s="112"/>
      <c r="WSP667" s="112"/>
      <c r="WSQ667" s="112"/>
      <c r="WSR667" s="112"/>
      <c r="WSS667" s="112"/>
      <c r="WST667" s="112"/>
      <c r="WSU667" s="112"/>
      <c r="WSV667" s="112"/>
      <c r="WSW667" s="112"/>
      <c r="WSX667" s="112"/>
      <c r="WSY667" s="112"/>
      <c r="WSZ667" s="112"/>
      <c r="WTA667" s="112"/>
      <c r="WTB667" s="112"/>
      <c r="WTC667" s="112"/>
      <c r="WTD667" s="112"/>
      <c r="WTE667" s="112"/>
      <c r="WTF667" s="112"/>
      <c r="WTG667" s="112"/>
      <c r="WTH667" s="112"/>
      <c r="WTI667" s="112"/>
      <c r="WTJ667" s="112"/>
      <c r="WTK667" s="112"/>
      <c r="WTL667" s="112"/>
      <c r="WTM667" s="112"/>
      <c r="WTN667" s="112"/>
      <c r="WTO667" s="112"/>
      <c r="WTP667" s="112"/>
      <c r="WTQ667" s="112"/>
      <c r="WTR667" s="112"/>
      <c r="WTS667" s="112"/>
      <c r="WTT667" s="112"/>
      <c r="WTU667" s="112"/>
      <c r="WTV667" s="112"/>
      <c r="WTW667" s="112"/>
      <c r="WTX667" s="112"/>
      <c r="WTY667" s="112"/>
      <c r="WTZ667" s="112"/>
      <c r="WUA667" s="112"/>
      <c r="WUB667" s="112"/>
      <c r="WUC667" s="112"/>
      <c r="WUD667" s="112"/>
      <c r="WUE667" s="112"/>
      <c r="WUF667" s="112"/>
      <c r="WUG667" s="112"/>
      <c r="WUH667" s="112"/>
      <c r="WUI667" s="112"/>
      <c r="WUJ667" s="112"/>
      <c r="WUK667" s="112"/>
      <c r="WUL667" s="112"/>
      <c r="WUM667" s="112"/>
      <c r="WUN667" s="112"/>
      <c r="WUO667" s="112"/>
      <c r="WUP667" s="112"/>
      <c r="WUQ667" s="112"/>
      <c r="WUR667" s="112"/>
      <c r="WUS667" s="112"/>
      <c r="WUT667" s="112"/>
      <c r="WUU667" s="112"/>
      <c r="WUV667" s="112"/>
      <c r="WUW667" s="112"/>
      <c r="WUX667" s="112"/>
      <c r="WUY667" s="112"/>
      <c r="WUZ667" s="112"/>
      <c r="WVA667" s="112"/>
      <c r="WVB667" s="112"/>
      <c r="WVC667" s="112"/>
      <c r="WVD667" s="112"/>
      <c r="WVE667" s="112"/>
      <c r="WVF667" s="112"/>
      <c r="WVG667" s="112"/>
      <c r="WVH667" s="112"/>
      <c r="WVI667" s="112"/>
      <c r="WVJ667" s="112"/>
      <c r="WVK667" s="112"/>
      <c r="WVL667" s="112"/>
      <c r="WVM667" s="112"/>
      <c r="WVN667" s="112"/>
      <c r="WVO667" s="112"/>
      <c r="WVP667" s="112"/>
      <c r="WVQ667" s="112"/>
      <c r="WVR667" s="112"/>
      <c r="WVS667" s="112"/>
      <c r="WVT667" s="112"/>
      <c r="WVU667" s="112"/>
      <c r="WVV667" s="112"/>
      <c r="WVW667" s="112"/>
      <c r="WVX667" s="112"/>
      <c r="WVY667" s="112"/>
      <c r="WVZ667" s="112"/>
      <c r="WWA667" s="112"/>
      <c r="WWB667" s="112"/>
      <c r="WWC667" s="112"/>
      <c r="WWD667" s="112"/>
      <c r="WWE667" s="112"/>
      <c r="WWF667" s="112"/>
      <c r="WWG667" s="112"/>
      <c r="WWH667" s="112"/>
      <c r="WWI667" s="112"/>
      <c r="WWJ667" s="112"/>
      <c r="WWK667" s="112"/>
      <c r="WWL667" s="112"/>
      <c r="WWM667" s="112"/>
      <c r="WWN667" s="112"/>
      <c r="WWO667" s="112"/>
      <c r="WWP667" s="112"/>
      <c r="WWQ667" s="112"/>
      <c r="WWR667" s="112"/>
      <c r="WWS667" s="112"/>
      <c r="WWT667" s="112"/>
      <c r="WWU667" s="112"/>
      <c r="WWV667" s="112"/>
      <c r="WWW667" s="112"/>
      <c r="WWX667" s="112"/>
      <c r="WWY667" s="112"/>
      <c r="WWZ667" s="112"/>
      <c r="WXA667" s="112"/>
      <c r="WXB667" s="112"/>
      <c r="WXC667" s="112"/>
      <c r="WXD667" s="112"/>
      <c r="WXE667" s="112"/>
      <c r="WXF667" s="112"/>
      <c r="WXG667" s="112"/>
      <c r="WXH667" s="112"/>
      <c r="WXI667" s="112"/>
      <c r="WXJ667" s="112"/>
      <c r="WXK667" s="112"/>
      <c r="WXL667" s="112"/>
      <c r="WXM667" s="112"/>
      <c r="WXN667" s="112"/>
      <c r="WXO667" s="112"/>
      <c r="WXP667" s="112"/>
      <c r="WXQ667" s="112"/>
      <c r="WXR667" s="112"/>
      <c r="WXS667" s="112"/>
      <c r="WXT667" s="112"/>
      <c r="WXU667" s="112"/>
      <c r="WXV667" s="112"/>
      <c r="WXW667" s="112"/>
      <c r="WXX667" s="112"/>
      <c r="WXY667" s="112"/>
      <c r="WXZ667" s="112"/>
      <c r="WYA667" s="112"/>
      <c r="WYB667" s="112"/>
      <c r="WYC667" s="112"/>
      <c r="WYD667" s="112"/>
      <c r="WYE667" s="112"/>
      <c r="WYF667" s="112"/>
      <c r="WYG667" s="112"/>
      <c r="WYH667" s="112"/>
      <c r="WYI667" s="112"/>
      <c r="WYJ667" s="112"/>
      <c r="WYK667" s="112"/>
      <c r="WYL667" s="112"/>
      <c r="WYM667" s="112"/>
      <c r="WYN667" s="112"/>
      <c r="WYO667" s="112"/>
      <c r="WYP667" s="112"/>
      <c r="WYQ667" s="112"/>
      <c r="WYR667" s="112"/>
      <c r="WYS667" s="112"/>
      <c r="WYT667" s="112"/>
      <c r="WYU667" s="112"/>
      <c r="WYV667" s="112"/>
      <c r="WYW667" s="112"/>
      <c r="WYX667" s="112"/>
      <c r="WYY667" s="112"/>
      <c r="WYZ667" s="112"/>
      <c r="WZA667" s="112"/>
      <c r="WZB667" s="112"/>
      <c r="WZC667" s="112"/>
      <c r="WZD667" s="112"/>
      <c r="WZE667" s="112"/>
      <c r="WZF667" s="112"/>
      <c r="WZG667" s="112"/>
      <c r="WZH667" s="112"/>
      <c r="WZI667" s="112"/>
      <c r="WZJ667" s="112"/>
      <c r="WZK667" s="112"/>
      <c r="WZL667" s="112"/>
      <c r="WZM667" s="112"/>
      <c r="WZN667" s="112"/>
      <c r="WZO667" s="112"/>
      <c r="WZP667" s="112"/>
      <c r="WZQ667" s="112"/>
      <c r="WZR667" s="112"/>
      <c r="WZS667" s="112"/>
      <c r="WZT667" s="112"/>
      <c r="WZU667" s="112"/>
      <c r="WZV667" s="112"/>
      <c r="WZW667" s="112"/>
      <c r="WZX667" s="112"/>
      <c r="WZY667" s="112"/>
      <c r="WZZ667" s="112"/>
      <c r="XAA667" s="112"/>
      <c r="XAB667" s="112"/>
      <c r="XAC667" s="112"/>
      <c r="XAD667" s="112"/>
      <c r="XAE667" s="112"/>
      <c r="XAF667" s="112"/>
      <c r="XAG667" s="112"/>
      <c r="XAH667" s="112"/>
      <c r="XAI667" s="112"/>
      <c r="XAJ667" s="112"/>
      <c r="XAK667" s="112"/>
      <c r="XAL667" s="112"/>
      <c r="XAM667" s="112"/>
      <c r="XAN667" s="112"/>
      <c r="XAO667" s="112"/>
      <c r="XAP667" s="112"/>
      <c r="XAQ667" s="112"/>
      <c r="XAR667" s="112"/>
      <c r="XAS667" s="112"/>
      <c r="XAT667" s="112"/>
      <c r="XAU667" s="112"/>
      <c r="XAV667" s="112"/>
      <c r="XAW667" s="112"/>
      <c r="XAX667" s="112"/>
      <c r="XAY667" s="112"/>
      <c r="XAZ667" s="112"/>
      <c r="XBA667" s="112"/>
      <c r="XBB667" s="112"/>
      <c r="XBC667" s="112"/>
      <c r="XBD667" s="112"/>
      <c r="XBE667" s="112"/>
      <c r="XBF667" s="112"/>
      <c r="XBG667" s="112"/>
      <c r="XBH667" s="112"/>
      <c r="XBI667" s="112"/>
      <c r="XBJ667" s="112"/>
      <c r="XBK667" s="112"/>
      <c r="XBL667" s="112"/>
      <c r="XBM667" s="112"/>
      <c r="XBN667" s="112"/>
      <c r="XBO667" s="112"/>
      <c r="XBP667" s="112"/>
      <c r="XBQ667" s="112"/>
      <c r="XBR667" s="112"/>
      <c r="XBS667" s="112"/>
      <c r="XBT667" s="112"/>
      <c r="XBU667" s="112"/>
      <c r="XBV667" s="112"/>
      <c r="XBW667" s="112"/>
      <c r="XBX667" s="112"/>
      <c r="XBY667" s="112"/>
      <c r="XBZ667" s="112"/>
      <c r="XCA667" s="112"/>
      <c r="XCB667" s="112"/>
      <c r="XCC667" s="112"/>
      <c r="XCD667" s="112"/>
      <c r="XCE667" s="112"/>
      <c r="XCF667" s="112"/>
      <c r="XCG667" s="112"/>
      <c r="XCH667" s="112"/>
      <c r="XCI667" s="112"/>
      <c r="XCJ667" s="112"/>
      <c r="XCK667" s="112"/>
      <c r="XCL667" s="112"/>
      <c r="XCM667" s="112"/>
      <c r="XCN667" s="112"/>
      <c r="XCO667" s="112"/>
      <c r="XCP667" s="112"/>
      <c r="XCQ667" s="112"/>
      <c r="XCR667" s="112"/>
      <c r="XCS667" s="112"/>
      <c r="XCT667" s="112"/>
      <c r="XCU667" s="112"/>
      <c r="XCV667" s="112"/>
      <c r="XCW667" s="112"/>
      <c r="XCX667" s="112"/>
      <c r="XCY667" s="112"/>
      <c r="XCZ667" s="112"/>
      <c r="XDA667" s="112"/>
      <c r="XDB667" s="112"/>
      <c r="XDC667" s="112"/>
      <c r="XDD667" s="112"/>
      <c r="XDE667" s="112"/>
      <c r="XDF667" s="112"/>
      <c r="XDG667" s="112"/>
      <c r="XDH667" s="112"/>
      <c r="XDI667" s="112"/>
      <c r="XDJ667" s="112"/>
      <c r="XDK667" s="112"/>
      <c r="XDL667" s="112"/>
      <c r="XDM667" s="112"/>
      <c r="XDN667" s="112"/>
      <c r="XDO667" s="112"/>
      <c r="XDP667" s="112"/>
      <c r="XDQ667" s="112"/>
      <c r="XDR667" s="112"/>
      <c r="XDS667" s="112"/>
      <c r="XDT667" s="112"/>
      <c r="XDU667" s="112"/>
      <c r="XDV667" s="112"/>
      <c r="XDW667" s="112"/>
      <c r="XDX667" s="112"/>
      <c r="XDY667" s="112"/>
      <c r="XDZ667" s="112"/>
      <c r="XEA667" s="112"/>
      <c r="XEB667" s="112"/>
      <c r="XEC667" s="112"/>
      <c r="XED667" s="112"/>
      <c r="XEE667" s="112"/>
      <c r="XEF667" s="112"/>
      <c r="XEG667" s="112"/>
      <c r="XEH667" s="112"/>
      <c r="XEI667" s="112"/>
      <c r="XEJ667" s="112"/>
      <c r="XEK667" s="112"/>
      <c r="XEL667" s="112"/>
      <c r="XEM667" s="112"/>
      <c r="XEN667" s="112"/>
      <c r="XEO667" s="112"/>
      <c r="XEP667" s="112"/>
      <c r="XEQ667" s="112"/>
      <c r="XER667" s="112"/>
      <c r="XES667" s="112"/>
      <c r="XET667" s="112"/>
      <c r="XEU667" s="112"/>
      <c r="XEV667" s="112"/>
      <c r="XEW667" s="112"/>
      <c r="XEX667" s="112"/>
      <c r="XEY667" s="112"/>
      <c r="XEZ667" s="112"/>
      <c r="XFA667" s="112"/>
      <c r="XFB667" s="112"/>
      <c r="XFC667" s="112"/>
    </row>
    <row r="668" spans="1:1638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16383">
      <c r="A669" s="3"/>
      <c r="B669" s="2" t="s">
        <v>223</v>
      </c>
      <c r="C669" s="2"/>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16383">
      <c r="A670" s="3"/>
      <c r="B670" s="3" t="s">
        <v>227</v>
      </c>
      <c r="C670" s="3"/>
      <c r="D670" s="113"/>
      <c r="E670" s="114">
        <f t="shared" ref="E670:AJ670" si="0">1+E13</f>
        <v>1.0908300738809213</v>
      </c>
      <c r="F670" s="114">
        <f t="shared" si="0"/>
        <v>1.0362549800796814</v>
      </c>
      <c r="G670" s="114">
        <f t="shared" si="0"/>
        <v>1.0353710111495578</v>
      </c>
      <c r="H670" s="114">
        <f t="shared" si="0"/>
        <v>1.0631266245822504</v>
      </c>
      <c r="I670" s="114">
        <f t="shared" si="0"/>
        <v>1.0911631156129933</v>
      </c>
      <c r="J670" s="114">
        <f t="shared" si="0"/>
        <v>1.0963508322663253</v>
      </c>
      <c r="K670" s="114">
        <f t="shared" si="0"/>
        <v>1</v>
      </c>
      <c r="L670" s="114">
        <f t="shared" si="0"/>
        <v>1</v>
      </c>
      <c r="M670" s="114">
        <f t="shared" si="0"/>
        <v>1.04</v>
      </c>
      <c r="N670" s="114">
        <f t="shared" si="0"/>
        <v>1.0190903986524424</v>
      </c>
      <c r="O670" s="114">
        <f t="shared" si="0"/>
        <v>1.0190082644628098</v>
      </c>
      <c r="P670" s="114">
        <f t="shared" si="0"/>
        <v>1.064882400648824</v>
      </c>
      <c r="Q670" s="114">
        <f t="shared" si="0"/>
        <v>1.0172632647880173</v>
      </c>
      <c r="R670" s="114">
        <f t="shared" si="0"/>
        <v>1.0084851509857751</v>
      </c>
      <c r="S670" s="114">
        <f t="shared" si="0"/>
        <v>1.0254887404107893</v>
      </c>
      <c r="T670" s="114">
        <f t="shared" si="0"/>
        <v>1.0166505791505793</v>
      </c>
      <c r="U670" s="114">
        <f t="shared" si="0"/>
        <v>1.0192262046047946</v>
      </c>
      <c r="V670" s="114">
        <f t="shared" si="0"/>
        <v>1.0381928272007452</v>
      </c>
      <c r="W670" s="114">
        <f t="shared" si="0"/>
        <v>1.0189999999999999</v>
      </c>
      <c r="X670" s="114">
        <f t="shared" si="0"/>
        <v>1.0840000000000001</v>
      </c>
      <c r="Y670" s="114">
        <f t="shared" si="0"/>
        <v>1.0429999999999999</v>
      </c>
      <c r="Z670" s="114">
        <f t="shared" si="0"/>
        <v>1.0580000000000001</v>
      </c>
      <c r="AA670" s="114">
        <f t="shared" si="0"/>
        <v>1.0389999999999999</v>
      </c>
      <c r="AB670" s="114">
        <f t="shared" si="0"/>
        <v>1.0329999999999999</v>
      </c>
      <c r="AC670" s="114">
        <f t="shared" si="0"/>
        <v>1.069</v>
      </c>
      <c r="AD670" s="114">
        <f t="shared" si="0"/>
        <v>1.054</v>
      </c>
      <c r="AE670" s="114">
        <f t="shared" si="0"/>
        <v>1.0760000000000001</v>
      </c>
      <c r="AF670" s="114">
        <f t="shared" si="0"/>
        <v>1.0740000000000001</v>
      </c>
      <c r="AG670" s="114">
        <f t="shared" si="0"/>
        <v>1.081</v>
      </c>
      <c r="AH670" s="114">
        <f t="shared" si="0"/>
        <v>1.0980000000000001</v>
      </c>
      <c r="AI670" s="114">
        <f t="shared" si="0"/>
        <v>1.107</v>
      </c>
      <c r="AJ670" s="114">
        <f t="shared" si="0"/>
        <v>1.083</v>
      </c>
      <c r="AK670" s="114">
        <f t="shared" ref="AK670:BP670" si="1">1+AK13</f>
        <v>1.0680000000000001</v>
      </c>
      <c r="AL670" s="114">
        <f t="shared" si="1"/>
        <v>1.042</v>
      </c>
      <c r="AM670" s="114">
        <f t="shared" si="1"/>
        <v>1.038</v>
      </c>
      <c r="AN670" s="114">
        <f t="shared" si="1"/>
        <v>1.071</v>
      </c>
      <c r="AO670" s="114">
        <f t="shared" si="1"/>
        <v>1.0640000000000001</v>
      </c>
      <c r="AP670" s="114">
        <f t="shared" si="1"/>
        <v>1.0589999999999999</v>
      </c>
      <c r="AQ670" s="114">
        <f t="shared" si="1"/>
        <v>1.026</v>
      </c>
      <c r="AR670" s="114">
        <f t="shared" si="1"/>
        <v>1.028</v>
      </c>
      <c r="AS670" s="114">
        <f t="shared" si="1"/>
        <v>1.0229999999999999</v>
      </c>
      <c r="AT670" s="114">
        <f t="shared" si="1"/>
        <v>0.995</v>
      </c>
      <c r="AU670" s="114">
        <f t="shared" si="1"/>
        <v>1.002</v>
      </c>
      <c r="AV670" s="114">
        <f t="shared" si="1"/>
        <v>1.0089999999999999</v>
      </c>
      <c r="AW670" s="114">
        <f t="shared" si="1"/>
        <v>1.0109999999999999</v>
      </c>
      <c r="AX670" s="114">
        <f t="shared" si="1"/>
        <v>1.024</v>
      </c>
      <c r="AY670" s="114">
        <f t="shared" si="1"/>
        <v>1.046</v>
      </c>
      <c r="AZ670" s="114">
        <f t="shared" si="1"/>
        <v>1.0349999999999999</v>
      </c>
      <c r="BA670" s="114">
        <f t="shared" si="1"/>
        <v>1.02</v>
      </c>
      <c r="BB670" s="114">
        <f t="shared" si="1"/>
        <v>1.026</v>
      </c>
      <c r="BC670" s="114">
        <f t="shared" si="1"/>
        <v>1.0149999999999999</v>
      </c>
      <c r="BD670" s="114">
        <f t="shared" si="1"/>
        <v>1.0189999999999999</v>
      </c>
      <c r="BE670" s="114">
        <f t="shared" si="1"/>
        <v>1.026</v>
      </c>
      <c r="BF670" s="114">
        <f t="shared" si="1"/>
        <v>1.0169999999999999</v>
      </c>
      <c r="BG670" s="114">
        <f t="shared" si="1"/>
        <v>1.026</v>
      </c>
      <c r="BH670" s="114">
        <f t="shared" si="1"/>
        <v>1.0249999999999999</v>
      </c>
      <c r="BI670" s="114">
        <f t="shared" si="1"/>
        <v>1.0469999999999999</v>
      </c>
      <c r="BJ670" s="114">
        <f t="shared" si="1"/>
        <v>1.0329999999999999</v>
      </c>
      <c r="BK670" s="114">
        <f t="shared" si="1"/>
        <v>1.0209999999999999</v>
      </c>
      <c r="BL670" s="114">
        <f t="shared" si="1"/>
        <v>1.0109999999999999</v>
      </c>
      <c r="BM670" s="114">
        <f t="shared" si="1"/>
        <v>1.018</v>
      </c>
      <c r="BN670" s="114">
        <f t="shared" si="1"/>
        <v>1.014</v>
      </c>
      <c r="BO670" s="114">
        <f t="shared" si="1"/>
        <v>1.0109999999999999</v>
      </c>
      <c r="BP670" s="114">
        <f t="shared" si="1"/>
        <v>1.032</v>
      </c>
      <c r="BQ670" s="114">
        <f t="shared" ref="BQ670:CG670" si="2">1+BQ13</f>
        <v>1.0029999999999999</v>
      </c>
      <c r="BR670" s="114">
        <f t="shared" si="2"/>
        <v>1.0149999999999999</v>
      </c>
      <c r="BS670" s="114">
        <f t="shared" si="2"/>
        <v>1.026</v>
      </c>
      <c r="BT670" s="114">
        <f t="shared" si="2"/>
        <v>1.0229999999999999</v>
      </c>
      <c r="BU670" s="114">
        <f t="shared" si="2"/>
        <v>1.028</v>
      </c>
      <c r="BV670" s="114">
        <f t="shared" si="2"/>
        <v>1.01</v>
      </c>
      <c r="BW670" s="114">
        <f t="shared" si="2"/>
        <v>1.008</v>
      </c>
      <c r="BX670" s="114">
        <f t="shared" si="2"/>
        <v>1.002</v>
      </c>
      <c r="BY670" s="114">
        <f t="shared" si="2"/>
        <v>1.014</v>
      </c>
      <c r="BZ670" s="114">
        <f t="shared" si="2"/>
        <v>1.012</v>
      </c>
      <c r="CA670" s="114">
        <f t="shared" si="2"/>
        <v>1.026</v>
      </c>
      <c r="CB670" s="114">
        <f t="shared" si="2"/>
        <v>1.016</v>
      </c>
      <c r="CC670" s="114">
        <f t="shared" si="2"/>
        <v>1.018</v>
      </c>
      <c r="CD670" s="114">
        <f t="shared" si="2"/>
        <v>1.0620000000000001</v>
      </c>
      <c r="CE670" s="114">
        <f t="shared" si="2"/>
        <v>1.08</v>
      </c>
      <c r="CF670" s="114">
        <f t="shared" si="2"/>
        <v>1.028</v>
      </c>
      <c r="CG670" s="114">
        <f t="shared" si="2"/>
        <v>1.0169999999999999</v>
      </c>
    </row>
    <row r="671" spans="1:1638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16383">
      <c r="A672" s="3"/>
      <c r="B672" s="2" t="s">
        <v>945</v>
      </c>
      <c r="C672" s="2"/>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c r="A673" s="3"/>
      <c r="B673" s="115">
        <v>1946</v>
      </c>
      <c r="C673" s="115"/>
      <c r="D673" s="3"/>
      <c r="E673" s="116">
        <v>1</v>
      </c>
      <c r="F673" s="117">
        <f>E673*F$670</f>
        <v>1.0362549800796814</v>
      </c>
      <c r="G673" s="117">
        <f>F673*G$670</f>
        <v>1.0729083665338646</v>
      </c>
      <c r="H673" s="117">
        <f t="shared" ref="H673:W688" si="3">G673*H$670</f>
        <v>1.1406374501992034</v>
      </c>
      <c r="I673" s="117">
        <f t="shared" si="3"/>
        <v>1.2446215139442232</v>
      </c>
      <c r="J673" s="117">
        <f t="shared" si="3"/>
        <v>1.3645418326693228</v>
      </c>
      <c r="K673" s="117">
        <f t="shared" si="3"/>
        <v>1.3645418326693228</v>
      </c>
      <c r="L673" s="117">
        <f t="shared" si="3"/>
        <v>1.3645418326693228</v>
      </c>
      <c r="M673" s="117">
        <f t="shared" si="3"/>
        <v>1.4191235059760958</v>
      </c>
      <c r="N673" s="117">
        <f t="shared" si="3"/>
        <v>1.4462151394422313</v>
      </c>
      <c r="O673" s="117">
        <f t="shared" si="3"/>
        <v>1.4737051792828686</v>
      </c>
      <c r="P673" s="117">
        <f t="shared" si="3"/>
        <v>1.5693227091633466</v>
      </c>
      <c r="Q673" s="117">
        <f t="shared" si="3"/>
        <v>1.5964143426294821</v>
      </c>
      <c r="R673" s="117">
        <f t="shared" si="3"/>
        <v>1.6099601593625501</v>
      </c>
      <c r="S673" s="117">
        <f t="shared" si="3"/>
        <v>1.6509960159362551</v>
      </c>
      <c r="T673" s="117">
        <f t="shared" si="3"/>
        <v>1.6784860557768928</v>
      </c>
      <c r="U673" s="117">
        <f t="shared" si="3"/>
        <v>1.7107569721115541</v>
      </c>
      <c r="V673" s="117">
        <f t="shared" si="3"/>
        <v>1.7760956175298808</v>
      </c>
      <c r="W673" s="117">
        <f t="shared" si="3"/>
        <v>1.8098414342629483</v>
      </c>
      <c r="X673" s="117">
        <f t="shared" ref="X673:AM688" si="4">W673*X$670</f>
        <v>1.9618681147410362</v>
      </c>
      <c r="Y673" s="117">
        <f t="shared" si="4"/>
        <v>2.0462284436749005</v>
      </c>
      <c r="Z673" s="117">
        <f t="shared" si="4"/>
        <v>2.164909693408045</v>
      </c>
      <c r="AA673" s="117">
        <f t="shared" si="4"/>
        <v>2.2493411714509586</v>
      </c>
      <c r="AB673" s="117">
        <f t="shared" si="4"/>
        <v>2.3235694301088401</v>
      </c>
      <c r="AC673" s="117">
        <f t="shared" si="4"/>
        <v>2.4838957207863501</v>
      </c>
      <c r="AD673" s="117">
        <f t="shared" si="4"/>
        <v>2.6180260897088132</v>
      </c>
      <c r="AE673" s="117">
        <f t="shared" si="4"/>
        <v>2.8169960725266834</v>
      </c>
      <c r="AF673" s="117">
        <f>AE673*AF$670</f>
        <v>3.025453781893658</v>
      </c>
      <c r="AG673" s="117">
        <f t="shared" si="4"/>
        <v>3.2705155382270443</v>
      </c>
      <c r="AH673" s="117">
        <f t="shared" si="4"/>
        <v>3.5910260609732951</v>
      </c>
      <c r="AI673" s="117">
        <f t="shared" si="4"/>
        <v>3.9752658494974376</v>
      </c>
      <c r="AJ673" s="117">
        <f t="shared" si="4"/>
        <v>4.3052129150057246</v>
      </c>
      <c r="AK673" s="117">
        <f t="shared" si="4"/>
        <v>4.5979673932261145</v>
      </c>
      <c r="AL673" s="117">
        <f t="shared" si="4"/>
        <v>4.7910820237416116</v>
      </c>
      <c r="AM673" s="117">
        <f t="shared" si="4"/>
        <v>4.9731431406437929</v>
      </c>
      <c r="AN673" s="117">
        <f t="shared" ref="AN673:BC688" si="5">AM673*AN$670</f>
        <v>5.3262363036295017</v>
      </c>
      <c r="AO673" s="117">
        <f t="shared" si="5"/>
        <v>5.6671154270617903</v>
      </c>
      <c r="AP673" s="117">
        <f t="shared" si="5"/>
        <v>6.0014752372584352</v>
      </c>
      <c r="AQ673" s="117">
        <f t="shared" si="5"/>
        <v>6.1575135934271543</v>
      </c>
      <c r="AR673" s="117">
        <f t="shared" si="5"/>
        <v>6.3299239740431146</v>
      </c>
      <c r="AS673" s="117">
        <f t="shared" si="5"/>
        <v>6.4755122254461055</v>
      </c>
      <c r="AT673" s="117">
        <f t="shared" si="5"/>
        <v>6.4431346643188752</v>
      </c>
      <c r="AU673" s="117">
        <f t="shared" si="5"/>
        <v>6.4560209336475127</v>
      </c>
      <c r="AV673" s="117">
        <f t="shared" si="5"/>
        <v>6.5141251220503396</v>
      </c>
      <c r="AW673" s="117">
        <f t="shared" si="5"/>
        <v>6.5857804983928929</v>
      </c>
      <c r="AX673" s="117">
        <f t="shared" si="5"/>
        <v>6.7438392303543226</v>
      </c>
      <c r="AY673" s="117">
        <f t="shared" si="5"/>
        <v>7.0540558349506215</v>
      </c>
      <c r="AZ673" s="117">
        <f t="shared" si="5"/>
        <v>7.3009477891738923</v>
      </c>
      <c r="BA673" s="117">
        <f t="shared" si="5"/>
        <v>7.4469667449573702</v>
      </c>
      <c r="BB673" s="117">
        <f t="shared" si="5"/>
        <v>7.6405878803262617</v>
      </c>
      <c r="BC673" s="117">
        <f t="shared" si="5"/>
        <v>7.7551966985311545</v>
      </c>
      <c r="BD673" s="117">
        <f t="shared" ref="BD673:BS688" si="6">BC673*BD$670</f>
        <v>7.9025454358032459</v>
      </c>
      <c r="BE673" s="117">
        <f t="shared" si="6"/>
        <v>8.1080116171341299</v>
      </c>
      <c r="BF673" s="117">
        <f t="shared" si="6"/>
        <v>8.2458478146254102</v>
      </c>
      <c r="BG673" s="117">
        <f t="shared" si="6"/>
        <v>8.4602398578056714</v>
      </c>
      <c r="BH673" s="117">
        <f t="shared" si="6"/>
        <v>8.6717458542508119</v>
      </c>
      <c r="BI673" s="117">
        <f t="shared" si="6"/>
        <v>9.0793179094005989</v>
      </c>
      <c r="BJ673" s="117">
        <f t="shared" si="6"/>
        <v>9.3789354004108176</v>
      </c>
      <c r="BK673" s="117">
        <f t="shared" si="6"/>
        <v>9.5758930438194447</v>
      </c>
      <c r="BL673" s="117">
        <f t="shared" si="6"/>
        <v>9.6812278673014571</v>
      </c>
      <c r="BM673" s="117">
        <f t="shared" si="6"/>
        <v>9.8554899689128828</v>
      </c>
      <c r="BN673" s="117">
        <f t="shared" si="6"/>
        <v>9.9934668284776631</v>
      </c>
      <c r="BO673" s="117">
        <f t="shared" si="6"/>
        <v>10.103394963590917</v>
      </c>
      <c r="BP673" s="117">
        <f t="shared" si="6"/>
        <v>10.426703602425826</v>
      </c>
      <c r="BQ673" s="117">
        <f t="shared" si="6"/>
        <v>10.457983713233103</v>
      </c>
      <c r="BR673" s="117">
        <f t="shared" si="6"/>
        <v>10.614853468931599</v>
      </c>
      <c r="BS673" s="117">
        <f t="shared" si="6"/>
        <v>10.890839659123822</v>
      </c>
      <c r="BT673" s="117">
        <f t="shared" ref="BT673:CG688" si="7">BS673*BT$670</f>
        <v>11.141328971283668</v>
      </c>
      <c r="BU673" s="117">
        <f t="shared" si="7"/>
        <v>11.45328618247961</v>
      </c>
      <c r="BV673" s="117">
        <f t="shared" si="7"/>
        <v>11.567819044304407</v>
      </c>
      <c r="BW673" s="117">
        <f t="shared" si="7"/>
        <v>11.660361596658843</v>
      </c>
      <c r="BX673" s="117">
        <f t="shared" si="7"/>
        <v>11.683682319852162</v>
      </c>
      <c r="BY673" s="117">
        <f t="shared" si="7"/>
        <v>11.847253872330093</v>
      </c>
      <c r="BZ673" s="117">
        <f t="shared" si="7"/>
        <v>11.989420918798054</v>
      </c>
      <c r="CA673" s="117">
        <f t="shared" si="7"/>
        <v>12.301145862686804</v>
      </c>
      <c r="CB673" s="117">
        <f t="shared" si="7"/>
        <v>12.497964196489793</v>
      </c>
      <c r="CC673" s="117">
        <f t="shared" si="7"/>
        <v>12.72292755202661</v>
      </c>
      <c r="CD673" s="117">
        <f t="shared" si="7"/>
        <v>13.51174906025226</v>
      </c>
      <c r="CE673" s="117">
        <f t="shared" si="7"/>
        <v>14.592688985072442</v>
      </c>
      <c r="CF673" s="117">
        <f t="shared" si="7"/>
        <v>15.00128427665447</v>
      </c>
      <c r="CG673" s="117">
        <f t="shared" si="7"/>
        <v>15.256306109357595</v>
      </c>
    </row>
    <row r="674" spans="1:85">
      <c r="A674" s="3"/>
      <c r="B674" s="115">
        <v>1947</v>
      </c>
      <c r="C674" s="115"/>
      <c r="D674" s="3"/>
      <c r="E674" s="118"/>
      <c r="F674" s="116">
        <v>1</v>
      </c>
      <c r="G674" s="117">
        <f>F674*G$670</f>
        <v>1.0353710111495578</v>
      </c>
      <c r="H674" s="117">
        <f t="shared" si="3"/>
        <v>1.1007304882737408</v>
      </c>
      <c r="I674" s="117">
        <f t="shared" si="3"/>
        <v>1.2010765090349864</v>
      </c>
      <c r="J674" s="117">
        <f t="shared" si="3"/>
        <v>1.3168012302960399</v>
      </c>
      <c r="K674" s="117">
        <f t="shared" si="3"/>
        <v>1.3168012302960399</v>
      </c>
      <c r="L674" s="117">
        <f t="shared" si="3"/>
        <v>1.3168012302960399</v>
      </c>
      <c r="M674" s="117">
        <f t="shared" si="3"/>
        <v>1.3694732795078814</v>
      </c>
      <c r="N674" s="117">
        <f t="shared" si="3"/>
        <v>1.3956170703575546</v>
      </c>
      <c r="O674" s="117">
        <f t="shared" si="3"/>
        <v>1.4221453287197228</v>
      </c>
      <c r="P674" s="117">
        <f t="shared" si="3"/>
        <v>1.5144175317185693</v>
      </c>
      <c r="Q674" s="117">
        <f t="shared" si="3"/>
        <v>1.5405613225682426</v>
      </c>
      <c r="R674" s="117">
        <f t="shared" si="3"/>
        <v>1.5536332179930794</v>
      </c>
      <c r="S674" s="117">
        <f t="shared" si="3"/>
        <v>1.5932333717800842</v>
      </c>
      <c r="T674" s="117">
        <f t="shared" si="3"/>
        <v>1.6197616301422528</v>
      </c>
      <c r="U674" s="117">
        <f t="shared" si="3"/>
        <v>1.6509034986543634</v>
      </c>
      <c r="V674" s="117">
        <f t="shared" si="3"/>
        <v>1.7139561707035753</v>
      </c>
      <c r="W674" s="117">
        <f t="shared" si="3"/>
        <v>1.7465213379469431</v>
      </c>
      <c r="X674" s="117">
        <f t="shared" si="4"/>
        <v>1.8932291303344864</v>
      </c>
      <c r="Y674" s="117">
        <f t="shared" si="4"/>
        <v>1.9746379829388692</v>
      </c>
      <c r="Z674" s="117">
        <f t="shared" si="4"/>
        <v>2.0891669859493236</v>
      </c>
      <c r="AA674" s="117">
        <f t="shared" si="4"/>
        <v>2.1706444984013471</v>
      </c>
      <c r="AB674" s="117">
        <f t="shared" si="4"/>
        <v>2.2422757668485915</v>
      </c>
      <c r="AC674" s="117">
        <f t="shared" si="4"/>
        <v>2.396992794761144</v>
      </c>
      <c r="AD674" s="117">
        <f t="shared" si="4"/>
        <v>2.5264304056782461</v>
      </c>
      <c r="AE674" s="117">
        <f t="shared" si="4"/>
        <v>2.718439116509793</v>
      </c>
      <c r="AF674" s="117">
        <f t="shared" si="4"/>
        <v>2.9196036111315178</v>
      </c>
      <c r="AG674" s="117">
        <f t="shared" si="4"/>
        <v>3.1560915036331707</v>
      </c>
      <c r="AH674" s="117">
        <f t="shared" si="4"/>
        <v>3.4653884709892218</v>
      </c>
      <c r="AI674" s="117">
        <f t="shared" si="4"/>
        <v>3.8361850373850683</v>
      </c>
      <c r="AJ674" s="117">
        <f t="shared" si="4"/>
        <v>4.1545883954880285</v>
      </c>
      <c r="AK674" s="117">
        <f t="shared" si="4"/>
        <v>4.4371004063812149</v>
      </c>
      <c r="AL674" s="117">
        <f t="shared" si="4"/>
        <v>4.6234586234492259</v>
      </c>
      <c r="AM674" s="117">
        <f t="shared" si="4"/>
        <v>4.7991500511402965</v>
      </c>
      <c r="AN674" s="117">
        <f t="shared" si="5"/>
        <v>5.1398897047712575</v>
      </c>
      <c r="AO674" s="117">
        <f t="shared" si="5"/>
        <v>5.4688426458766184</v>
      </c>
      <c r="AP674" s="117">
        <f t="shared" si="5"/>
        <v>5.7915043619833382</v>
      </c>
      <c r="AQ674" s="117">
        <f t="shared" si="5"/>
        <v>5.942083475394905</v>
      </c>
      <c r="AR674" s="117">
        <f t="shared" si="5"/>
        <v>6.1084618127059622</v>
      </c>
      <c r="AS674" s="117">
        <f t="shared" si="5"/>
        <v>6.2489564343981989</v>
      </c>
      <c r="AT674" s="117">
        <f t="shared" si="5"/>
        <v>6.2177116522262077</v>
      </c>
      <c r="AU674" s="117">
        <f t="shared" si="5"/>
        <v>6.2301470755306605</v>
      </c>
      <c r="AV674" s="117">
        <f t="shared" si="5"/>
        <v>6.2862183992104361</v>
      </c>
      <c r="AW674" s="117">
        <f t="shared" si="5"/>
        <v>6.3553668016017504</v>
      </c>
      <c r="AX674" s="117">
        <f t="shared" si="5"/>
        <v>6.5078956048401926</v>
      </c>
      <c r="AY674" s="117">
        <f t="shared" si="5"/>
        <v>6.807258802662842</v>
      </c>
      <c r="AZ674" s="117">
        <f t="shared" si="5"/>
        <v>7.0455128607560411</v>
      </c>
      <c r="BA674" s="117">
        <f t="shared" si="5"/>
        <v>7.1864231179711622</v>
      </c>
      <c r="BB674" s="117">
        <f t="shared" si="5"/>
        <v>7.3732701190384127</v>
      </c>
      <c r="BC674" s="117">
        <f t="shared" si="5"/>
        <v>7.4838691708239882</v>
      </c>
      <c r="BD674" s="117">
        <f t="shared" si="6"/>
        <v>7.6260626850696429</v>
      </c>
      <c r="BE674" s="117">
        <f t="shared" si="6"/>
        <v>7.8243403148814537</v>
      </c>
      <c r="BF674" s="117">
        <f t="shared" si="6"/>
        <v>7.9573541002344372</v>
      </c>
      <c r="BG674" s="117">
        <f t="shared" si="6"/>
        <v>8.1642453068405327</v>
      </c>
      <c r="BH674" s="117">
        <f t="shared" si="6"/>
        <v>8.3683514395115459</v>
      </c>
      <c r="BI674" s="117">
        <f t="shared" si="6"/>
        <v>8.7616639571685884</v>
      </c>
      <c r="BJ674" s="117">
        <f t="shared" si="6"/>
        <v>9.0507988677551516</v>
      </c>
      <c r="BK674" s="117">
        <f t="shared" si="6"/>
        <v>9.2408656439780081</v>
      </c>
      <c r="BL674" s="117">
        <f t="shared" si="6"/>
        <v>9.3425151660617658</v>
      </c>
      <c r="BM674" s="117">
        <f t="shared" si="6"/>
        <v>9.5106804390508781</v>
      </c>
      <c r="BN674" s="117">
        <f t="shared" si="6"/>
        <v>9.6438299651975914</v>
      </c>
      <c r="BO674" s="117">
        <f t="shared" si="6"/>
        <v>9.7499120948147642</v>
      </c>
      <c r="BP674" s="117">
        <f t="shared" si="6"/>
        <v>10.061909281848838</v>
      </c>
      <c r="BQ674" s="117">
        <f t="shared" si="6"/>
        <v>10.092095009694383</v>
      </c>
      <c r="BR674" s="117">
        <f t="shared" si="6"/>
        <v>10.243476434839797</v>
      </c>
      <c r="BS674" s="117">
        <f t="shared" si="6"/>
        <v>10.509806822145633</v>
      </c>
      <c r="BT674" s="117">
        <f t="shared" si="7"/>
        <v>10.75153237905498</v>
      </c>
      <c r="BU674" s="117">
        <f t="shared" si="7"/>
        <v>11.052575285668521</v>
      </c>
      <c r="BV674" s="117">
        <f t="shared" si="7"/>
        <v>11.163101038525205</v>
      </c>
      <c r="BW674" s="117">
        <f t="shared" si="7"/>
        <v>11.252405846833406</v>
      </c>
      <c r="BX674" s="117">
        <f t="shared" si="7"/>
        <v>11.274910658527073</v>
      </c>
      <c r="BY674" s="117">
        <f t="shared" si="7"/>
        <v>11.432759407746452</v>
      </c>
      <c r="BZ674" s="117">
        <f t="shared" si="7"/>
        <v>11.56995252063941</v>
      </c>
      <c r="CA674" s="117">
        <f t="shared" si="7"/>
        <v>11.870771286176035</v>
      </c>
      <c r="CB674" s="117">
        <f t="shared" si="7"/>
        <v>12.060703626754853</v>
      </c>
      <c r="CC674" s="117">
        <f t="shared" si="7"/>
        <v>12.27779629203644</v>
      </c>
      <c r="CD674" s="117">
        <f t="shared" si="7"/>
        <v>13.039019662142699</v>
      </c>
      <c r="CE674" s="117">
        <f t="shared" si="7"/>
        <v>14.082141235114117</v>
      </c>
      <c r="CF674" s="117">
        <f t="shared" si="7"/>
        <v>14.476441189697312</v>
      </c>
      <c r="CG674" s="117">
        <f t="shared" si="7"/>
        <v>14.722540689922164</v>
      </c>
    </row>
    <row r="675" spans="1:85">
      <c r="A675" s="3"/>
      <c r="B675" s="115">
        <v>1948</v>
      </c>
      <c r="C675" s="115"/>
      <c r="D675" s="3"/>
      <c r="E675" s="118"/>
      <c r="F675" s="118"/>
      <c r="G675" s="116">
        <v>1</v>
      </c>
      <c r="H675" s="117">
        <f t="shared" si="3"/>
        <v>1.0631266245822504</v>
      </c>
      <c r="I675" s="117">
        <f t="shared" si="3"/>
        <v>1.1600445599702933</v>
      </c>
      <c r="J675" s="117">
        <f t="shared" si="3"/>
        <v>1.2718158187894542</v>
      </c>
      <c r="K675" s="117">
        <f t="shared" si="3"/>
        <v>1.2718158187894542</v>
      </c>
      <c r="L675" s="117">
        <f t="shared" si="3"/>
        <v>1.2718158187894542</v>
      </c>
      <c r="M675" s="117">
        <f t="shared" si="3"/>
        <v>1.3226884515410324</v>
      </c>
      <c r="N675" s="117">
        <f t="shared" si="3"/>
        <v>1.3479391013739326</v>
      </c>
      <c r="O675" s="117">
        <f t="shared" si="3"/>
        <v>1.3735610842926105</v>
      </c>
      <c r="P675" s="117">
        <f t="shared" si="3"/>
        <v>1.4626810248793167</v>
      </c>
      <c r="Q675" s="117">
        <f t="shared" si="3"/>
        <v>1.4879316747122169</v>
      </c>
      <c r="R675" s="117">
        <f t="shared" si="3"/>
        <v>1.5005569996286672</v>
      </c>
      <c r="S675" s="117">
        <f t="shared" si="3"/>
        <v>1.5388043074637952</v>
      </c>
      <c r="T675" s="117">
        <f t="shared" si="3"/>
        <v>1.5644262903824735</v>
      </c>
      <c r="U675" s="117">
        <f t="shared" si="3"/>
        <v>1.5945042703304868</v>
      </c>
      <c r="V675" s="117">
        <f t="shared" si="3"/>
        <v>1.6554028963980694</v>
      </c>
      <c r="W675" s="117">
        <f t="shared" si="3"/>
        <v>1.6868555514296326</v>
      </c>
      <c r="X675" s="117">
        <f t="shared" si="4"/>
        <v>1.828551417749722</v>
      </c>
      <c r="Y675" s="117">
        <f t="shared" si="4"/>
        <v>1.9071791287129598</v>
      </c>
      <c r="Z675" s="117">
        <f t="shared" si="4"/>
        <v>2.0177955181783114</v>
      </c>
      <c r="AA675" s="117">
        <f t="shared" si="4"/>
        <v>2.0964895433872655</v>
      </c>
      <c r="AB675" s="117">
        <f t="shared" si="4"/>
        <v>2.1656736983190452</v>
      </c>
      <c r="AC675" s="117">
        <f t="shared" si="4"/>
        <v>2.3151051835030594</v>
      </c>
      <c r="AD675" s="117">
        <f t="shared" si="4"/>
        <v>2.4401208634122247</v>
      </c>
      <c r="AE675" s="117">
        <f t="shared" si="4"/>
        <v>2.6255700490315541</v>
      </c>
      <c r="AF675" s="117">
        <f t="shared" si="4"/>
        <v>2.8198622326598892</v>
      </c>
      <c r="AG675" s="117">
        <f t="shared" si="4"/>
        <v>3.0482710735053402</v>
      </c>
      <c r="AH675" s="117">
        <f t="shared" si="4"/>
        <v>3.3470016387088637</v>
      </c>
      <c r="AI675" s="117">
        <f t="shared" si="4"/>
        <v>3.7051308140507122</v>
      </c>
      <c r="AJ675" s="117">
        <f t="shared" si="4"/>
        <v>4.012656671616921</v>
      </c>
      <c r="AK675" s="117">
        <f t="shared" si="4"/>
        <v>4.2855173252868717</v>
      </c>
      <c r="AL675" s="117">
        <f t="shared" si="4"/>
        <v>4.4655090529489208</v>
      </c>
      <c r="AM675" s="117">
        <f t="shared" si="4"/>
        <v>4.6351983969609796</v>
      </c>
      <c r="AN675" s="117">
        <f t="shared" si="5"/>
        <v>4.9642974831452085</v>
      </c>
      <c r="AO675" s="117">
        <f t="shared" si="5"/>
        <v>5.282012522066502</v>
      </c>
      <c r="AP675" s="117">
        <f t="shared" si="5"/>
        <v>5.593651260868425</v>
      </c>
      <c r="AQ675" s="117">
        <f t="shared" si="5"/>
        <v>5.739086193651004</v>
      </c>
      <c r="AR675" s="117">
        <f t="shared" si="5"/>
        <v>5.8997806070732324</v>
      </c>
      <c r="AS675" s="117">
        <f t="shared" si="5"/>
        <v>6.0354755610359163</v>
      </c>
      <c r="AT675" s="117">
        <f t="shared" si="5"/>
        <v>6.0052981832307371</v>
      </c>
      <c r="AU675" s="117">
        <f t="shared" si="5"/>
        <v>6.0173087795971982</v>
      </c>
      <c r="AV675" s="117">
        <f t="shared" si="5"/>
        <v>6.071464558613572</v>
      </c>
      <c r="AW675" s="117">
        <f t="shared" si="5"/>
        <v>6.1382506687583209</v>
      </c>
      <c r="AX675" s="117">
        <f t="shared" si="5"/>
        <v>6.2855686848085206</v>
      </c>
      <c r="AY675" s="117">
        <f t="shared" si="5"/>
        <v>6.5747048443097125</v>
      </c>
      <c r="AZ675" s="117">
        <f t="shared" si="5"/>
        <v>6.8048195138605516</v>
      </c>
      <c r="BA675" s="117">
        <f t="shared" si="5"/>
        <v>6.9409159041377624</v>
      </c>
      <c r="BB675" s="117">
        <f t="shared" si="5"/>
        <v>7.1213797176453442</v>
      </c>
      <c r="BC675" s="117">
        <f t="shared" si="5"/>
        <v>7.2282004134100237</v>
      </c>
      <c r="BD675" s="117">
        <f t="shared" si="6"/>
        <v>7.3655362212648132</v>
      </c>
      <c r="BE675" s="117">
        <f t="shared" si="6"/>
        <v>7.5570401630176987</v>
      </c>
      <c r="BF675" s="117">
        <f t="shared" si="6"/>
        <v>7.6855098457889985</v>
      </c>
      <c r="BG675" s="117">
        <f t="shared" si="6"/>
        <v>7.885333101779513</v>
      </c>
      <c r="BH675" s="117">
        <f t="shared" si="6"/>
        <v>8.0824664293240005</v>
      </c>
      <c r="BI675" s="117">
        <f t="shared" si="6"/>
        <v>8.4623423515022278</v>
      </c>
      <c r="BJ675" s="117">
        <f t="shared" si="6"/>
        <v>8.7415996491018007</v>
      </c>
      <c r="BK675" s="117">
        <f t="shared" si="6"/>
        <v>8.9251732417329368</v>
      </c>
      <c r="BL675" s="117">
        <f t="shared" si="6"/>
        <v>9.0233501473919979</v>
      </c>
      <c r="BM675" s="117">
        <f t="shared" si="6"/>
        <v>9.1857704500450534</v>
      </c>
      <c r="BN675" s="117">
        <f t="shared" si="6"/>
        <v>9.3143712363456839</v>
      </c>
      <c r="BO675" s="117">
        <f t="shared" si="6"/>
        <v>9.4168293199454851</v>
      </c>
      <c r="BP675" s="117">
        <f t="shared" si="6"/>
        <v>9.7181678581837403</v>
      </c>
      <c r="BQ675" s="117">
        <f t="shared" si="6"/>
        <v>9.7473223617582896</v>
      </c>
      <c r="BR675" s="117">
        <f t="shared" si="6"/>
        <v>9.8935321971846637</v>
      </c>
      <c r="BS675" s="117">
        <f t="shared" si="6"/>
        <v>10.150764034311464</v>
      </c>
      <c r="BT675" s="117">
        <f t="shared" si="7"/>
        <v>10.384231607100627</v>
      </c>
      <c r="BU675" s="117">
        <f t="shared" si="7"/>
        <v>10.674990092099446</v>
      </c>
      <c r="BV675" s="117">
        <f t="shared" si="7"/>
        <v>10.781739993020441</v>
      </c>
      <c r="BW675" s="117">
        <f t="shared" si="7"/>
        <v>10.867993912964604</v>
      </c>
      <c r="BX675" s="117">
        <f t="shared" si="7"/>
        <v>10.889729900790533</v>
      </c>
      <c r="BY675" s="117">
        <f t="shared" si="7"/>
        <v>11.042186119401601</v>
      </c>
      <c r="BZ675" s="117">
        <f t="shared" si="7"/>
        <v>11.17469235283442</v>
      </c>
      <c r="CA675" s="117">
        <f t="shared" si="7"/>
        <v>11.465234354008114</v>
      </c>
      <c r="CB675" s="117">
        <f t="shared" si="7"/>
        <v>11.648678103672244</v>
      </c>
      <c r="CC675" s="117">
        <f t="shared" si="7"/>
        <v>11.858354309538345</v>
      </c>
      <c r="CD675" s="117">
        <f t="shared" si="7"/>
        <v>12.593572276729724</v>
      </c>
      <c r="CE675" s="117">
        <f t="shared" si="7"/>
        <v>13.601058058868102</v>
      </c>
      <c r="CF675" s="117">
        <f t="shared" si="7"/>
        <v>13.981887684516408</v>
      </c>
      <c r="CG675" s="117">
        <f t="shared" si="7"/>
        <v>14.219579775153186</v>
      </c>
    </row>
    <row r="676" spans="1:85">
      <c r="A676" s="3"/>
      <c r="B676" s="115">
        <v>1949</v>
      </c>
      <c r="C676" s="115"/>
      <c r="D676" s="3"/>
      <c r="E676" s="118"/>
      <c r="F676" s="118"/>
      <c r="G676" s="118"/>
      <c r="H676" s="116">
        <v>1</v>
      </c>
      <c r="I676" s="117">
        <f t="shared" si="3"/>
        <v>1.0911631156129933</v>
      </c>
      <c r="J676" s="117">
        <f t="shared" si="3"/>
        <v>1.1962975899406219</v>
      </c>
      <c r="K676" s="117">
        <f t="shared" si="3"/>
        <v>1.1962975899406219</v>
      </c>
      <c r="L676" s="117">
        <f t="shared" si="3"/>
        <v>1.1962975899406219</v>
      </c>
      <c r="M676" s="117">
        <f t="shared" si="3"/>
        <v>1.2441494935382467</v>
      </c>
      <c r="N676" s="117">
        <f t="shared" si="3"/>
        <v>1.267900803353126</v>
      </c>
      <c r="O676" s="117">
        <f t="shared" si="3"/>
        <v>1.2920013971358713</v>
      </c>
      <c r="P676" s="117">
        <f t="shared" si="3"/>
        <v>1.3758295494236812</v>
      </c>
      <c r="Q676" s="117">
        <f t="shared" si="3"/>
        <v>1.3995808592385608</v>
      </c>
      <c r="R676" s="117">
        <f t="shared" si="3"/>
        <v>1.4114565141460007</v>
      </c>
      <c r="S676" s="117">
        <f t="shared" si="3"/>
        <v>1.4474327628361856</v>
      </c>
      <c r="T676" s="117">
        <f t="shared" si="3"/>
        <v>1.4715333566189313</v>
      </c>
      <c r="U676" s="117">
        <f t="shared" si="3"/>
        <v>1.499825358016067</v>
      </c>
      <c r="V676" s="117">
        <f t="shared" si="3"/>
        <v>1.5571079287460705</v>
      </c>
      <c r="W676" s="117">
        <f t="shared" si="3"/>
        <v>1.5866929793922457</v>
      </c>
      <c r="X676" s="117">
        <f t="shared" si="4"/>
        <v>1.7199751896611946</v>
      </c>
      <c r="Y676" s="117">
        <f t="shared" si="4"/>
        <v>1.7939341228166259</v>
      </c>
      <c r="Z676" s="117">
        <f t="shared" si="4"/>
        <v>1.8979823019399904</v>
      </c>
      <c r="AA676" s="117">
        <f t="shared" si="4"/>
        <v>1.9720036117156499</v>
      </c>
      <c r="AB676" s="117">
        <f t="shared" si="4"/>
        <v>2.0370797309022661</v>
      </c>
      <c r="AC676" s="117">
        <f t="shared" si="4"/>
        <v>2.1776382323345223</v>
      </c>
      <c r="AD676" s="117">
        <f t="shared" si="4"/>
        <v>2.2952306968805867</v>
      </c>
      <c r="AE676" s="117">
        <f t="shared" si="4"/>
        <v>2.4696682298435113</v>
      </c>
      <c r="AF676" s="117">
        <f t="shared" si="4"/>
        <v>2.6524236788519313</v>
      </c>
      <c r="AG676" s="117">
        <f t="shared" si="4"/>
        <v>2.8672699968389375</v>
      </c>
      <c r="AH676" s="117">
        <f t="shared" si="4"/>
        <v>3.1482624565291535</v>
      </c>
      <c r="AI676" s="117">
        <f t="shared" si="4"/>
        <v>3.4851265393777728</v>
      </c>
      <c r="AJ676" s="117">
        <f t="shared" si="4"/>
        <v>3.7743920421461277</v>
      </c>
      <c r="AK676" s="117">
        <f t="shared" si="4"/>
        <v>4.0310507010120649</v>
      </c>
      <c r="AL676" s="117">
        <f t="shared" si="4"/>
        <v>4.2003548304545717</v>
      </c>
      <c r="AM676" s="117">
        <f t="shared" si="4"/>
        <v>4.3599683140118453</v>
      </c>
      <c r="AN676" s="117">
        <f t="shared" si="5"/>
        <v>4.6695260643066865</v>
      </c>
      <c r="AO676" s="117">
        <f t="shared" si="5"/>
        <v>4.9683757324223148</v>
      </c>
      <c r="AP676" s="117">
        <f t="shared" si="5"/>
        <v>5.2615099006352315</v>
      </c>
      <c r="AQ676" s="117">
        <f t="shared" si="5"/>
        <v>5.3983091580517479</v>
      </c>
      <c r="AR676" s="117">
        <f t="shared" si="5"/>
        <v>5.5494618144771968</v>
      </c>
      <c r="AS676" s="117">
        <f t="shared" si="5"/>
        <v>5.6770994362101721</v>
      </c>
      <c r="AT676" s="117">
        <f t="shared" si="5"/>
        <v>5.648713939029121</v>
      </c>
      <c r="AU676" s="117">
        <f t="shared" si="5"/>
        <v>5.6600113669071792</v>
      </c>
      <c r="AV676" s="117">
        <f t="shared" si="5"/>
        <v>5.710951469209343</v>
      </c>
      <c r="AW676" s="117">
        <f t="shared" si="5"/>
        <v>5.7737719353706449</v>
      </c>
      <c r="AX676" s="117">
        <f t="shared" si="5"/>
        <v>5.9123424618195406</v>
      </c>
      <c r="AY676" s="117">
        <f t="shared" si="5"/>
        <v>6.1843102150632401</v>
      </c>
      <c r="AZ676" s="117">
        <f t="shared" si="5"/>
        <v>6.4007610725904529</v>
      </c>
      <c r="BA676" s="117">
        <f t="shared" si="5"/>
        <v>6.5287762940422622</v>
      </c>
      <c r="BB676" s="117">
        <f t="shared" si="5"/>
        <v>6.6985244776873616</v>
      </c>
      <c r="BC676" s="117">
        <f t="shared" si="5"/>
        <v>6.7990023448526715</v>
      </c>
      <c r="BD676" s="117">
        <f t="shared" si="6"/>
        <v>6.9281833894048717</v>
      </c>
      <c r="BE676" s="117">
        <f t="shared" si="6"/>
        <v>7.1083161575293987</v>
      </c>
      <c r="BF676" s="117">
        <f t="shared" si="6"/>
        <v>7.229157532207398</v>
      </c>
      <c r="BG676" s="117">
        <f t="shared" si="6"/>
        <v>7.4171156280447903</v>
      </c>
      <c r="BH676" s="117">
        <f t="shared" si="6"/>
        <v>7.6025435187459092</v>
      </c>
      <c r="BI676" s="117">
        <f t="shared" si="6"/>
        <v>7.9598630641269663</v>
      </c>
      <c r="BJ676" s="117">
        <f t="shared" si="6"/>
        <v>8.2225385452431556</v>
      </c>
      <c r="BK676" s="117">
        <f t="shared" si="6"/>
        <v>8.3952118546932617</v>
      </c>
      <c r="BL676" s="117">
        <f t="shared" si="6"/>
        <v>8.4875591850948862</v>
      </c>
      <c r="BM676" s="117">
        <f t="shared" si="6"/>
        <v>8.6403352504265936</v>
      </c>
      <c r="BN676" s="117">
        <f t="shared" si="6"/>
        <v>8.7612999439325652</v>
      </c>
      <c r="BO676" s="117">
        <f t="shared" si="6"/>
        <v>8.857674243315822</v>
      </c>
      <c r="BP676" s="117">
        <f t="shared" si="6"/>
        <v>9.1411198191019292</v>
      </c>
      <c r="BQ676" s="117">
        <f t="shared" si="6"/>
        <v>9.1685431785592346</v>
      </c>
      <c r="BR676" s="117">
        <f t="shared" si="6"/>
        <v>9.3060713262376229</v>
      </c>
      <c r="BS676" s="117">
        <f t="shared" si="6"/>
        <v>9.5480291807198014</v>
      </c>
      <c r="BT676" s="117">
        <f t="shared" si="7"/>
        <v>9.7676338518763561</v>
      </c>
      <c r="BU676" s="117">
        <f t="shared" si="7"/>
        <v>10.041127599728894</v>
      </c>
      <c r="BV676" s="117">
        <f t="shared" si="7"/>
        <v>10.141538875726182</v>
      </c>
      <c r="BW676" s="117">
        <f t="shared" si="7"/>
        <v>10.222671186731992</v>
      </c>
      <c r="BX676" s="117">
        <f t="shared" si="7"/>
        <v>10.243116529105455</v>
      </c>
      <c r="BY676" s="117">
        <f t="shared" si="7"/>
        <v>10.386520160512932</v>
      </c>
      <c r="BZ676" s="117">
        <f t="shared" si="7"/>
        <v>10.511158402439087</v>
      </c>
      <c r="CA676" s="117">
        <f t="shared" si="7"/>
        <v>10.784448520902503</v>
      </c>
      <c r="CB676" s="117">
        <f t="shared" si="7"/>
        <v>10.956999697236943</v>
      </c>
      <c r="CC676" s="117">
        <f t="shared" si="7"/>
        <v>11.154225691787209</v>
      </c>
      <c r="CD676" s="117">
        <f t="shared" si="7"/>
        <v>11.845787684678017</v>
      </c>
      <c r="CE676" s="117">
        <f t="shared" si="7"/>
        <v>12.79345069945226</v>
      </c>
      <c r="CF676" s="117">
        <f t="shared" si="7"/>
        <v>13.151667319036923</v>
      </c>
      <c r="CG676" s="117">
        <f t="shared" si="7"/>
        <v>13.37524566346055</v>
      </c>
    </row>
    <row r="677" spans="1:85">
      <c r="A677" s="3"/>
      <c r="B677" s="115">
        <v>1950</v>
      </c>
      <c r="C677" s="115"/>
      <c r="D677" s="3"/>
      <c r="E677" s="118"/>
      <c r="F677" s="118"/>
      <c r="G677" s="118"/>
      <c r="H677" s="118"/>
      <c r="I677" s="116">
        <v>1</v>
      </c>
      <c r="J677" s="117">
        <f>I677*J$670</f>
        <v>1.0963508322663253</v>
      </c>
      <c r="K677" s="117">
        <f t="shared" si="3"/>
        <v>1.0963508322663253</v>
      </c>
      <c r="L677" s="117">
        <f t="shared" si="3"/>
        <v>1.0963508322663253</v>
      </c>
      <c r="M677" s="117">
        <f t="shared" si="3"/>
        <v>1.1402048655569783</v>
      </c>
      <c r="N677" s="117">
        <f t="shared" si="3"/>
        <v>1.1619718309859155</v>
      </c>
      <c r="O677" s="117">
        <f t="shared" si="3"/>
        <v>1.184058898847631</v>
      </c>
      <c r="P677" s="117">
        <f t="shared" si="3"/>
        <v>1.2608834827144684</v>
      </c>
      <c r="Q677" s="117">
        <f t="shared" si="3"/>
        <v>1.2826504481434058</v>
      </c>
      <c r="R677" s="117">
        <f t="shared" si="3"/>
        <v>1.2935339308578746</v>
      </c>
      <c r="S677" s="117">
        <f t="shared" si="3"/>
        <v>1.3265044814340587</v>
      </c>
      <c r="T677" s="117">
        <f t="shared" si="3"/>
        <v>1.3485915492957747</v>
      </c>
      <c r="U677" s="117">
        <f t="shared" si="3"/>
        <v>1.3745198463508324</v>
      </c>
      <c r="V677" s="117">
        <f t="shared" si="3"/>
        <v>1.4270166453265045</v>
      </c>
      <c r="W677" s="117">
        <f t="shared" si="3"/>
        <v>1.4541299615877079</v>
      </c>
      <c r="X677" s="117">
        <f t="shared" si="4"/>
        <v>1.5762768783610754</v>
      </c>
      <c r="Y677" s="117">
        <f t="shared" si="4"/>
        <v>1.6440567841306015</v>
      </c>
      <c r="Z677" s="117">
        <f t="shared" si="4"/>
        <v>1.7394120776101765</v>
      </c>
      <c r="AA677" s="117">
        <f t="shared" si="4"/>
        <v>1.8072491486369733</v>
      </c>
      <c r="AB677" s="117">
        <f t="shared" si="4"/>
        <v>1.8668883705419932</v>
      </c>
      <c r="AC677" s="117">
        <f t="shared" si="4"/>
        <v>1.9957036681093907</v>
      </c>
      <c r="AD677" s="117">
        <f t="shared" si="4"/>
        <v>2.1034716661872981</v>
      </c>
      <c r="AE677" s="117">
        <f t="shared" si="4"/>
        <v>2.263335512817533</v>
      </c>
      <c r="AF677" s="117">
        <f t="shared" si="4"/>
        <v>2.4308223407660305</v>
      </c>
      <c r="AG677" s="117">
        <f t="shared" si="4"/>
        <v>2.6277189503680791</v>
      </c>
      <c r="AH677" s="117">
        <f t="shared" si="4"/>
        <v>2.8852354075041511</v>
      </c>
      <c r="AI677" s="117">
        <f t="shared" si="4"/>
        <v>3.1939555961070951</v>
      </c>
      <c r="AJ677" s="117">
        <f t="shared" si="4"/>
        <v>3.4590539105839837</v>
      </c>
      <c r="AK677" s="117">
        <f t="shared" si="4"/>
        <v>3.6942695765036948</v>
      </c>
      <c r="AL677" s="117">
        <f t="shared" si="4"/>
        <v>3.8494288987168503</v>
      </c>
      <c r="AM677" s="117">
        <f t="shared" si="4"/>
        <v>3.9957071968680906</v>
      </c>
      <c r="AN677" s="117">
        <f t="shared" si="5"/>
        <v>4.2794024078457245</v>
      </c>
      <c r="AO677" s="117">
        <f t="shared" si="5"/>
        <v>4.5532841619478512</v>
      </c>
      <c r="AP677" s="117">
        <f t="shared" si="5"/>
        <v>4.8219279275027738</v>
      </c>
      <c r="AQ677" s="117">
        <f t="shared" si="5"/>
        <v>4.9472980536178461</v>
      </c>
      <c r="AR677" s="117">
        <f t="shared" si="5"/>
        <v>5.085822399119146</v>
      </c>
      <c r="AS677" s="117">
        <f t="shared" si="5"/>
        <v>5.2027963142988858</v>
      </c>
      <c r="AT677" s="117">
        <f t="shared" si="5"/>
        <v>5.1767823327273916</v>
      </c>
      <c r="AU677" s="117">
        <f t="shared" si="5"/>
        <v>5.1871358973928468</v>
      </c>
      <c r="AV677" s="117">
        <f t="shared" si="5"/>
        <v>5.2338201204693817</v>
      </c>
      <c r="AW677" s="117">
        <f t="shared" si="5"/>
        <v>5.2913921417945442</v>
      </c>
      <c r="AX677" s="117">
        <f t="shared" si="5"/>
        <v>5.4183855531976137</v>
      </c>
      <c r="AY677" s="117">
        <f t="shared" si="5"/>
        <v>5.6676312886447038</v>
      </c>
      <c r="AZ677" s="117">
        <f t="shared" si="5"/>
        <v>5.865998383747268</v>
      </c>
      <c r="BA677" s="117">
        <f t="shared" si="5"/>
        <v>5.9833183514222137</v>
      </c>
      <c r="BB677" s="117">
        <f t="shared" si="5"/>
        <v>6.1388846285591914</v>
      </c>
      <c r="BC677" s="117">
        <f t="shared" si="5"/>
        <v>6.2309678979875782</v>
      </c>
      <c r="BD677" s="117">
        <f t="shared" si="6"/>
        <v>6.3493562880493419</v>
      </c>
      <c r="BE677" s="117">
        <f t="shared" si="6"/>
        <v>6.5144395515386249</v>
      </c>
      <c r="BF677" s="117">
        <f t="shared" si="6"/>
        <v>6.6251850239147805</v>
      </c>
      <c r="BG677" s="117">
        <f t="shared" si="6"/>
        <v>6.797439834536565</v>
      </c>
      <c r="BH677" s="117">
        <f t="shared" si="6"/>
        <v>6.9673758303999787</v>
      </c>
      <c r="BI677" s="117">
        <f t="shared" si="6"/>
        <v>7.2948424944287771</v>
      </c>
      <c r="BJ677" s="117">
        <f t="shared" si="6"/>
        <v>7.5355722967449266</v>
      </c>
      <c r="BK677" s="117">
        <f t="shared" si="6"/>
        <v>7.6938193149765697</v>
      </c>
      <c r="BL677" s="117">
        <f t="shared" si="6"/>
        <v>7.778451327441311</v>
      </c>
      <c r="BM677" s="117">
        <f t="shared" si="6"/>
        <v>7.9184634513352545</v>
      </c>
      <c r="BN677" s="117">
        <f t="shared" si="6"/>
        <v>8.0293219396539488</v>
      </c>
      <c r="BO677" s="117">
        <f t="shared" si="6"/>
        <v>8.1176444809901422</v>
      </c>
      <c r="BP677" s="117">
        <f t="shared" si="6"/>
        <v>8.3774091043818277</v>
      </c>
      <c r="BQ677" s="117">
        <f t="shared" si="6"/>
        <v>8.4025413316949731</v>
      </c>
      <c r="BR677" s="117">
        <f t="shared" si="6"/>
        <v>8.5285794516703977</v>
      </c>
      <c r="BS677" s="117">
        <f t="shared" si="6"/>
        <v>8.7503225174138279</v>
      </c>
      <c r="BT677" s="117">
        <f t="shared" si="7"/>
        <v>8.9515799353143457</v>
      </c>
      <c r="BU677" s="117">
        <f t="shared" si="7"/>
        <v>9.2022241735031471</v>
      </c>
      <c r="BV677" s="117">
        <f t="shared" si="7"/>
        <v>9.2942464152381792</v>
      </c>
      <c r="BW677" s="117">
        <f t="shared" si="7"/>
        <v>9.3686003865600842</v>
      </c>
      <c r="BX677" s="117">
        <f t="shared" si="7"/>
        <v>9.3873375873332048</v>
      </c>
      <c r="BY677" s="117">
        <f t="shared" si="7"/>
        <v>9.5187603135558696</v>
      </c>
      <c r="BZ677" s="117">
        <f t="shared" si="7"/>
        <v>9.6329854373185402</v>
      </c>
      <c r="CA677" s="117">
        <f t="shared" si="7"/>
        <v>9.8834430586888224</v>
      </c>
      <c r="CB677" s="117">
        <f t="shared" si="7"/>
        <v>10.041578147627844</v>
      </c>
      <c r="CC677" s="117">
        <f t="shared" si="7"/>
        <v>10.222326554285145</v>
      </c>
      <c r="CD677" s="117">
        <f t="shared" si="7"/>
        <v>10.856110800650825</v>
      </c>
      <c r="CE677" s="117">
        <f t="shared" si="7"/>
        <v>11.724599664702891</v>
      </c>
      <c r="CF677" s="117">
        <f t="shared" si="7"/>
        <v>12.052888455314573</v>
      </c>
      <c r="CG677" s="117">
        <f t="shared" si="7"/>
        <v>12.25778755905492</v>
      </c>
    </row>
    <row r="678" spans="1:85">
      <c r="A678" s="3"/>
      <c r="B678" s="115">
        <v>1951</v>
      </c>
      <c r="C678" s="115"/>
      <c r="D678" s="3"/>
      <c r="E678" s="118"/>
      <c r="F678" s="118"/>
      <c r="G678" s="118"/>
      <c r="H678" s="118"/>
      <c r="I678" s="118"/>
      <c r="J678" s="116">
        <v>1</v>
      </c>
      <c r="K678" s="117">
        <f t="shared" si="3"/>
        <v>1</v>
      </c>
      <c r="L678" s="117">
        <f t="shared" si="3"/>
        <v>1</v>
      </c>
      <c r="M678" s="117">
        <f t="shared" si="3"/>
        <v>1.04</v>
      </c>
      <c r="N678" s="117">
        <f t="shared" si="3"/>
        <v>1.0598540145985402</v>
      </c>
      <c r="O678" s="117">
        <f t="shared" si="3"/>
        <v>1.0799999999999998</v>
      </c>
      <c r="P678" s="117">
        <f t="shared" si="3"/>
        <v>1.1500729927007298</v>
      </c>
      <c r="Q678" s="117">
        <f t="shared" si="3"/>
        <v>1.16992700729927</v>
      </c>
      <c r="R678" s="117">
        <f t="shared" si="3"/>
        <v>1.1798540145985403</v>
      </c>
      <c r="S678" s="117">
        <f t="shared" si="3"/>
        <v>1.2099270072992701</v>
      </c>
      <c r="T678" s="117">
        <f t="shared" si="3"/>
        <v>1.2300729927007301</v>
      </c>
      <c r="U678" s="117">
        <f t="shared" si="3"/>
        <v>1.2537226277372264</v>
      </c>
      <c r="V678" s="117">
        <f t="shared" si="3"/>
        <v>1.3016058394160586</v>
      </c>
      <c r="W678" s="117">
        <f t="shared" si="3"/>
        <v>1.3263363503649634</v>
      </c>
      <c r="X678" s="117">
        <f t="shared" si="4"/>
        <v>1.4377486037956204</v>
      </c>
      <c r="Y678" s="117">
        <f t="shared" si="4"/>
        <v>1.499571793758832</v>
      </c>
      <c r="Z678" s="117">
        <f t="shared" si="4"/>
        <v>1.5865469577968443</v>
      </c>
      <c r="AA678" s="117">
        <f t="shared" si="4"/>
        <v>1.648422289150921</v>
      </c>
      <c r="AB678" s="117">
        <f t="shared" si="4"/>
        <v>1.7028202246929014</v>
      </c>
      <c r="AC678" s="117">
        <f t="shared" si="4"/>
        <v>1.8203148201967114</v>
      </c>
      <c r="AD678" s="117">
        <f t="shared" si="4"/>
        <v>1.9186118204873339</v>
      </c>
      <c r="AE678" s="117">
        <f t="shared" si="4"/>
        <v>2.0644263188443714</v>
      </c>
      <c r="AF678" s="117">
        <f t="shared" si="4"/>
        <v>2.2171938664388549</v>
      </c>
      <c r="AG678" s="117">
        <f t="shared" si="4"/>
        <v>2.396786569620402</v>
      </c>
      <c r="AH678" s="117">
        <f t="shared" si="4"/>
        <v>2.6316716534432016</v>
      </c>
      <c r="AI678" s="117">
        <f t="shared" si="4"/>
        <v>2.9132605203616242</v>
      </c>
      <c r="AJ678" s="117">
        <f t="shared" si="4"/>
        <v>3.1550611435516389</v>
      </c>
      <c r="AK678" s="117">
        <f t="shared" si="4"/>
        <v>3.3696053013131504</v>
      </c>
      <c r="AL678" s="117">
        <f t="shared" si="4"/>
        <v>3.5111287239683029</v>
      </c>
      <c r="AM678" s="117">
        <f t="shared" si="4"/>
        <v>3.6445516154790987</v>
      </c>
      <c r="AN678" s="117">
        <f t="shared" si="5"/>
        <v>3.9033147801781145</v>
      </c>
      <c r="AO678" s="117">
        <f t="shared" si="5"/>
        <v>4.1531269261095138</v>
      </c>
      <c r="AP678" s="117">
        <f t="shared" si="5"/>
        <v>4.3981614147499748</v>
      </c>
      <c r="AQ678" s="117">
        <f t="shared" si="5"/>
        <v>4.5125136115334739</v>
      </c>
      <c r="AR678" s="117">
        <f t="shared" si="5"/>
        <v>4.638863992656411</v>
      </c>
      <c r="AS678" s="117">
        <f t="shared" si="5"/>
        <v>4.745557864487508</v>
      </c>
      <c r="AT678" s="117">
        <f t="shared" si="5"/>
        <v>4.7218300751650704</v>
      </c>
      <c r="AU678" s="117">
        <f t="shared" si="5"/>
        <v>4.7312737353154004</v>
      </c>
      <c r="AV678" s="117">
        <f t="shared" si="5"/>
        <v>4.773855198933239</v>
      </c>
      <c r="AW678" s="117">
        <f t="shared" si="5"/>
        <v>4.8263676061215044</v>
      </c>
      <c r="AX678" s="117">
        <f t="shared" si="5"/>
        <v>4.9422004286684205</v>
      </c>
      <c r="AY678" s="117">
        <f t="shared" si="5"/>
        <v>5.1695416483871677</v>
      </c>
      <c r="AZ678" s="117">
        <f t="shared" si="5"/>
        <v>5.3504756060807184</v>
      </c>
      <c r="BA678" s="117">
        <f t="shared" si="5"/>
        <v>5.4574851182023325</v>
      </c>
      <c r="BB678" s="117">
        <f t="shared" si="5"/>
        <v>5.5993797312755929</v>
      </c>
      <c r="BC678" s="117">
        <f t="shared" si="5"/>
        <v>5.6833704272447259</v>
      </c>
      <c r="BD678" s="117">
        <f t="shared" si="6"/>
        <v>5.7913544653623754</v>
      </c>
      <c r="BE678" s="117">
        <f t="shared" si="6"/>
        <v>5.9419296814617972</v>
      </c>
      <c r="BF678" s="117">
        <f t="shared" si="6"/>
        <v>6.0429424860466474</v>
      </c>
      <c r="BG678" s="117">
        <f t="shared" si="6"/>
        <v>6.2000589906838606</v>
      </c>
      <c r="BH678" s="117">
        <f t="shared" si="6"/>
        <v>6.3550604654509568</v>
      </c>
      <c r="BI678" s="117">
        <f t="shared" si="6"/>
        <v>6.6537483073271515</v>
      </c>
      <c r="BJ678" s="117">
        <f t="shared" si="6"/>
        <v>6.8733220014689467</v>
      </c>
      <c r="BK678" s="117">
        <f t="shared" si="6"/>
        <v>7.0176617634997935</v>
      </c>
      <c r="BL678" s="117">
        <f t="shared" si="6"/>
        <v>7.0948560428982903</v>
      </c>
      <c r="BM678" s="117">
        <f t="shared" si="6"/>
        <v>7.2225634516704593</v>
      </c>
      <c r="BN678" s="117">
        <f t="shared" si="6"/>
        <v>7.3236793399938458</v>
      </c>
      <c r="BO678" s="117">
        <f t="shared" si="6"/>
        <v>7.4042398127337776</v>
      </c>
      <c r="BP678" s="117">
        <f t="shared" si="6"/>
        <v>7.6411754867412585</v>
      </c>
      <c r="BQ678" s="117">
        <f t="shared" si="6"/>
        <v>7.664099013201481</v>
      </c>
      <c r="BR678" s="117">
        <f t="shared" si="6"/>
        <v>7.7790604983995024</v>
      </c>
      <c r="BS678" s="117">
        <f t="shared" si="6"/>
        <v>7.9813160713578899</v>
      </c>
      <c r="BT678" s="117">
        <f t="shared" si="7"/>
        <v>8.1648863409991215</v>
      </c>
      <c r="BU678" s="117">
        <f t="shared" si="7"/>
        <v>8.3935031585470963</v>
      </c>
      <c r="BV678" s="117">
        <f t="shared" si="7"/>
        <v>8.4774381901325668</v>
      </c>
      <c r="BW678" s="117">
        <f t="shared" si="7"/>
        <v>8.5452576956536266</v>
      </c>
      <c r="BX678" s="117">
        <f t="shared" si="7"/>
        <v>8.5623482110449345</v>
      </c>
      <c r="BY678" s="117">
        <f t="shared" si="7"/>
        <v>8.6822210859995632</v>
      </c>
      <c r="BZ678" s="117">
        <f t="shared" si="7"/>
        <v>8.7864077390315583</v>
      </c>
      <c r="CA678" s="117">
        <f t="shared" si="7"/>
        <v>9.0148543402463783</v>
      </c>
      <c r="CB678" s="117">
        <f t="shared" si="7"/>
        <v>9.1590920096903208</v>
      </c>
      <c r="CC678" s="117">
        <f t="shared" si="7"/>
        <v>9.3239556658647462</v>
      </c>
      <c r="CD678" s="117">
        <f t="shared" si="7"/>
        <v>9.9020409171483603</v>
      </c>
      <c r="CE678" s="117">
        <f t="shared" si="7"/>
        <v>10.69420419052023</v>
      </c>
      <c r="CF678" s="117">
        <f t="shared" si="7"/>
        <v>10.993641907854796</v>
      </c>
      <c r="CG678" s="117">
        <f t="shared" si="7"/>
        <v>11.180533820288327</v>
      </c>
    </row>
    <row r="679" spans="1:85">
      <c r="A679" s="3"/>
      <c r="B679" s="115">
        <v>1952</v>
      </c>
      <c r="C679" s="115"/>
      <c r="D679" s="3"/>
      <c r="E679" s="118"/>
      <c r="F679" s="118"/>
      <c r="G679" s="118"/>
      <c r="H679" s="118"/>
      <c r="I679" s="118"/>
      <c r="J679" s="118"/>
      <c r="K679" s="116">
        <v>1</v>
      </c>
      <c r="L679" s="117">
        <f t="shared" si="3"/>
        <v>1</v>
      </c>
      <c r="M679" s="117">
        <f t="shared" si="3"/>
        <v>1.04</v>
      </c>
      <c r="N679" s="117">
        <f t="shared" si="3"/>
        <v>1.0598540145985402</v>
      </c>
      <c r="O679" s="117">
        <f t="shared" si="3"/>
        <v>1.0799999999999998</v>
      </c>
      <c r="P679" s="117">
        <f t="shared" si="3"/>
        <v>1.1500729927007298</v>
      </c>
      <c r="Q679" s="117">
        <f t="shared" si="3"/>
        <v>1.16992700729927</v>
      </c>
      <c r="R679" s="117">
        <f t="shared" si="3"/>
        <v>1.1798540145985403</v>
      </c>
      <c r="S679" s="117">
        <f t="shared" si="3"/>
        <v>1.2099270072992701</v>
      </c>
      <c r="T679" s="117">
        <f t="shared" si="3"/>
        <v>1.2300729927007301</v>
      </c>
      <c r="U679" s="117">
        <f t="shared" si="3"/>
        <v>1.2537226277372264</v>
      </c>
      <c r="V679" s="117">
        <f t="shared" si="3"/>
        <v>1.3016058394160586</v>
      </c>
      <c r="W679" s="117">
        <f t="shared" si="3"/>
        <v>1.3263363503649634</v>
      </c>
      <c r="X679" s="117">
        <f t="shared" si="4"/>
        <v>1.4377486037956204</v>
      </c>
      <c r="Y679" s="117">
        <f t="shared" si="4"/>
        <v>1.499571793758832</v>
      </c>
      <c r="Z679" s="117">
        <f t="shared" si="4"/>
        <v>1.5865469577968443</v>
      </c>
      <c r="AA679" s="117">
        <f t="shared" si="4"/>
        <v>1.648422289150921</v>
      </c>
      <c r="AB679" s="117">
        <f t="shared" si="4"/>
        <v>1.7028202246929014</v>
      </c>
      <c r="AC679" s="117">
        <f t="shared" si="4"/>
        <v>1.8203148201967114</v>
      </c>
      <c r="AD679" s="117">
        <f t="shared" si="4"/>
        <v>1.9186118204873339</v>
      </c>
      <c r="AE679" s="117">
        <f t="shared" si="4"/>
        <v>2.0644263188443714</v>
      </c>
      <c r="AF679" s="117">
        <f t="shared" si="4"/>
        <v>2.2171938664388549</v>
      </c>
      <c r="AG679" s="117">
        <f t="shared" si="4"/>
        <v>2.396786569620402</v>
      </c>
      <c r="AH679" s="117">
        <f t="shared" si="4"/>
        <v>2.6316716534432016</v>
      </c>
      <c r="AI679" s="117">
        <f t="shared" si="4"/>
        <v>2.9132605203616242</v>
      </c>
      <c r="AJ679" s="117">
        <f t="shared" si="4"/>
        <v>3.1550611435516389</v>
      </c>
      <c r="AK679" s="117">
        <f t="shared" si="4"/>
        <v>3.3696053013131504</v>
      </c>
      <c r="AL679" s="117">
        <f t="shared" si="4"/>
        <v>3.5111287239683029</v>
      </c>
      <c r="AM679" s="117">
        <f t="shared" si="4"/>
        <v>3.6445516154790987</v>
      </c>
      <c r="AN679" s="117">
        <f t="shared" si="5"/>
        <v>3.9033147801781145</v>
      </c>
      <c r="AO679" s="117">
        <f t="shared" si="5"/>
        <v>4.1531269261095138</v>
      </c>
      <c r="AP679" s="117">
        <f t="shared" si="5"/>
        <v>4.3981614147499748</v>
      </c>
      <c r="AQ679" s="117">
        <f t="shared" si="5"/>
        <v>4.5125136115334739</v>
      </c>
      <c r="AR679" s="117">
        <f t="shared" si="5"/>
        <v>4.638863992656411</v>
      </c>
      <c r="AS679" s="117">
        <f t="shared" si="5"/>
        <v>4.745557864487508</v>
      </c>
      <c r="AT679" s="117">
        <f t="shared" si="5"/>
        <v>4.7218300751650704</v>
      </c>
      <c r="AU679" s="117">
        <f t="shared" si="5"/>
        <v>4.7312737353154004</v>
      </c>
      <c r="AV679" s="117">
        <f t="shared" si="5"/>
        <v>4.773855198933239</v>
      </c>
      <c r="AW679" s="117">
        <f t="shared" si="5"/>
        <v>4.8263676061215044</v>
      </c>
      <c r="AX679" s="117">
        <f t="shared" si="5"/>
        <v>4.9422004286684205</v>
      </c>
      <c r="AY679" s="117">
        <f t="shared" si="5"/>
        <v>5.1695416483871677</v>
      </c>
      <c r="AZ679" s="117">
        <f t="shared" si="5"/>
        <v>5.3504756060807184</v>
      </c>
      <c r="BA679" s="117">
        <f t="shared" si="5"/>
        <v>5.4574851182023325</v>
      </c>
      <c r="BB679" s="117">
        <f t="shared" si="5"/>
        <v>5.5993797312755929</v>
      </c>
      <c r="BC679" s="117">
        <f t="shared" si="5"/>
        <v>5.6833704272447259</v>
      </c>
      <c r="BD679" s="117">
        <f t="shared" si="6"/>
        <v>5.7913544653623754</v>
      </c>
      <c r="BE679" s="117">
        <f t="shared" si="6"/>
        <v>5.9419296814617972</v>
      </c>
      <c r="BF679" s="117">
        <f t="shared" si="6"/>
        <v>6.0429424860466474</v>
      </c>
      <c r="BG679" s="117">
        <f t="shared" si="6"/>
        <v>6.2000589906838606</v>
      </c>
      <c r="BH679" s="117">
        <f t="shared" si="6"/>
        <v>6.3550604654509568</v>
      </c>
      <c r="BI679" s="117">
        <f t="shared" si="6"/>
        <v>6.6537483073271515</v>
      </c>
      <c r="BJ679" s="117">
        <f t="shared" si="6"/>
        <v>6.8733220014689467</v>
      </c>
      <c r="BK679" s="117">
        <f t="shared" si="6"/>
        <v>7.0176617634997935</v>
      </c>
      <c r="BL679" s="117">
        <f t="shared" si="6"/>
        <v>7.0948560428982903</v>
      </c>
      <c r="BM679" s="117">
        <f t="shared" si="6"/>
        <v>7.2225634516704593</v>
      </c>
      <c r="BN679" s="117">
        <f t="shared" si="6"/>
        <v>7.3236793399938458</v>
      </c>
      <c r="BO679" s="117">
        <f t="shared" si="6"/>
        <v>7.4042398127337776</v>
      </c>
      <c r="BP679" s="117">
        <f t="shared" si="6"/>
        <v>7.6411754867412585</v>
      </c>
      <c r="BQ679" s="117">
        <f t="shared" si="6"/>
        <v>7.664099013201481</v>
      </c>
      <c r="BR679" s="117">
        <f t="shared" si="6"/>
        <v>7.7790604983995024</v>
      </c>
      <c r="BS679" s="117">
        <f t="shared" si="6"/>
        <v>7.9813160713578899</v>
      </c>
      <c r="BT679" s="117">
        <f t="shared" si="7"/>
        <v>8.1648863409991215</v>
      </c>
      <c r="BU679" s="117">
        <f t="shared" si="7"/>
        <v>8.3935031585470963</v>
      </c>
      <c r="BV679" s="117">
        <f t="shared" si="7"/>
        <v>8.4774381901325668</v>
      </c>
      <c r="BW679" s="117">
        <f t="shared" si="7"/>
        <v>8.5452576956536266</v>
      </c>
      <c r="BX679" s="117">
        <f t="shared" si="7"/>
        <v>8.5623482110449345</v>
      </c>
      <c r="BY679" s="117">
        <f t="shared" si="7"/>
        <v>8.6822210859995632</v>
      </c>
      <c r="BZ679" s="117">
        <f t="shared" si="7"/>
        <v>8.7864077390315583</v>
      </c>
      <c r="CA679" s="117">
        <f t="shared" si="7"/>
        <v>9.0148543402463783</v>
      </c>
      <c r="CB679" s="117">
        <f t="shared" si="7"/>
        <v>9.1590920096903208</v>
      </c>
      <c r="CC679" s="117">
        <f t="shared" si="7"/>
        <v>9.3239556658647462</v>
      </c>
      <c r="CD679" s="117">
        <f t="shared" si="7"/>
        <v>9.9020409171483603</v>
      </c>
      <c r="CE679" s="117">
        <f t="shared" si="7"/>
        <v>10.69420419052023</v>
      </c>
      <c r="CF679" s="117">
        <f t="shared" si="7"/>
        <v>10.993641907854796</v>
      </c>
      <c r="CG679" s="117">
        <f t="shared" si="7"/>
        <v>11.180533820288327</v>
      </c>
    </row>
    <row r="680" spans="1:85">
      <c r="A680" s="3"/>
      <c r="B680" s="115">
        <v>1953</v>
      </c>
      <c r="C680" s="115"/>
      <c r="D680" s="3"/>
      <c r="E680" s="118"/>
      <c r="F680" s="118"/>
      <c r="G680" s="118"/>
      <c r="H680" s="118"/>
      <c r="I680" s="118"/>
      <c r="J680" s="118"/>
      <c r="K680" s="118"/>
      <c r="L680" s="116">
        <v>1</v>
      </c>
      <c r="M680" s="117">
        <f t="shared" si="3"/>
        <v>1.04</v>
      </c>
      <c r="N680" s="117">
        <f t="shared" si="3"/>
        <v>1.0598540145985402</v>
      </c>
      <c r="O680" s="117">
        <f t="shared" si="3"/>
        <v>1.0799999999999998</v>
      </c>
      <c r="P680" s="117">
        <f t="shared" si="3"/>
        <v>1.1500729927007298</v>
      </c>
      <c r="Q680" s="117">
        <f t="shared" si="3"/>
        <v>1.16992700729927</v>
      </c>
      <c r="R680" s="117">
        <f t="shared" si="3"/>
        <v>1.1798540145985403</v>
      </c>
      <c r="S680" s="117">
        <f t="shared" si="3"/>
        <v>1.2099270072992701</v>
      </c>
      <c r="T680" s="117">
        <f t="shared" si="3"/>
        <v>1.2300729927007301</v>
      </c>
      <c r="U680" s="117">
        <f t="shared" si="3"/>
        <v>1.2537226277372264</v>
      </c>
      <c r="V680" s="117">
        <f t="shared" si="3"/>
        <v>1.3016058394160586</v>
      </c>
      <c r="W680" s="117">
        <f t="shared" si="3"/>
        <v>1.3263363503649634</v>
      </c>
      <c r="X680" s="117">
        <f t="shared" si="4"/>
        <v>1.4377486037956204</v>
      </c>
      <c r="Y680" s="117">
        <f t="shared" si="4"/>
        <v>1.499571793758832</v>
      </c>
      <c r="Z680" s="117">
        <f t="shared" si="4"/>
        <v>1.5865469577968443</v>
      </c>
      <c r="AA680" s="117">
        <f t="shared" si="4"/>
        <v>1.648422289150921</v>
      </c>
      <c r="AB680" s="117">
        <f t="shared" si="4"/>
        <v>1.7028202246929014</v>
      </c>
      <c r="AC680" s="117">
        <f t="shared" si="4"/>
        <v>1.8203148201967114</v>
      </c>
      <c r="AD680" s="117">
        <f t="shared" si="4"/>
        <v>1.9186118204873339</v>
      </c>
      <c r="AE680" s="117">
        <f t="shared" si="4"/>
        <v>2.0644263188443714</v>
      </c>
      <c r="AF680" s="117">
        <f t="shared" si="4"/>
        <v>2.2171938664388549</v>
      </c>
      <c r="AG680" s="117">
        <f t="shared" si="4"/>
        <v>2.396786569620402</v>
      </c>
      <c r="AH680" s="117">
        <f t="shared" si="4"/>
        <v>2.6316716534432016</v>
      </c>
      <c r="AI680" s="117">
        <f t="shared" si="4"/>
        <v>2.9132605203616242</v>
      </c>
      <c r="AJ680" s="117">
        <f t="shared" si="4"/>
        <v>3.1550611435516389</v>
      </c>
      <c r="AK680" s="117">
        <f t="shared" si="4"/>
        <v>3.3696053013131504</v>
      </c>
      <c r="AL680" s="117">
        <f t="shared" si="4"/>
        <v>3.5111287239683029</v>
      </c>
      <c r="AM680" s="117">
        <f t="shared" si="4"/>
        <v>3.6445516154790987</v>
      </c>
      <c r="AN680" s="117">
        <f t="shared" si="5"/>
        <v>3.9033147801781145</v>
      </c>
      <c r="AO680" s="117">
        <f t="shared" si="5"/>
        <v>4.1531269261095138</v>
      </c>
      <c r="AP680" s="117">
        <f t="shared" si="5"/>
        <v>4.3981614147499748</v>
      </c>
      <c r="AQ680" s="117">
        <f t="shared" si="5"/>
        <v>4.5125136115334739</v>
      </c>
      <c r="AR680" s="117">
        <f t="shared" si="5"/>
        <v>4.638863992656411</v>
      </c>
      <c r="AS680" s="117">
        <f t="shared" si="5"/>
        <v>4.745557864487508</v>
      </c>
      <c r="AT680" s="117">
        <f t="shared" si="5"/>
        <v>4.7218300751650704</v>
      </c>
      <c r="AU680" s="117">
        <f t="shared" si="5"/>
        <v>4.7312737353154004</v>
      </c>
      <c r="AV680" s="117">
        <f t="shared" si="5"/>
        <v>4.773855198933239</v>
      </c>
      <c r="AW680" s="117">
        <f t="shared" si="5"/>
        <v>4.8263676061215044</v>
      </c>
      <c r="AX680" s="117">
        <f t="shared" si="5"/>
        <v>4.9422004286684205</v>
      </c>
      <c r="AY680" s="117">
        <f t="shared" si="5"/>
        <v>5.1695416483871677</v>
      </c>
      <c r="AZ680" s="117">
        <f t="shared" si="5"/>
        <v>5.3504756060807184</v>
      </c>
      <c r="BA680" s="117">
        <f t="shared" si="5"/>
        <v>5.4574851182023325</v>
      </c>
      <c r="BB680" s="117">
        <f t="shared" si="5"/>
        <v>5.5993797312755929</v>
      </c>
      <c r="BC680" s="117">
        <f t="shared" si="5"/>
        <v>5.6833704272447259</v>
      </c>
      <c r="BD680" s="117">
        <f t="shared" si="6"/>
        <v>5.7913544653623754</v>
      </c>
      <c r="BE680" s="117">
        <f t="shared" si="6"/>
        <v>5.9419296814617972</v>
      </c>
      <c r="BF680" s="117">
        <f t="shared" si="6"/>
        <v>6.0429424860466474</v>
      </c>
      <c r="BG680" s="117">
        <f t="shared" si="6"/>
        <v>6.2000589906838606</v>
      </c>
      <c r="BH680" s="117">
        <f t="shared" si="6"/>
        <v>6.3550604654509568</v>
      </c>
      <c r="BI680" s="117">
        <f t="shared" si="6"/>
        <v>6.6537483073271515</v>
      </c>
      <c r="BJ680" s="117">
        <f t="shared" si="6"/>
        <v>6.8733220014689467</v>
      </c>
      <c r="BK680" s="117">
        <f t="shared" si="6"/>
        <v>7.0176617634997935</v>
      </c>
      <c r="BL680" s="117">
        <f t="shared" si="6"/>
        <v>7.0948560428982903</v>
      </c>
      <c r="BM680" s="117">
        <f t="shared" si="6"/>
        <v>7.2225634516704593</v>
      </c>
      <c r="BN680" s="117">
        <f t="shared" si="6"/>
        <v>7.3236793399938458</v>
      </c>
      <c r="BO680" s="117">
        <f t="shared" si="6"/>
        <v>7.4042398127337776</v>
      </c>
      <c r="BP680" s="117">
        <f t="shared" si="6"/>
        <v>7.6411754867412585</v>
      </c>
      <c r="BQ680" s="117">
        <f t="shared" si="6"/>
        <v>7.664099013201481</v>
      </c>
      <c r="BR680" s="117">
        <f t="shared" si="6"/>
        <v>7.7790604983995024</v>
      </c>
      <c r="BS680" s="117">
        <f t="shared" si="6"/>
        <v>7.9813160713578899</v>
      </c>
      <c r="BT680" s="117">
        <f t="shared" si="7"/>
        <v>8.1648863409991215</v>
      </c>
      <c r="BU680" s="117">
        <f t="shared" si="7"/>
        <v>8.3935031585470963</v>
      </c>
      <c r="BV680" s="117">
        <f t="shared" si="7"/>
        <v>8.4774381901325668</v>
      </c>
      <c r="BW680" s="117">
        <f t="shared" si="7"/>
        <v>8.5452576956536266</v>
      </c>
      <c r="BX680" s="117">
        <f t="shared" si="7"/>
        <v>8.5623482110449345</v>
      </c>
      <c r="BY680" s="117">
        <f t="shared" si="7"/>
        <v>8.6822210859995632</v>
      </c>
      <c r="BZ680" s="117">
        <f t="shared" si="7"/>
        <v>8.7864077390315583</v>
      </c>
      <c r="CA680" s="117">
        <f t="shared" si="7"/>
        <v>9.0148543402463783</v>
      </c>
      <c r="CB680" s="117">
        <f t="shared" si="7"/>
        <v>9.1590920096903208</v>
      </c>
      <c r="CC680" s="117">
        <f t="shared" si="7"/>
        <v>9.3239556658647462</v>
      </c>
      <c r="CD680" s="117">
        <f t="shared" si="7"/>
        <v>9.9020409171483603</v>
      </c>
      <c r="CE680" s="117">
        <f t="shared" si="7"/>
        <v>10.69420419052023</v>
      </c>
      <c r="CF680" s="117">
        <f t="shared" si="7"/>
        <v>10.993641907854796</v>
      </c>
      <c r="CG680" s="117">
        <f t="shared" si="7"/>
        <v>11.180533820288327</v>
      </c>
    </row>
    <row r="681" spans="1:85">
      <c r="A681" s="3"/>
      <c r="B681" s="115">
        <v>1954</v>
      </c>
      <c r="C681" s="115"/>
      <c r="D681" s="3"/>
      <c r="E681" s="118"/>
      <c r="F681" s="118"/>
      <c r="G681" s="118"/>
      <c r="H681" s="118"/>
      <c r="I681" s="118"/>
      <c r="J681" s="118"/>
      <c r="K681" s="118"/>
      <c r="L681" s="118"/>
      <c r="M681" s="116">
        <v>1</v>
      </c>
      <c r="N681" s="117">
        <f t="shared" si="3"/>
        <v>1.0190903986524424</v>
      </c>
      <c r="O681" s="117">
        <f t="shared" si="3"/>
        <v>1.0384615384615383</v>
      </c>
      <c r="P681" s="117">
        <f t="shared" si="3"/>
        <v>1.105839416058394</v>
      </c>
      <c r="Q681" s="117">
        <f t="shared" si="3"/>
        <v>1.1249298147108364</v>
      </c>
      <c r="R681" s="117">
        <f t="shared" si="3"/>
        <v>1.1344750140370579</v>
      </c>
      <c r="S681" s="117">
        <f t="shared" si="3"/>
        <v>1.163391353172375</v>
      </c>
      <c r="T681" s="117">
        <f t="shared" si="3"/>
        <v>1.1827624929814711</v>
      </c>
      <c r="U681" s="117">
        <f t="shared" si="3"/>
        <v>1.2055025266704098</v>
      </c>
      <c r="V681" s="117">
        <f t="shared" si="3"/>
        <v>1.2515440763615946</v>
      </c>
      <c r="W681" s="117">
        <f t="shared" si="3"/>
        <v>1.2753234138124647</v>
      </c>
      <c r="X681" s="117">
        <f t="shared" si="4"/>
        <v>1.3824505805727119</v>
      </c>
      <c r="Y681" s="117">
        <f t="shared" si="4"/>
        <v>1.4418959555373383</v>
      </c>
      <c r="Z681" s="117">
        <f t="shared" si="4"/>
        <v>1.5255259209585039</v>
      </c>
      <c r="AA681" s="117">
        <f t="shared" si="4"/>
        <v>1.5850214318758855</v>
      </c>
      <c r="AB681" s="117">
        <f t="shared" si="4"/>
        <v>1.6373271391277897</v>
      </c>
      <c r="AC681" s="117">
        <f t="shared" si="4"/>
        <v>1.7503027117276071</v>
      </c>
      <c r="AD681" s="117">
        <f t="shared" si="4"/>
        <v>1.8448190581608979</v>
      </c>
      <c r="AE681" s="117">
        <f t="shared" si="4"/>
        <v>1.9850253065811263</v>
      </c>
      <c r="AF681" s="117">
        <f t="shared" si="4"/>
        <v>2.1319171792681297</v>
      </c>
      <c r="AG681" s="117">
        <f t="shared" si="4"/>
        <v>2.3046024707888479</v>
      </c>
      <c r="AH681" s="117">
        <f t="shared" si="4"/>
        <v>2.5304535129261554</v>
      </c>
      <c r="AI681" s="117">
        <f t="shared" si="4"/>
        <v>2.8012120388092541</v>
      </c>
      <c r="AJ681" s="117">
        <f t="shared" si="4"/>
        <v>3.0337126380304222</v>
      </c>
      <c r="AK681" s="117">
        <f t="shared" si="4"/>
        <v>3.2400050974164913</v>
      </c>
      <c r="AL681" s="117">
        <f t="shared" si="4"/>
        <v>3.3760853115079841</v>
      </c>
      <c r="AM681" s="117">
        <f t="shared" si="4"/>
        <v>3.5043765533452875</v>
      </c>
      <c r="AN681" s="117">
        <f t="shared" si="5"/>
        <v>3.7531872886328026</v>
      </c>
      <c r="AO681" s="117">
        <f t="shared" si="5"/>
        <v>3.993391275105302</v>
      </c>
      <c r="AP681" s="117">
        <f t="shared" si="5"/>
        <v>4.2290013603365146</v>
      </c>
      <c r="AQ681" s="117">
        <f t="shared" si="5"/>
        <v>4.3389553957052645</v>
      </c>
      <c r="AR681" s="117">
        <f t="shared" si="5"/>
        <v>4.4604461467850118</v>
      </c>
      <c r="AS681" s="117">
        <f t="shared" si="5"/>
        <v>4.563036408161067</v>
      </c>
      <c r="AT681" s="117">
        <f t="shared" si="5"/>
        <v>4.5402212261202619</v>
      </c>
      <c r="AU681" s="117">
        <f t="shared" si="5"/>
        <v>4.5493016685725021</v>
      </c>
      <c r="AV681" s="117">
        <f t="shared" si="5"/>
        <v>4.5902453835896537</v>
      </c>
      <c r="AW681" s="117">
        <f t="shared" si="5"/>
        <v>4.6407380828091398</v>
      </c>
      <c r="AX681" s="117">
        <f t="shared" si="5"/>
        <v>4.7521157967965593</v>
      </c>
      <c r="AY681" s="117">
        <f t="shared" si="5"/>
        <v>4.970713123449201</v>
      </c>
      <c r="AZ681" s="117">
        <f t="shared" si="5"/>
        <v>5.1446880827699228</v>
      </c>
      <c r="BA681" s="117">
        <f t="shared" si="5"/>
        <v>5.2475818444253211</v>
      </c>
      <c r="BB681" s="117">
        <f t="shared" si="5"/>
        <v>5.38401897238038</v>
      </c>
      <c r="BC681" s="117">
        <f t="shared" si="5"/>
        <v>5.4647792569660849</v>
      </c>
      <c r="BD681" s="117">
        <f t="shared" si="6"/>
        <v>5.5686100628484398</v>
      </c>
      <c r="BE681" s="117">
        <f t="shared" si="6"/>
        <v>5.7133939244824994</v>
      </c>
      <c r="BF681" s="117">
        <f t="shared" si="6"/>
        <v>5.810521621198701</v>
      </c>
      <c r="BG681" s="117">
        <f t="shared" si="6"/>
        <v>5.9615951833498677</v>
      </c>
      <c r="BH681" s="117">
        <f t="shared" si="6"/>
        <v>6.1106350629336141</v>
      </c>
      <c r="BI681" s="117">
        <f t="shared" si="6"/>
        <v>6.3978349108914934</v>
      </c>
      <c r="BJ681" s="117">
        <f t="shared" si="6"/>
        <v>6.6089634629509124</v>
      </c>
      <c r="BK681" s="117">
        <f t="shared" si="6"/>
        <v>6.7477516956728811</v>
      </c>
      <c r="BL681" s="117">
        <f t="shared" si="6"/>
        <v>6.8219769643252821</v>
      </c>
      <c r="BM681" s="117">
        <f t="shared" si="6"/>
        <v>6.9447725496831376</v>
      </c>
      <c r="BN681" s="117">
        <f t="shared" si="6"/>
        <v>7.0419993653787012</v>
      </c>
      <c r="BO681" s="117">
        <f t="shared" si="6"/>
        <v>7.1194613583978663</v>
      </c>
      <c r="BP681" s="117">
        <f t="shared" si="6"/>
        <v>7.3472841218665979</v>
      </c>
      <c r="BQ681" s="117">
        <f t="shared" si="6"/>
        <v>7.369325974232197</v>
      </c>
      <c r="BR681" s="117">
        <f t="shared" si="6"/>
        <v>7.4798658638456796</v>
      </c>
      <c r="BS681" s="117">
        <f t="shared" si="6"/>
        <v>7.6743423763056677</v>
      </c>
      <c r="BT681" s="117">
        <f t="shared" si="7"/>
        <v>7.8508522509606973</v>
      </c>
      <c r="BU681" s="117">
        <f t="shared" si="7"/>
        <v>8.0706761139875969</v>
      </c>
      <c r="BV681" s="117">
        <f t="shared" si="7"/>
        <v>8.1513828751274726</v>
      </c>
      <c r="BW681" s="117">
        <f t="shared" si="7"/>
        <v>8.2165939381284918</v>
      </c>
      <c r="BX681" s="117">
        <f t="shared" si="7"/>
        <v>8.2330271260047496</v>
      </c>
      <c r="BY681" s="117">
        <f t="shared" si="7"/>
        <v>8.3482895057688165</v>
      </c>
      <c r="BZ681" s="117">
        <f t="shared" si="7"/>
        <v>8.4484689798380419</v>
      </c>
      <c r="CA681" s="117">
        <f t="shared" si="7"/>
        <v>8.6681291733138313</v>
      </c>
      <c r="CB681" s="117">
        <f t="shared" si="7"/>
        <v>8.8068192400868526</v>
      </c>
      <c r="CC681" s="117">
        <f t="shared" si="7"/>
        <v>8.9653419864084167</v>
      </c>
      <c r="CD681" s="117">
        <f t="shared" si="7"/>
        <v>9.5211931895657393</v>
      </c>
      <c r="CE681" s="117">
        <f t="shared" si="7"/>
        <v>10.282888644730999</v>
      </c>
      <c r="CF681" s="117">
        <f t="shared" si="7"/>
        <v>10.570809526783467</v>
      </c>
      <c r="CG681" s="117">
        <f t="shared" si="7"/>
        <v>10.750513288738786</v>
      </c>
    </row>
    <row r="682" spans="1:85">
      <c r="A682" s="3"/>
      <c r="B682" s="115">
        <v>1955</v>
      </c>
      <c r="C682" s="115"/>
      <c r="D682" s="3"/>
      <c r="E682" s="118"/>
      <c r="F682" s="118"/>
      <c r="G682" s="118"/>
      <c r="H682" s="118"/>
      <c r="I682" s="118"/>
      <c r="J682" s="118"/>
      <c r="K682" s="118"/>
      <c r="L682" s="118"/>
      <c r="M682" s="118"/>
      <c r="N682" s="116">
        <v>1</v>
      </c>
      <c r="O682" s="117">
        <f>N682*O$670</f>
        <v>1.0190082644628098</v>
      </c>
      <c r="P682" s="117">
        <f>O682*P$670</f>
        <v>1.0851239669421486</v>
      </c>
      <c r="Q682" s="117">
        <f t="shared" si="3"/>
        <v>1.1038567493112947</v>
      </c>
      <c r="R682" s="117">
        <f t="shared" si="3"/>
        <v>1.1132231404958679</v>
      </c>
      <c r="S682" s="117">
        <f t="shared" si="3"/>
        <v>1.1415977961432506</v>
      </c>
      <c r="T682" s="117">
        <f t="shared" si="3"/>
        <v>1.1606060606060606</v>
      </c>
      <c r="U682" s="117">
        <f t="shared" si="3"/>
        <v>1.1829201101928375</v>
      </c>
      <c r="V682" s="117">
        <f t="shared" si="3"/>
        <v>1.228099173553719</v>
      </c>
      <c r="W682" s="117">
        <f t="shared" si="3"/>
        <v>1.2514330578512396</v>
      </c>
      <c r="X682" s="117">
        <f t="shared" si="4"/>
        <v>1.3565534347107437</v>
      </c>
      <c r="Y682" s="117">
        <f t="shared" si="4"/>
        <v>1.4148852324033057</v>
      </c>
      <c r="Z682" s="117">
        <f t="shared" si="4"/>
        <v>1.4969485758826975</v>
      </c>
      <c r="AA682" s="117">
        <f t="shared" si="4"/>
        <v>1.5553295703421226</v>
      </c>
      <c r="AB682" s="117">
        <f t="shared" si="4"/>
        <v>1.6066554461634126</v>
      </c>
      <c r="AC682" s="117">
        <f t="shared" si="4"/>
        <v>1.717514671948688</v>
      </c>
      <c r="AD682" s="117">
        <f t="shared" si="4"/>
        <v>1.8102604642339173</v>
      </c>
      <c r="AE682" s="117">
        <f t="shared" si="4"/>
        <v>1.9478402595156952</v>
      </c>
      <c r="AF682" s="117">
        <f t="shared" si="4"/>
        <v>2.0919804387198568</v>
      </c>
      <c r="AG682" s="117">
        <f t="shared" si="4"/>
        <v>2.2614308542561652</v>
      </c>
      <c r="AH682" s="117">
        <f t="shared" si="4"/>
        <v>2.4830510779732697</v>
      </c>
      <c r="AI682" s="117">
        <f t="shared" si="4"/>
        <v>2.7487375433164094</v>
      </c>
      <c r="AJ682" s="117">
        <f t="shared" si="4"/>
        <v>2.9768827594116711</v>
      </c>
      <c r="AK682" s="117">
        <f t="shared" si="4"/>
        <v>3.1793107870516648</v>
      </c>
      <c r="AL682" s="117">
        <f t="shared" si="4"/>
        <v>3.312841840107835</v>
      </c>
      <c r="AM682" s="117">
        <f t="shared" si="4"/>
        <v>3.4387298300319329</v>
      </c>
      <c r="AN682" s="117">
        <f t="shared" si="5"/>
        <v>3.6828796479641999</v>
      </c>
      <c r="AO682" s="117">
        <f t="shared" si="5"/>
        <v>3.9185839454339089</v>
      </c>
      <c r="AP682" s="117">
        <f t="shared" si="5"/>
        <v>4.1497803982145092</v>
      </c>
      <c r="AQ682" s="117">
        <f t="shared" si="5"/>
        <v>4.2576746885680867</v>
      </c>
      <c r="AR682" s="117">
        <f t="shared" si="5"/>
        <v>4.376889579847993</v>
      </c>
      <c r="AS682" s="117">
        <f t="shared" si="5"/>
        <v>4.4775580401844968</v>
      </c>
      <c r="AT682" s="117">
        <f t="shared" si="5"/>
        <v>4.4551702499835741</v>
      </c>
      <c r="AU682" s="117">
        <f t="shared" si="5"/>
        <v>4.4640805904835412</v>
      </c>
      <c r="AV682" s="117">
        <f t="shared" si="5"/>
        <v>4.5042573157978927</v>
      </c>
      <c r="AW682" s="117">
        <f t="shared" si="5"/>
        <v>4.553804146271669</v>
      </c>
      <c r="AX682" s="117">
        <f t="shared" si="5"/>
        <v>4.6630954457821892</v>
      </c>
      <c r="AY682" s="117">
        <f t="shared" si="5"/>
        <v>4.87759783628817</v>
      </c>
      <c r="AZ682" s="117">
        <f t="shared" si="5"/>
        <v>5.0483137605582558</v>
      </c>
      <c r="BA682" s="117">
        <f t="shared" si="5"/>
        <v>5.1492800357694213</v>
      </c>
      <c r="BB682" s="117">
        <f t="shared" si="5"/>
        <v>5.2831613166994265</v>
      </c>
      <c r="BC682" s="117">
        <f t="shared" si="5"/>
        <v>5.3624087364499173</v>
      </c>
      <c r="BD682" s="117">
        <f t="shared" si="6"/>
        <v>5.4642945024424652</v>
      </c>
      <c r="BE682" s="117">
        <f t="shared" si="6"/>
        <v>5.6063661595059697</v>
      </c>
      <c r="BF682" s="117">
        <f t="shared" si="6"/>
        <v>5.7016743842175703</v>
      </c>
      <c r="BG682" s="117">
        <f t="shared" si="6"/>
        <v>5.8499179182072272</v>
      </c>
      <c r="BH682" s="117">
        <f t="shared" si="6"/>
        <v>5.9961658661624071</v>
      </c>
      <c r="BI682" s="117">
        <f t="shared" si="6"/>
        <v>6.27798566187204</v>
      </c>
      <c r="BJ682" s="117">
        <f t="shared" si="6"/>
        <v>6.4851591887138165</v>
      </c>
      <c r="BK682" s="117">
        <f t="shared" si="6"/>
        <v>6.6213475316768058</v>
      </c>
      <c r="BL682" s="117">
        <f t="shared" si="6"/>
        <v>6.6941823545252497</v>
      </c>
      <c r="BM682" s="117">
        <f t="shared" si="6"/>
        <v>6.8146776369067039</v>
      </c>
      <c r="BN682" s="117">
        <f t="shared" si="6"/>
        <v>6.910083123823398</v>
      </c>
      <c r="BO682" s="117">
        <f t="shared" si="6"/>
        <v>6.9860940381854544</v>
      </c>
      <c r="BP682" s="117">
        <f t="shared" si="6"/>
        <v>7.2096490474073889</v>
      </c>
      <c r="BQ682" s="117">
        <f t="shared" si="6"/>
        <v>7.2312779945496102</v>
      </c>
      <c r="BR682" s="117">
        <f t="shared" si="6"/>
        <v>7.3397471644678536</v>
      </c>
      <c r="BS682" s="117">
        <f t="shared" si="6"/>
        <v>7.5305805907440178</v>
      </c>
      <c r="BT682" s="117">
        <f t="shared" si="7"/>
        <v>7.7037839443311293</v>
      </c>
      <c r="BU682" s="117">
        <f t="shared" si="7"/>
        <v>7.9194898947724015</v>
      </c>
      <c r="BV682" s="117">
        <f t="shared" si="7"/>
        <v>7.998684793720126</v>
      </c>
      <c r="BW682" s="117">
        <f t="shared" si="7"/>
        <v>8.0626742720698878</v>
      </c>
      <c r="BX682" s="117">
        <f t="shared" si="7"/>
        <v>8.0787996206140278</v>
      </c>
      <c r="BY682" s="117">
        <f t="shared" si="7"/>
        <v>8.1919028153026243</v>
      </c>
      <c r="BZ682" s="117">
        <f t="shared" si="7"/>
        <v>8.2902056490862552</v>
      </c>
      <c r="CA682" s="117">
        <f t="shared" si="7"/>
        <v>8.5057509959624973</v>
      </c>
      <c r="CB682" s="117">
        <f t="shared" si="7"/>
        <v>8.6418430118978975</v>
      </c>
      <c r="CC682" s="117">
        <f t="shared" si="7"/>
        <v>8.79739618611206</v>
      </c>
      <c r="CD682" s="117">
        <f t="shared" si="7"/>
        <v>9.3428347496510078</v>
      </c>
      <c r="CE682" s="117">
        <f t="shared" si="7"/>
        <v>10.090261529623088</v>
      </c>
      <c r="CF682" s="117">
        <f t="shared" si="7"/>
        <v>10.372788852452535</v>
      </c>
      <c r="CG682" s="117">
        <f t="shared" si="7"/>
        <v>10.549126262944228</v>
      </c>
    </row>
    <row r="683" spans="1:85">
      <c r="A683" s="3"/>
      <c r="B683" s="115">
        <v>1956</v>
      </c>
      <c r="C683" s="115"/>
      <c r="D683" s="3"/>
      <c r="E683" s="118"/>
      <c r="F683" s="118"/>
      <c r="G683" s="118"/>
      <c r="H683" s="118"/>
      <c r="I683" s="118"/>
      <c r="J683" s="118"/>
      <c r="K683" s="118"/>
      <c r="L683" s="118"/>
      <c r="M683" s="118"/>
      <c r="N683" s="118"/>
      <c r="O683" s="116">
        <v>1</v>
      </c>
      <c r="P683" s="117">
        <f t="shared" si="3"/>
        <v>1.064882400648824</v>
      </c>
      <c r="Q683" s="117">
        <f t="shared" si="3"/>
        <v>1.0832657474993241</v>
      </c>
      <c r="R683" s="117">
        <f t="shared" si="3"/>
        <v>1.0924574209245743</v>
      </c>
      <c r="S683" s="117">
        <f t="shared" si="3"/>
        <v>1.1203027845363611</v>
      </c>
      <c r="T683" s="117">
        <f t="shared" si="3"/>
        <v>1.1389564747228982</v>
      </c>
      <c r="U683" s="117">
        <f t="shared" si="3"/>
        <v>1.1608542849418761</v>
      </c>
      <c r="V683" s="117">
        <f t="shared" si="3"/>
        <v>1.2051905920519059</v>
      </c>
      <c r="W683" s="117">
        <f t="shared" si="3"/>
        <v>1.228089213300892</v>
      </c>
      <c r="X683" s="117">
        <f t="shared" si="4"/>
        <v>1.3312487072181671</v>
      </c>
      <c r="Y683" s="117">
        <f t="shared" si="4"/>
        <v>1.3884924016285483</v>
      </c>
      <c r="Z683" s="117">
        <f t="shared" si="4"/>
        <v>1.4690249609230042</v>
      </c>
      <c r="AA683" s="117">
        <f t="shared" si="4"/>
        <v>1.5263169343990013</v>
      </c>
      <c r="AB683" s="117">
        <f t="shared" si="4"/>
        <v>1.5766853932341682</v>
      </c>
      <c r="AC683" s="117">
        <f t="shared" si="4"/>
        <v>1.6854766853673258</v>
      </c>
      <c r="AD683" s="117">
        <f t="shared" si="4"/>
        <v>1.7764924263771615</v>
      </c>
      <c r="AE683" s="117">
        <f t="shared" si="4"/>
        <v>1.9115058507818259</v>
      </c>
      <c r="AF683" s="117">
        <f t="shared" si="4"/>
        <v>2.0529572837396812</v>
      </c>
      <c r="AG683" s="117">
        <f t="shared" si="4"/>
        <v>2.2192468237225955</v>
      </c>
      <c r="AH683" s="117">
        <f t="shared" si="4"/>
        <v>2.43673301244741</v>
      </c>
      <c r="AI683" s="117">
        <f t="shared" si="4"/>
        <v>2.6974634447792827</v>
      </c>
      <c r="AJ683" s="117">
        <f t="shared" si="4"/>
        <v>2.9213529106959633</v>
      </c>
      <c r="AK683" s="117">
        <f t="shared" si="4"/>
        <v>3.1200049086232888</v>
      </c>
      <c r="AL683" s="117">
        <f t="shared" si="4"/>
        <v>3.2510451147854669</v>
      </c>
      <c r="AM683" s="117">
        <f t="shared" si="4"/>
        <v>3.3745848291473148</v>
      </c>
      <c r="AN683" s="117">
        <f t="shared" si="5"/>
        <v>3.6141803520167741</v>
      </c>
      <c r="AO683" s="117">
        <f t="shared" si="5"/>
        <v>3.8454878945458479</v>
      </c>
      <c r="AP683" s="117">
        <f t="shared" si="5"/>
        <v>4.0723716803240526</v>
      </c>
      <c r="AQ683" s="117">
        <f t="shared" si="5"/>
        <v>4.1782533440124778</v>
      </c>
      <c r="AR683" s="117">
        <f t="shared" si="5"/>
        <v>4.2952444376448273</v>
      </c>
      <c r="AS683" s="117">
        <f t="shared" si="5"/>
        <v>4.3940350597106583</v>
      </c>
      <c r="AT683" s="117">
        <f t="shared" si="5"/>
        <v>4.3720648844121053</v>
      </c>
      <c r="AU683" s="117">
        <f t="shared" si="5"/>
        <v>4.3808090141809295</v>
      </c>
      <c r="AV683" s="117">
        <f t="shared" si="5"/>
        <v>4.4202362953085572</v>
      </c>
      <c r="AW683" s="117">
        <f t="shared" si="5"/>
        <v>4.4688588945569512</v>
      </c>
      <c r="AX683" s="117">
        <f t="shared" si="5"/>
        <v>4.5761115080263179</v>
      </c>
      <c r="AY683" s="117">
        <f t="shared" si="5"/>
        <v>4.7866126373955291</v>
      </c>
      <c r="AZ683" s="117">
        <f t="shared" si="5"/>
        <v>4.9541440797043723</v>
      </c>
      <c r="BA683" s="117">
        <f t="shared" si="5"/>
        <v>5.0532269612984599</v>
      </c>
      <c r="BB683" s="117">
        <f t="shared" si="5"/>
        <v>5.18461086229222</v>
      </c>
      <c r="BC683" s="117">
        <f t="shared" si="5"/>
        <v>5.2623800252266024</v>
      </c>
      <c r="BD683" s="117">
        <f t="shared" si="6"/>
        <v>5.3623652457059077</v>
      </c>
      <c r="BE683" s="117">
        <f t="shared" si="6"/>
        <v>5.5017867420942617</v>
      </c>
      <c r="BF683" s="117">
        <f t="shared" si="6"/>
        <v>5.5953171167098636</v>
      </c>
      <c r="BG683" s="117">
        <f t="shared" si="6"/>
        <v>5.7407953617443201</v>
      </c>
      <c r="BH683" s="117">
        <f t="shared" si="6"/>
        <v>5.8843152457879278</v>
      </c>
      <c r="BI683" s="117">
        <f t="shared" si="6"/>
        <v>6.1608780623399602</v>
      </c>
      <c r="BJ683" s="117">
        <f t="shared" si="6"/>
        <v>6.3641870383971781</v>
      </c>
      <c r="BK683" s="117">
        <f t="shared" si="6"/>
        <v>6.4978349662035182</v>
      </c>
      <c r="BL683" s="117">
        <f t="shared" si="6"/>
        <v>6.5693111508317559</v>
      </c>
      <c r="BM683" s="117">
        <f t="shared" si="6"/>
        <v>6.6875587515467272</v>
      </c>
      <c r="BN683" s="117">
        <f t="shared" si="6"/>
        <v>6.7811845740683818</v>
      </c>
      <c r="BO683" s="117">
        <f t="shared" si="6"/>
        <v>6.8557776043831335</v>
      </c>
      <c r="BP683" s="117">
        <f t="shared" si="6"/>
        <v>7.0751624877233938</v>
      </c>
      <c r="BQ683" s="117">
        <f t="shared" si="6"/>
        <v>7.0963879751865635</v>
      </c>
      <c r="BR683" s="117">
        <f t="shared" si="6"/>
        <v>7.202833794814361</v>
      </c>
      <c r="BS683" s="117">
        <f t="shared" si="6"/>
        <v>7.3901074734795342</v>
      </c>
      <c r="BT683" s="117">
        <f t="shared" si="7"/>
        <v>7.5600799453695631</v>
      </c>
      <c r="BU683" s="117">
        <f t="shared" si="7"/>
        <v>7.7717621838399111</v>
      </c>
      <c r="BV683" s="117">
        <f t="shared" si="7"/>
        <v>7.8494798056783104</v>
      </c>
      <c r="BW683" s="117">
        <f t="shared" si="7"/>
        <v>7.9122756441237367</v>
      </c>
      <c r="BX683" s="117">
        <f t="shared" si="7"/>
        <v>7.9281001954119841</v>
      </c>
      <c r="BY683" s="117">
        <f t="shared" si="7"/>
        <v>8.0390935981477512</v>
      </c>
      <c r="BZ683" s="117">
        <f t="shared" si="7"/>
        <v>8.1355627213255239</v>
      </c>
      <c r="CA683" s="117">
        <f t="shared" si="7"/>
        <v>8.3470873520799884</v>
      </c>
      <c r="CB683" s="117">
        <f t="shared" si="7"/>
        <v>8.4806407497132685</v>
      </c>
      <c r="CC683" s="117">
        <f t="shared" si="7"/>
        <v>8.6332922832081067</v>
      </c>
      <c r="CD683" s="117">
        <f t="shared" si="7"/>
        <v>9.1685564047670098</v>
      </c>
      <c r="CE683" s="117">
        <f t="shared" si="7"/>
        <v>9.902040917148371</v>
      </c>
      <c r="CF683" s="117">
        <f t="shared" si="7"/>
        <v>10.179298062828526</v>
      </c>
      <c r="CG683" s="117">
        <f t="shared" si="7"/>
        <v>10.35234612989661</v>
      </c>
    </row>
    <row r="684" spans="1:85">
      <c r="A684" s="3"/>
      <c r="B684" s="115">
        <v>1957</v>
      </c>
      <c r="C684" s="115"/>
      <c r="D684" s="3"/>
      <c r="E684" s="118"/>
      <c r="F684" s="118"/>
      <c r="G684" s="118"/>
      <c r="H684" s="118"/>
      <c r="I684" s="118"/>
      <c r="J684" s="118"/>
      <c r="K684" s="118"/>
      <c r="L684" s="118"/>
      <c r="M684" s="118"/>
      <c r="N684" s="118"/>
      <c r="O684" s="118"/>
      <c r="P684" s="116">
        <v>1</v>
      </c>
      <c r="Q684" s="117">
        <f t="shared" si="3"/>
        <v>1.0172632647880173</v>
      </c>
      <c r="R684" s="117">
        <f t="shared" si="3"/>
        <v>1.0258948971820261</v>
      </c>
      <c r="S684" s="117">
        <f t="shared" si="3"/>
        <v>1.0520436659050521</v>
      </c>
      <c r="T684" s="117">
        <f t="shared" si="3"/>
        <v>1.0695608022340697</v>
      </c>
      <c r="U684" s="117">
        <f t="shared" si="3"/>
        <v>1.0901243970550902</v>
      </c>
      <c r="V684" s="117">
        <f t="shared" si="3"/>
        <v>1.131759329779132</v>
      </c>
      <c r="W684" s="117">
        <f t="shared" si="3"/>
        <v>1.1532627570449354</v>
      </c>
      <c r="X684" s="117">
        <f t="shared" si="4"/>
        <v>1.2501368286367101</v>
      </c>
      <c r="Y684" s="117">
        <f t="shared" si="4"/>
        <v>1.3038927122680886</v>
      </c>
      <c r="Z684" s="117">
        <f t="shared" si="4"/>
        <v>1.3795184895796377</v>
      </c>
      <c r="AA684" s="117">
        <f t="shared" si="4"/>
        <v>1.4333197106732436</v>
      </c>
      <c r="AB684" s="117">
        <f t="shared" si="4"/>
        <v>1.4806192611254605</v>
      </c>
      <c r="AC684" s="117">
        <f t="shared" si="4"/>
        <v>1.5827819901431173</v>
      </c>
      <c r="AD684" s="117">
        <f t="shared" si="4"/>
        <v>1.6682522176108456</v>
      </c>
      <c r="AE684" s="117">
        <f t="shared" si="4"/>
        <v>1.7950393861492699</v>
      </c>
      <c r="AF684" s="117">
        <f t="shared" si="4"/>
        <v>1.9278723007243161</v>
      </c>
      <c r="AG684" s="117">
        <f t="shared" si="4"/>
        <v>2.0840299570829859</v>
      </c>
      <c r="AH684" s="117">
        <f t="shared" si="4"/>
        <v>2.2882648928771188</v>
      </c>
      <c r="AI684" s="117">
        <f t="shared" si="4"/>
        <v>2.5331092364149703</v>
      </c>
      <c r="AJ684" s="117">
        <f t="shared" si="4"/>
        <v>2.7433573030374125</v>
      </c>
      <c r="AK684" s="117">
        <f t="shared" si="4"/>
        <v>2.9299055996439569</v>
      </c>
      <c r="AL684" s="117">
        <f t="shared" si="4"/>
        <v>3.0529616348290034</v>
      </c>
      <c r="AM684" s="117">
        <f t="shared" si="4"/>
        <v>3.1689741769525055</v>
      </c>
      <c r="AN684" s="117">
        <f t="shared" si="5"/>
        <v>3.3939713435161334</v>
      </c>
      <c r="AO684" s="117">
        <f t="shared" si="5"/>
        <v>3.611185509501166</v>
      </c>
      <c r="AP684" s="117">
        <f t="shared" si="5"/>
        <v>3.8242454545617348</v>
      </c>
      <c r="AQ684" s="117">
        <f t="shared" si="5"/>
        <v>3.9236758363803399</v>
      </c>
      <c r="AR684" s="117">
        <f t="shared" si="5"/>
        <v>4.0335387597989891</v>
      </c>
      <c r="AS684" s="117">
        <f t="shared" si="5"/>
        <v>4.1263101512743656</v>
      </c>
      <c r="AT684" s="117">
        <f t="shared" si="5"/>
        <v>4.1056786005179937</v>
      </c>
      <c r="AU684" s="117">
        <f t="shared" si="5"/>
        <v>4.1138899577190298</v>
      </c>
      <c r="AV684" s="117">
        <f t="shared" si="5"/>
        <v>4.1509149673385002</v>
      </c>
      <c r="AW684" s="117">
        <f t="shared" si="5"/>
        <v>4.196575031979223</v>
      </c>
      <c r="AX684" s="117">
        <f t="shared" si="5"/>
        <v>4.2972928327467246</v>
      </c>
      <c r="AY684" s="117">
        <f t="shared" si="5"/>
        <v>4.4949683030530743</v>
      </c>
      <c r="AZ684" s="117">
        <f t="shared" si="5"/>
        <v>4.6522921936599317</v>
      </c>
      <c r="BA684" s="117">
        <f t="shared" si="5"/>
        <v>4.7453380375331307</v>
      </c>
      <c r="BB684" s="117">
        <f t="shared" si="5"/>
        <v>4.868716826508992</v>
      </c>
      <c r="BC684" s="117">
        <f t="shared" si="5"/>
        <v>4.9417475789066261</v>
      </c>
      <c r="BD684" s="117">
        <f t="shared" si="6"/>
        <v>5.0356407829058512</v>
      </c>
      <c r="BE684" s="117">
        <f t="shared" si="6"/>
        <v>5.1665674432614033</v>
      </c>
      <c r="BF684" s="117">
        <f t="shared" si="6"/>
        <v>5.2543990897968467</v>
      </c>
      <c r="BG684" s="117">
        <f t="shared" si="6"/>
        <v>5.3910134661315645</v>
      </c>
      <c r="BH684" s="117">
        <f t="shared" si="6"/>
        <v>5.5257888027848532</v>
      </c>
      <c r="BI684" s="117">
        <f t="shared" si="6"/>
        <v>5.7855008765157407</v>
      </c>
      <c r="BJ684" s="117">
        <f t="shared" si="6"/>
        <v>5.9764224054407595</v>
      </c>
      <c r="BK684" s="117">
        <f t="shared" si="6"/>
        <v>6.1019272759550152</v>
      </c>
      <c r="BL684" s="117">
        <f t="shared" si="6"/>
        <v>6.16904847599052</v>
      </c>
      <c r="BM684" s="117">
        <f t="shared" si="6"/>
        <v>6.2800913485583498</v>
      </c>
      <c r="BN684" s="117">
        <f t="shared" si="6"/>
        <v>6.3680126274381665</v>
      </c>
      <c r="BO684" s="117">
        <f t="shared" si="6"/>
        <v>6.4380607663399854</v>
      </c>
      <c r="BP684" s="117">
        <f t="shared" si="6"/>
        <v>6.6440787108628649</v>
      </c>
      <c r="BQ684" s="117">
        <f t="shared" si="6"/>
        <v>6.6640109469954529</v>
      </c>
      <c r="BR684" s="117">
        <f t="shared" si="6"/>
        <v>6.7639711112003837</v>
      </c>
      <c r="BS684" s="117">
        <f t="shared" si="6"/>
        <v>6.9398343600915942</v>
      </c>
      <c r="BT684" s="117">
        <f t="shared" si="7"/>
        <v>7.0994505503737004</v>
      </c>
      <c r="BU684" s="117">
        <f t="shared" si="7"/>
        <v>7.2982351657841642</v>
      </c>
      <c r="BV684" s="117">
        <f t="shared" si="7"/>
        <v>7.3712175174420063</v>
      </c>
      <c r="BW684" s="117">
        <f t="shared" si="7"/>
        <v>7.430187257581542</v>
      </c>
      <c r="BX684" s="117">
        <f t="shared" si="7"/>
        <v>7.4450476320967054</v>
      </c>
      <c r="BY684" s="117">
        <f t="shared" si="7"/>
        <v>7.5492782989460592</v>
      </c>
      <c r="BZ684" s="117">
        <f t="shared" si="7"/>
        <v>7.6398696385334119</v>
      </c>
      <c r="CA684" s="117">
        <f t="shared" si="7"/>
        <v>7.838506249135281</v>
      </c>
      <c r="CB684" s="117">
        <f t="shared" si="7"/>
        <v>7.9639223491214457</v>
      </c>
      <c r="CC684" s="117">
        <f t="shared" si="7"/>
        <v>8.1072729514056316</v>
      </c>
      <c r="CD684" s="117">
        <f t="shared" si="7"/>
        <v>8.6099238743927806</v>
      </c>
      <c r="CE684" s="117">
        <f t="shared" si="7"/>
        <v>9.2987177843442037</v>
      </c>
      <c r="CF684" s="117">
        <f t="shared" si="7"/>
        <v>9.5590818823058417</v>
      </c>
      <c r="CG684" s="117">
        <f t="shared" si="7"/>
        <v>9.7215862743050394</v>
      </c>
    </row>
    <row r="685" spans="1:85">
      <c r="A685" s="3"/>
      <c r="B685" s="115">
        <v>1958</v>
      </c>
      <c r="C685" s="115"/>
      <c r="D685" s="3"/>
      <c r="E685" s="118"/>
      <c r="F685" s="118"/>
      <c r="G685" s="118"/>
      <c r="H685" s="118"/>
      <c r="I685" s="118"/>
      <c r="J685" s="118"/>
      <c r="K685" s="118"/>
      <c r="L685" s="118"/>
      <c r="M685" s="118"/>
      <c r="N685" s="118"/>
      <c r="O685" s="118"/>
      <c r="P685" s="118"/>
      <c r="Q685" s="116">
        <v>1</v>
      </c>
      <c r="R685" s="117">
        <f t="shared" si="3"/>
        <v>1.0084851509857751</v>
      </c>
      <c r="S685" s="117">
        <f t="shared" si="3"/>
        <v>1.0341901672073872</v>
      </c>
      <c r="T685" s="117">
        <f t="shared" si="3"/>
        <v>1.0514100324432247</v>
      </c>
      <c r="U685" s="117">
        <f t="shared" si="3"/>
        <v>1.0716246568505119</v>
      </c>
      <c r="V685" s="117">
        <f t="shared" si="3"/>
        <v>1.1125530321936614</v>
      </c>
      <c r="W685" s="117">
        <f t="shared" si="3"/>
        <v>1.1336915398053409</v>
      </c>
      <c r="X685" s="117">
        <f t="shared" si="4"/>
        <v>1.2289216291489895</v>
      </c>
      <c r="Y685" s="117">
        <f t="shared" si="4"/>
        <v>1.281765259202396</v>
      </c>
      <c r="Z685" s="117">
        <f t="shared" si="4"/>
        <v>1.3561076442361351</v>
      </c>
      <c r="AA685" s="117">
        <f t="shared" si="4"/>
        <v>1.4089958423613442</v>
      </c>
      <c r="AB685" s="117">
        <f t="shared" si="4"/>
        <v>1.4554927051592685</v>
      </c>
      <c r="AC685" s="117">
        <f t="shared" si="4"/>
        <v>1.555921701815258</v>
      </c>
      <c r="AD685" s="117">
        <f t="shared" si="4"/>
        <v>1.639941473713282</v>
      </c>
      <c r="AE685" s="117">
        <f t="shared" si="4"/>
        <v>1.7645770257154916</v>
      </c>
      <c r="AF685" s="117">
        <f t="shared" si="4"/>
        <v>1.8951557256184381</v>
      </c>
      <c r="AG685" s="117">
        <f t="shared" si="4"/>
        <v>2.0486633393935314</v>
      </c>
      <c r="AH685" s="117">
        <f t="shared" si="4"/>
        <v>2.2494323466540975</v>
      </c>
      <c r="AI685" s="117">
        <f t="shared" si="4"/>
        <v>2.4901216077460857</v>
      </c>
      <c r="AJ685" s="117">
        <f t="shared" si="4"/>
        <v>2.6968017011890106</v>
      </c>
      <c r="AK685" s="117">
        <f t="shared" si="4"/>
        <v>2.8801842168698637</v>
      </c>
      <c r="AL685" s="117">
        <f t="shared" si="4"/>
        <v>3.0011519539783982</v>
      </c>
      <c r="AM685" s="117">
        <f t="shared" si="4"/>
        <v>3.1151957282295775</v>
      </c>
      <c r="AN685" s="117">
        <f t="shared" si="5"/>
        <v>3.3363746249338773</v>
      </c>
      <c r="AO685" s="117">
        <f t="shared" si="5"/>
        <v>3.5499026009296455</v>
      </c>
      <c r="AP685" s="117">
        <f t="shared" si="5"/>
        <v>3.7593468543844946</v>
      </c>
      <c r="AQ685" s="117">
        <f t="shared" si="5"/>
        <v>3.8570898725984915</v>
      </c>
      <c r="AR685" s="117">
        <f t="shared" si="5"/>
        <v>3.9650883890312492</v>
      </c>
      <c r="AS685" s="117">
        <f t="shared" si="5"/>
        <v>4.0562854219789672</v>
      </c>
      <c r="AT685" s="117">
        <f t="shared" si="5"/>
        <v>4.0360039948690725</v>
      </c>
      <c r="AU685" s="117">
        <f t="shared" si="5"/>
        <v>4.0440760028588105</v>
      </c>
      <c r="AV685" s="117">
        <f t="shared" si="5"/>
        <v>4.0804726868845398</v>
      </c>
      <c r="AW685" s="117">
        <f t="shared" si="5"/>
        <v>4.1253578864402689</v>
      </c>
      <c r="AX685" s="117">
        <f t="shared" si="5"/>
        <v>4.2243664757148354</v>
      </c>
      <c r="AY685" s="117">
        <f t="shared" si="5"/>
        <v>4.4186873335977177</v>
      </c>
      <c r="AZ685" s="117">
        <f t="shared" si="5"/>
        <v>4.5733413902736375</v>
      </c>
      <c r="BA685" s="117">
        <f t="shared" si="5"/>
        <v>4.6648082180791102</v>
      </c>
      <c r="BB685" s="117">
        <f t="shared" si="5"/>
        <v>4.7860932317491676</v>
      </c>
      <c r="BC685" s="117">
        <f t="shared" si="5"/>
        <v>4.8578846302254046</v>
      </c>
      <c r="BD685" s="117">
        <f t="shared" si="6"/>
        <v>4.9501844381996865</v>
      </c>
      <c r="BE685" s="117">
        <f t="shared" si="6"/>
        <v>5.0788892335928786</v>
      </c>
      <c r="BF685" s="117">
        <f t="shared" si="6"/>
        <v>5.1652303505639567</v>
      </c>
      <c r="BG685" s="117">
        <f t="shared" si="6"/>
        <v>5.2995263396786196</v>
      </c>
      <c r="BH685" s="117">
        <f t="shared" si="6"/>
        <v>5.4320144981705845</v>
      </c>
      <c r="BI685" s="117">
        <f t="shared" si="6"/>
        <v>5.6873191795846019</v>
      </c>
      <c r="BJ685" s="117">
        <f t="shared" si="6"/>
        <v>5.875000712510893</v>
      </c>
      <c r="BK685" s="117">
        <f t="shared" si="6"/>
        <v>5.9983757274736211</v>
      </c>
      <c r="BL685" s="117">
        <f t="shared" si="6"/>
        <v>6.0643578604758304</v>
      </c>
      <c r="BM685" s="117">
        <f t="shared" si="6"/>
        <v>6.173516301964395</v>
      </c>
      <c r="BN685" s="117">
        <f t="shared" si="6"/>
        <v>6.2599455301918967</v>
      </c>
      <c r="BO685" s="117">
        <f t="shared" si="6"/>
        <v>6.3288049310240071</v>
      </c>
      <c r="BP685" s="117">
        <f t="shared" si="6"/>
        <v>6.5313266888167751</v>
      </c>
      <c r="BQ685" s="117">
        <f t="shared" si="6"/>
        <v>6.5509206688832249</v>
      </c>
      <c r="BR685" s="117">
        <f t="shared" si="6"/>
        <v>6.6491844789164727</v>
      </c>
      <c r="BS685" s="117">
        <f t="shared" si="6"/>
        <v>6.8220632753683015</v>
      </c>
      <c r="BT685" s="117">
        <f t="shared" si="7"/>
        <v>6.9789707307017714</v>
      </c>
      <c r="BU685" s="117">
        <f t="shared" si="7"/>
        <v>7.1743819111614213</v>
      </c>
      <c r="BV685" s="117">
        <f t="shared" si="7"/>
        <v>7.246125730273036</v>
      </c>
      <c r="BW685" s="117">
        <f t="shared" si="7"/>
        <v>7.3040947361152204</v>
      </c>
      <c r="BX685" s="117">
        <f t="shared" si="7"/>
        <v>7.3187029255874512</v>
      </c>
      <c r="BY685" s="117">
        <f t="shared" si="7"/>
        <v>7.4211647665456759</v>
      </c>
      <c r="BZ685" s="117">
        <f t="shared" si="7"/>
        <v>7.5102187437442245</v>
      </c>
      <c r="CA685" s="117">
        <f t="shared" si="7"/>
        <v>7.7054844310815742</v>
      </c>
      <c r="CB685" s="117">
        <f t="shared" si="7"/>
        <v>7.8287721819788798</v>
      </c>
      <c r="CC685" s="117">
        <f t="shared" si="7"/>
        <v>7.9696900812545</v>
      </c>
      <c r="CD685" s="117">
        <f t="shared" si="7"/>
        <v>8.4638108662922793</v>
      </c>
      <c r="CE685" s="117">
        <f t="shared" si="7"/>
        <v>9.1409157355956623</v>
      </c>
      <c r="CF685" s="117">
        <f t="shared" si="7"/>
        <v>9.3968613761923407</v>
      </c>
      <c r="CG685" s="117">
        <f t="shared" si="7"/>
        <v>9.5566080195876104</v>
      </c>
    </row>
    <row r="686" spans="1:85">
      <c r="A686" s="3"/>
      <c r="B686" s="115">
        <v>1959</v>
      </c>
      <c r="C686" s="115"/>
      <c r="D686" s="3"/>
      <c r="E686" s="118"/>
      <c r="F686" s="118"/>
      <c r="G686" s="118"/>
      <c r="H686" s="118"/>
      <c r="I686" s="118"/>
      <c r="J686" s="118"/>
      <c r="K686" s="118"/>
      <c r="L686" s="118"/>
      <c r="M686" s="118"/>
      <c r="N686" s="118"/>
      <c r="O686" s="118"/>
      <c r="P686" s="118"/>
      <c r="Q686" s="118"/>
      <c r="R686" s="116">
        <v>1</v>
      </c>
      <c r="S686" s="117">
        <f t="shared" si="3"/>
        <v>1.0254887404107893</v>
      </c>
      <c r="T686" s="117">
        <f t="shared" si="3"/>
        <v>1.0425637218510271</v>
      </c>
      <c r="U686" s="117">
        <f t="shared" si="3"/>
        <v>1.062608265280871</v>
      </c>
      <c r="V686" s="117">
        <f t="shared" si="3"/>
        <v>1.1031922791388271</v>
      </c>
      <c r="W686" s="117">
        <f t="shared" si="3"/>
        <v>1.1241529324424648</v>
      </c>
      <c r="X686" s="117">
        <f t="shared" si="4"/>
        <v>1.2185817787676321</v>
      </c>
      <c r="Y686" s="117">
        <f t="shared" si="4"/>
        <v>1.2709807952546401</v>
      </c>
      <c r="Z686" s="117">
        <f t="shared" si="4"/>
        <v>1.3446976813794094</v>
      </c>
      <c r="AA686" s="117">
        <f t="shared" si="4"/>
        <v>1.3971408909532061</v>
      </c>
      <c r="AB686" s="117">
        <f t="shared" si="4"/>
        <v>1.4432465403546619</v>
      </c>
      <c r="AC686" s="117">
        <f t="shared" si="4"/>
        <v>1.5428305516391336</v>
      </c>
      <c r="AD686" s="117">
        <f t="shared" si="4"/>
        <v>1.626143401427647</v>
      </c>
      <c r="AE686" s="117">
        <f t="shared" si="4"/>
        <v>1.7497302999361484</v>
      </c>
      <c r="AF686" s="117">
        <f t="shared" si="4"/>
        <v>1.8792103421314235</v>
      </c>
      <c r="AG686" s="117">
        <f t="shared" si="4"/>
        <v>2.0314263798440688</v>
      </c>
      <c r="AH686" s="117">
        <f t="shared" si="4"/>
        <v>2.2305061650687876</v>
      </c>
      <c r="AI686" s="117">
        <f t="shared" si="4"/>
        <v>2.4691703247311478</v>
      </c>
      <c r="AJ686" s="117">
        <f t="shared" si="4"/>
        <v>2.6741114616838328</v>
      </c>
      <c r="AK686" s="117">
        <f t="shared" si="4"/>
        <v>2.8559510410783338</v>
      </c>
      <c r="AL686" s="117">
        <f t="shared" si="4"/>
        <v>2.9759009848036237</v>
      </c>
      <c r="AM686" s="117">
        <f t="shared" si="4"/>
        <v>3.0889852222261616</v>
      </c>
      <c r="AN686" s="117">
        <f t="shared" si="5"/>
        <v>3.3083031730042189</v>
      </c>
      <c r="AO686" s="117">
        <f t="shared" si="5"/>
        <v>3.5200345760764891</v>
      </c>
      <c r="AP686" s="117">
        <f t="shared" si="5"/>
        <v>3.7277166160650017</v>
      </c>
      <c r="AQ686" s="117">
        <f t="shared" si="5"/>
        <v>3.8246372480826918</v>
      </c>
      <c r="AR686" s="117">
        <f t="shared" si="5"/>
        <v>3.9317270910290074</v>
      </c>
      <c r="AS686" s="117">
        <f t="shared" si="5"/>
        <v>4.022156814122674</v>
      </c>
      <c r="AT686" s="117">
        <f t="shared" si="5"/>
        <v>4.0020460300520604</v>
      </c>
      <c r="AU686" s="117">
        <f t="shared" si="5"/>
        <v>4.0100501221121645</v>
      </c>
      <c r="AV686" s="117">
        <f t="shared" si="5"/>
        <v>4.0461405732111739</v>
      </c>
      <c r="AW686" s="117">
        <f t="shared" si="5"/>
        <v>4.0906481195164961</v>
      </c>
      <c r="AX686" s="117">
        <f t="shared" si="5"/>
        <v>4.1888236743848921</v>
      </c>
      <c r="AY686" s="117">
        <f t="shared" si="5"/>
        <v>4.3815095634065973</v>
      </c>
      <c r="AZ686" s="117">
        <f t="shared" si="5"/>
        <v>4.5348623981258278</v>
      </c>
      <c r="BA686" s="117">
        <f t="shared" si="5"/>
        <v>4.6255596460883446</v>
      </c>
      <c r="BB686" s="117">
        <f t="shared" si="5"/>
        <v>4.7458241968866419</v>
      </c>
      <c r="BC686" s="117">
        <f t="shared" si="5"/>
        <v>4.8170115598399414</v>
      </c>
      <c r="BD686" s="117">
        <f t="shared" si="6"/>
        <v>4.9085347794769003</v>
      </c>
      <c r="BE686" s="117">
        <f t="shared" si="6"/>
        <v>5.0361566837432994</v>
      </c>
      <c r="BF686" s="117">
        <f t="shared" si="6"/>
        <v>5.1217713473669351</v>
      </c>
      <c r="BG686" s="117">
        <f t="shared" si="6"/>
        <v>5.2549374023984754</v>
      </c>
      <c r="BH686" s="117">
        <f t="shared" si="6"/>
        <v>5.3863108374584368</v>
      </c>
      <c r="BI686" s="117">
        <f t="shared" si="6"/>
        <v>5.6394674468189825</v>
      </c>
      <c r="BJ686" s="117">
        <f t="shared" si="6"/>
        <v>5.8255698725640084</v>
      </c>
      <c r="BK686" s="117">
        <f t="shared" si="6"/>
        <v>5.9479068398878523</v>
      </c>
      <c r="BL686" s="117">
        <f t="shared" si="6"/>
        <v>6.013333815126618</v>
      </c>
      <c r="BM686" s="117">
        <f t="shared" si="6"/>
        <v>6.1215738237988973</v>
      </c>
      <c r="BN686" s="117">
        <f t="shared" si="6"/>
        <v>6.2072758573320819</v>
      </c>
      <c r="BO686" s="117">
        <f t="shared" si="6"/>
        <v>6.2755558917627345</v>
      </c>
      <c r="BP686" s="117">
        <f t="shared" si="6"/>
        <v>6.4763736802991421</v>
      </c>
      <c r="BQ686" s="117">
        <f t="shared" si="6"/>
        <v>6.4958028013400391</v>
      </c>
      <c r="BR686" s="117">
        <f t="shared" si="6"/>
        <v>6.5932398433601387</v>
      </c>
      <c r="BS686" s="117">
        <f t="shared" si="6"/>
        <v>6.7646640792875026</v>
      </c>
      <c r="BT686" s="117">
        <f t="shared" si="7"/>
        <v>6.9202513531111149</v>
      </c>
      <c r="BU686" s="117">
        <f t="shared" si="7"/>
        <v>7.1140183909982264</v>
      </c>
      <c r="BV686" s="117">
        <f t="shared" si="7"/>
        <v>7.1851585749082085</v>
      </c>
      <c r="BW686" s="117">
        <f t="shared" si="7"/>
        <v>7.2426398435074741</v>
      </c>
      <c r="BX686" s="117">
        <f t="shared" si="7"/>
        <v>7.2571251231944887</v>
      </c>
      <c r="BY686" s="117">
        <f t="shared" si="7"/>
        <v>7.3587248749192113</v>
      </c>
      <c r="BZ686" s="117">
        <f t="shared" si="7"/>
        <v>7.4470295734182423</v>
      </c>
      <c r="CA686" s="117">
        <f t="shared" si="7"/>
        <v>7.6406523423271171</v>
      </c>
      <c r="CB686" s="117">
        <f t="shared" si="7"/>
        <v>7.7629027798043513</v>
      </c>
      <c r="CC686" s="117">
        <f t="shared" si="7"/>
        <v>7.9026350298408294</v>
      </c>
      <c r="CD686" s="117">
        <f t="shared" si="7"/>
        <v>8.3925984016909609</v>
      </c>
      <c r="CE686" s="117">
        <f t="shared" si="7"/>
        <v>9.064006273826239</v>
      </c>
      <c r="CF686" s="117">
        <f t="shared" si="7"/>
        <v>9.3177984494933739</v>
      </c>
      <c r="CG686" s="117">
        <f t="shared" si="7"/>
        <v>9.4762010231347595</v>
      </c>
    </row>
    <row r="687" spans="1:85">
      <c r="A687" s="3"/>
      <c r="B687" s="115">
        <v>1960</v>
      </c>
      <c r="C687" s="115"/>
      <c r="D687" s="3"/>
      <c r="E687" s="118"/>
      <c r="F687" s="118"/>
      <c r="G687" s="118"/>
      <c r="H687" s="118"/>
      <c r="I687" s="118"/>
      <c r="J687" s="118"/>
      <c r="K687" s="118"/>
      <c r="L687" s="118"/>
      <c r="M687" s="118"/>
      <c r="N687" s="118"/>
      <c r="O687" s="118"/>
      <c r="P687" s="118"/>
      <c r="Q687" s="118"/>
      <c r="R687" s="118"/>
      <c r="S687" s="116">
        <v>1</v>
      </c>
      <c r="T687" s="117">
        <f t="shared" si="3"/>
        <v>1.0166505791505793</v>
      </c>
      <c r="U687" s="117">
        <f t="shared" si="3"/>
        <v>1.0361969111969114</v>
      </c>
      <c r="V687" s="117">
        <f t="shared" si="3"/>
        <v>1.075772200772201</v>
      </c>
      <c r="W687" s="117">
        <f t="shared" si="3"/>
        <v>1.0962118725868728</v>
      </c>
      <c r="X687" s="117">
        <f t="shared" si="4"/>
        <v>1.1882936698841702</v>
      </c>
      <c r="Y687" s="117">
        <f t="shared" si="4"/>
        <v>1.2393902976891895</v>
      </c>
      <c r="Z687" s="117">
        <f t="shared" si="4"/>
        <v>1.3112749349551627</v>
      </c>
      <c r="AA687" s="117">
        <f t="shared" si="4"/>
        <v>1.3624146574184139</v>
      </c>
      <c r="AB687" s="117">
        <f t="shared" si="4"/>
        <v>1.4073743411132216</v>
      </c>
      <c r="AC687" s="117">
        <f t="shared" si="4"/>
        <v>1.5044831706500339</v>
      </c>
      <c r="AD687" s="117">
        <f t="shared" si="4"/>
        <v>1.5857252618651358</v>
      </c>
      <c r="AE687" s="117">
        <f t="shared" si="4"/>
        <v>1.7062403817668863</v>
      </c>
      <c r="AF687" s="117">
        <f t="shared" si="4"/>
        <v>1.832502170017636</v>
      </c>
      <c r="AG687" s="117">
        <f t="shared" si="4"/>
        <v>1.9809348457890645</v>
      </c>
      <c r="AH687" s="117">
        <f t="shared" si="4"/>
        <v>2.1750664606763932</v>
      </c>
      <c r="AI687" s="117">
        <f t="shared" si="4"/>
        <v>2.4077985719687671</v>
      </c>
      <c r="AJ687" s="117">
        <f t="shared" si="4"/>
        <v>2.6076458534421749</v>
      </c>
      <c r="AK687" s="117">
        <f t="shared" si="4"/>
        <v>2.784965771476243</v>
      </c>
      <c r="AL687" s="117">
        <f t="shared" si="4"/>
        <v>2.9019343338782453</v>
      </c>
      <c r="AM687" s="117">
        <f t="shared" si="4"/>
        <v>3.0122078385656188</v>
      </c>
      <c r="AN687" s="117">
        <f t="shared" si="5"/>
        <v>3.2260745951037775</v>
      </c>
      <c r="AO687" s="117">
        <f t="shared" si="5"/>
        <v>3.4325433691904195</v>
      </c>
      <c r="AP687" s="117">
        <f t="shared" si="5"/>
        <v>3.6350634279726539</v>
      </c>
      <c r="AQ687" s="117">
        <f t="shared" si="5"/>
        <v>3.729575077099943</v>
      </c>
      <c r="AR687" s="117">
        <f t="shared" si="5"/>
        <v>3.8340031792587412</v>
      </c>
      <c r="AS687" s="117">
        <f t="shared" si="5"/>
        <v>3.9221852523816918</v>
      </c>
      <c r="AT687" s="117">
        <f t="shared" si="5"/>
        <v>3.9025743261197832</v>
      </c>
      <c r="AU687" s="117">
        <f t="shared" si="5"/>
        <v>3.9103794747720229</v>
      </c>
      <c r="AV687" s="117">
        <f t="shared" si="5"/>
        <v>3.9455728900449705</v>
      </c>
      <c r="AW687" s="117">
        <f t="shared" si="5"/>
        <v>3.9889741918354646</v>
      </c>
      <c r="AX687" s="117">
        <f t="shared" si="5"/>
        <v>4.0847095724395155</v>
      </c>
      <c r="AY687" s="117">
        <f t="shared" si="5"/>
        <v>4.2726062127717332</v>
      </c>
      <c r="AZ687" s="117">
        <f t="shared" si="5"/>
        <v>4.422147430218744</v>
      </c>
      <c r="BA687" s="117">
        <f t="shared" si="5"/>
        <v>4.5105903788231192</v>
      </c>
      <c r="BB687" s="117">
        <f t="shared" si="5"/>
        <v>4.6278657286725204</v>
      </c>
      <c r="BC687" s="117">
        <f t="shared" si="5"/>
        <v>4.6972837146026079</v>
      </c>
      <c r="BD687" s="117">
        <f t="shared" si="6"/>
        <v>4.7865321051800569</v>
      </c>
      <c r="BE687" s="117">
        <f t="shared" si="6"/>
        <v>4.9109819399147385</v>
      </c>
      <c r="BF687" s="117">
        <f t="shared" si="6"/>
        <v>4.9944686328932884</v>
      </c>
      <c r="BG687" s="117">
        <f t="shared" si="6"/>
        <v>5.1243248173485139</v>
      </c>
      <c r="BH687" s="117">
        <f t="shared" si="6"/>
        <v>5.2524329377822259</v>
      </c>
      <c r="BI687" s="117">
        <f t="shared" si="6"/>
        <v>5.49929728585799</v>
      </c>
      <c r="BJ687" s="117">
        <f t="shared" si="6"/>
        <v>5.6807740962913034</v>
      </c>
      <c r="BK687" s="117">
        <f t="shared" si="6"/>
        <v>5.8000703523134201</v>
      </c>
      <c r="BL687" s="117">
        <f t="shared" si="6"/>
        <v>5.863871126188867</v>
      </c>
      <c r="BM687" s="117">
        <f t="shared" si="6"/>
        <v>5.969420806460267</v>
      </c>
      <c r="BN687" s="117">
        <f t="shared" si="6"/>
        <v>6.0529926977507111</v>
      </c>
      <c r="BO687" s="117">
        <f t="shared" si="6"/>
        <v>6.1195756174259683</v>
      </c>
      <c r="BP687" s="117">
        <f t="shared" si="6"/>
        <v>6.3154020371835999</v>
      </c>
      <c r="BQ687" s="117">
        <f t="shared" si="6"/>
        <v>6.3343482432951497</v>
      </c>
      <c r="BR687" s="117">
        <f t="shared" si="6"/>
        <v>6.4293634669445767</v>
      </c>
      <c r="BS687" s="117">
        <f t="shared" si="6"/>
        <v>6.5965269170851357</v>
      </c>
      <c r="BT687" s="117">
        <f t="shared" si="7"/>
        <v>6.7482470361780935</v>
      </c>
      <c r="BU687" s="117">
        <f t="shared" si="7"/>
        <v>6.9371979531910801</v>
      </c>
      <c r="BV687" s="117">
        <f t="shared" si="7"/>
        <v>7.0065699327229911</v>
      </c>
      <c r="BW687" s="117">
        <f t="shared" si="7"/>
        <v>7.0626224921847749</v>
      </c>
      <c r="BX687" s="117">
        <f t="shared" si="7"/>
        <v>7.0767477371691445</v>
      </c>
      <c r="BY687" s="117">
        <f t="shared" si="7"/>
        <v>7.1758222054895127</v>
      </c>
      <c r="BZ687" s="117">
        <f t="shared" si="7"/>
        <v>7.2619320719553873</v>
      </c>
      <c r="CA687" s="117">
        <f t="shared" si="7"/>
        <v>7.4507423058262274</v>
      </c>
      <c r="CB687" s="117">
        <f t="shared" si="7"/>
        <v>7.5699541827194468</v>
      </c>
      <c r="CC687" s="117">
        <f t="shared" si="7"/>
        <v>7.7062133580083971</v>
      </c>
      <c r="CD687" s="117">
        <f t="shared" si="7"/>
        <v>8.1839985862049183</v>
      </c>
      <c r="CE687" s="117">
        <f t="shared" si="7"/>
        <v>8.8387184731013129</v>
      </c>
      <c r="CF687" s="117">
        <f t="shared" si="7"/>
        <v>9.0862025903481491</v>
      </c>
      <c r="CG687" s="117">
        <f t="shared" si="7"/>
        <v>9.2406680343840666</v>
      </c>
    </row>
    <row r="688" spans="1:85">
      <c r="A688" s="3"/>
      <c r="B688" s="115">
        <v>1961</v>
      </c>
      <c r="C688" s="115"/>
      <c r="D688" s="3"/>
      <c r="E688" s="118"/>
      <c r="F688" s="118"/>
      <c r="G688" s="118"/>
      <c r="H688" s="118"/>
      <c r="I688" s="118"/>
      <c r="J688" s="118"/>
      <c r="K688" s="118"/>
      <c r="L688" s="118"/>
      <c r="M688" s="118"/>
      <c r="N688" s="118"/>
      <c r="O688" s="118"/>
      <c r="P688" s="118"/>
      <c r="Q688" s="118"/>
      <c r="R688" s="118"/>
      <c r="S688" s="118"/>
      <c r="T688" s="116">
        <v>1</v>
      </c>
      <c r="U688" s="117">
        <f t="shared" si="3"/>
        <v>1.0192262046047946</v>
      </c>
      <c r="V688" s="117">
        <f t="shared" si="3"/>
        <v>1.058153334915737</v>
      </c>
      <c r="W688" s="117">
        <f t="shared" si="3"/>
        <v>1.0782582482791359</v>
      </c>
      <c r="X688" s="117">
        <f t="shared" si="4"/>
        <v>1.1688319411345833</v>
      </c>
      <c r="Y688" s="117">
        <f t="shared" si="4"/>
        <v>1.2190917146033704</v>
      </c>
      <c r="Z688" s="117">
        <f t="shared" si="4"/>
        <v>1.289799034050366</v>
      </c>
      <c r="AA688" s="117">
        <f t="shared" si="4"/>
        <v>1.3401011963783303</v>
      </c>
      <c r="AB688" s="117">
        <f t="shared" si="4"/>
        <v>1.384324535858815</v>
      </c>
      <c r="AC688" s="117">
        <f t="shared" si="4"/>
        <v>1.4798429288330732</v>
      </c>
      <c r="AD688" s="117">
        <f t="shared" si="4"/>
        <v>1.5597544469900593</v>
      </c>
      <c r="AE688" s="117">
        <f t="shared" si="4"/>
        <v>1.6782957849613038</v>
      </c>
      <c r="AF688" s="117">
        <f t="shared" si="4"/>
        <v>1.8024896730484403</v>
      </c>
      <c r="AG688" s="117">
        <f t="shared" si="4"/>
        <v>1.948491336565364</v>
      </c>
      <c r="AH688" s="117">
        <f t="shared" si="4"/>
        <v>2.1394434875487698</v>
      </c>
      <c r="AI688" s="117">
        <f t="shared" si="4"/>
        <v>2.3683639407164883</v>
      </c>
      <c r="AJ688" s="117">
        <f t="shared" si="4"/>
        <v>2.5649381477959565</v>
      </c>
      <c r="AK688" s="117">
        <f t="shared" si="4"/>
        <v>2.7393539418460819</v>
      </c>
      <c r="AL688" s="117">
        <f t="shared" si="4"/>
        <v>2.8544068074036173</v>
      </c>
      <c r="AM688" s="117">
        <f t="shared" si="4"/>
        <v>2.9628742660849547</v>
      </c>
      <c r="AN688" s="117">
        <f t="shared" si="5"/>
        <v>3.1732383389769865</v>
      </c>
      <c r="AO688" s="117">
        <f t="shared" si="5"/>
        <v>3.3763255926715137</v>
      </c>
      <c r="AP688" s="117">
        <f t="shared" si="5"/>
        <v>3.5755288026391328</v>
      </c>
      <c r="AQ688" s="117">
        <f t="shared" si="5"/>
        <v>3.6684925515077502</v>
      </c>
      <c r="AR688" s="117">
        <f t="shared" si="5"/>
        <v>3.7712103429499675</v>
      </c>
      <c r="AS688" s="117">
        <f t="shared" si="5"/>
        <v>3.8579481808378162</v>
      </c>
      <c r="AT688" s="117">
        <f t="shared" si="5"/>
        <v>3.838658439933627</v>
      </c>
      <c r="AU688" s="117">
        <f t="shared" si="5"/>
        <v>3.8463357568134944</v>
      </c>
      <c r="AV688" s="117">
        <f t="shared" si="5"/>
        <v>3.8809527786248155</v>
      </c>
      <c r="AW688" s="117">
        <f t="shared" si="5"/>
        <v>3.9236432591896881</v>
      </c>
      <c r="AX688" s="117">
        <f t="shared" si="5"/>
        <v>4.0178106974102406</v>
      </c>
      <c r="AY688" s="117">
        <f t="shared" si="5"/>
        <v>4.2026299894911121</v>
      </c>
      <c r="AZ688" s="117">
        <f t="shared" si="5"/>
        <v>4.3497220391233009</v>
      </c>
      <c r="BA688" s="117">
        <f t="shared" si="5"/>
        <v>4.4367164799057672</v>
      </c>
      <c r="BB688" s="117">
        <f t="shared" si="5"/>
        <v>4.5520711083833172</v>
      </c>
      <c r="BC688" s="117">
        <f t="shared" ref="BC688:BQ688" si="8">BB688*BC$670</f>
        <v>4.6203521750090664</v>
      </c>
      <c r="BD688" s="117">
        <f t="shared" si="8"/>
        <v>4.7081388663342381</v>
      </c>
      <c r="BE688" s="117">
        <f t="shared" si="8"/>
        <v>4.830550476858928</v>
      </c>
      <c r="BF688" s="117">
        <f t="shared" si="8"/>
        <v>4.9126698349655289</v>
      </c>
      <c r="BG688" s="117">
        <f t="shared" si="8"/>
        <v>5.0403992506746329</v>
      </c>
      <c r="BH688" s="117">
        <f t="shared" si="8"/>
        <v>5.1664092319414987</v>
      </c>
      <c r="BI688" s="117">
        <f t="shared" si="8"/>
        <v>5.4092304658427484</v>
      </c>
      <c r="BJ688" s="117">
        <f t="shared" si="8"/>
        <v>5.5877350712155582</v>
      </c>
      <c r="BK688" s="117">
        <f t="shared" si="8"/>
        <v>5.705077507711084</v>
      </c>
      <c r="BL688" s="117">
        <f t="shared" si="8"/>
        <v>5.7678333602959055</v>
      </c>
      <c r="BM688" s="117">
        <f t="shared" si="8"/>
        <v>5.8716543607812319</v>
      </c>
      <c r="BN688" s="117">
        <f t="shared" si="8"/>
        <v>5.9538575218321697</v>
      </c>
      <c r="BO688" s="117">
        <f t="shared" si="8"/>
        <v>6.0193499545723226</v>
      </c>
      <c r="BP688" s="117">
        <f t="shared" si="8"/>
        <v>6.2119691531186367</v>
      </c>
      <c r="BQ688" s="117">
        <f t="shared" si="8"/>
        <v>6.2306050605779921</v>
      </c>
      <c r="BR688" s="117">
        <f t="shared" si="6"/>
        <v>6.324064136486661</v>
      </c>
      <c r="BS688" s="117">
        <f t="shared" si="6"/>
        <v>6.4884898040353143</v>
      </c>
      <c r="BT688" s="117">
        <f t="shared" si="7"/>
        <v>6.637725069528126</v>
      </c>
      <c r="BU688" s="117">
        <f t="shared" si="7"/>
        <v>6.8235813714749138</v>
      </c>
      <c r="BV688" s="117">
        <f t="shared" si="7"/>
        <v>6.8918171851896632</v>
      </c>
      <c r="BW688" s="117">
        <f t="shared" si="7"/>
        <v>6.946951722671181</v>
      </c>
      <c r="BX688" s="117">
        <f t="shared" si="7"/>
        <v>6.960845626116523</v>
      </c>
      <c r="BY688" s="117">
        <f t="shared" si="7"/>
        <v>7.0582974648821546</v>
      </c>
      <c r="BZ688" s="117">
        <f t="shared" si="7"/>
        <v>7.1429970344607403</v>
      </c>
      <c r="CA688" s="117">
        <f t="shared" si="7"/>
        <v>7.3287149573567199</v>
      </c>
      <c r="CB688" s="117">
        <f t="shared" si="7"/>
        <v>7.4459743966744272</v>
      </c>
      <c r="CC688" s="117">
        <f t="shared" si="7"/>
        <v>7.5800019358145674</v>
      </c>
      <c r="CD688" s="117">
        <f t="shared" si="7"/>
        <v>8.0499620558350706</v>
      </c>
      <c r="CE688" s="117">
        <f t="shared" si="7"/>
        <v>8.6939590203018771</v>
      </c>
      <c r="CF688" s="117">
        <f t="shared" si="7"/>
        <v>8.9373898728703303</v>
      </c>
      <c r="CG688" s="117">
        <f t="shared" si="7"/>
        <v>9.0893255007091245</v>
      </c>
    </row>
    <row r="689" spans="1:85">
      <c r="A689" s="3"/>
      <c r="B689" s="115">
        <v>1962</v>
      </c>
      <c r="C689" s="115"/>
      <c r="D689" s="3"/>
      <c r="E689" s="118"/>
      <c r="F689" s="118"/>
      <c r="G689" s="118"/>
      <c r="H689" s="118"/>
      <c r="I689" s="118"/>
      <c r="J689" s="118"/>
      <c r="K689" s="118"/>
      <c r="L689" s="118"/>
      <c r="M689" s="118"/>
      <c r="N689" s="118"/>
      <c r="O689" s="118"/>
      <c r="P689" s="118"/>
      <c r="Q689" s="118"/>
      <c r="R689" s="118"/>
      <c r="S689" s="118"/>
      <c r="T689" s="118"/>
      <c r="U689" s="116">
        <v>1</v>
      </c>
      <c r="V689" s="117">
        <f t="shared" ref="V689:AK704" si="9">U689*V$670</f>
        <v>1.0381928272007452</v>
      </c>
      <c r="W689" s="117">
        <f t="shared" si="9"/>
        <v>1.0579184909175594</v>
      </c>
      <c r="X689" s="117">
        <f t="shared" si="9"/>
        <v>1.1467836441546344</v>
      </c>
      <c r="Y689" s="117">
        <f t="shared" si="9"/>
        <v>1.1960953408532835</v>
      </c>
      <c r="Z689" s="117">
        <f t="shared" si="9"/>
        <v>1.2654688706227739</v>
      </c>
      <c r="AA689" s="117">
        <f t="shared" si="9"/>
        <v>1.3148221565770619</v>
      </c>
      <c r="AB689" s="117">
        <f t="shared" si="9"/>
        <v>1.3582112877441048</v>
      </c>
      <c r="AC689" s="117">
        <f t="shared" si="9"/>
        <v>1.4519278665984481</v>
      </c>
      <c r="AD689" s="117">
        <f t="shared" si="9"/>
        <v>1.5303319713947643</v>
      </c>
      <c r="AE689" s="117">
        <f t="shared" si="9"/>
        <v>1.6466372012207664</v>
      </c>
      <c r="AF689" s="117">
        <f t="shared" si="9"/>
        <v>1.7684883541111032</v>
      </c>
      <c r="AG689" s="117">
        <f t="shared" si="9"/>
        <v>1.9117359107941025</v>
      </c>
      <c r="AH689" s="117">
        <f t="shared" si="9"/>
        <v>2.0990860300519247</v>
      </c>
      <c r="AI689" s="117">
        <f t="shared" si="9"/>
        <v>2.3236882352674808</v>
      </c>
      <c r="AJ689" s="117">
        <f t="shared" si="9"/>
        <v>2.5165543587946817</v>
      </c>
      <c r="AK689" s="117">
        <f t="shared" si="9"/>
        <v>2.68768005519272</v>
      </c>
      <c r="AL689" s="117">
        <f t="shared" ref="AL689:BA704" si="10">AK689*AL$670</f>
        <v>2.8005626175108143</v>
      </c>
      <c r="AM689" s="117">
        <f t="shared" si="10"/>
        <v>2.9069839969762254</v>
      </c>
      <c r="AN689" s="117">
        <f t="shared" si="10"/>
        <v>3.1133798607615373</v>
      </c>
      <c r="AO689" s="117">
        <f t="shared" si="10"/>
        <v>3.3126361718502757</v>
      </c>
      <c r="AP689" s="117">
        <f t="shared" si="10"/>
        <v>3.5080817059894418</v>
      </c>
      <c r="AQ689" s="117">
        <f t="shared" si="10"/>
        <v>3.5992918303451673</v>
      </c>
      <c r="AR689" s="117">
        <f t="shared" si="10"/>
        <v>3.7000720015948323</v>
      </c>
      <c r="AS689" s="117">
        <f t="shared" si="10"/>
        <v>3.7851736576315131</v>
      </c>
      <c r="AT689" s="117">
        <f t="shared" si="10"/>
        <v>3.7662477893433555</v>
      </c>
      <c r="AU689" s="117">
        <f t="shared" si="10"/>
        <v>3.7737802849220423</v>
      </c>
      <c r="AV689" s="117">
        <f t="shared" si="10"/>
        <v>3.8077443074863404</v>
      </c>
      <c r="AW689" s="117">
        <f t="shared" si="10"/>
        <v>3.8496294948686898</v>
      </c>
      <c r="AX689" s="117">
        <f t="shared" si="10"/>
        <v>3.9420206027455382</v>
      </c>
      <c r="AY689" s="117">
        <f t="shared" si="10"/>
        <v>4.1233535504718333</v>
      </c>
      <c r="AZ689" s="117">
        <f t="shared" si="10"/>
        <v>4.2676709247383471</v>
      </c>
      <c r="BA689" s="117">
        <f t="shared" si="10"/>
        <v>4.3530243432331144</v>
      </c>
      <c r="BB689" s="117">
        <f t="shared" ref="BB689:BQ704" si="11">BA689*BB$670</f>
        <v>4.4662029761571755</v>
      </c>
      <c r="BC689" s="117">
        <f t="shared" si="11"/>
        <v>4.533196020799533</v>
      </c>
      <c r="BD689" s="117">
        <f t="shared" si="11"/>
        <v>4.6193267451947237</v>
      </c>
      <c r="BE689" s="117">
        <f t="shared" si="11"/>
        <v>4.7394292405697866</v>
      </c>
      <c r="BF689" s="117">
        <f t="shared" si="11"/>
        <v>4.8199995376594726</v>
      </c>
      <c r="BG689" s="117">
        <f t="shared" si="11"/>
        <v>4.9453195256386193</v>
      </c>
      <c r="BH689" s="117">
        <f t="shared" si="11"/>
        <v>5.0689525137795846</v>
      </c>
      <c r="BI689" s="117">
        <f t="shared" si="11"/>
        <v>5.3071932819272245</v>
      </c>
      <c r="BJ689" s="117">
        <f t="shared" si="11"/>
        <v>5.4823306602308222</v>
      </c>
      <c r="BK689" s="117">
        <f t="shared" si="11"/>
        <v>5.5974596040956692</v>
      </c>
      <c r="BL689" s="117">
        <f t="shared" si="11"/>
        <v>5.6590316597407213</v>
      </c>
      <c r="BM689" s="117">
        <f t="shared" si="11"/>
        <v>5.7608942296160546</v>
      </c>
      <c r="BN689" s="117">
        <f t="shared" si="11"/>
        <v>5.8415467488306794</v>
      </c>
      <c r="BO689" s="117">
        <f t="shared" si="11"/>
        <v>5.9058037630678166</v>
      </c>
      <c r="BP689" s="117">
        <f t="shared" si="11"/>
        <v>6.0947894834859868</v>
      </c>
      <c r="BQ689" s="117">
        <f t="shared" si="11"/>
        <v>6.113073851936444</v>
      </c>
      <c r="BR689" s="117">
        <f t="shared" ref="BR689:CG704" si="12">BQ689*BR$670</f>
        <v>6.2047699597154899</v>
      </c>
      <c r="BS689" s="117">
        <f t="shared" si="12"/>
        <v>6.3660939786680926</v>
      </c>
      <c r="BT689" s="117">
        <f t="shared" si="12"/>
        <v>6.5125141401774584</v>
      </c>
      <c r="BU689" s="117">
        <f t="shared" si="12"/>
        <v>6.6948645361024273</v>
      </c>
      <c r="BV689" s="117">
        <f t="shared" si="12"/>
        <v>6.7618131814634514</v>
      </c>
      <c r="BW689" s="117">
        <f t="shared" si="12"/>
        <v>6.8159076869151587</v>
      </c>
      <c r="BX689" s="117">
        <f t="shared" si="12"/>
        <v>6.8295395022889887</v>
      </c>
      <c r="BY689" s="117">
        <f t="shared" si="12"/>
        <v>6.9251530553210348</v>
      </c>
      <c r="BZ689" s="117">
        <f t="shared" si="12"/>
        <v>7.0082548919848868</v>
      </c>
      <c r="CA689" s="117">
        <f t="shared" si="12"/>
        <v>7.190469519176494</v>
      </c>
      <c r="CB689" s="117">
        <f t="shared" si="12"/>
        <v>7.3055170314833182</v>
      </c>
      <c r="CC689" s="117">
        <f t="shared" si="12"/>
        <v>7.437016338050018</v>
      </c>
      <c r="CD689" s="117">
        <f t="shared" si="12"/>
        <v>7.8981113510091197</v>
      </c>
      <c r="CE689" s="117">
        <f t="shared" si="12"/>
        <v>8.5299602590898491</v>
      </c>
      <c r="CF689" s="117">
        <f t="shared" si="12"/>
        <v>8.7687991463443655</v>
      </c>
      <c r="CG689" s="117">
        <f t="shared" si="12"/>
        <v>8.9178687318322183</v>
      </c>
    </row>
    <row r="690" spans="1:85">
      <c r="A690" s="3"/>
      <c r="B690" s="115">
        <v>1963</v>
      </c>
      <c r="C690" s="115"/>
      <c r="D690" s="3"/>
      <c r="E690" s="118"/>
      <c r="F690" s="118"/>
      <c r="G690" s="118"/>
      <c r="H690" s="118"/>
      <c r="I690" s="118"/>
      <c r="J690" s="118"/>
      <c r="K690" s="118"/>
      <c r="L690" s="118"/>
      <c r="M690" s="118"/>
      <c r="N690" s="118"/>
      <c r="O690" s="118"/>
      <c r="P690" s="118"/>
      <c r="Q690" s="118"/>
      <c r="R690" s="118"/>
      <c r="S690" s="118"/>
      <c r="T690" s="118"/>
      <c r="U690" s="118"/>
      <c r="V690" s="116">
        <v>1</v>
      </c>
      <c r="W690" s="117">
        <f t="shared" si="9"/>
        <v>1.0189999999999999</v>
      </c>
      <c r="X690" s="117">
        <f t="shared" si="9"/>
        <v>1.1045959999999999</v>
      </c>
      <c r="Y690" s="117">
        <f t="shared" si="9"/>
        <v>1.1520936279999998</v>
      </c>
      <c r="Z690" s="117">
        <f t="shared" si="9"/>
        <v>1.2189150584239998</v>
      </c>
      <c r="AA690" s="117">
        <f t="shared" si="9"/>
        <v>1.2664527457025356</v>
      </c>
      <c r="AB690" s="117">
        <f t="shared" si="9"/>
        <v>1.3082456863107192</v>
      </c>
      <c r="AC690" s="117">
        <f t="shared" si="9"/>
        <v>1.3985146386661589</v>
      </c>
      <c r="AD690" s="117">
        <f t="shared" si="9"/>
        <v>1.4740344291541316</v>
      </c>
      <c r="AE690" s="117">
        <f t="shared" si="9"/>
        <v>1.5860610457698456</v>
      </c>
      <c r="AF690" s="117">
        <f t="shared" si="9"/>
        <v>1.7034295631568144</v>
      </c>
      <c r="AG690" s="117">
        <f t="shared" si="9"/>
        <v>1.8414073577725163</v>
      </c>
      <c r="AH690" s="117">
        <f t="shared" si="9"/>
        <v>2.0218652788342228</v>
      </c>
      <c r="AI690" s="117">
        <f t="shared" si="9"/>
        <v>2.2382048636694845</v>
      </c>
      <c r="AJ690" s="117">
        <f t="shared" si="9"/>
        <v>2.4239758673540517</v>
      </c>
      <c r="AK690" s="117">
        <f t="shared" si="9"/>
        <v>2.5888062263341274</v>
      </c>
      <c r="AL690" s="117">
        <f t="shared" si="10"/>
        <v>2.6975360878401609</v>
      </c>
      <c r="AM690" s="117">
        <f t="shared" si="10"/>
        <v>2.800042459178087</v>
      </c>
      <c r="AN690" s="117">
        <f t="shared" si="10"/>
        <v>2.9988454737797312</v>
      </c>
      <c r="AO690" s="117">
        <f t="shared" si="10"/>
        <v>3.190771584101634</v>
      </c>
      <c r="AP690" s="117">
        <f t="shared" si="10"/>
        <v>3.3790271075636302</v>
      </c>
      <c r="AQ690" s="117">
        <f t="shared" si="10"/>
        <v>3.4668818123602847</v>
      </c>
      <c r="AR690" s="117">
        <f t="shared" si="10"/>
        <v>3.5639545031063729</v>
      </c>
      <c r="AS690" s="117">
        <f t="shared" si="10"/>
        <v>3.6459254566778192</v>
      </c>
      <c r="AT690" s="117">
        <f t="shared" si="10"/>
        <v>3.6276958293944301</v>
      </c>
      <c r="AU690" s="117">
        <f t="shared" si="10"/>
        <v>3.6349512210532189</v>
      </c>
      <c r="AV690" s="117">
        <f t="shared" si="10"/>
        <v>3.6676657820426977</v>
      </c>
      <c r="AW690" s="117">
        <f t="shared" si="10"/>
        <v>3.7080101056451671</v>
      </c>
      <c r="AX690" s="117">
        <f t="shared" si="10"/>
        <v>3.797002348180651</v>
      </c>
      <c r="AY690" s="117">
        <f t="shared" si="10"/>
        <v>3.9716644561969612</v>
      </c>
      <c r="AZ690" s="117">
        <f t="shared" si="10"/>
        <v>4.1106727121638542</v>
      </c>
      <c r="BA690" s="117">
        <f t="shared" si="10"/>
        <v>4.1928861664071313</v>
      </c>
      <c r="BB690" s="117">
        <f t="shared" si="11"/>
        <v>4.3019012067337172</v>
      </c>
      <c r="BC690" s="117">
        <f t="shared" si="11"/>
        <v>4.3664297248347221</v>
      </c>
      <c r="BD690" s="117">
        <f t="shared" si="11"/>
        <v>4.4493918896065816</v>
      </c>
      <c r="BE690" s="117">
        <f t="shared" si="11"/>
        <v>4.5650760787363529</v>
      </c>
      <c r="BF690" s="117">
        <f t="shared" si="11"/>
        <v>4.6426823720748702</v>
      </c>
      <c r="BG690" s="117">
        <f t="shared" si="11"/>
        <v>4.7633921137488171</v>
      </c>
      <c r="BH690" s="117">
        <f t="shared" si="11"/>
        <v>4.8824769165925375</v>
      </c>
      <c r="BI690" s="117">
        <f t="shared" si="11"/>
        <v>5.1119533316723862</v>
      </c>
      <c r="BJ690" s="117">
        <f t="shared" si="11"/>
        <v>5.2806477916175742</v>
      </c>
      <c r="BK690" s="117">
        <f t="shared" si="11"/>
        <v>5.3915413952415427</v>
      </c>
      <c r="BL690" s="117">
        <f t="shared" si="11"/>
        <v>5.4508483505891991</v>
      </c>
      <c r="BM690" s="117">
        <f t="shared" si="11"/>
        <v>5.548963620899805</v>
      </c>
      <c r="BN690" s="117">
        <f t="shared" si="11"/>
        <v>5.6266491115924024</v>
      </c>
      <c r="BO690" s="117">
        <f t="shared" si="11"/>
        <v>5.6885422518199187</v>
      </c>
      <c r="BP690" s="117">
        <f t="shared" si="11"/>
        <v>5.870575603878156</v>
      </c>
      <c r="BQ690" s="117">
        <f t="shared" si="11"/>
        <v>5.8881873306897896</v>
      </c>
      <c r="BR690" s="117">
        <f t="shared" si="12"/>
        <v>5.9765101406501362</v>
      </c>
      <c r="BS690" s="117">
        <f t="shared" si="12"/>
        <v>6.1318994043070401</v>
      </c>
      <c r="BT690" s="117">
        <f t="shared" si="12"/>
        <v>6.2729330906061014</v>
      </c>
      <c r="BU690" s="117">
        <f t="shared" si="12"/>
        <v>6.4485752171430724</v>
      </c>
      <c r="BV690" s="117">
        <f t="shared" si="12"/>
        <v>6.5130609693145027</v>
      </c>
      <c r="BW690" s="117">
        <f t="shared" si="12"/>
        <v>6.5651654570690186</v>
      </c>
      <c r="BX690" s="117">
        <f t="shared" si="12"/>
        <v>6.5782957879831567</v>
      </c>
      <c r="BY690" s="117">
        <f t="shared" si="12"/>
        <v>6.6703919290149214</v>
      </c>
      <c r="BZ690" s="117">
        <f t="shared" si="12"/>
        <v>6.7504366321631002</v>
      </c>
      <c r="CA690" s="117">
        <f t="shared" si="12"/>
        <v>6.9259479845993406</v>
      </c>
      <c r="CB690" s="117">
        <f t="shared" si="12"/>
        <v>7.0367631523529299</v>
      </c>
      <c r="CC690" s="117">
        <f t="shared" si="12"/>
        <v>7.1634248890952827</v>
      </c>
      <c r="CD690" s="117">
        <f t="shared" si="12"/>
        <v>7.6075572322191904</v>
      </c>
      <c r="CE690" s="117">
        <f t="shared" si="12"/>
        <v>8.2161618107967254</v>
      </c>
      <c r="CF690" s="117">
        <f t="shared" si="12"/>
        <v>8.4462143414990347</v>
      </c>
      <c r="CG690" s="117">
        <f t="shared" si="12"/>
        <v>8.5897999853045182</v>
      </c>
    </row>
    <row r="691" spans="1:85">
      <c r="A691" s="3"/>
      <c r="B691" s="115">
        <v>1964</v>
      </c>
      <c r="C691" s="115"/>
      <c r="D691" s="3"/>
      <c r="E691" s="118"/>
      <c r="F691" s="118"/>
      <c r="G691" s="118"/>
      <c r="H691" s="118"/>
      <c r="I691" s="118"/>
      <c r="J691" s="118"/>
      <c r="K691" s="118"/>
      <c r="L691" s="118"/>
      <c r="M691" s="118"/>
      <c r="N691" s="118"/>
      <c r="O691" s="118"/>
      <c r="P691" s="118"/>
      <c r="Q691" s="118"/>
      <c r="R691" s="118"/>
      <c r="S691" s="118"/>
      <c r="T691" s="118"/>
      <c r="U691" s="118"/>
      <c r="V691" s="118"/>
      <c r="W691" s="116">
        <v>1</v>
      </c>
      <c r="X691" s="117">
        <f t="shared" si="9"/>
        <v>1.0840000000000001</v>
      </c>
      <c r="Y691" s="117">
        <f t="shared" si="9"/>
        <v>1.130612</v>
      </c>
      <c r="Z691" s="117">
        <f t="shared" si="9"/>
        <v>1.1961874960000001</v>
      </c>
      <c r="AA691" s="117">
        <f t="shared" si="9"/>
        <v>1.2428388083440001</v>
      </c>
      <c r="AB691" s="117">
        <f t="shared" si="9"/>
        <v>1.2838524890193519</v>
      </c>
      <c r="AC691" s="117">
        <f t="shared" si="9"/>
        <v>1.3724383107616871</v>
      </c>
      <c r="AD691" s="117">
        <f t="shared" si="9"/>
        <v>1.4465499795428183</v>
      </c>
      <c r="AE691" s="117">
        <f t="shared" si="9"/>
        <v>1.5564877779880726</v>
      </c>
      <c r="AF691" s="117">
        <f t="shared" si="9"/>
        <v>1.6716678735591901</v>
      </c>
      <c r="AG691" s="117">
        <f t="shared" si="9"/>
        <v>1.8070729713174845</v>
      </c>
      <c r="AH691" s="117">
        <f t="shared" si="9"/>
        <v>1.9841661225065981</v>
      </c>
      <c r="AI691" s="117">
        <f t="shared" si="9"/>
        <v>2.1964718976148041</v>
      </c>
      <c r="AJ691" s="117">
        <f t="shared" si="9"/>
        <v>2.3787790651168326</v>
      </c>
      <c r="AK691" s="117">
        <f t="shared" si="9"/>
        <v>2.5405360415447773</v>
      </c>
      <c r="AL691" s="117">
        <f t="shared" si="10"/>
        <v>2.647238555289658</v>
      </c>
      <c r="AM691" s="117">
        <f t="shared" si="10"/>
        <v>2.747833620390665</v>
      </c>
      <c r="AN691" s="117">
        <f t="shared" si="10"/>
        <v>2.9429298074384023</v>
      </c>
      <c r="AO691" s="117">
        <f t="shared" si="10"/>
        <v>3.1312773151144602</v>
      </c>
      <c r="AP691" s="117">
        <f t="shared" si="10"/>
        <v>3.3160226767062131</v>
      </c>
      <c r="AQ691" s="117">
        <f t="shared" si="10"/>
        <v>3.4022392663005747</v>
      </c>
      <c r="AR691" s="117">
        <f t="shared" si="10"/>
        <v>3.497501965756991</v>
      </c>
      <c r="AS691" s="117">
        <f t="shared" si="10"/>
        <v>3.5779445109694015</v>
      </c>
      <c r="AT691" s="117">
        <f t="shared" si="10"/>
        <v>3.5600547884145546</v>
      </c>
      <c r="AU691" s="117">
        <f t="shared" si="10"/>
        <v>3.5671748979913835</v>
      </c>
      <c r="AV691" s="117">
        <f t="shared" si="10"/>
        <v>3.5992794720733055</v>
      </c>
      <c r="AW691" s="117">
        <f t="shared" si="10"/>
        <v>3.6388715462661114</v>
      </c>
      <c r="AX691" s="117">
        <f t="shared" si="10"/>
        <v>3.7262044633764981</v>
      </c>
      <c r="AY691" s="117">
        <f t="shared" si="10"/>
        <v>3.8976098686918172</v>
      </c>
      <c r="AZ691" s="117">
        <f t="shared" si="10"/>
        <v>4.0340262140960306</v>
      </c>
      <c r="BA691" s="117">
        <f t="shared" si="10"/>
        <v>4.1147067383779516</v>
      </c>
      <c r="BB691" s="117">
        <f t="shared" si="11"/>
        <v>4.2216891135757786</v>
      </c>
      <c r="BC691" s="117">
        <f t="shared" si="11"/>
        <v>4.285014450279415</v>
      </c>
      <c r="BD691" s="117">
        <f t="shared" si="11"/>
        <v>4.366429724834723</v>
      </c>
      <c r="BE691" s="117">
        <f t="shared" si="11"/>
        <v>4.4799568976804256</v>
      </c>
      <c r="BF691" s="117">
        <f t="shared" si="11"/>
        <v>4.5561161649409927</v>
      </c>
      <c r="BG691" s="117">
        <f t="shared" si="11"/>
        <v>4.6745751852294584</v>
      </c>
      <c r="BH691" s="117">
        <f t="shared" si="11"/>
        <v>4.7914395648601946</v>
      </c>
      <c r="BI691" s="117">
        <f t="shared" si="11"/>
        <v>5.0166372244086235</v>
      </c>
      <c r="BJ691" s="117">
        <f t="shared" si="11"/>
        <v>5.1821862528141081</v>
      </c>
      <c r="BK691" s="117">
        <f t="shared" si="11"/>
        <v>5.2910121641232042</v>
      </c>
      <c r="BL691" s="117">
        <f t="shared" si="11"/>
        <v>5.3492132979285589</v>
      </c>
      <c r="BM691" s="117">
        <f t="shared" si="11"/>
        <v>5.4454991372912733</v>
      </c>
      <c r="BN691" s="117">
        <f t="shared" si="11"/>
        <v>5.5217361252133514</v>
      </c>
      <c r="BO691" s="117">
        <f t="shared" si="11"/>
        <v>5.5824752225906975</v>
      </c>
      <c r="BP691" s="117">
        <f t="shared" si="11"/>
        <v>5.7611144297135999</v>
      </c>
      <c r="BQ691" s="117">
        <f t="shared" si="11"/>
        <v>5.77839777300274</v>
      </c>
      <c r="BR691" s="117">
        <f t="shared" si="12"/>
        <v>5.865073739597781</v>
      </c>
      <c r="BS691" s="117">
        <f t="shared" si="12"/>
        <v>6.0175656568273235</v>
      </c>
      <c r="BT691" s="117">
        <f t="shared" si="12"/>
        <v>6.1559696669343511</v>
      </c>
      <c r="BU691" s="117">
        <f t="shared" si="12"/>
        <v>6.3283368176085135</v>
      </c>
      <c r="BV691" s="117">
        <f t="shared" si="12"/>
        <v>6.3916201857845989</v>
      </c>
      <c r="BW691" s="117">
        <f t="shared" si="12"/>
        <v>6.4427531472708761</v>
      </c>
      <c r="BX691" s="117">
        <f t="shared" si="12"/>
        <v>6.4556386535654182</v>
      </c>
      <c r="BY691" s="117">
        <f t="shared" si="12"/>
        <v>6.5460175947153338</v>
      </c>
      <c r="BZ691" s="117">
        <f t="shared" si="12"/>
        <v>6.6245698058519178</v>
      </c>
      <c r="CA691" s="117">
        <f t="shared" si="12"/>
        <v>6.7968086208040681</v>
      </c>
      <c r="CB691" s="117">
        <f t="shared" si="12"/>
        <v>6.9055575587369331</v>
      </c>
      <c r="CC691" s="117">
        <f t="shared" si="12"/>
        <v>7.0298575947941977</v>
      </c>
      <c r="CD691" s="117">
        <f t="shared" si="12"/>
        <v>7.4657087656714385</v>
      </c>
      <c r="CE691" s="117">
        <f t="shared" si="12"/>
        <v>8.0629654669251547</v>
      </c>
      <c r="CF691" s="117">
        <f t="shared" si="12"/>
        <v>8.2887284999990598</v>
      </c>
      <c r="CG691" s="117">
        <f t="shared" si="12"/>
        <v>8.4296368844990432</v>
      </c>
    </row>
    <row r="692" spans="1:85">
      <c r="A692" s="3"/>
      <c r="B692" s="115">
        <v>1965</v>
      </c>
      <c r="C692" s="115"/>
      <c r="D692" s="3"/>
      <c r="E692" s="118"/>
      <c r="F692" s="118"/>
      <c r="G692" s="118"/>
      <c r="H692" s="118"/>
      <c r="I692" s="118"/>
      <c r="J692" s="118"/>
      <c r="K692" s="118"/>
      <c r="L692" s="118"/>
      <c r="M692" s="118"/>
      <c r="N692" s="118"/>
      <c r="O692" s="118"/>
      <c r="P692" s="118"/>
      <c r="Q692" s="118"/>
      <c r="R692" s="118"/>
      <c r="S692" s="118"/>
      <c r="T692" s="118"/>
      <c r="U692" s="118"/>
      <c r="V692" s="118"/>
      <c r="W692" s="118"/>
      <c r="X692" s="116">
        <v>1</v>
      </c>
      <c r="Y692" s="117">
        <f t="shared" si="9"/>
        <v>1.0429999999999999</v>
      </c>
      <c r="Z692" s="117">
        <f t="shared" si="9"/>
        <v>1.103494</v>
      </c>
      <c r="AA692" s="117">
        <f t="shared" si="9"/>
        <v>1.1465302659999999</v>
      </c>
      <c r="AB692" s="117">
        <f t="shared" si="9"/>
        <v>1.1843657647779997</v>
      </c>
      <c r="AC692" s="117">
        <f t="shared" si="9"/>
        <v>1.2660870025476816</v>
      </c>
      <c r="AD692" s="117">
        <f t="shared" si="9"/>
        <v>1.3344557006852564</v>
      </c>
      <c r="AE692" s="117">
        <f t="shared" si="9"/>
        <v>1.4358743339373361</v>
      </c>
      <c r="AF692" s="117">
        <f t="shared" si="9"/>
        <v>1.5421290346486991</v>
      </c>
      <c r="AG692" s="117">
        <f t="shared" si="9"/>
        <v>1.6670414864552436</v>
      </c>
      <c r="AH692" s="117">
        <f t="shared" si="9"/>
        <v>1.8304115521278577</v>
      </c>
      <c r="AI692" s="117">
        <f t="shared" si="9"/>
        <v>2.0262655882055385</v>
      </c>
      <c r="AJ692" s="117">
        <f t="shared" si="9"/>
        <v>2.1944456320265981</v>
      </c>
      <c r="AK692" s="117">
        <f t="shared" si="9"/>
        <v>2.3436679350044067</v>
      </c>
      <c r="AL692" s="117">
        <f t="shared" si="10"/>
        <v>2.442101988274592</v>
      </c>
      <c r="AM692" s="117">
        <f t="shared" si="10"/>
        <v>2.5349018638290266</v>
      </c>
      <c r="AN692" s="117">
        <f t="shared" si="10"/>
        <v>2.7148798961608875</v>
      </c>
      <c r="AO692" s="117">
        <f t="shared" si="10"/>
        <v>2.8886322095151846</v>
      </c>
      <c r="AP692" s="117">
        <f t="shared" si="10"/>
        <v>3.0590615098765803</v>
      </c>
      <c r="AQ692" s="117">
        <f t="shared" si="10"/>
        <v>3.1385971091333715</v>
      </c>
      <c r="AR692" s="117">
        <f t="shared" si="10"/>
        <v>3.2264778281891062</v>
      </c>
      <c r="AS692" s="117">
        <f t="shared" si="10"/>
        <v>3.3006868182374554</v>
      </c>
      <c r="AT692" s="117">
        <f t="shared" si="10"/>
        <v>3.2841833841462682</v>
      </c>
      <c r="AU692" s="117">
        <f t="shared" si="10"/>
        <v>3.290751750914561</v>
      </c>
      <c r="AV692" s="117">
        <f t="shared" si="10"/>
        <v>3.3203685166727919</v>
      </c>
      <c r="AW692" s="117">
        <f t="shared" si="10"/>
        <v>3.3568925703561923</v>
      </c>
      <c r="AX692" s="117">
        <f t="shared" si="10"/>
        <v>3.4374579920447408</v>
      </c>
      <c r="AY692" s="117">
        <f t="shared" si="10"/>
        <v>3.5955810596787989</v>
      </c>
      <c r="AZ692" s="117">
        <f t="shared" si="10"/>
        <v>3.7214263967675567</v>
      </c>
      <c r="BA692" s="117">
        <f t="shared" si="10"/>
        <v>3.7958549247029079</v>
      </c>
      <c r="BB692" s="117">
        <f t="shared" si="11"/>
        <v>3.8945471527451834</v>
      </c>
      <c r="BC692" s="117">
        <f t="shared" si="11"/>
        <v>3.9529653600363606</v>
      </c>
      <c r="BD692" s="117">
        <f t="shared" si="11"/>
        <v>4.0280717018770513</v>
      </c>
      <c r="BE692" s="117">
        <f t="shared" si="11"/>
        <v>4.1328015661258544</v>
      </c>
      <c r="BF692" s="117">
        <f t="shared" si="11"/>
        <v>4.2030591927499934</v>
      </c>
      <c r="BG692" s="117">
        <f t="shared" si="11"/>
        <v>4.3123387317614936</v>
      </c>
      <c r="BH692" s="117">
        <f t="shared" si="11"/>
        <v>4.4201472000555304</v>
      </c>
      <c r="BI692" s="117">
        <f t="shared" si="11"/>
        <v>4.6278941184581397</v>
      </c>
      <c r="BJ692" s="117">
        <f t="shared" si="11"/>
        <v>4.7806146243672583</v>
      </c>
      <c r="BK692" s="117">
        <f t="shared" si="11"/>
        <v>4.8810075314789705</v>
      </c>
      <c r="BL692" s="117">
        <f t="shared" si="11"/>
        <v>4.9346986143252387</v>
      </c>
      <c r="BM692" s="117">
        <f t="shared" si="11"/>
        <v>5.0235231893830932</v>
      </c>
      <c r="BN692" s="117">
        <f t="shared" si="11"/>
        <v>5.0938525140344568</v>
      </c>
      <c r="BO692" s="117">
        <f t="shared" si="11"/>
        <v>5.1498848916888349</v>
      </c>
      <c r="BP692" s="117">
        <f t="shared" si="11"/>
        <v>5.3146812082228774</v>
      </c>
      <c r="BQ692" s="117">
        <f t="shared" si="11"/>
        <v>5.330625251847545</v>
      </c>
      <c r="BR692" s="117">
        <f t="shared" si="12"/>
        <v>5.4105846306252579</v>
      </c>
      <c r="BS692" s="117">
        <f t="shared" si="12"/>
        <v>5.5512598310215147</v>
      </c>
      <c r="BT692" s="117">
        <f t="shared" si="12"/>
        <v>5.6789388071350091</v>
      </c>
      <c r="BU692" s="117">
        <f t="shared" si="12"/>
        <v>5.8379490937347898</v>
      </c>
      <c r="BV692" s="117">
        <f t="shared" si="12"/>
        <v>5.8963285846721378</v>
      </c>
      <c r="BW692" s="117">
        <f t="shared" si="12"/>
        <v>5.943499213349515</v>
      </c>
      <c r="BX692" s="117">
        <f t="shared" si="12"/>
        <v>5.9553862117762142</v>
      </c>
      <c r="BY692" s="117">
        <f t="shared" si="12"/>
        <v>6.0387616187410815</v>
      </c>
      <c r="BZ692" s="117">
        <f t="shared" si="12"/>
        <v>6.1112267581659747</v>
      </c>
      <c r="CA692" s="117">
        <f t="shared" si="12"/>
        <v>6.2701186538782903</v>
      </c>
      <c r="CB692" s="117">
        <f t="shared" si="12"/>
        <v>6.3704405523403427</v>
      </c>
      <c r="CC692" s="117">
        <f t="shared" si="12"/>
        <v>6.4851084822824694</v>
      </c>
      <c r="CD692" s="117">
        <f t="shared" si="12"/>
        <v>6.8871852081839826</v>
      </c>
      <c r="CE692" s="117">
        <f t="shared" si="12"/>
        <v>7.4381600248387016</v>
      </c>
      <c r="CF692" s="117">
        <f t="shared" si="12"/>
        <v>7.6464285055341854</v>
      </c>
      <c r="CG692" s="117">
        <f t="shared" si="12"/>
        <v>7.7764177901282654</v>
      </c>
    </row>
    <row r="693" spans="1:85">
      <c r="A693" s="3"/>
      <c r="B693" s="115">
        <v>1966</v>
      </c>
      <c r="C693" s="115"/>
      <c r="D693" s="3"/>
      <c r="E693" s="118"/>
      <c r="F693" s="118"/>
      <c r="G693" s="118"/>
      <c r="H693" s="118"/>
      <c r="I693" s="118"/>
      <c r="J693" s="118"/>
      <c r="K693" s="118"/>
      <c r="L693" s="118"/>
      <c r="M693" s="118"/>
      <c r="N693" s="118"/>
      <c r="O693" s="118"/>
      <c r="P693" s="118"/>
      <c r="Q693" s="118"/>
      <c r="R693" s="118"/>
      <c r="S693" s="118"/>
      <c r="T693" s="118"/>
      <c r="U693" s="118"/>
      <c r="V693" s="118"/>
      <c r="W693" s="118"/>
      <c r="X693" s="118"/>
      <c r="Y693" s="116">
        <v>1</v>
      </c>
      <c r="Z693" s="117">
        <f t="shared" si="9"/>
        <v>1.0580000000000001</v>
      </c>
      <c r="AA693" s="117">
        <f t="shared" si="9"/>
        <v>1.099262</v>
      </c>
      <c r="AB693" s="117">
        <f t="shared" si="9"/>
        <v>1.135537646</v>
      </c>
      <c r="AC693" s="117">
        <f t="shared" si="9"/>
        <v>1.2138897435739999</v>
      </c>
      <c r="AD693" s="117">
        <f t="shared" si="9"/>
        <v>1.279439789726996</v>
      </c>
      <c r="AE693" s="117">
        <f t="shared" si="9"/>
        <v>1.3766772137462477</v>
      </c>
      <c r="AF693" s="117">
        <f t="shared" si="9"/>
        <v>1.4785513275634701</v>
      </c>
      <c r="AG693" s="117">
        <f t="shared" si="9"/>
        <v>1.598313985096111</v>
      </c>
      <c r="AH693" s="117">
        <f t="shared" si="9"/>
        <v>1.7549487556355301</v>
      </c>
      <c r="AI693" s="117">
        <f t="shared" si="9"/>
        <v>1.9427282724885317</v>
      </c>
      <c r="AJ693" s="117">
        <f t="shared" si="9"/>
        <v>2.1039747191050799</v>
      </c>
      <c r="AK693" s="117">
        <f t="shared" si="9"/>
        <v>2.2470450000042255</v>
      </c>
      <c r="AL693" s="117">
        <f t="shared" si="10"/>
        <v>2.3414208900044029</v>
      </c>
      <c r="AM693" s="117">
        <f t="shared" si="10"/>
        <v>2.4303948838245701</v>
      </c>
      <c r="AN693" s="117">
        <f t="shared" si="10"/>
        <v>2.6029529205761146</v>
      </c>
      <c r="AO693" s="117">
        <f t="shared" si="10"/>
        <v>2.7695419074929859</v>
      </c>
      <c r="AP693" s="117">
        <f t="shared" si="10"/>
        <v>2.9329448800350719</v>
      </c>
      <c r="AQ693" s="117">
        <f t="shared" si="10"/>
        <v>3.0092014469159838</v>
      </c>
      <c r="AR693" s="117">
        <f t="shared" si="10"/>
        <v>3.0934590874296313</v>
      </c>
      <c r="AS693" s="117">
        <f t="shared" si="10"/>
        <v>3.1646086464405125</v>
      </c>
      <c r="AT693" s="117">
        <f t="shared" si="10"/>
        <v>3.1487856032083101</v>
      </c>
      <c r="AU693" s="117">
        <f t="shared" si="10"/>
        <v>3.155083174414727</v>
      </c>
      <c r="AV693" s="117">
        <f t="shared" si="10"/>
        <v>3.1834789229844591</v>
      </c>
      <c r="AW693" s="117">
        <f t="shared" si="10"/>
        <v>3.2184971911372879</v>
      </c>
      <c r="AX693" s="117">
        <f t="shared" si="10"/>
        <v>3.2957411237245831</v>
      </c>
      <c r="AY693" s="117">
        <f t="shared" si="10"/>
        <v>3.4473452154159139</v>
      </c>
      <c r="AZ693" s="117">
        <f t="shared" si="10"/>
        <v>3.5680022979554704</v>
      </c>
      <c r="BA693" s="117">
        <f t="shared" si="10"/>
        <v>3.6393623439145797</v>
      </c>
      <c r="BB693" s="117">
        <f t="shared" si="11"/>
        <v>3.7339857648563588</v>
      </c>
      <c r="BC693" s="117">
        <f t="shared" si="11"/>
        <v>3.7899955513292038</v>
      </c>
      <c r="BD693" s="117">
        <f t="shared" si="11"/>
        <v>3.8620054668044586</v>
      </c>
      <c r="BE693" s="117">
        <f t="shared" si="11"/>
        <v>3.9624176089413745</v>
      </c>
      <c r="BF693" s="117">
        <f t="shared" si="11"/>
        <v>4.0297787082933771</v>
      </c>
      <c r="BG693" s="117">
        <f t="shared" si="11"/>
        <v>4.1345529547090054</v>
      </c>
      <c r="BH693" s="117">
        <f t="shared" si="11"/>
        <v>4.2379167785767304</v>
      </c>
      <c r="BI693" s="117">
        <f t="shared" si="11"/>
        <v>4.4370988671698361</v>
      </c>
      <c r="BJ693" s="117">
        <f t="shared" si="11"/>
        <v>4.5835231297864407</v>
      </c>
      <c r="BK693" s="117">
        <f t="shared" si="11"/>
        <v>4.6797771155119552</v>
      </c>
      <c r="BL693" s="117">
        <f t="shared" si="11"/>
        <v>4.7312546637825861</v>
      </c>
      <c r="BM693" s="117">
        <f t="shared" si="11"/>
        <v>4.8164172477306728</v>
      </c>
      <c r="BN693" s="117">
        <f t="shared" si="11"/>
        <v>4.8838470891989019</v>
      </c>
      <c r="BO693" s="117">
        <f t="shared" si="11"/>
        <v>4.9375694071800895</v>
      </c>
      <c r="BP693" s="117">
        <f t="shared" si="11"/>
        <v>5.0955716282098527</v>
      </c>
      <c r="BQ693" s="117">
        <f t="shared" si="11"/>
        <v>5.1108583430944821</v>
      </c>
      <c r="BR693" s="117">
        <f t="shared" si="12"/>
        <v>5.1875212182408985</v>
      </c>
      <c r="BS693" s="117">
        <f t="shared" si="12"/>
        <v>5.3223967699151622</v>
      </c>
      <c r="BT693" s="117">
        <f t="shared" si="12"/>
        <v>5.4448118956232108</v>
      </c>
      <c r="BU693" s="117">
        <f t="shared" si="12"/>
        <v>5.5972666287006607</v>
      </c>
      <c r="BV693" s="117">
        <f t="shared" si="12"/>
        <v>5.6532392949876673</v>
      </c>
      <c r="BW693" s="117">
        <f t="shared" si="12"/>
        <v>5.6984652093475683</v>
      </c>
      <c r="BX693" s="117">
        <f t="shared" si="12"/>
        <v>5.7098621397662637</v>
      </c>
      <c r="BY693" s="117">
        <f t="shared" si="12"/>
        <v>5.7898002097229915</v>
      </c>
      <c r="BZ693" s="117">
        <f t="shared" si="12"/>
        <v>5.8592778122396671</v>
      </c>
      <c r="CA693" s="117">
        <f t="shared" si="12"/>
        <v>6.0116190353578984</v>
      </c>
      <c r="CB693" s="117">
        <f t="shared" si="12"/>
        <v>6.1078049399236249</v>
      </c>
      <c r="CC693" s="117">
        <f t="shared" si="12"/>
        <v>6.2177454288422505</v>
      </c>
      <c r="CD693" s="117">
        <f t="shared" si="12"/>
        <v>6.6032456454304702</v>
      </c>
      <c r="CE693" s="117">
        <f t="shared" si="12"/>
        <v>7.1315052970649084</v>
      </c>
      <c r="CF693" s="117">
        <f t="shared" si="12"/>
        <v>7.3311874453827262</v>
      </c>
      <c r="CG693" s="117">
        <f t="shared" si="12"/>
        <v>7.4558176319542318</v>
      </c>
    </row>
    <row r="694" spans="1:85">
      <c r="A694" s="3"/>
      <c r="B694" s="115">
        <v>1967</v>
      </c>
      <c r="C694" s="115"/>
      <c r="D694" s="3"/>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6">
        <v>1</v>
      </c>
      <c r="AA694" s="117">
        <f t="shared" si="9"/>
        <v>1.0389999999999999</v>
      </c>
      <c r="AB694" s="117">
        <f t="shared" si="9"/>
        <v>1.0732869999999999</v>
      </c>
      <c r="AC694" s="117">
        <f t="shared" si="9"/>
        <v>1.1473438029999998</v>
      </c>
      <c r="AD694" s="117">
        <f t="shared" si="9"/>
        <v>1.2093003683619998</v>
      </c>
      <c r="AE694" s="117">
        <f t="shared" si="9"/>
        <v>1.3012071963575118</v>
      </c>
      <c r="AF694" s="117">
        <f t="shared" si="9"/>
        <v>1.3974965288879677</v>
      </c>
      <c r="AG694" s="117">
        <f t="shared" si="9"/>
        <v>1.510693747727893</v>
      </c>
      <c r="AH694" s="117">
        <f t="shared" si="9"/>
        <v>1.6587417350052267</v>
      </c>
      <c r="AI694" s="117">
        <f t="shared" si="9"/>
        <v>1.836227100650786</v>
      </c>
      <c r="AJ694" s="117">
        <f t="shared" si="9"/>
        <v>1.9886339500048011</v>
      </c>
      <c r="AK694" s="117">
        <f t="shared" si="9"/>
        <v>2.1238610586051276</v>
      </c>
      <c r="AL694" s="117">
        <f t="shared" si="10"/>
        <v>2.213063223066543</v>
      </c>
      <c r="AM694" s="117">
        <f t="shared" si="10"/>
        <v>2.2971596255430717</v>
      </c>
      <c r="AN694" s="117">
        <f t="shared" si="10"/>
        <v>2.4602579589566296</v>
      </c>
      <c r="AO694" s="117">
        <f t="shared" si="10"/>
        <v>2.6177144683298539</v>
      </c>
      <c r="AP694" s="117">
        <f t="shared" si="10"/>
        <v>2.7721596219613152</v>
      </c>
      <c r="AQ694" s="117">
        <f t="shared" si="10"/>
        <v>2.8442357721323095</v>
      </c>
      <c r="AR694" s="117">
        <f t="shared" si="10"/>
        <v>2.9238743737520143</v>
      </c>
      <c r="AS694" s="117">
        <f t="shared" si="10"/>
        <v>2.9911234843483103</v>
      </c>
      <c r="AT694" s="117">
        <f t="shared" si="10"/>
        <v>2.9761678669265685</v>
      </c>
      <c r="AU694" s="117">
        <f t="shared" si="10"/>
        <v>2.9821202026604219</v>
      </c>
      <c r="AV694" s="117">
        <f t="shared" si="10"/>
        <v>3.0089592844843653</v>
      </c>
      <c r="AW694" s="117">
        <f t="shared" si="10"/>
        <v>3.0420578366136932</v>
      </c>
      <c r="AX694" s="117">
        <f t="shared" si="10"/>
        <v>3.1150672246924218</v>
      </c>
      <c r="AY694" s="117">
        <f t="shared" si="10"/>
        <v>3.2583603170282736</v>
      </c>
      <c r="AZ694" s="117">
        <f t="shared" si="10"/>
        <v>3.3724029281242629</v>
      </c>
      <c r="BA694" s="117">
        <f t="shared" si="10"/>
        <v>3.4398509866867482</v>
      </c>
      <c r="BB694" s="117">
        <f t="shared" si="11"/>
        <v>3.5292871123406035</v>
      </c>
      <c r="BC694" s="117">
        <f t="shared" si="11"/>
        <v>3.5822264190257123</v>
      </c>
      <c r="BD694" s="117">
        <f t="shared" si="11"/>
        <v>3.6502887209872004</v>
      </c>
      <c r="BE694" s="117">
        <f t="shared" si="11"/>
        <v>3.7451962277328676</v>
      </c>
      <c r="BF694" s="117">
        <f t="shared" si="11"/>
        <v>3.8088645636043261</v>
      </c>
      <c r="BG694" s="117">
        <f t="shared" si="11"/>
        <v>3.9078950422580387</v>
      </c>
      <c r="BH694" s="117">
        <f t="shared" si="11"/>
        <v>4.0055924183144898</v>
      </c>
      <c r="BI694" s="117">
        <f t="shared" si="11"/>
        <v>4.1938552619752709</v>
      </c>
      <c r="BJ694" s="117">
        <f t="shared" si="11"/>
        <v>4.3322524856204545</v>
      </c>
      <c r="BK694" s="117">
        <f t="shared" si="11"/>
        <v>4.4232297878184834</v>
      </c>
      <c r="BL694" s="117">
        <f t="shared" si="11"/>
        <v>4.471885315484486</v>
      </c>
      <c r="BM694" s="117">
        <f t="shared" si="11"/>
        <v>4.5523792511632069</v>
      </c>
      <c r="BN694" s="117">
        <f t="shared" si="11"/>
        <v>4.6161125606794915</v>
      </c>
      <c r="BO694" s="117">
        <f t="shared" si="11"/>
        <v>4.6668897988469658</v>
      </c>
      <c r="BP694" s="117">
        <f t="shared" si="11"/>
        <v>4.8162302724100687</v>
      </c>
      <c r="BQ694" s="117">
        <f t="shared" si="11"/>
        <v>4.8306789632272986</v>
      </c>
      <c r="BR694" s="117">
        <f t="shared" si="12"/>
        <v>4.9031391476757076</v>
      </c>
      <c r="BS694" s="117">
        <f t="shared" si="12"/>
        <v>5.0306207655152759</v>
      </c>
      <c r="BT694" s="117">
        <f t="shared" si="12"/>
        <v>5.1463250431221272</v>
      </c>
      <c r="BU694" s="117">
        <f t="shared" si="12"/>
        <v>5.2904221443295469</v>
      </c>
      <c r="BV694" s="117">
        <f t="shared" si="12"/>
        <v>5.3433263657728425</v>
      </c>
      <c r="BW694" s="117">
        <f t="shared" si="12"/>
        <v>5.3860729766990252</v>
      </c>
      <c r="BX694" s="117">
        <f t="shared" si="12"/>
        <v>5.3968451226524232</v>
      </c>
      <c r="BY694" s="117">
        <f t="shared" si="12"/>
        <v>5.4724009543695571</v>
      </c>
      <c r="BZ694" s="117">
        <f t="shared" si="12"/>
        <v>5.5380697658219917</v>
      </c>
      <c r="CA694" s="117">
        <f t="shared" si="12"/>
        <v>5.6820595797333633</v>
      </c>
      <c r="CB694" s="117">
        <f t="shared" si="12"/>
        <v>5.7729725330090975</v>
      </c>
      <c r="CC694" s="117">
        <f t="shared" si="12"/>
        <v>5.8768860386032618</v>
      </c>
      <c r="CD694" s="117">
        <f t="shared" si="12"/>
        <v>6.2412529729966639</v>
      </c>
      <c r="CE694" s="117">
        <f t="shared" si="12"/>
        <v>6.7405532108363975</v>
      </c>
      <c r="CF694" s="117">
        <f t="shared" si="12"/>
        <v>6.929288700739817</v>
      </c>
      <c r="CG694" s="117">
        <f t="shared" si="12"/>
        <v>7.0470866086523936</v>
      </c>
    </row>
    <row r="695" spans="1:85">
      <c r="A695" s="3"/>
      <c r="B695" s="115">
        <v>1968</v>
      </c>
      <c r="C695" s="115"/>
      <c r="D695" s="3"/>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c r="AA695" s="116">
        <v>1</v>
      </c>
      <c r="AB695" s="117">
        <f t="shared" si="9"/>
        <v>1.0329999999999999</v>
      </c>
      <c r="AC695" s="117">
        <f t="shared" si="9"/>
        <v>1.104277</v>
      </c>
      <c r="AD695" s="117">
        <f t="shared" si="9"/>
        <v>1.163907958</v>
      </c>
      <c r="AE695" s="117">
        <f t="shared" si="9"/>
        <v>1.252364962808</v>
      </c>
      <c r="AF695" s="117">
        <f t="shared" si="9"/>
        <v>1.345039970055792</v>
      </c>
      <c r="AG695" s="117">
        <f t="shared" si="9"/>
        <v>1.453988207630311</v>
      </c>
      <c r="AH695" s="117">
        <f t="shared" si="9"/>
        <v>1.5964790519780816</v>
      </c>
      <c r="AI695" s="117">
        <f t="shared" si="9"/>
        <v>1.7673023105397363</v>
      </c>
      <c r="AJ695" s="117">
        <f t="shared" si="9"/>
        <v>1.9139884023145344</v>
      </c>
      <c r="AK695" s="117">
        <f t="shared" si="9"/>
        <v>2.044139613671923</v>
      </c>
      <c r="AL695" s="117">
        <f t="shared" si="10"/>
        <v>2.1299934774461438</v>
      </c>
      <c r="AM695" s="117">
        <f t="shared" si="10"/>
        <v>2.2109332295890973</v>
      </c>
      <c r="AN695" s="117">
        <f t="shared" si="10"/>
        <v>2.3679094888899233</v>
      </c>
      <c r="AO695" s="117">
        <f t="shared" si="10"/>
        <v>2.5194556961788783</v>
      </c>
      <c r="AP695" s="117">
        <f t="shared" si="10"/>
        <v>2.668103582253432</v>
      </c>
      <c r="AQ695" s="117">
        <f t="shared" si="10"/>
        <v>2.7374742753920214</v>
      </c>
      <c r="AR695" s="117">
        <f t="shared" si="10"/>
        <v>2.8141235551029982</v>
      </c>
      <c r="AS695" s="117">
        <f t="shared" si="10"/>
        <v>2.8788483968703669</v>
      </c>
      <c r="AT695" s="117">
        <f t="shared" si="10"/>
        <v>2.864454154886015</v>
      </c>
      <c r="AU695" s="117">
        <f t="shared" si="10"/>
        <v>2.8701830631957872</v>
      </c>
      <c r="AV695" s="117">
        <f t="shared" si="10"/>
        <v>2.8960147107645491</v>
      </c>
      <c r="AW695" s="117">
        <f t="shared" si="10"/>
        <v>2.9278708725829588</v>
      </c>
      <c r="AX695" s="117">
        <f t="shared" si="10"/>
        <v>2.99813977352495</v>
      </c>
      <c r="AY695" s="117">
        <f t="shared" si="10"/>
        <v>3.1360542031070979</v>
      </c>
      <c r="AZ695" s="117">
        <f t="shared" si="10"/>
        <v>3.2458161002158463</v>
      </c>
      <c r="BA695" s="117">
        <f t="shared" si="10"/>
        <v>3.3107324222201635</v>
      </c>
      <c r="BB695" s="117">
        <f t="shared" si="11"/>
        <v>3.3968114651978878</v>
      </c>
      <c r="BC695" s="117">
        <f t="shared" si="11"/>
        <v>3.4477636371758558</v>
      </c>
      <c r="BD695" s="117">
        <f t="shared" si="11"/>
        <v>3.5132711462821966</v>
      </c>
      <c r="BE695" s="117">
        <f t="shared" si="11"/>
        <v>3.6046161960855336</v>
      </c>
      <c r="BF695" s="117">
        <f t="shared" si="11"/>
        <v>3.6658946714189873</v>
      </c>
      <c r="BG695" s="117">
        <f t="shared" si="11"/>
        <v>3.7612079328758812</v>
      </c>
      <c r="BH695" s="117">
        <f t="shared" si="11"/>
        <v>3.8552381311977779</v>
      </c>
      <c r="BI695" s="117">
        <f t="shared" si="11"/>
        <v>4.0364343233640732</v>
      </c>
      <c r="BJ695" s="117">
        <f t="shared" si="11"/>
        <v>4.1696366560350873</v>
      </c>
      <c r="BK695" s="117">
        <f t="shared" si="11"/>
        <v>4.2571990258118237</v>
      </c>
      <c r="BL695" s="117">
        <f t="shared" si="11"/>
        <v>4.3040282150957534</v>
      </c>
      <c r="BM695" s="117">
        <f t="shared" si="11"/>
        <v>4.3815007229674769</v>
      </c>
      <c r="BN695" s="117">
        <f t="shared" si="11"/>
        <v>4.442841733089022</v>
      </c>
      <c r="BO695" s="117">
        <f t="shared" si="11"/>
        <v>4.4917129921530004</v>
      </c>
      <c r="BP695" s="117">
        <f t="shared" si="11"/>
        <v>4.6354478079018966</v>
      </c>
      <c r="BQ695" s="117">
        <f t="shared" si="11"/>
        <v>4.6493541513256016</v>
      </c>
      <c r="BR695" s="117">
        <f t="shared" si="12"/>
        <v>4.7190944635954848</v>
      </c>
      <c r="BS695" s="117">
        <f t="shared" si="12"/>
        <v>4.8417909196489672</v>
      </c>
      <c r="BT695" s="117">
        <f t="shared" si="12"/>
        <v>4.9531521108008931</v>
      </c>
      <c r="BU695" s="117">
        <f t="shared" si="12"/>
        <v>5.0918403699033181</v>
      </c>
      <c r="BV695" s="117">
        <f t="shared" si="12"/>
        <v>5.1427587736023517</v>
      </c>
      <c r="BW695" s="117">
        <f t="shared" si="12"/>
        <v>5.1839008437911707</v>
      </c>
      <c r="BX695" s="117">
        <f t="shared" si="12"/>
        <v>5.1942686454787532</v>
      </c>
      <c r="BY695" s="117">
        <f t="shared" si="12"/>
        <v>5.2669884065154555</v>
      </c>
      <c r="BZ695" s="117">
        <f t="shared" si="12"/>
        <v>5.3301922673936408</v>
      </c>
      <c r="CA695" s="117">
        <f t="shared" si="12"/>
        <v>5.4687772663458754</v>
      </c>
      <c r="CB695" s="117">
        <f t="shared" si="12"/>
        <v>5.5562777026074093</v>
      </c>
      <c r="CC695" s="117">
        <f t="shared" si="12"/>
        <v>5.6562907012543429</v>
      </c>
      <c r="CD695" s="117">
        <f t="shared" si="12"/>
        <v>6.0069807247321121</v>
      </c>
      <c r="CE695" s="117">
        <f t="shared" si="12"/>
        <v>6.4875391827106812</v>
      </c>
      <c r="CF695" s="117">
        <f t="shared" si="12"/>
        <v>6.6691902798265801</v>
      </c>
      <c r="CG695" s="117">
        <f t="shared" si="12"/>
        <v>6.7825665145836309</v>
      </c>
    </row>
    <row r="696" spans="1:85">
      <c r="A696" s="3"/>
      <c r="B696" s="115">
        <v>1969</v>
      </c>
      <c r="C696" s="115"/>
      <c r="D696" s="3"/>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c r="AA696" s="118"/>
      <c r="AB696" s="116">
        <v>1</v>
      </c>
      <c r="AC696" s="117">
        <f t="shared" si="9"/>
        <v>1.069</v>
      </c>
      <c r="AD696" s="117">
        <f t="shared" si="9"/>
        <v>1.1267259999999999</v>
      </c>
      <c r="AE696" s="117">
        <f t="shared" si="9"/>
        <v>1.212357176</v>
      </c>
      <c r="AF696" s="117">
        <f t="shared" si="9"/>
        <v>1.3020716070240002</v>
      </c>
      <c r="AG696" s="117">
        <f t="shared" si="9"/>
        <v>1.4075394071929441</v>
      </c>
      <c r="AH696" s="117">
        <f t="shared" si="9"/>
        <v>1.5454782690978528</v>
      </c>
      <c r="AI696" s="117">
        <f t="shared" si="9"/>
        <v>1.7108444438913231</v>
      </c>
      <c r="AJ696" s="117">
        <f t="shared" si="9"/>
        <v>1.8528445327343028</v>
      </c>
      <c r="AK696" s="117">
        <f t="shared" si="9"/>
        <v>1.9788379609602356</v>
      </c>
      <c r="AL696" s="117">
        <f t="shared" si="10"/>
        <v>2.0619491553205656</v>
      </c>
      <c r="AM696" s="117">
        <f t="shared" si="10"/>
        <v>2.1403032232227472</v>
      </c>
      <c r="AN696" s="117">
        <f t="shared" si="10"/>
        <v>2.2922647520715622</v>
      </c>
      <c r="AO696" s="117">
        <f t="shared" si="10"/>
        <v>2.4389696962041425</v>
      </c>
      <c r="AP696" s="117">
        <f t="shared" si="10"/>
        <v>2.5828689082801866</v>
      </c>
      <c r="AQ696" s="117">
        <f t="shared" si="10"/>
        <v>2.6500234998954713</v>
      </c>
      <c r="AR696" s="117">
        <f t="shared" si="10"/>
        <v>2.7242241578925444</v>
      </c>
      <c r="AS696" s="117">
        <f t="shared" si="10"/>
        <v>2.7868813135240726</v>
      </c>
      <c r="AT696" s="117">
        <f t="shared" si="10"/>
        <v>2.7729469069564523</v>
      </c>
      <c r="AU696" s="117">
        <f t="shared" si="10"/>
        <v>2.7784928007703651</v>
      </c>
      <c r="AV696" s="117">
        <f t="shared" si="10"/>
        <v>2.8034992359772981</v>
      </c>
      <c r="AW696" s="117">
        <f t="shared" si="10"/>
        <v>2.8343377275730481</v>
      </c>
      <c r="AX696" s="117">
        <f t="shared" si="10"/>
        <v>2.9023618330348016</v>
      </c>
      <c r="AY696" s="117">
        <f t="shared" si="10"/>
        <v>3.0358704773544027</v>
      </c>
      <c r="AZ696" s="117">
        <f t="shared" si="10"/>
        <v>3.1421259440618066</v>
      </c>
      <c r="BA696" s="117">
        <f t="shared" si="10"/>
        <v>3.2049684629430426</v>
      </c>
      <c r="BB696" s="117">
        <f t="shared" si="11"/>
        <v>3.2882976429795616</v>
      </c>
      <c r="BC696" s="117">
        <f t="shared" si="11"/>
        <v>3.3376221076242549</v>
      </c>
      <c r="BD696" s="117">
        <f t="shared" si="11"/>
        <v>3.4010369276691153</v>
      </c>
      <c r="BE696" s="117">
        <f t="shared" si="11"/>
        <v>3.4894638877885122</v>
      </c>
      <c r="BF696" s="117">
        <f t="shared" si="11"/>
        <v>3.5487847738809166</v>
      </c>
      <c r="BG696" s="117">
        <f t="shared" si="11"/>
        <v>3.6410531780018207</v>
      </c>
      <c r="BH696" s="117">
        <f t="shared" si="11"/>
        <v>3.732079507451866</v>
      </c>
      <c r="BI696" s="117">
        <f t="shared" si="11"/>
        <v>3.9074872443021036</v>
      </c>
      <c r="BJ696" s="117">
        <f t="shared" si="11"/>
        <v>4.0364343233640723</v>
      </c>
      <c r="BK696" s="117">
        <f t="shared" si="11"/>
        <v>4.1211994441547173</v>
      </c>
      <c r="BL696" s="117">
        <f t="shared" si="11"/>
        <v>4.1665326380404188</v>
      </c>
      <c r="BM696" s="117">
        <f t="shared" si="11"/>
        <v>4.2415302255251461</v>
      </c>
      <c r="BN696" s="117">
        <f t="shared" si="11"/>
        <v>4.3009116486824981</v>
      </c>
      <c r="BO696" s="117">
        <f t="shared" si="11"/>
        <v>4.3482216768180049</v>
      </c>
      <c r="BP696" s="117">
        <f t="shared" si="11"/>
        <v>4.487364770476181</v>
      </c>
      <c r="BQ696" s="117">
        <f t="shared" si="11"/>
        <v>4.5008268647876086</v>
      </c>
      <c r="BR696" s="117">
        <f t="shared" si="12"/>
        <v>4.5683392677594226</v>
      </c>
      <c r="BS696" s="117">
        <f t="shared" si="12"/>
        <v>4.6871160887211678</v>
      </c>
      <c r="BT696" s="117">
        <f t="shared" si="12"/>
        <v>4.794919758761754</v>
      </c>
      <c r="BU696" s="117">
        <f t="shared" si="12"/>
        <v>4.9291775120070831</v>
      </c>
      <c r="BV696" s="117">
        <f t="shared" si="12"/>
        <v>4.9784692871271536</v>
      </c>
      <c r="BW696" s="117">
        <f t="shared" si="12"/>
        <v>5.0182970414241712</v>
      </c>
      <c r="BX696" s="117">
        <f t="shared" si="12"/>
        <v>5.0283336355070194</v>
      </c>
      <c r="BY696" s="117">
        <f t="shared" si="12"/>
        <v>5.0987303064041178</v>
      </c>
      <c r="BZ696" s="117">
        <f t="shared" si="12"/>
        <v>5.1599150700809675</v>
      </c>
      <c r="CA696" s="117">
        <f t="shared" si="12"/>
        <v>5.2940728619030724</v>
      </c>
      <c r="CB696" s="117">
        <f t="shared" si="12"/>
        <v>5.3787780276935218</v>
      </c>
      <c r="CC696" s="117">
        <f t="shared" si="12"/>
        <v>5.475596032192005</v>
      </c>
      <c r="CD696" s="117">
        <f t="shared" si="12"/>
        <v>5.8150829861879094</v>
      </c>
      <c r="CE696" s="117">
        <f t="shared" si="12"/>
        <v>6.2802896250829425</v>
      </c>
      <c r="CF696" s="117">
        <f t="shared" si="12"/>
        <v>6.4561377345852655</v>
      </c>
      <c r="CG696" s="117">
        <f t="shared" si="12"/>
        <v>6.5658920760732142</v>
      </c>
    </row>
    <row r="697" spans="1:85">
      <c r="A697" s="3"/>
      <c r="B697" s="115">
        <v>1970</v>
      </c>
      <c r="C697" s="115"/>
      <c r="D697" s="3"/>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c r="AA697" s="118"/>
      <c r="AB697" s="118"/>
      <c r="AC697" s="116">
        <v>1</v>
      </c>
      <c r="AD697" s="117">
        <f t="shared" si="9"/>
        <v>1.054</v>
      </c>
      <c r="AE697" s="117">
        <f t="shared" si="9"/>
        <v>1.1341040000000002</v>
      </c>
      <c r="AF697" s="117">
        <f t="shared" si="9"/>
        <v>1.2180276960000003</v>
      </c>
      <c r="AG697" s="117">
        <f t="shared" si="9"/>
        <v>1.3166879393760003</v>
      </c>
      <c r="AH697" s="117">
        <f t="shared" si="9"/>
        <v>1.4457233574348485</v>
      </c>
      <c r="AI697" s="117">
        <f t="shared" si="9"/>
        <v>1.6004157566803772</v>
      </c>
      <c r="AJ697" s="117">
        <f t="shared" si="9"/>
        <v>1.7332502644848484</v>
      </c>
      <c r="AK697" s="117">
        <f t="shared" si="9"/>
        <v>1.8511112824698182</v>
      </c>
      <c r="AL697" s="117">
        <f t="shared" si="10"/>
        <v>1.9288579563335506</v>
      </c>
      <c r="AM697" s="117">
        <f t="shared" si="10"/>
        <v>2.0021545586742255</v>
      </c>
      <c r="AN697" s="117">
        <f t="shared" si="10"/>
        <v>2.1443075323400955</v>
      </c>
      <c r="AO697" s="117">
        <f t="shared" si="10"/>
        <v>2.281543214409862</v>
      </c>
      <c r="AP697" s="117">
        <f t="shared" si="10"/>
        <v>2.4161542640600437</v>
      </c>
      <c r="AQ697" s="117">
        <f t="shared" si="10"/>
        <v>2.478974274925605</v>
      </c>
      <c r="AR697" s="117">
        <f t="shared" si="10"/>
        <v>2.5483855546235219</v>
      </c>
      <c r="AS697" s="117">
        <f t="shared" si="10"/>
        <v>2.6069984223798626</v>
      </c>
      <c r="AT697" s="117">
        <f t="shared" si="10"/>
        <v>2.5939634302679631</v>
      </c>
      <c r="AU697" s="117">
        <f t="shared" si="10"/>
        <v>2.5991513571284992</v>
      </c>
      <c r="AV697" s="117">
        <f t="shared" si="10"/>
        <v>2.6225437193426555</v>
      </c>
      <c r="AW697" s="117">
        <f t="shared" si="10"/>
        <v>2.6513917002554246</v>
      </c>
      <c r="AX697" s="117">
        <f t="shared" si="10"/>
        <v>2.7150251010615549</v>
      </c>
      <c r="AY697" s="117">
        <f t="shared" si="10"/>
        <v>2.8399162557103867</v>
      </c>
      <c r="AZ697" s="117">
        <f t="shared" si="10"/>
        <v>2.9393133246602501</v>
      </c>
      <c r="BA697" s="117">
        <f t="shared" si="10"/>
        <v>2.9980995911534549</v>
      </c>
      <c r="BB697" s="117">
        <f t="shared" si="11"/>
        <v>3.076050180523445</v>
      </c>
      <c r="BC697" s="117">
        <f t="shared" si="11"/>
        <v>3.1221909332312965</v>
      </c>
      <c r="BD697" s="117">
        <f t="shared" si="11"/>
        <v>3.1815125609626906</v>
      </c>
      <c r="BE697" s="117">
        <f t="shared" si="11"/>
        <v>3.2642318875477208</v>
      </c>
      <c r="BF697" s="117">
        <f t="shared" si="11"/>
        <v>3.3197238296360316</v>
      </c>
      <c r="BG697" s="117">
        <f t="shared" si="11"/>
        <v>3.4060366492065683</v>
      </c>
      <c r="BH697" s="117">
        <f t="shared" si="11"/>
        <v>3.4911875654367321</v>
      </c>
      <c r="BI697" s="117">
        <f t="shared" si="11"/>
        <v>3.6552733810122584</v>
      </c>
      <c r="BJ697" s="117">
        <f t="shared" si="11"/>
        <v>3.7758974025856626</v>
      </c>
      <c r="BK697" s="117">
        <f t="shared" si="11"/>
        <v>3.855191248039961</v>
      </c>
      <c r="BL697" s="117">
        <f t="shared" si="11"/>
        <v>3.8975983517684001</v>
      </c>
      <c r="BM697" s="117">
        <f t="shared" si="11"/>
        <v>3.9677551221002312</v>
      </c>
      <c r="BN697" s="117">
        <f t="shared" si="11"/>
        <v>4.023303693809634</v>
      </c>
      <c r="BO697" s="117">
        <f t="shared" si="11"/>
        <v>4.0675600344415397</v>
      </c>
      <c r="BP697" s="117">
        <f t="shared" si="11"/>
        <v>4.1977219555436687</v>
      </c>
      <c r="BQ697" s="117">
        <f t="shared" si="11"/>
        <v>4.2103151214102992</v>
      </c>
      <c r="BR697" s="117">
        <f t="shared" si="12"/>
        <v>4.2734698482314535</v>
      </c>
      <c r="BS697" s="117">
        <f t="shared" si="12"/>
        <v>4.3845800642854718</v>
      </c>
      <c r="BT697" s="117">
        <f t="shared" si="12"/>
        <v>4.4854254057640368</v>
      </c>
      <c r="BU697" s="117">
        <f t="shared" si="12"/>
        <v>4.6110173171254303</v>
      </c>
      <c r="BV697" s="117">
        <f t="shared" si="12"/>
        <v>4.657127490296685</v>
      </c>
      <c r="BW697" s="117">
        <f t="shared" si="12"/>
        <v>4.6943845102190584</v>
      </c>
      <c r="BX697" s="117">
        <f t="shared" si="12"/>
        <v>4.7037732792394964</v>
      </c>
      <c r="BY697" s="117">
        <f t="shared" si="12"/>
        <v>4.7696261051488493</v>
      </c>
      <c r="BZ697" s="117">
        <f t="shared" si="12"/>
        <v>4.8268616184106357</v>
      </c>
      <c r="CA697" s="117">
        <f t="shared" si="12"/>
        <v>4.9523600204893121</v>
      </c>
      <c r="CB697" s="117">
        <f t="shared" si="12"/>
        <v>5.0315977808171413</v>
      </c>
      <c r="CC697" s="117">
        <f t="shared" si="12"/>
        <v>5.1221665408718495</v>
      </c>
      <c r="CD697" s="117">
        <f t="shared" si="12"/>
        <v>5.4397408664059048</v>
      </c>
      <c r="CE697" s="117">
        <f t="shared" si="12"/>
        <v>5.8749201357183773</v>
      </c>
      <c r="CF697" s="117">
        <f t="shared" si="12"/>
        <v>6.039417899518492</v>
      </c>
      <c r="CG697" s="117">
        <f t="shared" si="12"/>
        <v>6.1420880038103061</v>
      </c>
    </row>
    <row r="698" spans="1:85">
      <c r="A698" s="3"/>
      <c r="B698" s="115">
        <v>1971</v>
      </c>
      <c r="C698" s="115"/>
      <c r="D698" s="3"/>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c r="AA698" s="118"/>
      <c r="AB698" s="118"/>
      <c r="AC698" s="118"/>
      <c r="AD698" s="116">
        <v>1</v>
      </c>
      <c r="AE698" s="117">
        <f t="shared" si="9"/>
        <v>1.0760000000000001</v>
      </c>
      <c r="AF698" s="117">
        <f t="shared" si="9"/>
        <v>1.1556240000000002</v>
      </c>
      <c r="AG698" s="117">
        <f t="shared" si="9"/>
        <v>1.2492295440000001</v>
      </c>
      <c r="AH698" s="117">
        <f t="shared" si="9"/>
        <v>1.3716540393120003</v>
      </c>
      <c r="AI698" s="117">
        <f t="shared" si="9"/>
        <v>1.5184210215183842</v>
      </c>
      <c r="AJ698" s="117">
        <f t="shared" si="9"/>
        <v>1.6444499663044101</v>
      </c>
      <c r="AK698" s="117">
        <f t="shared" si="9"/>
        <v>1.75627256401311</v>
      </c>
      <c r="AL698" s="117">
        <f t="shared" si="10"/>
        <v>1.8300360117016607</v>
      </c>
      <c r="AM698" s="117">
        <f t="shared" si="10"/>
        <v>1.8995773801463238</v>
      </c>
      <c r="AN698" s="117">
        <f t="shared" si="10"/>
        <v>2.0344473741367128</v>
      </c>
      <c r="AO698" s="117">
        <f t="shared" si="10"/>
        <v>2.1646520060814627</v>
      </c>
      <c r="AP698" s="117">
        <f t="shared" si="10"/>
        <v>2.2923664744402688</v>
      </c>
      <c r="AQ698" s="117">
        <f t="shared" si="10"/>
        <v>2.3519680027757159</v>
      </c>
      <c r="AR698" s="117">
        <f t="shared" si="10"/>
        <v>2.4178231068534362</v>
      </c>
      <c r="AS698" s="117">
        <f t="shared" si="10"/>
        <v>2.473433038311065</v>
      </c>
      <c r="AT698" s="117">
        <f t="shared" si="10"/>
        <v>2.4610658731195096</v>
      </c>
      <c r="AU698" s="117">
        <f t="shared" si="10"/>
        <v>2.4659880048657485</v>
      </c>
      <c r="AV698" s="117">
        <f t="shared" si="10"/>
        <v>2.4881818969095399</v>
      </c>
      <c r="AW698" s="117">
        <f t="shared" si="10"/>
        <v>2.5155518977755444</v>
      </c>
      <c r="AX698" s="117">
        <f t="shared" si="10"/>
        <v>2.5759251433221575</v>
      </c>
      <c r="AY698" s="117">
        <f t="shared" si="10"/>
        <v>2.6944176999149767</v>
      </c>
      <c r="AZ698" s="117">
        <f t="shared" si="10"/>
        <v>2.7887223194120008</v>
      </c>
      <c r="BA698" s="117">
        <f t="shared" si="10"/>
        <v>2.8444967658002409</v>
      </c>
      <c r="BB698" s="117">
        <f t="shared" si="11"/>
        <v>2.9184536817110471</v>
      </c>
      <c r="BC698" s="117">
        <f t="shared" si="11"/>
        <v>2.9622304869367126</v>
      </c>
      <c r="BD698" s="117">
        <f t="shared" si="11"/>
        <v>3.0185128661885101</v>
      </c>
      <c r="BE698" s="117">
        <f t="shared" si="11"/>
        <v>3.0969942007094113</v>
      </c>
      <c r="BF698" s="117">
        <f t="shared" si="11"/>
        <v>3.149643102121471</v>
      </c>
      <c r="BG698" s="117">
        <f t="shared" si="11"/>
        <v>3.2315338227766293</v>
      </c>
      <c r="BH698" s="117">
        <f t="shared" si="11"/>
        <v>3.3123221683460446</v>
      </c>
      <c r="BI698" s="117">
        <f t="shared" si="11"/>
        <v>3.4680013102583085</v>
      </c>
      <c r="BJ698" s="117">
        <f t="shared" si="11"/>
        <v>3.5824453534968326</v>
      </c>
      <c r="BK698" s="117">
        <f t="shared" si="11"/>
        <v>3.6576767059202657</v>
      </c>
      <c r="BL698" s="117">
        <f t="shared" si="11"/>
        <v>3.6979111496853885</v>
      </c>
      <c r="BM698" s="117">
        <f t="shared" si="11"/>
        <v>3.7644735503797255</v>
      </c>
      <c r="BN698" s="117">
        <f t="shared" si="11"/>
        <v>3.8171761800850419</v>
      </c>
      <c r="BO698" s="117">
        <f t="shared" si="11"/>
        <v>3.859165118065977</v>
      </c>
      <c r="BP698" s="117">
        <f t="shared" si="11"/>
        <v>3.9826584018440885</v>
      </c>
      <c r="BQ698" s="117">
        <f t="shared" si="11"/>
        <v>3.9946063770496205</v>
      </c>
      <c r="BR698" s="117">
        <f t="shared" si="12"/>
        <v>4.0545254727053646</v>
      </c>
      <c r="BS698" s="117">
        <f t="shared" si="12"/>
        <v>4.1599431349957046</v>
      </c>
      <c r="BT698" s="117">
        <f t="shared" si="12"/>
        <v>4.2556218271006054</v>
      </c>
      <c r="BU698" s="117">
        <f t="shared" si="12"/>
        <v>4.3747792382594222</v>
      </c>
      <c r="BV698" s="117">
        <f t="shared" si="12"/>
        <v>4.4185270306420161</v>
      </c>
      <c r="BW698" s="117">
        <f t="shared" si="12"/>
        <v>4.4538752468871525</v>
      </c>
      <c r="BX698" s="117">
        <f t="shared" si="12"/>
        <v>4.462782997380927</v>
      </c>
      <c r="BY698" s="117">
        <f t="shared" si="12"/>
        <v>4.5252619593442605</v>
      </c>
      <c r="BZ698" s="117">
        <f t="shared" si="12"/>
        <v>4.5795651028563915</v>
      </c>
      <c r="CA698" s="117">
        <f t="shared" si="12"/>
        <v>4.6986337955306574</v>
      </c>
      <c r="CB698" s="117">
        <f t="shared" si="12"/>
        <v>4.7738119362591478</v>
      </c>
      <c r="CC698" s="117">
        <f t="shared" si="12"/>
        <v>4.8597405511118126</v>
      </c>
      <c r="CD698" s="117">
        <f t="shared" si="12"/>
        <v>5.161044465280745</v>
      </c>
      <c r="CE698" s="117">
        <f t="shared" si="12"/>
        <v>5.5739280225032051</v>
      </c>
      <c r="CF698" s="117">
        <f t="shared" si="12"/>
        <v>5.729998007133295</v>
      </c>
      <c r="CG698" s="117">
        <f t="shared" si="12"/>
        <v>5.8274079732545605</v>
      </c>
    </row>
    <row r="699" spans="1:85">
      <c r="A699" s="3"/>
      <c r="B699" s="115">
        <v>1972</v>
      </c>
      <c r="C699" s="115"/>
      <c r="D699" s="3"/>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c r="AA699" s="118"/>
      <c r="AB699" s="118"/>
      <c r="AC699" s="118"/>
      <c r="AD699" s="118"/>
      <c r="AE699" s="116">
        <v>1</v>
      </c>
      <c r="AF699" s="117">
        <f t="shared" si="9"/>
        <v>1.0740000000000001</v>
      </c>
      <c r="AG699" s="117">
        <f t="shared" si="9"/>
        <v>1.1609940000000001</v>
      </c>
      <c r="AH699" s="117">
        <f t="shared" si="9"/>
        <v>1.2747714120000002</v>
      </c>
      <c r="AI699" s="117">
        <f t="shared" si="9"/>
        <v>1.4111719530840001</v>
      </c>
      <c r="AJ699" s="117">
        <f t="shared" si="9"/>
        <v>1.5282992251899721</v>
      </c>
      <c r="AK699" s="117">
        <f t="shared" si="9"/>
        <v>1.6322235725028902</v>
      </c>
      <c r="AL699" s="117">
        <f t="shared" si="10"/>
        <v>1.7007769625480116</v>
      </c>
      <c r="AM699" s="117">
        <f t="shared" si="10"/>
        <v>1.7654064871248361</v>
      </c>
      <c r="AN699" s="117">
        <f t="shared" si="10"/>
        <v>1.8907503477106993</v>
      </c>
      <c r="AO699" s="117">
        <f t="shared" si="10"/>
        <v>2.0117583699641841</v>
      </c>
      <c r="AP699" s="117">
        <f t="shared" si="10"/>
        <v>2.1304521137920709</v>
      </c>
      <c r="AQ699" s="117">
        <f t="shared" si="10"/>
        <v>2.1858438687506649</v>
      </c>
      <c r="AR699" s="117">
        <f t="shared" si="10"/>
        <v>2.2470474970756835</v>
      </c>
      <c r="AS699" s="117">
        <f t="shared" si="10"/>
        <v>2.2987295895084241</v>
      </c>
      <c r="AT699" s="117">
        <f t="shared" si="10"/>
        <v>2.2872359415608821</v>
      </c>
      <c r="AU699" s="117">
        <f t="shared" si="10"/>
        <v>2.2918104134440038</v>
      </c>
      <c r="AV699" s="117">
        <f t="shared" si="10"/>
        <v>2.3124367071649998</v>
      </c>
      <c r="AW699" s="117">
        <f t="shared" si="10"/>
        <v>2.3378735109438145</v>
      </c>
      <c r="AX699" s="117">
        <f t="shared" si="10"/>
        <v>2.393982475206466</v>
      </c>
      <c r="AY699" s="117">
        <f t="shared" si="10"/>
        <v>2.5041056690659635</v>
      </c>
      <c r="AZ699" s="117">
        <f t="shared" si="10"/>
        <v>2.5917493674832719</v>
      </c>
      <c r="BA699" s="117">
        <f t="shared" si="10"/>
        <v>2.6435843548329374</v>
      </c>
      <c r="BB699" s="117">
        <f t="shared" si="11"/>
        <v>2.7123175480585937</v>
      </c>
      <c r="BC699" s="117">
        <f t="shared" si="11"/>
        <v>2.7530023112794724</v>
      </c>
      <c r="BD699" s="117">
        <f t="shared" si="11"/>
        <v>2.8053093551937822</v>
      </c>
      <c r="BE699" s="117">
        <f t="shared" si="11"/>
        <v>2.8782473984288206</v>
      </c>
      <c r="BF699" s="117">
        <f t="shared" si="11"/>
        <v>2.9271776042021105</v>
      </c>
      <c r="BG699" s="117">
        <f t="shared" si="11"/>
        <v>3.0032842219113656</v>
      </c>
      <c r="BH699" s="117">
        <f t="shared" si="11"/>
        <v>3.0783663274591495</v>
      </c>
      <c r="BI699" s="117">
        <f t="shared" si="11"/>
        <v>3.2230495448497294</v>
      </c>
      <c r="BJ699" s="117">
        <f t="shared" si="11"/>
        <v>3.3294101798297704</v>
      </c>
      <c r="BK699" s="117">
        <f t="shared" si="11"/>
        <v>3.3993277936061954</v>
      </c>
      <c r="BL699" s="117">
        <f t="shared" si="11"/>
        <v>3.4367203993358633</v>
      </c>
      <c r="BM699" s="117">
        <f t="shared" si="11"/>
        <v>3.4985813665239087</v>
      </c>
      <c r="BN699" s="117">
        <f t="shared" si="11"/>
        <v>3.5475615056552434</v>
      </c>
      <c r="BO699" s="117">
        <f t="shared" si="11"/>
        <v>3.5865846822174507</v>
      </c>
      <c r="BP699" s="117">
        <f t="shared" si="11"/>
        <v>3.7013553920484092</v>
      </c>
      <c r="BQ699" s="117">
        <f t="shared" si="11"/>
        <v>3.7124594582245543</v>
      </c>
      <c r="BR699" s="117">
        <f t="shared" si="12"/>
        <v>3.7681463500979224</v>
      </c>
      <c r="BS699" s="117">
        <f t="shared" si="12"/>
        <v>3.8661181552004686</v>
      </c>
      <c r="BT699" s="117">
        <f t="shared" si="12"/>
        <v>3.9550388727700789</v>
      </c>
      <c r="BU699" s="117">
        <f t="shared" si="12"/>
        <v>4.0657799612076415</v>
      </c>
      <c r="BV699" s="117">
        <f t="shared" si="12"/>
        <v>4.106437760819718</v>
      </c>
      <c r="BW699" s="117">
        <f t="shared" si="12"/>
        <v>4.1392892629062761</v>
      </c>
      <c r="BX699" s="117">
        <f t="shared" si="12"/>
        <v>4.1475678414320889</v>
      </c>
      <c r="BY699" s="117">
        <f t="shared" si="12"/>
        <v>4.2056337912121382</v>
      </c>
      <c r="BZ699" s="117">
        <f t="shared" si="12"/>
        <v>4.2561013967066836</v>
      </c>
      <c r="CA699" s="117">
        <f t="shared" si="12"/>
        <v>4.3667600330210572</v>
      </c>
      <c r="CB699" s="117">
        <f t="shared" si="12"/>
        <v>4.4366281935493941</v>
      </c>
      <c r="CC699" s="117">
        <f t="shared" si="12"/>
        <v>4.516487501033283</v>
      </c>
      <c r="CD699" s="117">
        <f t="shared" si="12"/>
        <v>4.796509726097347</v>
      </c>
      <c r="CE699" s="117">
        <f t="shared" si="12"/>
        <v>5.1802305041851353</v>
      </c>
      <c r="CF699" s="117">
        <f t="shared" si="12"/>
        <v>5.325276958302319</v>
      </c>
      <c r="CG699" s="117">
        <f t="shared" si="12"/>
        <v>5.4158066665934577</v>
      </c>
    </row>
    <row r="700" spans="1:85">
      <c r="A700" s="3"/>
      <c r="B700" s="115">
        <v>1973</v>
      </c>
      <c r="C700" s="115"/>
      <c r="D700" s="3"/>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6">
        <v>1</v>
      </c>
      <c r="AG700" s="117">
        <f t="shared" si="9"/>
        <v>1.081</v>
      </c>
      <c r="AH700" s="117">
        <f t="shared" si="9"/>
        <v>1.186938</v>
      </c>
      <c r="AI700" s="117">
        <f t="shared" si="9"/>
        <v>1.313940366</v>
      </c>
      <c r="AJ700" s="117">
        <f t="shared" si="9"/>
        <v>1.4229974163779999</v>
      </c>
      <c r="AK700" s="117">
        <f t="shared" si="9"/>
        <v>1.519761240691704</v>
      </c>
      <c r="AL700" s="117">
        <f t="shared" si="10"/>
        <v>1.5835912128007557</v>
      </c>
      <c r="AM700" s="117">
        <f t="shared" si="10"/>
        <v>1.6437676788871844</v>
      </c>
      <c r="AN700" s="117">
        <f t="shared" si="10"/>
        <v>1.7604751840881745</v>
      </c>
      <c r="AO700" s="117">
        <f t="shared" si="10"/>
        <v>1.8731455958698178</v>
      </c>
      <c r="AP700" s="117">
        <f t="shared" si="10"/>
        <v>1.9836611860261368</v>
      </c>
      <c r="AQ700" s="117">
        <f t="shared" si="10"/>
        <v>2.0352363768628163</v>
      </c>
      <c r="AR700" s="117">
        <f t="shared" si="10"/>
        <v>2.0922229954149754</v>
      </c>
      <c r="AS700" s="117">
        <f t="shared" si="10"/>
        <v>2.1403441243095198</v>
      </c>
      <c r="AT700" s="117">
        <f t="shared" si="10"/>
        <v>2.1296424036879724</v>
      </c>
      <c r="AU700" s="117">
        <f t="shared" si="10"/>
        <v>2.1339016884953486</v>
      </c>
      <c r="AV700" s="117">
        <f t="shared" si="10"/>
        <v>2.1531068036918066</v>
      </c>
      <c r="AW700" s="117">
        <f t="shared" si="10"/>
        <v>2.1767909785324164</v>
      </c>
      <c r="AX700" s="117">
        <f t="shared" si="10"/>
        <v>2.2290339620171946</v>
      </c>
      <c r="AY700" s="117">
        <f t="shared" si="10"/>
        <v>2.3315695242699856</v>
      </c>
      <c r="AZ700" s="117">
        <f t="shared" si="10"/>
        <v>2.4131744576194349</v>
      </c>
      <c r="BA700" s="117">
        <f t="shared" si="10"/>
        <v>2.4614379467718237</v>
      </c>
      <c r="BB700" s="117">
        <f t="shared" si="11"/>
        <v>2.5254353333878914</v>
      </c>
      <c r="BC700" s="117">
        <f t="shared" si="11"/>
        <v>2.5633168633887093</v>
      </c>
      <c r="BD700" s="117">
        <f t="shared" si="11"/>
        <v>2.6120198837930948</v>
      </c>
      <c r="BE700" s="117">
        <f t="shared" si="11"/>
        <v>2.6799324007717154</v>
      </c>
      <c r="BF700" s="117">
        <f t="shared" si="11"/>
        <v>2.7254912515848342</v>
      </c>
      <c r="BG700" s="117">
        <f t="shared" si="11"/>
        <v>2.7963540241260398</v>
      </c>
      <c r="BH700" s="117">
        <f t="shared" si="11"/>
        <v>2.8662628747291907</v>
      </c>
      <c r="BI700" s="117">
        <f t="shared" si="11"/>
        <v>3.0009772298414625</v>
      </c>
      <c r="BJ700" s="117">
        <f t="shared" si="11"/>
        <v>3.1000094784262306</v>
      </c>
      <c r="BK700" s="117">
        <f t="shared" si="11"/>
        <v>3.1651096774731813</v>
      </c>
      <c r="BL700" s="117">
        <f t="shared" si="11"/>
        <v>3.1999258839253861</v>
      </c>
      <c r="BM700" s="117">
        <f t="shared" si="11"/>
        <v>3.257524549836043</v>
      </c>
      <c r="BN700" s="117">
        <f t="shared" si="11"/>
        <v>3.3031298935337476</v>
      </c>
      <c r="BO700" s="117">
        <f t="shared" si="11"/>
        <v>3.3394643223626184</v>
      </c>
      <c r="BP700" s="117">
        <f t="shared" si="11"/>
        <v>3.4463271806782223</v>
      </c>
      <c r="BQ700" s="117">
        <f t="shared" si="11"/>
        <v>3.4566661622202566</v>
      </c>
      <c r="BR700" s="117">
        <f t="shared" si="12"/>
        <v>3.5085161546535599</v>
      </c>
      <c r="BS700" s="117">
        <f t="shared" si="12"/>
        <v>3.5997375746745526</v>
      </c>
      <c r="BT700" s="117">
        <f t="shared" si="12"/>
        <v>3.682531538892067</v>
      </c>
      <c r="BU700" s="117">
        <f t="shared" si="12"/>
        <v>3.7856424219810449</v>
      </c>
      <c r="BV700" s="117">
        <f t="shared" si="12"/>
        <v>3.8234988462008554</v>
      </c>
      <c r="BW700" s="117">
        <f t="shared" si="12"/>
        <v>3.8540868369704624</v>
      </c>
      <c r="BX700" s="117">
        <f t="shared" si="12"/>
        <v>3.8617950106444034</v>
      </c>
      <c r="BY700" s="117">
        <f t="shared" si="12"/>
        <v>3.9158601407934253</v>
      </c>
      <c r="BZ700" s="117">
        <f t="shared" si="12"/>
        <v>3.9628504624829466</v>
      </c>
      <c r="CA700" s="117">
        <f t="shared" si="12"/>
        <v>4.0658845745075034</v>
      </c>
      <c r="CB700" s="117">
        <f t="shared" si="12"/>
        <v>4.1309387276996237</v>
      </c>
      <c r="CC700" s="117">
        <f t="shared" si="12"/>
        <v>4.2052956247982172</v>
      </c>
      <c r="CD700" s="117">
        <f t="shared" si="12"/>
        <v>4.4660239535357071</v>
      </c>
      <c r="CE700" s="117">
        <f t="shared" si="12"/>
        <v>4.8233058698185642</v>
      </c>
      <c r="CF700" s="117">
        <f t="shared" si="12"/>
        <v>4.9583584341734843</v>
      </c>
      <c r="CG700" s="117">
        <f t="shared" si="12"/>
        <v>5.0426505275544331</v>
      </c>
    </row>
    <row r="701" spans="1:85">
      <c r="A701" s="3"/>
      <c r="B701" s="115">
        <v>1974</v>
      </c>
      <c r="C701" s="115"/>
      <c r="D701" s="3"/>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6">
        <v>1</v>
      </c>
      <c r="AH701" s="117">
        <f t="shared" si="9"/>
        <v>1.0980000000000001</v>
      </c>
      <c r="AI701" s="117">
        <f t="shared" si="9"/>
        <v>1.2154860000000001</v>
      </c>
      <c r="AJ701" s="117">
        <f t="shared" si="9"/>
        <v>1.3163713379999999</v>
      </c>
      <c r="AK701" s="117">
        <f t="shared" si="9"/>
        <v>1.4058845889839999</v>
      </c>
      <c r="AL701" s="117">
        <f t="shared" si="10"/>
        <v>1.4649317417213279</v>
      </c>
      <c r="AM701" s="117">
        <f t="shared" si="10"/>
        <v>1.5205991479067384</v>
      </c>
      <c r="AN701" s="117">
        <f t="shared" si="10"/>
        <v>1.6285616874081168</v>
      </c>
      <c r="AO701" s="117">
        <f t="shared" si="10"/>
        <v>1.7327896354022363</v>
      </c>
      <c r="AP701" s="117">
        <f t="shared" si="10"/>
        <v>1.8350242238909682</v>
      </c>
      <c r="AQ701" s="117">
        <f t="shared" si="10"/>
        <v>1.8827348537121333</v>
      </c>
      <c r="AR701" s="117">
        <f t="shared" si="10"/>
        <v>1.9354514296160732</v>
      </c>
      <c r="AS701" s="117">
        <f t="shared" si="10"/>
        <v>1.9799668124972427</v>
      </c>
      <c r="AT701" s="117">
        <f t="shared" si="10"/>
        <v>1.9700669784347564</v>
      </c>
      <c r="AU701" s="117">
        <f t="shared" si="10"/>
        <v>1.9740071123916259</v>
      </c>
      <c r="AV701" s="117">
        <f t="shared" si="10"/>
        <v>1.9917731764031503</v>
      </c>
      <c r="AW701" s="117">
        <f t="shared" si="10"/>
        <v>2.0136826813435849</v>
      </c>
      <c r="AX701" s="117">
        <f t="shared" si="10"/>
        <v>2.062011065695831</v>
      </c>
      <c r="AY701" s="117">
        <f t="shared" si="10"/>
        <v>2.1568635747178395</v>
      </c>
      <c r="AZ701" s="117">
        <f t="shared" si="10"/>
        <v>2.2323537998329637</v>
      </c>
      <c r="BA701" s="117">
        <f t="shared" si="10"/>
        <v>2.2770008758296232</v>
      </c>
      <c r="BB701" s="117">
        <f t="shared" si="11"/>
        <v>2.3362028986011936</v>
      </c>
      <c r="BC701" s="117">
        <f t="shared" si="11"/>
        <v>2.3712459420802112</v>
      </c>
      <c r="BD701" s="117">
        <f t="shared" si="11"/>
        <v>2.4162996149797351</v>
      </c>
      <c r="BE701" s="117">
        <f t="shared" si="11"/>
        <v>2.4791234049692084</v>
      </c>
      <c r="BF701" s="117">
        <f t="shared" si="11"/>
        <v>2.5212685028536845</v>
      </c>
      <c r="BG701" s="117">
        <f t="shared" si="11"/>
        <v>2.5868214839278805</v>
      </c>
      <c r="BH701" s="117">
        <f t="shared" si="11"/>
        <v>2.6514920210260771</v>
      </c>
      <c r="BI701" s="117">
        <f t="shared" si="11"/>
        <v>2.7761121460143023</v>
      </c>
      <c r="BJ701" s="117">
        <f t="shared" si="11"/>
        <v>2.8677238468327739</v>
      </c>
      <c r="BK701" s="117">
        <f t="shared" si="11"/>
        <v>2.927946047616262</v>
      </c>
      <c r="BL701" s="117">
        <f t="shared" si="11"/>
        <v>2.9601534541400407</v>
      </c>
      <c r="BM701" s="117">
        <f t="shared" si="11"/>
        <v>3.0134362163145614</v>
      </c>
      <c r="BN701" s="117">
        <f t="shared" si="11"/>
        <v>3.0556243233429652</v>
      </c>
      <c r="BO701" s="117">
        <f t="shared" si="11"/>
        <v>3.0892361908997374</v>
      </c>
      <c r="BP701" s="117">
        <f t="shared" si="11"/>
        <v>3.188091749008529</v>
      </c>
      <c r="BQ701" s="117">
        <f t="shared" si="11"/>
        <v>3.1976560242555543</v>
      </c>
      <c r="BR701" s="117">
        <f t="shared" si="12"/>
        <v>3.2456208646193874</v>
      </c>
      <c r="BS701" s="117">
        <f t="shared" si="12"/>
        <v>3.3300070070994914</v>
      </c>
      <c r="BT701" s="117">
        <f t="shared" si="12"/>
        <v>3.4065971682627794</v>
      </c>
      <c r="BU701" s="117">
        <f t="shared" si="12"/>
        <v>3.5019818889741372</v>
      </c>
      <c r="BV701" s="117">
        <f t="shared" si="12"/>
        <v>3.5370017078638787</v>
      </c>
      <c r="BW701" s="117">
        <f t="shared" si="12"/>
        <v>3.5652977215267896</v>
      </c>
      <c r="BX701" s="117">
        <f t="shared" si="12"/>
        <v>3.5724283169698432</v>
      </c>
      <c r="BY701" s="117">
        <f t="shared" si="12"/>
        <v>3.6224423134074208</v>
      </c>
      <c r="BZ701" s="117">
        <f t="shared" si="12"/>
        <v>3.66591162116831</v>
      </c>
      <c r="CA701" s="117">
        <f>BZ701*CA$670</f>
        <v>3.7612253233186861</v>
      </c>
      <c r="CB701" s="117">
        <f t="shared" si="12"/>
        <v>3.821404928491785</v>
      </c>
      <c r="CC701" s="117">
        <f t="shared" si="12"/>
        <v>3.8901902172046374</v>
      </c>
      <c r="CD701" s="117">
        <f t="shared" si="12"/>
        <v>4.1313820106713255</v>
      </c>
      <c r="CE701" s="117">
        <f t="shared" si="12"/>
        <v>4.4618925715250315</v>
      </c>
      <c r="CF701" s="117">
        <f t="shared" si="12"/>
        <v>4.5868255635277322</v>
      </c>
      <c r="CG701" s="117">
        <f t="shared" si="12"/>
        <v>4.6648015981077036</v>
      </c>
    </row>
    <row r="702" spans="1:85">
      <c r="A702" s="3"/>
      <c r="B702" s="115">
        <v>1975</v>
      </c>
      <c r="C702" s="115"/>
      <c r="D702" s="3"/>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c r="AH702" s="116">
        <v>1</v>
      </c>
      <c r="AI702" s="117">
        <f t="shared" si="9"/>
        <v>1.107</v>
      </c>
      <c r="AJ702" s="117">
        <f t="shared" si="9"/>
        <v>1.1988809999999999</v>
      </c>
      <c r="AK702" s="117">
        <f t="shared" si="9"/>
        <v>1.280404908</v>
      </c>
      <c r="AL702" s="117">
        <f t="shared" si="10"/>
        <v>1.3341819141360001</v>
      </c>
      <c r="AM702" s="117">
        <f t="shared" si="10"/>
        <v>1.384880826873168</v>
      </c>
      <c r="AN702" s="117">
        <f t="shared" si="10"/>
        <v>1.4832073655811628</v>
      </c>
      <c r="AO702" s="117">
        <f t="shared" si="10"/>
        <v>1.5781326369783573</v>
      </c>
      <c r="AP702" s="117">
        <f t="shared" si="10"/>
        <v>1.6712424625600804</v>
      </c>
      <c r="AQ702" s="117">
        <f t="shared" si="10"/>
        <v>1.7146947665866425</v>
      </c>
      <c r="AR702" s="117">
        <f t="shared" si="10"/>
        <v>1.7627062200510686</v>
      </c>
      <c r="AS702" s="117">
        <f t="shared" si="10"/>
        <v>1.803248463112243</v>
      </c>
      <c r="AT702" s="117">
        <f t="shared" si="10"/>
        <v>1.7942322207966817</v>
      </c>
      <c r="AU702" s="117">
        <f t="shared" si="10"/>
        <v>1.797820685238275</v>
      </c>
      <c r="AV702" s="117">
        <f t="shared" si="10"/>
        <v>1.8140010714054193</v>
      </c>
      <c r="AW702" s="117">
        <f t="shared" si="10"/>
        <v>1.8339550831908789</v>
      </c>
      <c r="AX702" s="117">
        <f t="shared" si="10"/>
        <v>1.8779700051874599</v>
      </c>
      <c r="AY702" s="117">
        <f t="shared" si="10"/>
        <v>1.9643566254260831</v>
      </c>
      <c r="AZ702" s="117">
        <f t="shared" si="10"/>
        <v>2.0331091073159957</v>
      </c>
      <c r="BA702" s="117">
        <f t="shared" si="10"/>
        <v>2.0737712894623157</v>
      </c>
      <c r="BB702" s="117">
        <f t="shared" si="11"/>
        <v>2.1276893429883361</v>
      </c>
      <c r="BC702" s="117">
        <f t="shared" si="11"/>
        <v>2.159604683133161</v>
      </c>
      <c r="BD702" s="117">
        <f t="shared" si="11"/>
        <v>2.2006371721126907</v>
      </c>
      <c r="BE702" s="117">
        <f t="shared" si="11"/>
        <v>2.2578537385876207</v>
      </c>
      <c r="BF702" s="117">
        <f t="shared" si="11"/>
        <v>2.2962372521436101</v>
      </c>
      <c r="BG702" s="117">
        <f t="shared" si="11"/>
        <v>2.355939420699344</v>
      </c>
      <c r="BH702" s="117">
        <f t="shared" si="11"/>
        <v>2.4148379062168273</v>
      </c>
      <c r="BI702" s="117">
        <f t="shared" si="11"/>
        <v>2.5283352878090182</v>
      </c>
      <c r="BJ702" s="117">
        <f t="shared" si="11"/>
        <v>2.6117703523067157</v>
      </c>
      <c r="BK702" s="117">
        <f t="shared" si="11"/>
        <v>2.6666175297051566</v>
      </c>
      <c r="BL702" s="117">
        <f t="shared" si="11"/>
        <v>2.695950322531913</v>
      </c>
      <c r="BM702" s="117">
        <f t="shared" si="11"/>
        <v>2.7444774283374875</v>
      </c>
      <c r="BN702" s="117">
        <f t="shared" si="11"/>
        <v>2.7829001123342123</v>
      </c>
      <c r="BO702" s="117">
        <f t="shared" si="11"/>
        <v>2.8135120135698886</v>
      </c>
      <c r="BP702" s="117">
        <f t="shared" si="11"/>
        <v>2.9035443980041249</v>
      </c>
      <c r="BQ702" s="117">
        <f t="shared" si="11"/>
        <v>2.912255031198137</v>
      </c>
      <c r="BR702" s="117">
        <f t="shared" si="12"/>
        <v>2.9559388566661089</v>
      </c>
      <c r="BS702" s="117">
        <f t="shared" si="12"/>
        <v>3.0327932669394277</v>
      </c>
      <c r="BT702" s="117">
        <f t="shared" si="12"/>
        <v>3.1025475120790342</v>
      </c>
      <c r="BU702" s="117">
        <f t="shared" si="12"/>
        <v>3.1894188424172474</v>
      </c>
      <c r="BV702" s="117">
        <f t="shared" si="12"/>
        <v>3.22131303084142</v>
      </c>
      <c r="BW702" s="117">
        <f t="shared" si="12"/>
        <v>3.2470835350881515</v>
      </c>
      <c r="BX702" s="117">
        <f t="shared" si="12"/>
        <v>3.2535777021583279</v>
      </c>
      <c r="BY702" s="117">
        <f t="shared" si="12"/>
        <v>3.2991277899885443</v>
      </c>
      <c r="BZ702" s="117">
        <f t="shared" si="12"/>
        <v>3.3387173234684067</v>
      </c>
      <c r="CA702" s="117">
        <f t="shared" si="12"/>
        <v>3.4255239738785854</v>
      </c>
      <c r="CB702" s="117">
        <f t="shared" si="12"/>
        <v>3.4803323574606426</v>
      </c>
      <c r="CC702" s="117">
        <f t="shared" si="12"/>
        <v>3.5429783398949342</v>
      </c>
      <c r="CD702" s="117">
        <f t="shared" si="12"/>
        <v>3.7626429969684203</v>
      </c>
      <c r="CE702" s="117">
        <f t="shared" si="12"/>
        <v>4.0636544367258942</v>
      </c>
      <c r="CF702" s="117">
        <f t="shared" si="12"/>
        <v>4.1774367609542198</v>
      </c>
      <c r="CG702" s="117">
        <f t="shared" si="12"/>
        <v>4.2484531858904413</v>
      </c>
    </row>
    <row r="703" spans="1:85">
      <c r="A703" s="3"/>
      <c r="B703" s="115">
        <v>1976</v>
      </c>
      <c r="C703" s="115"/>
      <c r="D703" s="3"/>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c r="AH703" s="118"/>
      <c r="AI703" s="116">
        <v>1</v>
      </c>
      <c r="AJ703" s="117">
        <f t="shared" si="9"/>
        <v>1.083</v>
      </c>
      <c r="AK703" s="117">
        <f t="shared" si="9"/>
        <v>1.156644</v>
      </c>
      <c r="AL703" s="117">
        <f t="shared" si="10"/>
        <v>1.2052230480000001</v>
      </c>
      <c r="AM703" s="117">
        <f t="shared" si="10"/>
        <v>1.2510215238240001</v>
      </c>
      <c r="AN703" s="117">
        <f t="shared" si="10"/>
        <v>1.3398440520155042</v>
      </c>
      <c r="AO703" s="117">
        <f t="shared" si="10"/>
        <v>1.4255940713444966</v>
      </c>
      <c r="AP703" s="117">
        <f t="shared" si="10"/>
        <v>1.5097041215538218</v>
      </c>
      <c r="AQ703" s="117">
        <f t="shared" si="10"/>
        <v>1.5489564287142212</v>
      </c>
      <c r="AR703" s="117">
        <f t="shared" si="10"/>
        <v>1.5923272087182194</v>
      </c>
      <c r="AS703" s="117">
        <f t="shared" si="10"/>
        <v>1.6289507345187384</v>
      </c>
      <c r="AT703" s="117">
        <f t="shared" si="10"/>
        <v>1.6208059808461448</v>
      </c>
      <c r="AU703" s="117">
        <f t="shared" si="10"/>
        <v>1.6240475928078371</v>
      </c>
      <c r="AV703" s="117">
        <f t="shared" si="10"/>
        <v>1.6386640211431074</v>
      </c>
      <c r="AW703" s="117">
        <f t="shared" si="10"/>
        <v>1.6566893253756814</v>
      </c>
      <c r="AX703" s="117">
        <f t="shared" si="10"/>
        <v>1.6964498691846976</v>
      </c>
      <c r="AY703" s="117">
        <f t="shared" si="10"/>
        <v>1.7744865631671938</v>
      </c>
      <c r="AZ703" s="117">
        <f t="shared" si="10"/>
        <v>1.8365935928780455</v>
      </c>
      <c r="BA703" s="117">
        <f t="shared" si="10"/>
        <v>1.8733254647356063</v>
      </c>
      <c r="BB703" s="117">
        <f t="shared" si="11"/>
        <v>1.9220319268187323</v>
      </c>
      <c r="BC703" s="117">
        <f t="shared" si="11"/>
        <v>1.9508624057210131</v>
      </c>
      <c r="BD703" s="117">
        <f t="shared" si="11"/>
        <v>1.9879287914297121</v>
      </c>
      <c r="BE703" s="117">
        <f t="shared" si="11"/>
        <v>2.0396149400068846</v>
      </c>
      <c r="BF703" s="117">
        <f t="shared" si="11"/>
        <v>2.0742883939870014</v>
      </c>
      <c r="BG703" s="117">
        <f t="shared" si="11"/>
        <v>2.1282198922306637</v>
      </c>
      <c r="BH703" s="117">
        <f t="shared" si="11"/>
        <v>2.1814253895364302</v>
      </c>
      <c r="BI703" s="117">
        <f t="shared" si="11"/>
        <v>2.2839523828446424</v>
      </c>
      <c r="BJ703" s="117">
        <f t="shared" si="11"/>
        <v>2.3593228114785156</v>
      </c>
      <c r="BK703" s="117">
        <f t="shared" si="11"/>
        <v>2.4088685905195644</v>
      </c>
      <c r="BL703" s="117">
        <f t="shared" si="11"/>
        <v>2.4353661450152795</v>
      </c>
      <c r="BM703" s="117">
        <f t="shared" si="11"/>
        <v>2.4792027356255546</v>
      </c>
      <c r="BN703" s="117">
        <f t="shared" si="11"/>
        <v>2.5139115739243123</v>
      </c>
      <c r="BO703" s="117">
        <f t="shared" si="11"/>
        <v>2.5415646012374795</v>
      </c>
      <c r="BP703" s="117">
        <f t="shared" si="11"/>
        <v>2.6228946684770791</v>
      </c>
      <c r="BQ703" s="117">
        <f t="shared" si="11"/>
        <v>2.6307633524825103</v>
      </c>
      <c r="BR703" s="117">
        <f t="shared" si="12"/>
        <v>2.6702248027697477</v>
      </c>
      <c r="BS703" s="117">
        <f t="shared" si="12"/>
        <v>2.7396506476417612</v>
      </c>
      <c r="BT703" s="117">
        <f t="shared" si="12"/>
        <v>2.8026626125375214</v>
      </c>
      <c r="BU703" s="117">
        <f t="shared" si="12"/>
        <v>2.881137165688572</v>
      </c>
      <c r="BV703" s="117">
        <f t="shared" si="12"/>
        <v>2.9099485373454579</v>
      </c>
      <c r="BW703" s="117">
        <f t="shared" si="12"/>
        <v>2.9332281256442214</v>
      </c>
      <c r="BX703" s="117">
        <f t="shared" si="12"/>
        <v>2.9390945818955099</v>
      </c>
      <c r="BY703" s="117">
        <f t="shared" si="12"/>
        <v>2.9802419060420471</v>
      </c>
      <c r="BZ703" s="117">
        <f t="shared" si="12"/>
        <v>3.0160048089145515</v>
      </c>
      <c r="CA703" s="117">
        <f t="shared" si="12"/>
        <v>3.09442093394633</v>
      </c>
      <c r="CB703" s="117">
        <f t="shared" si="12"/>
        <v>3.1439316688894712</v>
      </c>
      <c r="CC703" s="117">
        <f t="shared" si="12"/>
        <v>3.2005224389294815</v>
      </c>
      <c r="CD703" s="117">
        <f t="shared" si="12"/>
        <v>3.3989548301431096</v>
      </c>
      <c r="CE703" s="117">
        <f t="shared" si="12"/>
        <v>3.6708712165545587</v>
      </c>
      <c r="CF703" s="117">
        <f t="shared" si="12"/>
        <v>3.7736556106180865</v>
      </c>
      <c r="CG703" s="117">
        <f t="shared" si="12"/>
        <v>3.8378077559985937</v>
      </c>
    </row>
    <row r="704" spans="1:85">
      <c r="A704" s="3"/>
      <c r="B704" s="115">
        <v>1977</v>
      </c>
      <c r="C704" s="115"/>
      <c r="D704" s="3"/>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c r="AH704" s="118"/>
      <c r="AI704" s="118"/>
      <c r="AJ704" s="116">
        <v>1</v>
      </c>
      <c r="AK704" s="117">
        <f t="shared" si="9"/>
        <v>1.0680000000000001</v>
      </c>
      <c r="AL704" s="117">
        <f t="shared" si="10"/>
        <v>1.1128560000000001</v>
      </c>
      <c r="AM704" s="117">
        <f t="shared" si="10"/>
        <v>1.1551445280000001</v>
      </c>
      <c r="AN704" s="117">
        <f t="shared" si="10"/>
        <v>1.237159789488</v>
      </c>
      <c r="AO704" s="117">
        <f t="shared" si="10"/>
        <v>1.316338016015232</v>
      </c>
      <c r="AP704" s="117">
        <f t="shared" si="10"/>
        <v>1.3940019589601307</v>
      </c>
      <c r="AQ704" s="117">
        <f t="shared" si="10"/>
        <v>1.430246009893094</v>
      </c>
      <c r="AR704" s="117">
        <f t="shared" si="10"/>
        <v>1.4702928981701007</v>
      </c>
      <c r="AS704" s="117">
        <f t="shared" si="10"/>
        <v>1.5041096348280127</v>
      </c>
      <c r="AT704" s="117">
        <f t="shared" si="10"/>
        <v>1.4965890866538727</v>
      </c>
      <c r="AU704" s="117">
        <f t="shared" si="10"/>
        <v>1.4995822648271804</v>
      </c>
      <c r="AV704" s="117">
        <f t="shared" si="10"/>
        <v>1.5130785052106248</v>
      </c>
      <c r="AW704" s="117">
        <f t="shared" si="10"/>
        <v>1.5297223687679415</v>
      </c>
      <c r="AX704" s="117">
        <f t="shared" si="10"/>
        <v>1.5664357056183722</v>
      </c>
      <c r="AY704" s="117">
        <f t="shared" si="10"/>
        <v>1.6384917480768173</v>
      </c>
      <c r="AZ704" s="117">
        <f t="shared" si="10"/>
        <v>1.6958389592595058</v>
      </c>
      <c r="BA704" s="117">
        <f t="shared" ref="BA704:BO720" si="13">AZ704*BA$670</f>
        <v>1.729755738444696</v>
      </c>
      <c r="BB704" s="117">
        <f t="shared" si="11"/>
        <v>1.774729387644258</v>
      </c>
      <c r="BC704" s="117">
        <f t="shared" si="11"/>
        <v>1.8013503284589216</v>
      </c>
      <c r="BD704" s="117">
        <f t="shared" si="11"/>
        <v>1.8355759846996409</v>
      </c>
      <c r="BE704" s="117">
        <f t="shared" si="11"/>
        <v>1.8833009603018316</v>
      </c>
      <c r="BF704" s="117">
        <f t="shared" si="11"/>
        <v>1.9153170766269625</v>
      </c>
      <c r="BG704" s="117">
        <f t="shared" si="11"/>
        <v>1.9651153206192635</v>
      </c>
      <c r="BH704" s="117">
        <f t="shared" si="11"/>
        <v>2.0142432036347451</v>
      </c>
      <c r="BI704" s="117">
        <f t="shared" si="11"/>
        <v>2.108912634205578</v>
      </c>
      <c r="BJ704" s="117">
        <f t="shared" si="11"/>
        <v>2.1785067511343619</v>
      </c>
      <c r="BK704" s="117">
        <f t="shared" si="11"/>
        <v>2.2242553929081832</v>
      </c>
      <c r="BL704" s="117">
        <f t="shared" si="11"/>
        <v>2.2487222022301729</v>
      </c>
      <c r="BM704" s="117">
        <f t="shared" si="11"/>
        <v>2.289199201870316</v>
      </c>
      <c r="BN704" s="117">
        <f t="shared" si="11"/>
        <v>2.3212479906965005</v>
      </c>
      <c r="BO704" s="117">
        <f t="shared" si="11"/>
        <v>2.3467817185941615</v>
      </c>
      <c r="BP704" s="117">
        <f t="shared" si="11"/>
        <v>2.4218787335891747</v>
      </c>
      <c r="BQ704" s="117">
        <f t="shared" ref="BP704:CE720" si="14">BP704*BQ$670</f>
        <v>2.4291443697899422</v>
      </c>
      <c r="BR704" s="117">
        <f t="shared" si="12"/>
        <v>2.4655815353367911</v>
      </c>
      <c r="BS704" s="117">
        <f t="shared" si="12"/>
        <v>2.5296866552555479</v>
      </c>
      <c r="BT704" s="117">
        <f t="shared" si="12"/>
        <v>2.5878694483264253</v>
      </c>
      <c r="BU704" s="117">
        <f t="shared" si="12"/>
        <v>2.6603297928795651</v>
      </c>
      <c r="BV704" s="117">
        <f t="shared" si="12"/>
        <v>2.6869330908083606</v>
      </c>
      <c r="BW704" s="117">
        <f t="shared" si="12"/>
        <v>2.7084285555348275</v>
      </c>
      <c r="BX704" s="117">
        <f t="shared" si="12"/>
        <v>2.7138454126458971</v>
      </c>
      <c r="BY704" s="117">
        <f t="shared" si="12"/>
        <v>2.7518392484229395</v>
      </c>
      <c r="BZ704" s="117">
        <f t="shared" si="12"/>
        <v>2.7848613194040146</v>
      </c>
      <c r="CA704" s="117">
        <f t="shared" si="12"/>
        <v>2.8572677137085192</v>
      </c>
      <c r="CB704" s="117">
        <f t="shared" si="12"/>
        <v>2.9029839971278557</v>
      </c>
      <c r="CC704" s="117">
        <f t="shared" si="12"/>
        <v>2.9552377090761572</v>
      </c>
      <c r="CD704" s="117">
        <f t="shared" si="12"/>
        <v>3.1384624470388793</v>
      </c>
      <c r="CE704" s="117">
        <f t="shared" si="12"/>
        <v>3.3895394428019898</v>
      </c>
      <c r="CF704" s="117">
        <f t="shared" si="12"/>
        <v>3.4844465472004456</v>
      </c>
      <c r="CG704" s="117">
        <f t="shared" si="12"/>
        <v>3.5436821385028527</v>
      </c>
    </row>
    <row r="705" spans="1:85">
      <c r="A705" s="3"/>
      <c r="B705" s="115">
        <v>1978</v>
      </c>
      <c r="C705" s="115"/>
      <c r="D705" s="3"/>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c r="AH705" s="118"/>
      <c r="AI705" s="118"/>
      <c r="AJ705" s="118"/>
      <c r="AK705" s="116">
        <v>1</v>
      </c>
      <c r="AL705" s="117">
        <f t="shared" ref="AL705:AZ719" si="15">AK705*AL$670</f>
        <v>1.042</v>
      </c>
      <c r="AM705" s="117">
        <f t="shared" si="15"/>
        <v>1.081596</v>
      </c>
      <c r="AN705" s="117">
        <f t="shared" si="15"/>
        <v>1.1583893160000001</v>
      </c>
      <c r="AO705" s="117">
        <f t="shared" si="15"/>
        <v>1.232526232224</v>
      </c>
      <c r="AP705" s="117">
        <f t="shared" si="15"/>
        <v>1.3052452799252159</v>
      </c>
      <c r="AQ705" s="117">
        <f t="shared" si="15"/>
        <v>1.3391816572032715</v>
      </c>
      <c r="AR705" s="117">
        <f t="shared" si="15"/>
        <v>1.3766787436049632</v>
      </c>
      <c r="AS705" s="117">
        <f t="shared" si="15"/>
        <v>1.4083423547078773</v>
      </c>
      <c r="AT705" s="117">
        <f t="shared" si="15"/>
        <v>1.401300642934338</v>
      </c>
      <c r="AU705" s="117">
        <f t="shared" si="15"/>
        <v>1.4041032442202066</v>
      </c>
      <c r="AV705" s="117">
        <f t="shared" si="15"/>
        <v>1.4167401734181884</v>
      </c>
      <c r="AW705" s="117">
        <f t="shared" si="15"/>
        <v>1.4323243153257883</v>
      </c>
      <c r="AX705" s="117">
        <f t="shared" si="15"/>
        <v>1.4667000988936072</v>
      </c>
      <c r="AY705" s="117">
        <f t="shared" si="15"/>
        <v>1.5341683034427132</v>
      </c>
      <c r="AZ705" s="117">
        <f t="shared" si="15"/>
        <v>1.5878641940632079</v>
      </c>
      <c r="BA705" s="117">
        <f t="shared" si="13"/>
        <v>1.619621477944472</v>
      </c>
      <c r="BB705" s="117">
        <f t="shared" si="13"/>
        <v>1.6617316363710284</v>
      </c>
      <c r="BC705" s="117">
        <f t="shared" si="13"/>
        <v>1.6866576109165936</v>
      </c>
      <c r="BD705" s="117">
        <f t="shared" si="13"/>
        <v>1.7187041055240087</v>
      </c>
      <c r="BE705" s="117">
        <f t="shared" si="13"/>
        <v>1.7633904122676329</v>
      </c>
      <c r="BF705" s="117">
        <f t="shared" si="13"/>
        <v>1.7933680492761825</v>
      </c>
      <c r="BG705" s="117">
        <f t="shared" si="13"/>
        <v>1.8399956185573634</v>
      </c>
      <c r="BH705" s="117">
        <f t="shared" si="13"/>
        <v>1.8859955090212972</v>
      </c>
      <c r="BI705" s="117">
        <f t="shared" si="13"/>
        <v>1.974637297945298</v>
      </c>
      <c r="BJ705" s="117">
        <f t="shared" si="13"/>
        <v>2.0398003287774928</v>
      </c>
      <c r="BK705" s="117">
        <f t="shared" si="13"/>
        <v>2.0826361356818199</v>
      </c>
      <c r="BL705" s="117">
        <f t="shared" si="13"/>
        <v>2.1055451331743198</v>
      </c>
      <c r="BM705" s="117">
        <f t="shared" si="13"/>
        <v>2.1434449455714577</v>
      </c>
      <c r="BN705" s="117">
        <f t="shared" si="13"/>
        <v>2.1734531748094583</v>
      </c>
      <c r="BO705" s="117">
        <f t="shared" si="13"/>
        <v>2.1973611597323623</v>
      </c>
      <c r="BP705" s="117">
        <f t="shared" si="14"/>
        <v>2.2676767168437979</v>
      </c>
      <c r="BQ705" s="117">
        <f t="shared" si="14"/>
        <v>2.274479746994329</v>
      </c>
      <c r="BR705" s="117">
        <f t="shared" si="14"/>
        <v>2.3085969431992437</v>
      </c>
      <c r="BS705" s="117">
        <f t="shared" si="14"/>
        <v>2.368620463722424</v>
      </c>
      <c r="BT705" s="117">
        <f t="shared" si="14"/>
        <v>2.4230987343880397</v>
      </c>
      <c r="BU705" s="117">
        <f t="shared" si="14"/>
        <v>2.490945498950905</v>
      </c>
      <c r="BV705" s="117">
        <f t="shared" si="14"/>
        <v>2.5158549539404143</v>
      </c>
      <c r="BW705" s="117">
        <f t="shared" si="14"/>
        <v>2.5359817935719375</v>
      </c>
      <c r="BX705" s="117">
        <f t="shared" si="14"/>
        <v>2.5410537571590814</v>
      </c>
      <c r="BY705" s="117">
        <f t="shared" si="14"/>
        <v>2.5766285097593085</v>
      </c>
      <c r="BZ705" s="117">
        <f t="shared" si="14"/>
        <v>2.60754805187642</v>
      </c>
      <c r="CA705" s="117">
        <f t="shared" si="14"/>
        <v>2.6753443012252069</v>
      </c>
      <c r="CB705" s="117">
        <f t="shared" si="14"/>
        <v>2.7181498100448103</v>
      </c>
      <c r="CC705" s="117">
        <f t="shared" si="14"/>
        <v>2.7670765066256169</v>
      </c>
      <c r="CD705" s="117">
        <f t="shared" si="14"/>
        <v>2.9386352500364055</v>
      </c>
      <c r="CE705" s="117">
        <f t="shared" si="14"/>
        <v>3.1737260700393182</v>
      </c>
      <c r="CF705" s="117">
        <f t="shared" ref="CF705:CG736" si="16">CE705*CF$670</f>
        <v>3.2625904000004193</v>
      </c>
      <c r="CG705" s="117">
        <f t="shared" si="16"/>
        <v>3.3180544368004261</v>
      </c>
    </row>
    <row r="706" spans="1:85">
      <c r="A706" s="3"/>
      <c r="B706" s="115">
        <v>1979</v>
      </c>
      <c r="C706" s="115"/>
      <c r="D706" s="3"/>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c r="AH706" s="118"/>
      <c r="AI706" s="118"/>
      <c r="AJ706" s="118"/>
      <c r="AK706" s="118"/>
      <c r="AL706" s="116">
        <v>1</v>
      </c>
      <c r="AM706" s="117">
        <f t="shared" si="15"/>
        <v>1.038</v>
      </c>
      <c r="AN706" s="117">
        <f t="shared" si="15"/>
        <v>1.1116980000000001</v>
      </c>
      <c r="AO706" s="117">
        <f t="shared" si="15"/>
        <v>1.1828466720000002</v>
      </c>
      <c r="AP706" s="117">
        <f t="shared" si="15"/>
        <v>1.2526346256480001</v>
      </c>
      <c r="AQ706" s="117">
        <f t="shared" si="15"/>
        <v>1.2852031259148482</v>
      </c>
      <c r="AR706" s="117">
        <f t="shared" si="15"/>
        <v>1.3211888134404639</v>
      </c>
      <c r="AS706" s="117">
        <f t="shared" si="15"/>
        <v>1.3515761561495945</v>
      </c>
      <c r="AT706" s="117">
        <f t="shared" si="15"/>
        <v>1.3448182753688465</v>
      </c>
      <c r="AU706" s="117">
        <f t="shared" si="15"/>
        <v>1.3475079119195841</v>
      </c>
      <c r="AV706" s="117">
        <f t="shared" si="15"/>
        <v>1.3596354831268602</v>
      </c>
      <c r="AW706" s="117">
        <f t="shared" si="15"/>
        <v>1.3745914734412557</v>
      </c>
      <c r="AX706" s="117">
        <f t="shared" si="15"/>
        <v>1.4075816688038458</v>
      </c>
      <c r="AY706" s="117">
        <f t="shared" si="15"/>
        <v>1.4723304255688228</v>
      </c>
      <c r="AZ706" s="117">
        <f t="shared" si="15"/>
        <v>1.5238619904637314</v>
      </c>
      <c r="BA706" s="117">
        <f t="shared" si="13"/>
        <v>1.5543392302730061</v>
      </c>
      <c r="BB706" s="117">
        <f t="shared" si="13"/>
        <v>1.5947520502601042</v>
      </c>
      <c r="BC706" s="117">
        <f t="shared" si="13"/>
        <v>1.6186733310140056</v>
      </c>
      <c r="BD706" s="117">
        <f t="shared" si="13"/>
        <v>1.6494281243032716</v>
      </c>
      <c r="BE706" s="117">
        <f t="shared" si="13"/>
        <v>1.6923132555351568</v>
      </c>
      <c r="BF706" s="117">
        <f t="shared" si="13"/>
        <v>1.7210825808792543</v>
      </c>
      <c r="BG706" s="117">
        <f t="shared" si="13"/>
        <v>1.7658307279821148</v>
      </c>
      <c r="BH706" s="117">
        <f t="shared" si="13"/>
        <v>1.8099764961816676</v>
      </c>
      <c r="BI706" s="117">
        <f t="shared" si="13"/>
        <v>1.8950453915022059</v>
      </c>
      <c r="BJ706" s="117">
        <f t="shared" si="13"/>
        <v>1.9575818894217785</v>
      </c>
      <c r="BK706" s="117">
        <f t="shared" si="13"/>
        <v>1.9986911090996355</v>
      </c>
      <c r="BL706" s="117">
        <f t="shared" si="13"/>
        <v>2.0206767112997315</v>
      </c>
      <c r="BM706" s="117">
        <f t="shared" si="13"/>
        <v>2.0570488921031265</v>
      </c>
      <c r="BN706" s="117">
        <f t="shared" si="13"/>
        <v>2.0858475765925704</v>
      </c>
      <c r="BO706" s="117">
        <f t="shared" si="13"/>
        <v>2.1087918999350883</v>
      </c>
      <c r="BP706" s="117">
        <f t="shared" si="14"/>
        <v>2.176273240733011</v>
      </c>
      <c r="BQ706" s="117">
        <f t="shared" si="14"/>
        <v>2.1828020604552099</v>
      </c>
      <c r="BR706" s="117">
        <f t="shared" si="14"/>
        <v>2.2155440913620379</v>
      </c>
      <c r="BS706" s="117">
        <f t="shared" si="14"/>
        <v>2.273148237737451</v>
      </c>
      <c r="BT706" s="117">
        <f t="shared" si="14"/>
        <v>2.3254306472054123</v>
      </c>
      <c r="BU706" s="117">
        <f t="shared" si="14"/>
        <v>2.3905427053271637</v>
      </c>
      <c r="BV706" s="117">
        <f t="shared" si="14"/>
        <v>2.4144481323804352</v>
      </c>
      <c r="BW706" s="117">
        <f t="shared" si="14"/>
        <v>2.4337637174394788</v>
      </c>
      <c r="BX706" s="117">
        <f t="shared" si="14"/>
        <v>2.4386312448743577</v>
      </c>
      <c r="BY706" s="117">
        <f t="shared" si="14"/>
        <v>2.4727720823025989</v>
      </c>
      <c r="BZ706" s="117">
        <f t="shared" si="14"/>
        <v>2.5024453472902302</v>
      </c>
      <c r="CA706" s="117">
        <f t="shared" si="14"/>
        <v>2.5675089263197761</v>
      </c>
      <c r="CB706" s="117">
        <f t="shared" si="14"/>
        <v>2.6085890691408924</v>
      </c>
      <c r="CC706" s="117">
        <f t="shared" si="14"/>
        <v>2.6555436723854284</v>
      </c>
      <c r="CD706" s="117">
        <f t="shared" si="14"/>
        <v>2.820187380073325</v>
      </c>
      <c r="CE706" s="117">
        <f t="shared" si="14"/>
        <v>3.0458023704791914</v>
      </c>
      <c r="CF706" s="117">
        <f t="shared" si="16"/>
        <v>3.131084836852609</v>
      </c>
      <c r="CG706" s="117">
        <f t="shared" si="16"/>
        <v>3.1843132790791029</v>
      </c>
    </row>
    <row r="707" spans="1:85">
      <c r="A707" s="3"/>
      <c r="B707" s="115">
        <v>1980</v>
      </c>
      <c r="C707" s="115"/>
      <c r="D707" s="3"/>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6">
        <v>1</v>
      </c>
      <c r="AN707" s="117">
        <f t="shared" si="15"/>
        <v>1.071</v>
      </c>
      <c r="AO707" s="117">
        <f t="shared" si="15"/>
        <v>1.1395440000000001</v>
      </c>
      <c r="AP707" s="117">
        <f t="shared" si="15"/>
        <v>1.2067770960000002</v>
      </c>
      <c r="AQ707" s="117">
        <f t="shared" si="15"/>
        <v>1.2381533004960001</v>
      </c>
      <c r="AR707" s="117">
        <f t="shared" si="15"/>
        <v>1.2728215929098883</v>
      </c>
      <c r="AS707" s="117">
        <f t="shared" si="15"/>
        <v>1.3020964895468157</v>
      </c>
      <c r="AT707" s="117">
        <f t="shared" si="15"/>
        <v>1.2955860070990817</v>
      </c>
      <c r="AU707" s="117">
        <f t="shared" si="15"/>
        <v>1.2981771791132799</v>
      </c>
      <c r="AV707" s="117">
        <f t="shared" si="15"/>
        <v>1.3098607737252992</v>
      </c>
      <c r="AW707" s="117">
        <f t="shared" si="15"/>
        <v>1.3242692422362774</v>
      </c>
      <c r="AX707" s="117">
        <f t="shared" si="15"/>
        <v>1.356051704049948</v>
      </c>
      <c r="AY707" s="117">
        <f t="shared" si="15"/>
        <v>1.4184300824362457</v>
      </c>
      <c r="AZ707" s="117">
        <f t="shared" si="15"/>
        <v>1.4680751353215142</v>
      </c>
      <c r="BA707" s="117">
        <f t="shared" si="13"/>
        <v>1.4974366380279445</v>
      </c>
      <c r="BB707" s="117">
        <f t="shared" si="13"/>
        <v>1.536369990616671</v>
      </c>
      <c r="BC707" s="117">
        <f t="shared" si="13"/>
        <v>1.5594155404759209</v>
      </c>
      <c r="BD707" s="117">
        <f t="shared" si="13"/>
        <v>1.5890444357449633</v>
      </c>
      <c r="BE707" s="117">
        <f t="shared" si="13"/>
        <v>1.6303595910743325</v>
      </c>
      <c r="BF707" s="117">
        <f t="shared" si="13"/>
        <v>1.658075704122596</v>
      </c>
      <c r="BG707" s="117">
        <f t="shared" si="13"/>
        <v>1.7011856724297836</v>
      </c>
      <c r="BH707" s="117">
        <f t="shared" si="13"/>
        <v>1.7437153142405279</v>
      </c>
      <c r="BI707" s="117">
        <f t="shared" si="13"/>
        <v>1.8256699340098326</v>
      </c>
      <c r="BJ707" s="117">
        <f t="shared" si="13"/>
        <v>1.8859170418321569</v>
      </c>
      <c r="BK707" s="117">
        <f t="shared" si="13"/>
        <v>1.9255212997106321</v>
      </c>
      <c r="BL707" s="117">
        <f t="shared" si="13"/>
        <v>1.9467020340074488</v>
      </c>
      <c r="BM707" s="117">
        <f t="shared" si="13"/>
        <v>1.9817426706195829</v>
      </c>
      <c r="BN707" s="117">
        <f t="shared" si="13"/>
        <v>2.0094870680082573</v>
      </c>
      <c r="BO707" s="117">
        <f t="shared" si="13"/>
        <v>2.0315914257563481</v>
      </c>
      <c r="BP707" s="117">
        <f t="shared" si="14"/>
        <v>2.0966023513805512</v>
      </c>
      <c r="BQ707" s="117">
        <f t="shared" si="14"/>
        <v>2.1028921584346927</v>
      </c>
      <c r="BR707" s="117">
        <f t="shared" si="14"/>
        <v>2.134435540811213</v>
      </c>
      <c r="BS707" s="117">
        <f t="shared" si="14"/>
        <v>2.1899308648723044</v>
      </c>
      <c r="BT707" s="117">
        <f t="shared" si="14"/>
        <v>2.2402992747643671</v>
      </c>
      <c r="BU707" s="117">
        <f t="shared" si="14"/>
        <v>2.3030276544577695</v>
      </c>
      <c r="BV707" s="117">
        <f t="shared" si="14"/>
        <v>2.3260579310023473</v>
      </c>
      <c r="BW707" s="117">
        <f t="shared" si="14"/>
        <v>2.3446663944503658</v>
      </c>
      <c r="BX707" s="117">
        <f t="shared" si="14"/>
        <v>2.3493557272392667</v>
      </c>
      <c r="BY707" s="117">
        <f t="shared" si="14"/>
        <v>2.3822467074206166</v>
      </c>
      <c r="BZ707" s="117">
        <f t="shared" si="14"/>
        <v>2.4108336679096642</v>
      </c>
      <c r="CA707" s="117">
        <f t="shared" si="14"/>
        <v>2.4735153432753156</v>
      </c>
      <c r="CB707" s="117">
        <f t="shared" si="14"/>
        <v>2.5130915887677205</v>
      </c>
      <c r="CC707" s="117">
        <f t="shared" si="14"/>
        <v>2.5583272373655395</v>
      </c>
      <c r="CD707" s="117">
        <f t="shared" si="14"/>
        <v>2.7169435260822032</v>
      </c>
      <c r="CE707" s="117">
        <f t="shared" si="14"/>
        <v>2.9342990081687796</v>
      </c>
      <c r="CF707" s="117">
        <f t="shared" si="16"/>
        <v>3.0164593803975057</v>
      </c>
      <c r="CG707" s="117">
        <f t="shared" si="16"/>
        <v>3.067739189864263</v>
      </c>
    </row>
    <row r="708" spans="1:85">
      <c r="A708" s="3"/>
      <c r="B708" s="115">
        <v>1981</v>
      </c>
      <c r="C708" s="115"/>
      <c r="D708" s="3"/>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c r="AH708" s="118"/>
      <c r="AI708" s="118"/>
      <c r="AJ708" s="118"/>
      <c r="AK708" s="118"/>
      <c r="AL708" s="118"/>
      <c r="AM708" s="118"/>
      <c r="AN708" s="116">
        <v>1</v>
      </c>
      <c r="AO708" s="117">
        <f t="shared" si="15"/>
        <v>1.0640000000000001</v>
      </c>
      <c r="AP708" s="117">
        <f t="shared" si="15"/>
        <v>1.126776</v>
      </c>
      <c r="AQ708" s="117">
        <f t="shared" si="15"/>
        <v>1.1560721760000001</v>
      </c>
      <c r="AR708" s="117">
        <f t="shared" si="15"/>
        <v>1.1884421969280001</v>
      </c>
      <c r="AS708" s="117">
        <f t="shared" si="15"/>
        <v>1.2157763674573441</v>
      </c>
      <c r="AT708" s="117">
        <f t="shared" si="15"/>
        <v>1.2096974856200573</v>
      </c>
      <c r="AU708" s="117">
        <f t="shared" si="15"/>
        <v>1.2121168805912974</v>
      </c>
      <c r="AV708" s="117">
        <f t="shared" si="15"/>
        <v>1.2230259325166191</v>
      </c>
      <c r="AW708" s="117">
        <f t="shared" si="15"/>
        <v>1.2364792177743018</v>
      </c>
      <c r="AX708" s="117">
        <f t="shared" si="15"/>
        <v>1.2661547190008851</v>
      </c>
      <c r="AY708" s="117">
        <f t="shared" si="15"/>
        <v>1.3243978360749258</v>
      </c>
      <c r="AZ708" s="117">
        <f t="shared" si="15"/>
        <v>1.3707517603375481</v>
      </c>
      <c r="BA708" s="117">
        <f t="shared" si="13"/>
        <v>1.3981667955442991</v>
      </c>
      <c r="BB708" s="117">
        <f t="shared" si="13"/>
        <v>1.434519132228451</v>
      </c>
      <c r="BC708" s="117">
        <f t="shared" si="13"/>
        <v>1.4560369192118776</v>
      </c>
      <c r="BD708" s="117">
        <f t="shared" si="13"/>
        <v>1.4837016206769031</v>
      </c>
      <c r="BE708" s="117">
        <f t="shared" si="13"/>
        <v>1.5222778628145026</v>
      </c>
      <c r="BF708" s="117">
        <f t="shared" si="13"/>
        <v>1.548156586482349</v>
      </c>
      <c r="BG708" s="117">
        <f t="shared" si="13"/>
        <v>1.58840865773089</v>
      </c>
      <c r="BH708" s="117">
        <f t="shared" si="13"/>
        <v>1.6281188741741621</v>
      </c>
      <c r="BI708" s="117">
        <f t="shared" si="13"/>
        <v>1.7046404612603476</v>
      </c>
      <c r="BJ708" s="117">
        <f t="shared" si="13"/>
        <v>1.760893596481939</v>
      </c>
      <c r="BK708" s="117">
        <f t="shared" si="13"/>
        <v>1.7978723620080594</v>
      </c>
      <c r="BL708" s="117">
        <f t="shared" si="13"/>
        <v>1.8176489579901478</v>
      </c>
      <c r="BM708" s="117">
        <f t="shared" si="13"/>
        <v>1.8503666392339706</v>
      </c>
      <c r="BN708" s="117">
        <f t="shared" si="13"/>
        <v>1.8762717721832463</v>
      </c>
      <c r="BO708" s="117">
        <f t="shared" si="13"/>
        <v>1.8969107616772618</v>
      </c>
      <c r="BP708" s="117">
        <f t="shared" si="14"/>
        <v>1.9576119060509343</v>
      </c>
      <c r="BQ708" s="117">
        <f t="shared" si="14"/>
        <v>1.9634847417690868</v>
      </c>
      <c r="BR708" s="117">
        <f t="shared" si="14"/>
        <v>1.992937012895623</v>
      </c>
      <c r="BS708" s="117">
        <f t="shared" si="14"/>
        <v>2.0447533752309091</v>
      </c>
      <c r="BT708" s="117">
        <f t="shared" si="14"/>
        <v>2.0917827028612197</v>
      </c>
      <c r="BU708" s="117">
        <f t="shared" si="14"/>
        <v>2.150352618541334</v>
      </c>
      <c r="BV708" s="117">
        <f t="shared" si="14"/>
        <v>2.1718561447267475</v>
      </c>
      <c r="BW708" s="117">
        <f t="shared" si="14"/>
        <v>2.1892309938845615</v>
      </c>
      <c r="BX708" s="117">
        <f t="shared" si="14"/>
        <v>2.1936094558723305</v>
      </c>
      <c r="BY708" s="117">
        <f t="shared" si="14"/>
        <v>2.224319988254543</v>
      </c>
      <c r="BZ708" s="117">
        <f t="shared" si="14"/>
        <v>2.2510118281135973</v>
      </c>
      <c r="CA708" s="117">
        <f t="shared" si="14"/>
        <v>2.309538135644551</v>
      </c>
      <c r="CB708" s="117">
        <f t="shared" si="14"/>
        <v>2.3464907458148638</v>
      </c>
      <c r="CC708" s="117">
        <f t="shared" si="14"/>
        <v>2.3887275792395313</v>
      </c>
      <c r="CD708" s="117">
        <f t="shared" si="14"/>
        <v>2.5368286891523821</v>
      </c>
      <c r="CE708" s="117">
        <f t="shared" si="14"/>
        <v>2.7397749842845727</v>
      </c>
      <c r="CF708" s="117">
        <f t="shared" si="16"/>
        <v>2.8164886838445407</v>
      </c>
      <c r="CG708" s="117">
        <f t="shared" si="16"/>
        <v>2.8643689914698975</v>
      </c>
    </row>
    <row r="709" spans="1:85">
      <c r="A709" s="3"/>
      <c r="B709" s="115">
        <v>1982</v>
      </c>
      <c r="C709" s="115"/>
      <c r="D709" s="3"/>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c r="AH709" s="118"/>
      <c r="AI709" s="118"/>
      <c r="AJ709" s="118"/>
      <c r="AK709" s="118"/>
      <c r="AL709" s="118"/>
      <c r="AM709" s="118"/>
      <c r="AN709" s="118"/>
      <c r="AO709" s="116">
        <v>1</v>
      </c>
      <c r="AP709" s="117">
        <f t="shared" si="15"/>
        <v>1.0589999999999999</v>
      </c>
      <c r="AQ709" s="117">
        <f t="shared" si="15"/>
        <v>1.0865339999999999</v>
      </c>
      <c r="AR709" s="117">
        <f t="shared" si="15"/>
        <v>1.116956952</v>
      </c>
      <c r="AS709" s="117">
        <f t="shared" si="15"/>
        <v>1.1426469618959998</v>
      </c>
      <c r="AT709" s="117">
        <f t="shared" si="15"/>
        <v>1.1369337270865199</v>
      </c>
      <c r="AU709" s="117">
        <f t="shared" si="15"/>
        <v>1.139207594540693</v>
      </c>
      <c r="AV709" s="117">
        <f t="shared" si="15"/>
        <v>1.149460462891559</v>
      </c>
      <c r="AW709" s="117">
        <f t="shared" si="15"/>
        <v>1.1621045279833659</v>
      </c>
      <c r="AX709" s="117">
        <f t="shared" si="15"/>
        <v>1.1899950366549668</v>
      </c>
      <c r="AY709" s="117">
        <f t="shared" si="15"/>
        <v>1.2447348083410952</v>
      </c>
      <c r="AZ709" s="117">
        <f t="shared" si="15"/>
        <v>1.2883005266330334</v>
      </c>
      <c r="BA709" s="117">
        <f t="shared" si="13"/>
        <v>1.3140665371656941</v>
      </c>
      <c r="BB709" s="117">
        <f t="shared" si="13"/>
        <v>1.3482322671320022</v>
      </c>
      <c r="BC709" s="117">
        <f t="shared" si="13"/>
        <v>1.3684557511389821</v>
      </c>
      <c r="BD709" s="117">
        <f t="shared" si="13"/>
        <v>1.3944564104106227</v>
      </c>
      <c r="BE709" s="117">
        <f t="shared" si="13"/>
        <v>1.430712277081299</v>
      </c>
      <c r="BF709" s="117">
        <f t="shared" si="13"/>
        <v>1.455034385791681</v>
      </c>
      <c r="BG709" s="117">
        <f t="shared" si="13"/>
        <v>1.4928652798222648</v>
      </c>
      <c r="BH709" s="117">
        <f t="shared" si="13"/>
        <v>1.5301869118178213</v>
      </c>
      <c r="BI709" s="117">
        <f t="shared" si="13"/>
        <v>1.6021056966732588</v>
      </c>
      <c r="BJ709" s="117">
        <f t="shared" si="13"/>
        <v>1.6549751846634762</v>
      </c>
      <c r="BK709" s="117">
        <f t="shared" si="13"/>
        <v>1.689729663541409</v>
      </c>
      <c r="BL709" s="117">
        <f t="shared" si="13"/>
        <v>1.7083166898403643</v>
      </c>
      <c r="BM709" s="117">
        <f t="shared" si="13"/>
        <v>1.739066390257491</v>
      </c>
      <c r="BN709" s="117">
        <f t="shared" si="13"/>
        <v>1.7634133197210959</v>
      </c>
      <c r="BO709" s="117">
        <f t="shared" si="13"/>
        <v>1.7828108662380278</v>
      </c>
      <c r="BP709" s="117">
        <f t="shared" si="14"/>
        <v>1.8398608139576447</v>
      </c>
      <c r="BQ709" s="117">
        <f t="shared" si="14"/>
        <v>1.8453803963995175</v>
      </c>
      <c r="BR709" s="117">
        <f t="shared" si="14"/>
        <v>1.8730611023455099</v>
      </c>
      <c r="BS709" s="117">
        <f t="shared" si="14"/>
        <v>1.9217606910064933</v>
      </c>
      <c r="BT709" s="117">
        <f t="shared" si="14"/>
        <v>1.9659611868996425</v>
      </c>
      <c r="BU709" s="117">
        <f t="shared" si="14"/>
        <v>2.0210081001328324</v>
      </c>
      <c r="BV709" s="117">
        <f t="shared" si="14"/>
        <v>2.0412181811341608</v>
      </c>
      <c r="BW709" s="117">
        <f t="shared" si="14"/>
        <v>2.0575479265832342</v>
      </c>
      <c r="BX709" s="117">
        <f t="shared" si="14"/>
        <v>2.0616630224364005</v>
      </c>
      <c r="BY709" s="117">
        <f t="shared" si="14"/>
        <v>2.0905263047505103</v>
      </c>
      <c r="BZ709" s="117">
        <f t="shared" si="14"/>
        <v>2.1156126204075165</v>
      </c>
      <c r="CA709" s="117">
        <f t="shared" si="14"/>
        <v>2.170618548538112</v>
      </c>
      <c r="CB709" s="117">
        <f t="shared" si="14"/>
        <v>2.2053484453147219</v>
      </c>
      <c r="CC709" s="117">
        <f t="shared" si="14"/>
        <v>2.2450447173303867</v>
      </c>
      <c r="CD709" s="117">
        <f t="shared" si="14"/>
        <v>2.3842374898048706</v>
      </c>
      <c r="CE709" s="117">
        <f t="shared" si="14"/>
        <v>2.5749764889892606</v>
      </c>
      <c r="CF709" s="117">
        <f t="shared" si="16"/>
        <v>2.6470758306809601</v>
      </c>
      <c r="CG709" s="117">
        <f t="shared" si="16"/>
        <v>2.692076119802536</v>
      </c>
    </row>
    <row r="710" spans="1:85">
      <c r="A710" s="3"/>
      <c r="B710" s="115">
        <v>1983</v>
      </c>
      <c r="C710" s="115"/>
      <c r="D710" s="3"/>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c r="AH710" s="118"/>
      <c r="AI710" s="118"/>
      <c r="AJ710" s="118"/>
      <c r="AK710" s="118"/>
      <c r="AL710" s="118"/>
      <c r="AM710" s="118"/>
      <c r="AN710" s="118"/>
      <c r="AO710" s="118"/>
      <c r="AP710" s="116">
        <v>1</v>
      </c>
      <c r="AQ710" s="117">
        <f t="shared" si="15"/>
        <v>1.026</v>
      </c>
      <c r="AR710" s="117">
        <f t="shared" si="15"/>
        <v>1.0547280000000001</v>
      </c>
      <c r="AS710" s="117">
        <f t="shared" si="15"/>
        <v>1.0789867440000001</v>
      </c>
      <c r="AT710" s="117">
        <f t="shared" si="15"/>
        <v>1.0735918102799999</v>
      </c>
      <c r="AU710" s="117">
        <f t="shared" si="15"/>
        <v>1.0757389939005599</v>
      </c>
      <c r="AV710" s="117">
        <f t="shared" si="15"/>
        <v>1.0854206448456649</v>
      </c>
      <c r="AW710" s="117">
        <f t="shared" si="15"/>
        <v>1.097360271938967</v>
      </c>
      <c r="AX710" s="117">
        <f t="shared" si="15"/>
        <v>1.1236969184655023</v>
      </c>
      <c r="AY710" s="117">
        <f t="shared" si="15"/>
        <v>1.1753869767149154</v>
      </c>
      <c r="AZ710" s="117">
        <f t="shared" si="15"/>
        <v>1.2165255208999375</v>
      </c>
      <c r="BA710" s="117">
        <f t="shared" si="13"/>
        <v>1.2408560313179362</v>
      </c>
      <c r="BB710" s="117">
        <f t="shared" si="13"/>
        <v>1.2731182881322025</v>
      </c>
      <c r="BC710" s="117">
        <f t="shared" si="13"/>
        <v>1.2922150624541855</v>
      </c>
      <c r="BD710" s="117">
        <f t="shared" si="13"/>
        <v>1.3167671486408148</v>
      </c>
      <c r="BE710" s="117">
        <f t="shared" si="13"/>
        <v>1.3510030945054761</v>
      </c>
      <c r="BF710" s="117">
        <f t="shared" si="13"/>
        <v>1.3739701471120691</v>
      </c>
      <c r="BG710" s="117">
        <f t="shared" si="13"/>
        <v>1.409693370936983</v>
      </c>
      <c r="BH710" s="117">
        <f t="shared" si="13"/>
        <v>1.4449357052104075</v>
      </c>
      <c r="BI710" s="117">
        <f t="shared" si="13"/>
        <v>1.5128476833552966</v>
      </c>
      <c r="BJ710" s="117">
        <f t="shared" si="13"/>
        <v>1.5627716569060213</v>
      </c>
      <c r="BK710" s="117">
        <f t="shared" si="13"/>
        <v>1.5955898617010476</v>
      </c>
      <c r="BL710" s="117">
        <f t="shared" si="13"/>
        <v>1.6131413501797589</v>
      </c>
      <c r="BM710" s="117">
        <f t="shared" si="13"/>
        <v>1.6421778944829946</v>
      </c>
      <c r="BN710" s="117">
        <f t="shared" si="13"/>
        <v>1.6651683850057566</v>
      </c>
      <c r="BO710" s="117">
        <f t="shared" si="13"/>
        <v>1.6834852372408198</v>
      </c>
      <c r="BP710" s="117">
        <f t="shared" si="14"/>
        <v>1.7373567648325261</v>
      </c>
      <c r="BQ710" s="117">
        <f t="shared" si="14"/>
        <v>1.7425688351270234</v>
      </c>
      <c r="BR710" s="117">
        <f t="shared" si="14"/>
        <v>1.7687073676539287</v>
      </c>
      <c r="BS710" s="117">
        <f t="shared" si="14"/>
        <v>1.8146937592129309</v>
      </c>
      <c r="BT710" s="117">
        <f t="shared" si="14"/>
        <v>1.856431715674828</v>
      </c>
      <c r="BU710" s="117">
        <f t="shared" si="14"/>
        <v>1.9084118037137232</v>
      </c>
      <c r="BV710" s="117">
        <f t="shared" si="14"/>
        <v>1.9274959217508605</v>
      </c>
      <c r="BW710" s="117">
        <f t="shared" si="14"/>
        <v>1.9429158891248675</v>
      </c>
      <c r="BX710" s="117">
        <f t="shared" si="14"/>
        <v>1.9468017209031172</v>
      </c>
      <c r="BY710" s="117">
        <f t="shared" si="14"/>
        <v>1.9740569449957608</v>
      </c>
      <c r="BZ710" s="117">
        <f t="shared" si="14"/>
        <v>1.99774562833571</v>
      </c>
      <c r="CA710" s="117">
        <f t="shared" si="14"/>
        <v>2.0496870146724384</v>
      </c>
      <c r="CB710" s="117">
        <f t="shared" si="14"/>
        <v>2.0824820069071976</v>
      </c>
      <c r="CC710" s="117">
        <f t="shared" si="14"/>
        <v>2.1199666830315271</v>
      </c>
      <c r="CD710" s="117">
        <f t="shared" si="14"/>
        <v>2.2514046173794817</v>
      </c>
      <c r="CE710" s="117">
        <f t="shared" si="14"/>
        <v>2.4315169867698403</v>
      </c>
      <c r="CF710" s="117">
        <f t="shared" si="16"/>
        <v>2.499599462399396</v>
      </c>
      <c r="CG710" s="117">
        <f t="shared" si="16"/>
        <v>2.5420926532601853</v>
      </c>
    </row>
    <row r="711" spans="1:85">
      <c r="A711" s="3"/>
      <c r="B711" s="115">
        <v>1984</v>
      </c>
      <c r="C711" s="115"/>
      <c r="D711" s="3"/>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c r="AH711" s="118"/>
      <c r="AI711" s="118"/>
      <c r="AJ711" s="118"/>
      <c r="AK711" s="118"/>
      <c r="AL711" s="118"/>
      <c r="AM711" s="118"/>
      <c r="AN711" s="118"/>
      <c r="AO711" s="118"/>
      <c r="AP711" s="118"/>
      <c r="AQ711" s="116">
        <v>1</v>
      </c>
      <c r="AR711" s="117">
        <f t="shared" si="15"/>
        <v>1.028</v>
      </c>
      <c r="AS711" s="117">
        <f t="shared" si="15"/>
        <v>1.051644</v>
      </c>
      <c r="AT711" s="117">
        <f t="shared" si="15"/>
        <v>1.04638578</v>
      </c>
      <c r="AU711" s="117">
        <f t="shared" si="15"/>
        <v>1.0484785515600001</v>
      </c>
      <c r="AV711" s="117">
        <f t="shared" si="15"/>
        <v>1.0579148585240401</v>
      </c>
      <c r="AW711" s="117">
        <f t="shared" si="15"/>
        <v>1.0695519219678045</v>
      </c>
      <c r="AX711" s="117">
        <f t="shared" si="15"/>
        <v>1.0952211680950319</v>
      </c>
      <c r="AY711" s="117">
        <f t="shared" si="15"/>
        <v>1.1456013418274034</v>
      </c>
      <c r="AZ711" s="117">
        <f t="shared" si="15"/>
        <v>1.1856973887913624</v>
      </c>
      <c r="BA711" s="117">
        <f t="shared" si="13"/>
        <v>1.2094113365671897</v>
      </c>
      <c r="BB711" s="117">
        <f t="shared" si="13"/>
        <v>1.2408560313179366</v>
      </c>
      <c r="BC711" s="117">
        <f t="shared" si="13"/>
        <v>1.2594688717877056</v>
      </c>
      <c r="BD711" s="117">
        <f t="shared" si="13"/>
        <v>1.283398780351672</v>
      </c>
      <c r="BE711" s="117">
        <f t="shared" si="13"/>
        <v>1.3167671486408155</v>
      </c>
      <c r="BF711" s="117">
        <f t="shared" si="13"/>
        <v>1.3391521901677093</v>
      </c>
      <c r="BG711" s="117">
        <f t="shared" si="13"/>
        <v>1.3739701471120698</v>
      </c>
      <c r="BH711" s="117">
        <f t="shared" si="13"/>
        <v>1.4083194007898714</v>
      </c>
      <c r="BI711" s="117">
        <f t="shared" si="13"/>
        <v>1.4745104126269952</v>
      </c>
      <c r="BJ711" s="117">
        <f t="shared" si="13"/>
        <v>1.523169256243686</v>
      </c>
      <c r="BK711" s="117">
        <f t="shared" si="13"/>
        <v>1.5551558106248033</v>
      </c>
      <c r="BL711" s="117">
        <f t="shared" si="13"/>
        <v>1.5722625245416759</v>
      </c>
      <c r="BM711" s="117">
        <f t="shared" si="13"/>
        <v>1.6005632499834261</v>
      </c>
      <c r="BN711" s="117">
        <f t="shared" si="13"/>
        <v>1.6229711354831942</v>
      </c>
      <c r="BO711" s="117">
        <f t="shared" si="13"/>
        <v>1.6408238179735091</v>
      </c>
      <c r="BP711" s="117">
        <f t="shared" si="14"/>
        <v>1.6933301801486613</v>
      </c>
      <c r="BQ711" s="117">
        <f t="shared" si="14"/>
        <v>1.698410170689107</v>
      </c>
      <c r="BR711" s="117">
        <f t="shared" si="14"/>
        <v>1.7238863232494435</v>
      </c>
      <c r="BS711" s="117">
        <f t="shared" si="14"/>
        <v>1.7687073676539291</v>
      </c>
      <c r="BT711" s="117">
        <f t="shared" si="14"/>
        <v>1.8093876371099693</v>
      </c>
      <c r="BU711" s="117">
        <f t="shared" si="14"/>
        <v>1.8600504909490485</v>
      </c>
      <c r="BV711" s="117">
        <f t="shared" si="14"/>
        <v>1.8786509958585391</v>
      </c>
      <c r="BW711" s="117">
        <f t="shared" si="14"/>
        <v>1.8936802038254075</v>
      </c>
      <c r="BX711" s="117">
        <f t="shared" si="14"/>
        <v>1.8974675642330583</v>
      </c>
      <c r="BY711" s="117">
        <f t="shared" si="14"/>
        <v>1.9240321101323212</v>
      </c>
      <c r="BZ711" s="117">
        <f t="shared" si="14"/>
        <v>1.9471204954539092</v>
      </c>
      <c r="CA711" s="117">
        <f t="shared" si="14"/>
        <v>1.9977456283357109</v>
      </c>
      <c r="CB711" s="117">
        <f t="shared" si="14"/>
        <v>2.0297095583890825</v>
      </c>
      <c r="CC711" s="117">
        <f t="shared" si="14"/>
        <v>2.0662443304400862</v>
      </c>
      <c r="CD711" s="117">
        <f t="shared" si="14"/>
        <v>2.1943514789273717</v>
      </c>
      <c r="CE711" s="117">
        <f t="shared" si="14"/>
        <v>2.3698995972415617</v>
      </c>
      <c r="CF711" s="117">
        <f t="shared" si="16"/>
        <v>2.4362567859643254</v>
      </c>
      <c r="CG711" s="117">
        <f t="shared" si="16"/>
        <v>2.4776731513257189</v>
      </c>
    </row>
    <row r="712" spans="1:85">
      <c r="A712" s="3"/>
      <c r="B712" s="115">
        <v>1985</v>
      </c>
      <c r="C712" s="115"/>
      <c r="D712" s="3"/>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c r="AH712" s="118"/>
      <c r="AI712" s="118"/>
      <c r="AJ712" s="118"/>
      <c r="AK712" s="118"/>
      <c r="AL712" s="118"/>
      <c r="AM712" s="118"/>
      <c r="AN712" s="118"/>
      <c r="AO712" s="118"/>
      <c r="AP712" s="118"/>
      <c r="AQ712" s="118"/>
      <c r="AR712" s="116">
        <v>1</v>
      </c>
      <c r="AS712" s="117">
        <f t="shared" si="15"/>
        <v>1.0229999999999999</v>
      </c>
      <c r="AT712" s="117">
        <f t="shared" si="15"/>
        <v>1.0178849999999999</v>
      </c>
      <c r="AU712" s="117">
        <f t="shared" si="15"/>
        <v>1.0199207699999999</v>
      </c>
      <c r="AV712" s="117">
        <f t="shared" si="15"/>
        <v>1.0291000569299997</v>
      </c>
      <c r="AW712" s="117">
        <f t="shared" si="15"/>
        <v>1.0404201575562295</v>
      </c>
      <c r="AX712" s="117">
        <f t="shared" si="15"/>
        <v>1.0653902413375791</v>
      </c>
      <c r="AY712" s="117">
        <f t="shared" si="15"/>
        <v>1.1143981924391078</v>
      </c>
      <c r="AZ712" s="117">
        <f t="shared" si="15"/>
        <v>1.1534021291744765</v>
      </c>
      <c r="BA712" s="117">
        <f t="shared" si="13"/>
        <v>1.176470171757966</v>
      </c>
      <c r="BB712" s="117">
        <f t="shared" si="13"/>
        <v>1.2070583962236732</v>
      </c>
      <c r="BC712" s="117">
        <f t="shared" si="13"/>
        <v>1.2251642721670282</v>
      </c>
      <c r="BD712" s="117">
        <f t="shared" si="13"/>
        <v>1.2484423933382016</v>
      </c>
      <c r="BE712" s="117">
        <f t="shared" si="13"/>
        <v>1.2809018955649949</v>
      </c>
      <c r="BF712" s="117">
        <f t="shared" si="13"/>
        <v>1.3026772277895997</v>
      </c>
      <c r="BG712" s="117">
        <f t="shared" si="13"/>
        <v>1.3365468357121293</v>
      </c>
      <c r="BH712" s="117">
        <f t="shared" si="13"/>
        <v>1.3699605066049323</v>
      </c>
      <c r="BI712" s="117">
        <f t="shared" si="13"/>
        <v>1.434348650415364</v>
      </c>
      <c r="BJ712" s="117">
        <f t="shared" si="13"/>
        <v>1.4816821558790709</v>
      </c>
      <c r="BK712" s="117">
        <f t="shared" si="13"/>
        <v>1.5127974811525313</v>
      </c>
      <c r="BL712" s="117">
        <f t="shared" si="13"/>
        <v>1.5294382534452091</v>
      </c>
      <c r="BM712" s="117">
        <f t="shared" si="13"/>
        <v>1.556968142007223</v>
      </c>
      <c r="BN712" s="117">
        <f t="shared" si="13"/>
        <v>1.5787656959953242</v>
      </c>
      <c r="BO712" s="117">
        <f t="shared" si="13"/>
        <v>1.5961321186512727</v>
      </c>
      <c r="BP712" s="117">
        <f t="shared" si="14"/>
        <v>1.6472083464481135</v>
      </c>
      <c r="BQ712" s="117">
        <f t="shared" si="14"/>
        <v>1.6521499714874577</v>
      </c>
      <c r="BR712" s="117">
        <f t="shared" si="14"/>
        <v>1.6769322210597695</v>
      </c>
      <c r="BS712" s="117">
        <f t="shared" si="14"/>
        <v>1.7205324588073234</v>
      </c>
      <c r="BT712" s="117">
        <f t="shared" si="14"/>
        <v>1.7601047053598917</v>
      </c>
      <c r="BU712" s="117">
        <f t="shared" si="14"/>
        <v>1.8093876371099686</v>
      </c>
      <c r="BV712" s="117">
        <f t="shared" si="14"/>
        <v>1.8274815134810682</v>
      </c>
      <c r="BW712" s="117">
        <f t="shared" si="14"/>
        <v>1.8421013655889169</v>
      </c>
      <c r="BX712" s="117">
        <f t="shared" si="14"/>
        <v>1.8457855683200948</v>
      </c>
      <c r="BY712" s="117">
        <f t="shared" si="14"/>
        <v>1.8716265662765761</v>
      </c>
      <c r="BZ712" s="117">
        <f t="shared" si="14"/>
        <v>1.894086085071895</v>
      </c>
      <c r="CA712" s="117">
        <f t="shared" si="14"/>
        <v>1.9433323232837643</v>
      </c>
      <c r="CB712" s="117">
        <f t="shared" si="14"/>
        <v>1.9744256404563045</v>
      </c>
      <c r="CC712" s="117">
        <f t="shared" si="14"/>
        <v>2.0099653019845181</v>
      </c>
      <c r="CD712" s="117">
        <f t="shared" si="14"/>
        <v>2.1345831507075581</v>
      </c>
      <c r="CE712" s="117">
        <f t="shared" si="14"/>
        <v>2.3053498027641628</v>
      </c>
      <c r="CF712" s="117">
        <f t="shared" si="16"/>
        <v>2.3698995972415595</v>
      </c>
      <c r="CG712" s="117">
        <f t="shared" si="16"/>
        <v>2.4101878903946656</v>
      </c>
    </row>
    <row r="713" spans="1:85">
      <c r="A713" s="3"/>
      <c r="B713" s="115">
        <v>1986</v>
      </c>
      <c r="C713" s="115"/>
      <c r="D713" s="3"/>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c r="AH713" s="118"/>
      <c r="AI713" s="118"/>
      <c r="AJ713" s="118"/>
      <c r="AK713" s="118"/>
      <c r="AL713" s="118"/>
      <c r="AM713" s="118"/>
      <c r="AN713" s="118"/>
      <c r="AO713" s="118"/>
      <c r="AP713" s="118"/>
      <c r="AQ713" s="118"/>
      <c r="AR713" s="118"/>
      <c r="AS713" s="116">
        <v>1</v>
      </c>
      <c r="AT713" s="117">
        <f t="shared" si="15"/>
        <v>0.995</v>
      </c>
      <c r="AU713" s="117">
        <f t="shared" si="15"/>
        <v>0.99699000000000004</v>
      </c>
      <c r="AV713" s="117">
        <f t="shared" si="15"/>
        <v>1.00596291</v>
      </c>
      <c r="AW713" s="117">
        <f t="shared" si="15"/>
        <v>1.0170285020099998</v>
      </c>
      <c r="AX713" s="117">
        <f t="shared" si="15"/>
        <v>1.0414371860582399</v>
      </c>
      <c r="AY713" s="117">
        <f t="shared" si="15"/>
        <v>1.089343296616919</v>
      </c>
      <c r="AZ713" s="117">
        <f t="shared" si="15"/>
        <v>1.127470311998511</v>
      </c>
      <c r="BA713" s="117">
        <f t="shared" si="13"/>
        <v>1.1500197182384813</v>
      </c>
      <c r="BB713" s="117">
        <f t="shared" si="13"/>
        <v>1.1799202309126817</v>
      </c>
      <c r="BC713" s="117">
        <f t="shared" si="13"/>
        <v>1.1976190343763717</v>
      </c>
      <c r="BD713" s="117">
        <f t="shared" si="13"/>
        <v>1.2203737960295227</v>
      </c>
      <c r="BE713" s="117">
        <f t="shared" si="13"/>
        <v>1.2521035147262902</v>
      </c>
      <c r="BF713" s="117">
        <f t="shared" si="13"/>
        <v>1.2733892744766371</v>
      </c>
      <c r="BG713" s="117">
        <f t="shared" si="13"/>
        <v>1.3064973956130297</v>
      </c>
      <c r="BH713" s="117">
        <f t="shared" si="13"/>
        <v>1.3391598305033554</v>
      </c>
      <c r="BI713" s="117">
        <f t="shared" si="13"/>
        <v>1.4021003425370131</v>
      </c>
      <c r="BJ713" s="117">
        <f t="shared" si="13"/>
        <v>1.4483696538407345</v>
      </c>
      <c r="BK713" s="117">
        <f t="shared" si="13"/>
        <v>1.4787854165713898</v>
      </c>
      <c r="BL713" s="117">
        <f t="shared" si="13"/>
        <v>1.4950520561536751</v>
      </c>
      <c r="BM713" s="117">
        <f t="shared" si="13"/>
        <v>1.5219629931644412</v>
      </c>
      <c r="BN713" s="117">
        <f t="shared" si="13"/>
        <v>1.5432704750687434</v>
      </c>
      <c r="BO713" s="117">
        <f t="shared" si="13"/>
        <v>1.5602464502944995</v>
      </c>
      <c r="BP713" s="117">
        <f t="shared" si="14"/>
        <v>1.6101743367039236</v>
      </c>
      <c r="BQ713" s="117">
        <f t="shared" si="14"/>
        <v>1.6150048597140352</v>
      </c>
      <c r="BR713" s="117">
        <f t="shared" si="14"/>
        <v>1.6392299326097455</v>
      </c>
      <c r="BS713" s="117">
        <f t="shared" si="14"/>
        <v>1.6818499108575988</v>
      </c>
      <c r="BT713" s="117">
        <f t="shared" si="14"/>
        <v>1.7205324588073234</v>
      </c>
      <c r="BU713" s="117">
        <f t="shared" si="14"/>
        <v>1.7687073676539284</v>
      </c>
      <c r="BV713" s="117">
        <f t="shared" si="14"/>
        <v>1.7863944413304678</v>
      </c>
      <c r="BW713" s="117">
        <f t="shared" si="14"/>
        <v>1.8006855968611115</v>
      </c>
      <c r="BX713" s="117">
        <f t="shared" si="14"/>
        <v>1.8042869680548337</v>
      </c>
      <c r="BY713" s="117">
        <f t="shared" si="14"/>
        <v>1.8295469856076014</v>
      </c>
      <c r="BZ713" s="117">
        <f t="shared" si="14"/>
        <v>1.8515015494348928</v>
      </c>
      <c r="CA713" s="117">
        <f t="shared" si="14"/>
        <v>1.8996405897202</v>
      </c>
      <c r="CB713" s="117">
        <f t="shared" si="14"/>
        <v>1.9300348391557232</v>
      </c>
      <c r="CC713" s="117">
        <f t="shared" si="14"/>
        <v>1.9647754662605261</v>
      </c>
      <c r="CD713" s="117">
        <f t="shared" si="14"/>
        <v>2.086591545168679</v>
      </c>
      <c r="CE713" s="117">
        <f t="shared" si="14"/>
        <v>2.2535188687821734</v>
      </c>
      <c r="CF713" s="117">
        <f t="shared" si="16"/>
        <v>2.3166173971080743</v>
      </c>
      <c r="CG713" s="117">
        <f t="shared" si="16"/>
        <v>2.3559998928589114</v>
      </c>
    </row>
    <row r="714" spans="1:85">
      <c r="A714" s="3"/>
      <c r="B714" s="115">
        <v>1987</v>
      </c>
      <c r="C714" s="115"/>
      <c r="D714" s="3"/>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c r="AH714" s="118"/>
      <c r="AI714" s="118"/>
      <c r="AJ714" s="118"/>
      <c r="AK714" s="118"/>
      <c r="AL714" s="118"/>
      <c r="AM714" s="118"/>
      <c r="AN714" s="118"/>
      <c r="AO714" s="118"/>
      <c r="AP714" s="118"/>
      <c r="AQ714" s="118"/>
      <c r="AR714" s="118"/>
      <c r="AS714" s="118"/>
      <c r="AT714" s="116">
        <v>1</v>
      </c>
      <c r="AU714" s="117">
        <f t="shared" si="15"/>
        <v>1.002</v>
      </c>
      <c r="AV714" s="117">
        <f t="shared" si="15"/>
        <v>1.011018</v>
      </c>
      <c r="AW714" s="117">
        <f t="shared" si="15"/>
        <v>1.0221391979999999</v>
      </c>
      <c r="AX714" s="117">
        <f t="shared" si="15"/>
        <v>1.0466705387519999</v>
      </c>
      <c r="AY714" s="117">
        <f t="shared" si="15"/>
        <v>1.094817383534592</v>
      </c>
      <c r="AZ714" s="117">
        <f t="shared" si="15"/>
        <v>1.1331359919583026</v>
      </c>
      <c r="BA714" s="117">
        <f t="shared" si="13"/>
        <v>1.1557987117974686</v>
      </c>
      <c r="BB714" s="117">
        <f t="shared" si="13"/>
        <v>1.1858494783042028</v>
      </c>
      <c r="BC714" s="117">
        <f t="shared" si="13"/>
        <v>1.2036372204787658</v>
      </c>
      <c r="BD714" s="117">
        <f t="shared" si="13"/>
        <v>1.2265063276678623</v>
      </c>
      <c r="BE714" s="117">
        <f t="shared" si="13"/>
        <v>1.2583954921872267</v>
      </c>
      <c r="BF714" s="117">
        <f t="shared" si="13"/>
        <v>1.2797882155544094</v>
      </c>
      <c r="BG714" s="117">
        <f t="shared" si="13"/>
        <v>1.3130627091588241</v>
      </c>
      <c r="BH714" s="117">
        <f t="shared" si="13"/>
        <v>1.3458892768877946</v>
      </c>
      <c r="BI714" s="117">
        <f t="shared" si="13"/>
        <v>1.4091460729015208</v>
      </c>
      <c r="BJ714" s="117">
        <f t="shared" si="13"/>
        <v>1.455647893307271</v>
      </c>
      <c r="BK714" s="117">
        <f t="shared" si="13"/>
        <v>1.4862164990667235</v>
      </c>
      <c r="BL714" s="117">
        <f t="shared" si="13"/>
        <v>1.5025648805564573</v>
      </c>
      <c r="BM714" s="117">
        <f t="shared" si="13"/>
        <v>1.5296110484064736</v>
      </c>
      <c r="BN714" s="117">
        <f t="shared" si="13"/>
        <v>1.5510256030841643</v>
      </c>
      <c r="BO714" s="117">
        <f t="shared" si="13"/>
        <v>1.56808688471809</v>
      </c>
      <c r="BP714" s="117">
        <f t="shared" si="14"/>
        <v>1.618265665029069</v>
      </c>
      <c r="BQ714" s="117">
        <f t="shared" si="14"/>
        <v>1.6231204620241559</v>
      </c>
      <c r="BR714" s="117">
        <f t="shared" si="14"/>
        <v>1.6474672689545182</v>
      </c>
      <c r="BS714" s="117">
        <f t="shared" si="14"/>
        <v>1.6903014179473357</v>
      </c>
      <c r="BT714" s="117">
        <f t="shared" si="14"/>
        <v>1.7291783505601241</v>
      </c>
      <c r="BU714" s="117">
        <f t="shared" si="14"/>
        <v>1.7775953443758077</v>
      </c>
      <c r="BV714" s="117">
        <f t="shared" si="14"/>
        <v>1.7953712978195657</v>
      </c>
      <c r="BW714" s="117">
        <f t="shared" si="14"/>
        <v>1.8097342682021222</v>
      </c>
      <c r="BX714" s="117">
        <f t="shared" si="14"/>
        <v>1.8133537367385264</v>
      </c>
      <c r="BY714" s="117">
        <f t="shared" si="14"/>
        <v>1.8387406890528657</v>
      </c>
      <c r="BZ714" s="117">
        <f t="shared" si="14"/>
        <v>1.8608055773215002</v>
      </c>
      <c r="CA714" s="117">
        <f t="shared" si="14"/>
        <v>1.9091865223318591</v>
      </c>
      <c r="CB714" s="117">
        <f t="shared" si="14"/>
        <v>1.939733506689169</v>
      </c>
      <c r="CC714" s="117">
        <f t="shared" si="14"/>
        <v>1.974648709809574</v>
      </c>
      <c r="CD714" s="117">
        <f t="shared" si="14"/>
        <v>2.0970769298177676</v>
      </c>
      <c r="CE714" s="117">
        <f t="shared" si="14"/>
        <v>2.2648430842031892</v>
      </c>
      <c r="CF714" s="117">
        <f t="shared" si="16"/>
        <v>2.3282586905608786</v>
      </c>
      <c r="CG714" s="117">
        <f t="shared" si="16"/>
        <v>2.3678390883004132</v>
      </c>
    </row>
    <row r="715" spans="1:85">
      <c r="A715" s="3"/>
      <c r="B715" s="115">
        <v>1988</v>
      </c>
      <c r="C715" s="115"/>
      <c r="D715" s="3"/>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c r="AH715" s="118"/>
      <c r="AI715" s="118"/>
      <c r="AJ715" s="118"/>
      <c r="AK715" s="118"/>
      <c r="AL715" s="118"/>
      <c r="AM715" s="118"/>
      <c r="AN715" s="118"/>
      <c r="AO715" s="118"/>
      <c r="AP715" s="118"/>
      <c r="AQ715" s="118"/>
      <c r="AR715" s="118"/>
      <c r="AS715" s="118"/>
      <c r="AT715" s="118"/>
      <c r="AU715" s="116">
        <v>1</v>
      </c>
      <c r="AV715" s="117">
        <f t="shared" si="15"/>
        <v>1.0089999999999999</v>
      </c>
      <c r="AW715" s="117">
        <f t="shared" si="15"/>
        <v>1.0200989999999999</v>
      </c>
      <c r="AX715" s="117">
        <f t="shared" si="15"/>
        <v>1.0445813759999998</v>
      </c>
      <c r="AY715" s="117">
        <f t="shared" si="15"/>
        <v>1.0926321192959998</v>
      </c>
      <c r="AZ715" s="117">
        <f t="shared" si="15"/>
        <v>1.1308742434713597</v>
      </c>
      <c r="BA715" s="117">
        <f t="shared" si="13"/>
        <v>1.1534917283407868</v>
      </c>
      <c r="BB715" s="117">
        <f t="shared" si="13"/>
        <v>1.1834825132776474</v>
      </c>
      <c r="BC715" s="117">
        <f t="shared" si="13"/>
        <v>1.201234750976812</v>
      </c>
      <c r="BD715" s="117">
        <f t="shared" si="13"/>
        <v>1.2240582112453713</v>
      </c>
      <c r="BE715" s="117">
        <f t="shared" si="13"/>
        <v>1.255883724737751</v>
      </c>
      <c r="BF715" s="117">
        <f t="shared" si="13"/>
        <v>1.2772337480582927</v>
      </c>
      <c r="BG715" s="117">
        <f t="shared" si="13"/>
        <v>1.3104418255078083</v>
      </c>
      <c r="BH715" s="117">
        <f t="shared" si="13"/>
        <v>1.3432028711455033</v>
      </c>
      <c r="BI715" s="117">
        <f t="shared" si="13"/>
        <v>1.4063334060893418</v>
      </c>
      <c r="BJ715" s="117">
        <f t="shared" si="13"/>
        <v>1.45274240849029</v>
      </c>
      <c r="BK715" s="117">
        <f t="shared" si="13"/>
        <v>1.4832499990685859</v>
      </c>
      <c r="BL715" s="117">
        <f t="shared" si="13"/>
        <v>1.4995657490583403</v>
      </c>
      <c r="BM715" s="117">
        <f t="shared" si="13"/>
        <v>1.5265579325413905</v>
      </c>
      <c r="BN715" s="117">
        <f t="shared" si="13"/>
        <v>1.5479297435969699</v>
      </c>
      <c r="BO715" s="117">
        <f t="shared" si="13"/>
        <v>1.5649569707765365</v>
      </c>
      <c r="BP715" s="117">
        <f t="shared" si="14"/>
        <v>1.6150355938413856</v>
      </c>
      <c r="BQ715" s="117">
        <f t="shared" si="14"/>
        <v>1.6198807006229097</v>
      </c>
      <c r="BR715" s="117">
        <f t="shared" si="14"/>
        <v>1.6441789111322531</v>
      </c>
      <c r="BS715" s="117">
        <f t="shared" si="14"/>
        <v>1.6869275628216918</v>
      </c>
      <c r="BT715" s="117">
        <f t="shared" si="14"/>
        <v>1.7257268967665904</v>
      </c>
      <c r="BU715" s="117">
        <f t="shared" si="14"/>
        <v>1.7740472498760549</v>
      </c>
      <c r="BV715" s="117">
        <f t="shared" si="14"/>
        <v>1.7917877223748155</v>
      </c>
      <c r="BW715" s="117">
        <f t="shared" si="14"/>
        <v>1.8061220241538141</v>
      </c>
      <c r="BX715" s="117">
        <f t="shared" si="14"/>
        <v>1.8097342682021218</v>
      </c>
      <c r="BY715" s="117">
        <f t="shared" si="14"/>
        <v>1.8350705479569516</v>
      </c>
      <c r="BZ715" s="117">
        <f t="shared" si="14"/>
        <v>1.857091394532435</v>
      </c>
      <c r="CA715" s="117">
        <f t="shared" si="14"/>
        <v>1.9053757707902783</v>
      </c>
      <c r="CB715" s="117">
        <f t="shared" si="14"/>
        <v>1.9358617831229228</v>
      </c>
      <c r="CC715" s="117">
        <f t="shared" si="14"/>
        <v>1.9707072952191353</v>
      </c>
      <c r="CD715" s="117">
        <f t="shared" si="14"/>
        <v>2.0928911475227219</v>
      </c>
      <c r="CE715" s="117">
        <f t="shared" si="14"/>
        <v>2.2603224393245398</v>
      </c>
      <c r="CF715" s="117">
        <f t="shared" si="16"/>
        <v>2.3236114676256268</v>
      </c>
      <c r="CG715" s="117">
        <f t="shared" si="16"/>
        <v>2.363112862575262</v>
      </c>
    </row>
    <row r="716" spans="1:85">
      <c r="A716" s="3"/>
      <c r="B716" s="115">
        <v>1989</v>
      </c>
      <c r="C716" s="115"/>
      <c r="D716" s="3"/>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c r="AH716" s="118"/>
      <c r="AI716" s="118"/>
      <c r="AJ716" s="118"/>
      <c r="AK716" s="118"/>
      <c r="AL716" s="118"/>
      <c r="AM716" s="118"/>
      <c r="AN716" s="118"/>
      <c r="AO716" s="118"/>
      <c r="AP716" s="118"/>
      <c r="AQ716" s="118"/>
      <c r="AR716" s="118"/>
      <c r="AS716" s="118"/>
      <c r="AT716" s="118"/>
      <c r="AU716" s="118"/>
      <c r="AV716" s="116">
        <v>1</v>
      </c>
      <c r="AW716" s="117">
        <f t="shared" si="15"/>
        <v>1.0109999999999999</v>
      </c>
      <c r="AX716" s="117">
        <f t="shared" si="15"/>
        <v>1.035264</v>
      </c>
      <c r="AY716" s="117">
        <f t="shared" si="15"/>
        <v>1.0828861439999999</v>
      </c>
      <c r="AZ716" s="117">
        <f t="shared" si="15"/>
        <v>1.1207871590399998</v>
      </c>
      <c r="BA716" s="117">
        <f t="shared" si="13"/>
        <v>1.1432029022207999</v>
      </c>
      <c r="BB716" s="117">
        <f t="shared" si="13"/>
        <v>1.1729261776785407</v>
      </c>
      <c r="BC716" s="117">
        <f t="shared" si="13"/>
        <v>1.1905200703437187</v>
      </c>
      <c r="BD716" s="117">
        <f t="shared" si="13"/>
        <v>1.2131399516802492</v>
      </c>
      <c r="BE716" s="117">
        <f t="shared" si="13"/>
        <v>1.2446815904239357</v>
      </c>
      <c r="BF716" s="117">
        <f t="shared" si="13"/>
        <v>1.2658411774611424</v>
      </c>
      <c r="BG716" s="117">
        <f t="shared" si="13"/>
        <v>1.2987530480751321</v>
      </c>
      <c r="BH716" s="117">
        <f t="shared" si="13"/>
        <v>1.3312218742770103</v>
      </c>
      <c r="BI716" s="117">
        <f t="shared" si="13"/>
        <v>1.3937893023680297</v>
      </c>
      <c r="BJ716" s="117">
        <f t="shared" si="13"/>
        <v>1.4397843493461746</v>
      </c>
      <c r="BK716" s="117">
        <f t="shared" si="13"/>
        <v>1.4700198206824442</v>
      </c>
      <c r="BL716" s="117">
        <f t="shared" si="13"/>
        <v>1.4861900387099509</v>
      </c>
      <c r="BM716" s="117">
        <f t="shared" si="13"/>
        <v>1.5129414594067301</v>
      </c>
      <c r="BN716" s="117">
        <f t="shared" si="13"/>
        <v>1.5341226398384242</v>
      </c>
      <c r="BO716" s="117">
        <f t="shared" si="13"/>
        <v>1.5509979888766467</v>
      </c>
      <c r="BP716" s="117">
        <f t="shared" si="14"/>
        <v>1.6006299245206994</v>
      </c>
      <c r="BQ716" s="117">
        <f t="shared" si="14"/>
        <v>1.6054318142942614</v>
      </c>
      <c r="BR716" s="117">
        <f t="shared" si="14"/>
        <v>1.6295132915086752</v>
      </c>
      <c r="BS716" s="117">
        <f t="shared" si="14"/>
        <v>1.6718806370879007</v>
      </c>
      <c r="BT716" s="117">
        <f t="shared" si="14"/>
        <v>1.7103338917409223</v>
      </c>
      <c r="BU716" s="117">
        <f t="shared" si="14"/>
        <v>1.7582232407096683</v>
      </c>
      <c r="BV716" s="117">
        <f t="shared" si="14"/>
        <v>1.775805473116765</v>
      </c>
      <c r="BW716" s="117">
        <f t="shared" si="14"/>
        <v>1.790011916901699</v>
      </c>
      <c r="BX716" s="117">
        <f t="shared" si="14"/>
        <v>1.7935919407355023</v>
      </c>
      <c r="BY716" s="117">
        <f t="shared" si="14"/>
        <v>1.8187022279057994</v>
      </c>
      <c r="BZ716" s="117">
        <f t="shared" si="14"/>
        <v>1.8405266546406689</v>
      </c>
      <c r="CA716" s="117">
        <f t="shared" si="14"/>
        <v>1.8883803476613263</v>
      </c>
      <c r="CB716" s="117">
        <f t="shared" si="14"/>
        <v>1.9185944332239075</v>
      </c>
      <c r="CC716" s="117">
        <f t="shared" si="14"/>
        <v>1.953129133021938</v>
      </c>
      <c r="CD716" s="117">
        <f t="shared" si="14"/>
        <v>2.0742231392692982</v>
      </c>
      <c r="CE716" s="117">
        <f t="shared" si="14"/>
        <v>2.2401609904108422</v>
      </c>
      <c r="CF716" s="117">
        <f t="shared" si="16"/>
        <v>2.3028854981423459</v>
      </c>
      <c r="CG716" s="117">
        <f t="shared" si="16"/>
        <v>2.3420345516107655</v>
      </c>
    </row>
    <row r="717" spans="1:85">
      <c r="A717" s="3"/>
      <c r="B717" s="115">
        <v>1990</v>
      </c>
      <c r="C717" s="115"/>
      <c r="D717" s="3"/>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c r="AH717" s="118"/>
      <c r="AI717" s="118"/>
      <c r="AJ717" s="118"/>
      <c r="AK717" s="118"/>
      <c r="AL717" s="118"/>
      <c r="AM717" s="118"/>
      <c r="AN717" s="118"/>
      <c r="AO717" s="118"/>
      <c r="AP717" s="118"/>
      <c r="AQ717" s="118"/>
      <c r="AR717" s="118"/>
      <c r="AS717" s="118"/>
      <c r="AT717" s="118"/>
      <c r="AU717" s="118"/>
      <c r="AV717" s="118"/>
      <c r="AW717" s="116">
        <v>1</v>
      </c>
      <c r="AX717" s="117">
        <f t="shared" si="15"/>
        <v>1.024</v>
      </c>
      <c r="AY717" s="117">
        <f t="shared" si="15"/>
        <v>1.0711040000000001</v>
      </c>
      <c r="AZ717" s="117">
        <f t="shared" si="15"/>
        <v>1.1085926399999999</v>
      </c>
      <c r="BA717" s="117">
        <f t="shared" si="13"/>
        <v>1.1307644928</v>
      </c>
      <c r="BB717" s="117">
        <f t="shared" si="13"/>
        <v>1.1601643696128001</v>
      </c>
      <c r="BC717" s="117">
        <f t="shared" si="13"/>
        <v>1.1775668351569919</v>
      </c>
      <c r="BD717" s="117">
        <f t="shared" si="13"/>
        <v>1.1999406050249746</v>
      </c>
      <c r="BE717" s="117">
        <f t="shared" si="13"/>
        <v>1.2311390607556238</v>
      </c>
      <c r="BF717" s="117">
        <f t="shared" si="13"/>
        <v>1.2520684247884692</v>
      </c>
      <c r="BG717" s="117">
        <f t="shared" si="13"/>
        <v>1.2846222038329695</v>
      </c>
      <c r="BH717" s="117">
        <f t="shared" si="13"/>
        <v>1.3167377589287936</v>
      </c>
      <c r="BI717" s="117">
        <f t="shared" si="13"/>
        <v>1.3786244335984468</v>
      </c>
      <c r="BJ717" s="117">
        <f t="shared" si="13"/>
        <v>1.4241190399071955</v>
      </c>
      <c r="BK717" s="117">
        <f t="shared" si="13"/>
        <v>1.4540255397452464</v>
      </c>
      <c r="BL717" s="117">
        <f t="shared" si="13"/>
        <v>1.470019820682444</v>
      </c>
      <c r="BM717" s="117">
        <f t="shared" si="13"/>
        <v>1.4964801774547281</v>
      </c>
      <c r="BN717" s="117">
        <f t="shared" si="13"/>
        <v>1.5174308999390942</v>
      </c>
      <c r="BO717" s="117">
        <f t="shared" si="13"/>
        <v>1.534122639838424</v>
      </c>
      <c r="BP717" s="117">
        <f t="shared" si="14"/>
        <v>1.5832145643132536</v>
      </c>
      <c r="BQ717" s="117">
        <f t="shared" si="14"/>
        <v>1.5879642080061931</v>
      </c>
      <c r="BR717" s="117">
        <f t="shared" si="14"/>
        <v>1.6117836711262858</v>
      </c>
      <c r="BS717" s="117">
        <f t="shared" si="14"/>
        <v>1.6536900465755693</v>
      </c>
      <c r="BT717" s="117">
        <f t="shared" si="14"/>
        <v>1.6917249176468072</v>
      </c>
      <c r="BU717" s="117">
        <f t="shared" si="14"/>
        <v>1.7390932153409178</v>
      </c>
      <c r="BV717" s="117">
        <f t="shared" si="14"/>
        <v>1.7564841474943269</v>
      </c>
      <c r="BW717" s="117">
        <f t="shared" si="14"/>
        <v>1.7705360206742815</v>
      </c>
      <c r="BX717" s="117">
        <f t="shared" si="14"/>
        <v>1.77407709271563</v>
      </c>
      <c r="BY717" s="117">
        <f t="shared" si="14"/>
        <v>1.7989141720136488</v>
      </c>
      <c r="BZ717" s="117">
        <f t="shared" si="14"/>
        <v>1.8205011420778126</v>
      </c>
      <c r="CA717" s="117">
        <f t="shared" si="14"/>
        <v>1.8678341717718356</v>
      </c>
      <c r="CB717" s="117">
        <f t="shared" si="14"/>
        <v>1.8977195185201849</v>
      </c>
      <c r="CC717" s="117">
        <f t="shared" si="14"/>
        <v>1.9318784698535483</v>
      </c>
      <c r="CD717" s="117">
        <f t="shared" si="14"/>
        <v>2.0516549349844682</v>
      </c>
      <c r="CE717" s="117">
        <f t="shared" si="14"/>
        <v>2.2157873297832258</v>
      </c>
      <c r="CF717" s="117">
        <f t="shared" si="16"/>
        <v>2.2778293750171561</v>
      </c>
      <c r="CG717" s="117">
        <f t="shared" si="16"/>
        <v>2.3165524743924477</v>
      </c>
    </row>
    <row r="718" spans="1:85">
      <c r="A718" s="3"/>
      <c r="B718" s="115">
        <v>1991</v>
      </c>
      <c r="C718" s="115"/>
      <c r="D718" s="3"/>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c r="AH718" s="118"/>
      <c r="AI718" s="118"/>
      <c r="AJ718" s="118"/>
      <c r="AK718" s="118"/>
      <c r="AL718" s="118"/>
      <c r="AM718" s="118"/>
      <c r="AN718" s="118"/>
      <c r="AO718" s="118"/>
      <c r="AP718" s="118"/>
      <c r="AQ718" s="118"/>
      <c r="AR718" s="118"/>
      <c r="AS718" s="118"/>
      <c r="AT718" s="118"/>
      <c r="AU718" s="118"/>
      <c r="AV718" s="118"/>
      <c r="AW718" s="118"/>
      <c r="AX718" s="116">
        <v>1</v>
      </c>
      <c r="AY718" s="117">
        <f t="shared" si="15"/>
        <v>1.046</v>
      </c>
      <c r="AZ718" s="117">
        <f t="shared" si="15"/>
        <v>1.0826099999999999</v>
      </c>
      <c r="BA718" s="117">
        <f t="shared" si="13"/>
        <v>1.1042622</v>
      </c>
      <c r="BB718" s="117">
        <f t="shared" si="13"/>
        <v>1.1329730172000001</v>
      </c>
      <c r="BC718" s="117">
        <f t="shared" si="13"/>
        <v>1.1499676124580001</v>
      </c>
      <c r="BD718" s="117">
        <f t="shared" si="13"/>
        <v>1.1718169970947019</v>
      </c>
      <c r="BE718" s="117">
        <f t="shared" si="13"/>
        <v>1.2022842390191641</v>
      </c>
      <c r="BF718" s="117">
        <f t="shared" si="13"/>
        <v>1.2227230710824899</v>
      </c>
      <c r="BG718" s="117">
        <f t="shared" si="13"/>
        <v>1.2545138709306347</v>
      </c>
      <c r="BH718" s="117">
        <f t="shared" si="13"/>
        <v>1.2858767177039006</v>
      </c>
      <c r="BI718" s="117">
        <f t="shared" si="13"/>
        <v>1.3463129234359839</v>
      </c>
      <c r="BJ718" s="117">
        <f t="shared" si="13"/>
        <v>1.3907412499093712</v>
      </c>
      <c r="BK718" s="117">
        <f t="shared" si="13"/>
        <v>1.4199468161574678</v>
      </c>
      <c r="BL718" s="117">
        <f t="shared" si="13"/>
        <v>1.4355662311351998</v>
      </c>
      <c r="BM718" s="117">
        <f t="shared" si="13"/>
        <v>1.4614064232956334</v>
      </c>
      <c r="BN718" s="117">
        <f t="shared" si="13"/>
        <v>1.4818661132217723</v>
      </c>
      <c r="BO718" s="117">
        <f t="shared" si="13"/>
        <v>1.4981666404672116</v>
      </c>
      <c r="BP718" s="117">
        <f t="shared" si="14"/>
        <v>1.5461079729621625</v>
      </c>
      <c r="BQ718" s="117">
        <f t="shared" si="14"/>
        <v>1.5507462968810488</v>
      </c>
      <c r="BR718" s="117">
        <f t="shared" si="14"/>
        <v>1.5740074913342643</v>
      </c>
      <c r="BS718" s="117">
        <f t="shared" si="14"/>
        <v>1.6149316861089553</v>
      </c>
      <c r="BT718" s="117">
        <f t="shared" si="14"/>
        <v>1.6520751148894612</v>
      </c>
      <c r="BU718" s="117">
        <f t="shared" si="14"/>
        <v>1.6983332181063662</v>
      </c>
      <c r="BV718" s="117">
        <f t="shared" si="14"/>
        <v>1.7153165502874299</v>
      </c>
      <c r="BW718" s="117">
        <f t="shared" si="14"/>
        <v>1.7290390826897293</v>
      </c>
      <c r="BX718" s="117">
        <f t="shared" si="14"/>
        <v>1.7324971608551087</v>
      </c>
      <c r="BY718" s="117">
        <f t="shared" si="14"/>
        <v>1.7567521211070802</v>
      </c>
      <c r="BZ718" s="117">
        <f t="shared" si="14"/>
        <v>1.7778331465603652</v>
      </c>
      <c r="CA718" s="117">
        <f t="shared" si="14"/>
        <v>1.8240568083709348</v>
      </c>
      <c r="CB718" s="117">
        <f t="shared" si="14"/>
        <v>1.8532417173048696</v>
      </c>
      <c r="CC718" s="117">
        <f t="shared" si="14"/>
        <v>1.8866000682163573</v>
      </c>
      <c r="CD718" s="117">
        <f t="shared" si="14"/>
        <v>2.0035692724457714</v>
      </c>
      <c r="CE718" s="117">
        <f t="shared" si="14"/>
        <v>2.1638548142414331</v>
      </c>
      <c r="CF718" s="117">
        <f t="shared" si="16"/>
        <v>2.2244427490401932</v>
      </c>
      <c r="CG718" s="117">
        <f t="shared" si="16"/>
        <v>2.2622582757738763</v>
      </c>
    </row>
    <row r="719" spans="1:85">
      <c r="A719" s="3"/>
      <c r="B719" s="115">
        <v>1992</v>
      </c>
      <c r="C719" s="115"/>
      <c r="D719" s="3"/>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c r="AH719" s="118"/>
      <c r="AI719" s="118"/>
      <c r="AJ719" s="118"/>
      <c r="AK719" s="118"/>
      <c r="AL719" s="118"/>
      <c r="AM719" s="118"/>
      <c r="AN719" s="118"/>
      <c r="AO719" s="118"/>
      <c r="AP719" s="118"/>
      <c r="AQ719" s="118"/>
      <c r="AR719" s="118"/>
      <c r="AS719" s="118"/>
      <c r="AT719" s="118"/>
      <c r="AU719" s="118"/>
      <c r="AV719" s="118"/>
      <c r="AW719" s="118"/>
      <c r="AX719" s="118"/>
      <c r="AY719" s="116">
        <v>1</v>
      </c>
      <c r="AZ719" s="117">
        <f t="shared" si="15"/>
        <v>1.0349999999999999</v>
      </c>
      <c r="BA719" s="117">
        <f t="shared" si="13"/>
        <v>1.0556999999999999</v>
      </c>
      <c r="BB719" s="117">
        <f t="shared" si="13"/>
        <v>1.0831481999999999</v>
      </c>
      <c r="BC719" s="117">
        <f t="shared" si="13"/>
        <v>1.0993954229999998</v>
      </c>
      <c r="BD719" s="117">
        <f t="shared" si="13"/>
        <v>1.1202839360369996</v>
      </c>
      <c r="BE719" s="117">
        <f t="shared" si="13"/>
        <v>1.1494113183739616</v>
      </c>
      <c r="BF719" s="117">
        <f t="shared" si="13"/>
        <v>1.1689513107863188</v>
      </c>
      <c r="BG719" s="117">
        <f t="shared" si="13"/>
        <v>1.1993440448667632</v>
      </c>
      <c r="BH719" s="117">
        <f t="shared" si="13"/>
        <v>1.2293276459884321</v>
      </c>
      <c r="BI719" s="117">
        <f t="shared" si="13"/>
        <v>1.2871060453498884</v>
      </c>
      <c r="BJ719" s="117">
        <f t="shared" si="13"/>
        <v>1.3295805448464346</v>
      </c>
      <c r="BK719" s="117">
        <f t="shared" si="13"/>
        <v>1.3575017362882096</v>
      </c>
      <c r="BL719" s="117">
        <f t="shared" si="13"/>
        <v>1.3724342553873798</v>
      </c>
      <c r="BM719" s="117">
        <f t="shared" si="13"/>
        <v>1.3971380719843527</v>
      </c>
      <c r="BN719" s="117">
        <f t="shared" si="13"/>
        <v>1.4166980049921336</v>
      </c>
      <c r="BO719" s="117">
        <f t="shared" si="13"/>
        <v>1.4322816830470468</v>
      </c>
      <c r="BP719" s="117">
        <f t="shared" si="14"/>
        <v>1.4781146969045524</v>
      </c>
      <c r="BQ719" s="117">
        <f t="shared" si="14"/>
        <v>1.482549040995266</v>
      </c>
      <c r="BR719" s="117">
        <f t="shared" si="14"/>
        <v>1.5047872766101948</v>
      </c>
      <c r="BS719" s="117">
        <f t="shared" si="14"/>
        <v>1.5439117458020599</v>
      </c>
      <c r="BT719" s="117">
        <f t="shared" si="14"/>
        <v>1.5794217159555071</v>
      </c>
      <c r="BU719" s="117">
        <f t="shared" si="14"/>
        <v>1.6236455240022614</v>
      </c>
      <c r="BV719" s="117">
        <f t="shared" si="14"/>
        <v>1.6398819792422841</v>
      </c>
      <c r="BW719" s="117">
        <f t="shared" si="14"/>
        <v>1.6530010350762223</v>
      </c>
      <c r="BX719" s="117">
        <f t="shared" si="14"/>
        <v>1.6563070371463748</v>
      </c>
      <c r="BY719" s="117">
        <f t="shared" si="14"/>
        <v>1.6794953356664242</v>
      </c>
      <c r="BZ719" s="117">
        <f t="shared" si="14"/>
        <v>1.6996492796944214</v>
      </c>
      <c r="CA719" s="117">
        <f t="shared" si="14"/>
        <v>1.7438401609664764</v>
      </c>
      <c r="CB719" s="117">
        <f t="shared" si="14"/>
        <v>1.77174160354194</v>
      </c>
      <c r="CC719" s="117">
        <f t="shared" si="14"/>
        <v>1.8036329524056949</v>
      </c>
      <c r="CD719" s="117">
        <f t="shared" si="14"/>
        <v>1.915458195454848</v>
      </c>
      <c r="CE719" s="117">
        <f t="shared" si="14"/>
        <v>2.068694851091236</v>
      </c>
      <c r="CF719" s="117">
        <f t="shared" si="16"/>
        <v>2.1266183069217908</v>
      </c>
      <c r="CG719" s="117">
        <f t="shared" si="16"/>
        <v>2.1627708181394611</v>
      </c>
    </row>
    <row r="720" spans="1:85">
      <c r="A720" s="3"/>
      <c r="B720" s="115">
        <v>1993</v>
      </c>
      <c r="C720" s="119"/>
      <c r="D720" s="3"/>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c r="AH720" s="118"/>
      <c r="AI720" s="118"/>
      <c r="AJ720" s="118"/>
      <c r="AK720" s="118"/>
      <c r="AL720" s="118"/>
      <c r="AM720" s="118"/>
      <c r="AN720" s="118"/>
      <c r="AO720" s="118"/>
      <c r="AP720" s="118"/>
      <c r="AQ720" s="118"/>
      <c r="AR720" s="118"/>
      <c r="AS720" s="118"/>
      <c r="AT720" s="118"/>
      <c r="AU720" s="118"/>
      <c r="AV720" s="118"/>
      <c r="AW720" s="118"/>
      <c r="AX720" s="118"/>
      <c r="AY720" s="118"/>
      <c r="AZ720" s="116">
        <v>1</v>
      </c>
      <c r="BA720" s="117">
        <f t="shared" si="13"/>
        <v>1.02</v>
      </c>
      <c r="BB720" s="117">
        <f t="shared" si="13"/>
        <v>1.0465200000000001</v>
      </c>
      <c r="BC720" s="117">
        <f t="shared" si="13"/>
        <v>1.0622178</v>
      </c>
      <c r="BD720" s="117">
        <f t="shared" si="13"/>
        <v>1.0823999381999998</v>
      </c>
      <c r="BE720" s="117">
        <f t="shared" si="13"/>
        <v>1.1105423365931999</v>
      </c>
      <c r="BF720" s="117">
        <f t="shared" si="13"/>
        <v>1.1294215563152843</v>
      </c>
      <c r="BG720" s="117">
        <f t="shared" si="13"/>
        <v>1.1587865167794817</v>
      </c>
      <c r="BH720" s="117">
        <f t="shared" si="13"/>
        <v>1.1877561796989686</v>
      </c>
      <c r="BI720" s="117">
        <f t="shared" si="13"/>
        <v>1.2435807201448201</v>
      </c>
      <c r="BJ720" s="117">
        <f t="shared" si="13"/>
        <v>1.2846188839095991</v>
      </c>
      <c r="BK720" s="117">
        <f t="shared" si="13"/>
        <v>1.3115958804717005</v>
      </c>
      <c r="BL720" s="117">
        <f t="shared" si="13"/>
        <v>1.3260234351568891</v>
      </c>
      <c r="BM720" s="117">
        <f t="shared" si="13"/>
        <v>1.3498918569897131</v>
      </c>
      <c r="BN720" s="117">
        <f t="shared" si="13"/>
        <v>1.3687903429875692</v>
      </c>
      <c r="BO720" s="117">
        <f t="shared" si="13"/>
        <v>1.3838470367604323</v>
      </c>
      <c r="BP720" s="117">
        <f t="shared" si="14"/>
        <v>1.4281301419367662</v>
      </c>
      <c r="BQ720" s="117">
        <f t="shared" si="14"/>
        <v>1.4324145323625763</v>
      </c>
      <c r="BR720" s="117">
        <f t="shared" si="14"/>
        <v>1.4539007503480148</v>
      </c>
      <c r="BS720" s="117">
        <f t="shared" si="14"/>
        <v>1.4917021698570632</v>
      </c>
      <c r="BT720" s="117">
        <f t="shared" si="14"/>
        <v>1.5260113197637755</v>
      </c>
      <c r="BU720" s="117">
        <f t="shared" si="14"/>
        <v>1.5687396367171613</v>
      </c>
      <c r="BV720" s="117">
        <f t="shared" si="14"/>
        <v>1.5844270330843329</v>
      </c>
      <c r="BW720" s="117">
        <f t="shared" si="14"/>
        <v>1.5971024493490076</v>
      </c>
      <c r="BX720" s="117">
        <f t="shared" si="14"/>
        <v>1.6002966542477055</v>
      </c>
      <c r="BY720" s="117">
        <f t="shared" si="14"/>
        <v>1.6227008074071734</v>
      </c>
      <c r="BZ720" s="117">
        <f t="shared" si="14"/>
        <v>1.6421732170960595</v>
      </c>
      <c r="CA720" s="117">
        <f t="shared" si="14"/>
        <v>1.684869720740557</v>
      </c>
      <c r="CB720" s="117">
        <f t="shared" si="14"/>
        <v>1.7118276362724059</v>
      </c>
      <c r="CC720" s="117">
        <f t="shared" si="14"/>
        <v>1.7426405337253092</v>
      </c>
      <c r="CD720" s="117">
        <f t="shared" ref="CC720:CG748" si="17">CC720*CD$670</f>
        <v>1.8506842468162785</v>
      </c>
      <c r="CE720" s="117">
        <f t="shared" si="17"/>
        <v>1.998738986561581</v>
      </c>
      <c r="CF720" s="117">
        <f t="shared" si="16"/>
        <v>2.0547036781853052</v>
      </c>
      <c r="CG720" s="117">
        <f t="shared" si="16"/>
        <v>2.0896336407144553</v>
      </c>
    </row>
    <row r="721" spans="1:85">
      <c r="A721" s="3"/>
      <c r="B721" s="115">
        <v>1994</v>
      </c>
      <c r="C721" s="3"/>
      <c r="D721" s="3"/>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c r="AH721" s="118"/>
      <c r="AI721" s="118"/>
      <c r="AJ721" s="118"/>
      <c r="AK721" s="118"/>
      <c r="AL721" s="118"/>
      <c r="AM721" s="118"/>
      <c r="AN721" s="118"/>
      <c r="AO721" s="118"/>
      <c r="AP721" s="118"/>
      <c r="AQ721" s="118"/>
      <c r="AR721" s="118"/>
      <c r="AS721" s="118"/>
      <c r="AT721" s="118"/>
      <c r="AU721" s="118"/>
      <c r="AV721" s="118"/>
      <c r="AW721" s="118"/>
      <c r="AX721" s="118"/>
      <c r="AY721" s="118"/>
      <c r="AZ721" s="118"/>
      <c r="BA721" s="116">
        <v>1</v>
      </c>
      <c r="BB721" s="117">
        <f t="shared" ref="BB721:BQ736" si="18">BA721*BB$670</f>
        <v>1.026</v>
      </c>
      <c r="BC721" s="117">
        <f t="shared" si="18"/>
        <v>1.0413899999999998</v>
      </c>
      <c r="BD721" s="117">
        <f t="shared" si="18"/>
        <v>1.0611764099999996</v>
      </c>
      <c r="BE721" s="117">
        <f t="shared" si="18"/>
        <v>1.0887669966599995</v>
      </c>
      <c r="BF721" s="117">
        <f t="shared" si="18"/>
        <v>1.1072760356032194</v>
      </c>
      <c r="BG721" s="117">
        <f t="shared" si="18"/>
        <v>1.1360652125289032</v>
      </c>
      <c r="BH721" s="117">
        <f t="shared" si="18"/>
        <v>1.1644668428421256</v>
      </c>
      <c r="BI721" s="117">
        <f t="shared" si="18"/>
        <v>1.2191967844557055</v>
      </c>
      <c r="BJ721" s="117">
        <f t="shared" si="18"/>
        <v>1.2594302783427436</v>
      </c>
      <c r="BK721" s="117">
        <f t="shared" si="18"/>
        <v>1.2858783141879411</v>
      </c>
      <c r="BL721" s="117">
        <f t="shared" si="18"/>
        <v>1.3000229756440083</v>
      </c>
      <c r="BM721" s="117">
        <f t="shared" si="18"/>
        <v>1.3234233892056004</v>
      </c>
      <c r="BN721" s="117">
        <f t="shared" si="18"/>
        <v>1.3419513166544788</v>
      </c>
      <c r="BO721" s="117">
        <f t="shared" si="18"/>
        <v>1.3567127811376778</v>
      </c>
      <c r="BP721" s="117">
        <f t="shared" si="18"/>
        <v>1.4001275901340835</v>
      </c>
      <c r="BQ721" s="117">
        <f t="shared" si="18"/>
        <v>1.4043279729044855</v>
      </c>
      <c r="BR721" s="117">
        <f t="shared" ref="BR721:CB747" si="19">BQ721*BR$670</f>
        <v>1.4253928924980526</v>
      </c>
      <c r="BS721" s="117">
        <f t="shared" si="19"/>
        <v>1.4624531077030021</v>
      </c>
      <c r="BT721" s="117">
        <f t="shared" si="19"/>
        <v>1.496089529180171</v>
      </c>
      <c r="BU721" s="117">
        <f t="shared" si="19"/>
        <v>1.5379800359972158</v>
      </c>
      <c r="BV721" s="117">
        <f t="shared" si="19"/>
        <v>1.5533598363571879</v>
      </c>
      <c r="BW721" s="117">
        <f t="shared" si="19"/>
        <v>1.5657867150480453</v>
      </c>
      <c r="BX721" s="117">
        <f t="shared" si="19"/>
        <v>1.5689182884781414</v>
      </c>
      <c r="BY721" s="117">
        <f t="shared" si="19"/>
        <v>1.5908831445168354</v>
      </c>
      <c r="BZ721" s="117">
        <f t="shared" si="19"/>
        <v>1.6099737422510374</v>
      </c>
      <c r="CA721" s="117">
        <f t="shared" si="19"/>
        <v>1.6518330595495645</v>
      </c>
      <c r="CB721" s="117">
        <f t="shared" si="19"/>
        <v>1.6782623885023575</v>
      </c>
      <c r="CC721" s="117">
        <f t="shared" si="17"/>
        <v>1.7084711114954001</v>
      </c>
      <c r="CD721" s="117">
        <f t="shared" si="17"/>
        <v>1.814396320408115</v>
      </c>
      <c r="CE721" s="117">
        <f t="shared" si="17"/>
        <v>1.9595480260407643</v>
      </c>
      <c r="CF721" s="117">
        <f t="shared" si="16"/>
        <v>2.0144153707699055</v>
      </c>
      <c r="CG721" s="117">
        <f t="shared" si="16"/>
        <v>2.0486604320729938</v>
      </c>
    </row>
    <row r="722" spans="1:85">
      <c r="A722" s="3"/>
      <c r="B722" s="115">
        <v>1995</v>
      </c>
      <c r="C722" s="3"/>
      <c r="D722" s="3"/>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c r="AH722" s="118"/>
      <c r="AI722" s="118"/>
      <c r="AJ722" s="118"/>
      <c r="AK722" s="118"/>
      <c r="AL722" s="118"/>
      <c r="AM722" s="118"/>
      <c r="AN722" s="118"/>
      <c r="AO722" s="118"/>
      <c r="AP722" s="118"/>
      <c r="AQ722" s="118"/>
      <c r="AR722" s="118"/>
      <c r="AS722" s="118"/>
      <c r="AT722" s="118"/>
      <c r="AU722" s="118"/>
      <c r="AV722" s="118"/>
      <c r="AW722" s="118"/>
      <c r="AX722" s="118"/>
      <c r="AY722" s="118"/>
      <c r="AZ722" s="118"/>
      <c r="BA722" s="118"/>
      <c r="BB722" s="116">
        <v>1</v>
      </c>
      <c r="BC722" s="117">
        <f t="shared" si="18"/>
        <v>1.0149999999999999</v>
      </c>
      <c r="BD722" s="117">
        <f t="shared" si="18"/>
        <v>1.0342849999999999</v>
      </c>
      <c r="BE722" s="117">
        <f t="shared" si="18"/>
        <v>1.0611764099999998</v>
      </c>
      <c r="BF722" s="117">
        <f t="shared" si="18"/>
        <v>1.0792164089699998</v>
      </c>
      <c r="BG722" s="117">
        <f t="shared" si="18"/>
        <v>1.1072760356032199</v>
      </c>
      <c r="BH722" s="117">
        <f t="shared" si="18"/>
        <v>1.1349579364933002</v>
      </c>
      <c r="BI722" s="117">
        <f t="shared" si="18"/>
        <v>1.1883009595084852</v>
      </c>
      <c r="BJ722" s="117">
        <f t="shared" si="18"/>
        <v>1.2275148911722651</v>
      </c>
      <c r="BK722" s="117">
        <f t="shared" si="18"/>
        <v>1.2532927038868826</v>
      </c>
      <c r="BL722" s="117">
        <f t="shared" si="18"/>
        <v>1.2670789236296383</v>
      </c>
      <c r="BM722" s="117">
        <f t="shared" si="18"/>
        <v>1.2898863442549717</v>
      </c>
      <c r="BN722" s="117">
        <f t="shared" si="18"/>
        <v>1.3079447530745414</v>
      </c>
      <c r="BO722" s="117">
        <f t="shared" si="18"/>
        <v>1.3223321453583612</v>
      </c>
      <c r="BP722" s="117">
        <f t="shared" si="18"/>
        <v>1.3646467740098287</v>
      </c>
      <c r="BQ722" s="117">
        <f t="shared" si="18"/>
        <v>1.368740714331858</v>
      </c>
      <c r="BR722" s="117">
        <f t="shared" si="19"/>
        <v>1.3892718250468357</v>
      </c>
      <c r="BS722" s="117">
        <f t="shared" si="19"/>
        <v>1.4253928924980535</v>
      </c>
      <c r="BT722" s="117">
        <f t="shared" si="19"/>
        <v>1.4581769290255087</v>
      </c>
      <c r="BU722" s="117">
        <f t="shared" si="19"/>
        <v>1.4990058830382229</v>
      </c>
      <c r="BV722" s="117">
        <f t="shared" si="19"/>
        <v>1.5139959418686051</v>
      </c>
      <c r="BW722" s="117">
        <f t="shared" si="19"/>
        <v>1.5261079094035539</v>
      </c>
      <c r="BX722" s="117">
        <f t="shared" si="19"/>
        <v>1.529160125222361</v>
      </c>
      <c r="BY722" s="117">
        <f t="shared" si="19"/>
        <v>1.5505683669754742</v>
      </c>
      <c r="BZ722" s="117">
        <f t="shared" si="19"/>
        <v>1.5691751873791799</v>
      </c>
      <c r="CA722" s="117">
        <f t="shared" si="19"/>
        <v>1.6099737422510387</v>
      </c>
      <c r="CB722" s="117">
        <f t="shared" si="19"/>
        <v>1.6357333221270554</v>
      </c>
      <c r="CC722" s="117">
        <f t="shared" si="17"/>
        <v>1.6651765219253423</v>
      </c>
      <c r="CD722" s="117">
        <f t="shared" si="17"/>
        <v>1.7684174662847136</v>
      </c>
      <c r="CE722" s="117">
        <f t="shared" si="17"/>
        <v>1.9098908635874909</v>
      </c>
      <c r="CF722" s="117">
        <f t="shared" si="16"/>
        <v>1.9633678077679408</v>
      </c>
      <c r="CG722" s="117">
        <f t="shared" si="16"/>
        <v>1.9967450604999957</v>
      </c>
    </row>
    <row r="723" spans="1:85">
      <c r="A723" s="120"/>
      <c r="B723" s="115">
        <v>1996</v>
      </c>
      <c r="C723" s="120"/>
      <c r="D723" s="120"/>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c r="AH723" s="118"/>
      <c r="AI723" s="118"/>
      <c r="AJ723" s="118"/>
      <c r="AK723" s="118"/>
      <c r="AL723" s="118"/>
      <c r="AM723" s="118"/>
      <c r="AN723" s="118"/>
      <c r="AO723" s="118"/>
      <c r="AP723" s="118"/>
      <c r="AQ723" s="118"/>
      <c r="AR723" s="118"/>
      <c r="AS723" s="118"/>
      <c r="AT723" s="118"/>
      <c r="AU723" s="118"/>
      <c r="AV723" s="118"/>
      <c r="AW723" s="118"/>
      <c r="AX723" s="118"/>
      <c r="AY723" s="118"/>
      <c r="AZ723" s="118"/>
      <c r="BA723" s="118"/>
      <c r="BB723" s="118"/>
      <c r="BC723" s="116">
        <v>1</v>
      </c>
      <c r="BD723" s="117">
        <f t="shared" si="18"/>
        <v>1.0189999999999999</v>
      </c>
      <c r="BE723" s="117">
        <f t="shared" si="18"/>
        <v>1.0454939999999999</v>
      </c>
      <c r="BF723" s="117">
        <f t="shared" si="18"/>
        <v>1.0632673979999998</v>
      </c>
      <c r="BG723" s="117">
        <f t="shared" si="18"/>
        <v>1.0909123503479998</v>
      </c>
      <c r="BH723" s="117">
        <f t="shared" si="18"/>
        <v>1.1181851591066998</v>
      </c>
      <c r="BI723" s="117">
        <f t="shared" si="18"/>
        <v>1.1707398615847147</v>
      </c>
      <c r="BJ723" s="117">
        <f t="shared" si="18"/>
        <v>1.2093742770170102</v>
      </c>
      <c r="BK723" s="117">
        <f t="shared" si="18"/>
        <v>1.2347711368343672</v>
      </c>
      <c r="BL723" s="117">
        <f t="shared" si="18"/>
        <v>1.2483536193395453</v>
      </c>
      <c r="BM723" s="117">
        <f t="shared" si="18"/>
        <v>1.270823984487657</v>
      </c>
      <c r="BN723" s="117">
        <f t="shared" si="18"/>
        <v>1.2886155202704841</v>
      </c>
      <c r="BO723" s="117">
        <f t="shared" si="18"/>
        <v>1.3027902909934592</v>
      </c>
      <c r="BP723" s="117">
        <f t="shared" si="18"/>
        <v>1.3444795803052501</v>
      </c>
      <c r="BQ723" s="117">
        <f t="shared" si="18"/>
        <v>1.3485130190461656</v>
      </c>
      <c r="BR723" s="117">
        <f t="shared" si="19"/>
        <v>1.368740714331858</v>
      </c>
      <c r="BS723" s="117">
        <f t="shared" si="19"/>
        <v>1.4043279729044862</v>
      </c>
      <c r="BT723" s="117">
        <f t="shared" si="19"/>
        <v>1.4366275162812892</v>
      </c>
      <c r="BU723" s="117">
        <f t="shared" si="19"/>
        <v>1.4768530867371652</v>
      </c>
      <c r="BV723" s="117">
        <f t="shared" si="19"/>
        <v>1.4916216176045369</v>
      </c>
      <c r="BW723" s="117">
        <f t="shared" si="19"/>
        <v>1.5035545905453733</v>
      </c>
      <c r="BX723" s="117">
        <f t="shared" si="19"/>
        <v>1.5065616997264641</v>
      </c>
      <c r="BY723" s="117">
        <f t="shared" si="19"/>
        <v>1.5276535635226347</v>
      </c>
      <c r="BZ723" s="117">
        <f t="shared" si="19"/>
        <v>1.5459854062849063</v>
      </c>
      <c r="CA723" s="117">
        <f t="shared" si="19"/>
        <v>1.5861810268483139</v>
      </c>
      <c r="CB723" s="117">
        <f t="shared" si="19"/>
        <v>1.611559923277887</v>
      </c>
      <c r="CC723" s="117">
        <f t="shared" si="17"/>
        <v>1.6405680018968889</v>
      </c>
      <c r="CD723" s="117">
        <f t="shared" si="17"/>
        <v>1.742283218014496</v>
      </c>
      <c r="CE723" s="117">
        <f t="shared" si="17"/>
        <v>1.8816658754556559</v>
      </c>
      <c r="CF723" s="117">
        <f t="shared" si="16"/>
        <v>1.9343525199684144</v>
      </c>
      <c r="CG723" s="117">
        <f t="shared" si="16"/>
        <v>1.9672365128078773</v>
      </c>
    </row>
    <row r="724" spans="1:85">
      <c r="A724" s="3"/>
      <c r="B724" s="115">
        <v>1997</v>
      </c>
      <c r="C724" s="3"/>
      <c r="D724" s="3"/>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c r="AA724" s="118"/>
      <c r="AB724" s="118"/>
      <c r="AC724" s="118"/>
      <c r="AD724" s="118"/>
      <c r="AE724" s="118"/>
      <c r="AF724" s="118"/>
      <c r="AG724" s="118"/>
      <c r="AH724" s="118"/>
      <c r="AI724" s="118"/>
      <c r="AJ724" s="118"/>
      <c r="AK724" s="118"/>
      <c r="AL724" s="118"/>
      <c r="AM724" s="118"/>
      <c r="AN724" s="118"/>
      <c r="AO724" s="118"/>
      <c r="AP724" s="118"/>
      <c r="AQ724" s="118"/>
      <c r="AR724" s="118"/>
      <c r="AS724" s="118"/>
      <c r="AT724" s="118"/>
      <c r="AU724" s="118"/>
      <c r="AV724" s="118"/>
      <c r="AW724" s="118"/>
      <c r="AX724" s="118"/>
      <c r="AY724" s="118"/>
      <c r="AZ724" s="118"/>
      <c r="BA724" s="118"/>
      <c r="BB724" s="118"/>
      <c r="BC724" s="118"/>
      <c r="BD724" s="116">
        <v>1</v>
      </c>
      <c r="BE724" s="117">
        <f t="shared" si="18"/>
        <v>1.026</v>
      </c>
      <c r="BF724" s="117">
        <f t="shared" si="18"/>
        <v>1.043442</v>
      </c>
      <c r="BG724" s="117">
        <f t="shared" si="18"/>
        <v>1.070571492</v>
      </c>
      <c r="BH724" s="117">
        <f t="shared" si="18"/>
        <v>1.0973357792999998</v>
      </c>
      <c r="BI724" s="117">
        <f t="shared" si="18"/>
        <v>1.1489105609270998</v>
      </c>
      <c r="BJ724" s="117">
        <f t="shared" si="18"/>
        <v>1.186824609437694</v>
      </c>
      <c r="BK724" s="117">
        <f t="shared" si="18"/>
        <v>1.2117479262358855</v>
      </c>
      <c r="BL724" s="117">
        <f t="shared" si="18"/>
        <v>1.22507715342448</v>
      </c>
      <c r="BM724" s="117">
        <f t="shared" si="18"/>
        <v>1.2471285421861207</v>
      </c>
      <c r="BN724" s="117">
        <f t="shared" si="18"/>
        <v>1.2645883417767263</v>
      </c>
      <c r="BO724" s="117">
        <f t="shared" si="18"/>
        <v>1.2784988135362703</v>
      </c>
      <c r="BP724" s="117">
        <f t="shared" si="18"/>
        <v>1.3194107755694309</v>
      </c>
      <c r="BQ724" s="117">
        <f t="shared" si="18"/>
        <v>1.3233690078961391</v>
      </c>
      <c r="BR724" s="117">
        <f t="shared" si="19"/>
        <v>1.343219543014581</v>
      </c>
      <c r="BS724" s="117">
        <f t="shared" si="19"/>
        <v>1.3781432511329601</v>
      </c>
      <c r="BT724" s="117">
        <f t="shared" si="19"/>
        <v>1.409840545909018</v>
      </c>
      <c r="BU724" s="117">
        <f t="shared" si="19"/>
        <v>1.4493160811944705</v>
      </c>
      <c r="BV724" s="117">
        <f t="shared" si="19"/>
        <v>1.4638092420064153</v>
      </c>
      <c r="BW724" s="117">
        <f t="shared" si="19"/>
        <v>1.4755197159424667</v>
      </c>
      <c r="BX724" s="117">
        <f t="shared" si="19"/>
        <v>1.4784707553743517</v>
      </c>
      <c r="BY724" s="117">
        <f t="shared" si="19"/>
        <v>1.4991693459495927</v>
      </c>
      <c r="BZ724" s="117">
        <f t="shared" si="19"/>
        <v>1.5171593781009878</v>
      </c>
      <c r="CA724" s="117">
        <f t="shared" si="19"/>
        <v>1.5566055219316135</v>
      </c>
      <c r="CB724" s="117">
        <f t="shared" si="19"/>
        <v>1.5815112102825193</v>
      </c>
      <c r="CC724" s="117">
        <f t="shared" si="17"/>
        <v>1.6099784120676046</v>
      </c>
      <c r="CD724" s="117">
        <f t="shared" si="17"/>
        <v>1.7097970736157961</v>
      </c>
      <c r="CE724" s="117">
        <f t="shared" si="17"/>
        <v>1.84658083950506</v>
      </c>
      <c r="CF724" s="117">
        <f t="shared" si="16"/>
        <v>1.8982851030112018</v>
      </c>
      <c r="CG724" s="117">
        <f t="shared" si="16"/>
        <v>1.9305559497623921</v>
      </c>
    </row>
    <row r="725" spans="1:85">
      <c r="A725" s="3"/>
      <c r="B725" s="115">
        <v>1998</v>
      </c>
      <c r="C725" s="3"/>
      <c r="D725" s="3"/>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c r="AA725" s="118"/>
      <c r="AB725" s="118"/>
      <c r="AC725" s="118"/>
      <c r="AD725" s="118"/>
      <c r="AE725" s="118"/>
      <c r="AF725" s="118"/>
      <c r="AG725" s="118"/>
      <c r="AH725" s="118"/>
      <c r="AI725" s="118"/>
      <c r="AJ725" s="118"/>
      <c r="AK725" s="118"/>
      <c r="AL725" s="118"/>
      <c r="AM725" s="118"/>
      <c r="AN725" s="118"/>
      <c r="AO725" s="118"/>
      <c r="AP725" s="118"/>
      <c r="AQ725" s="118"/>
      <c r="AR725" s="118"/>
      <c r="AS725" s="118"/>
      <c r="AT725" s="118"/>
      <c r="AU725" s="118"/>
      <c r="AV725" s="118"/>
      <c r="AW725" s="118"/>
      <c r="AX725" s="118"/>
      <c r="AY725" s="118"/>
      <c r="AZ725" s="118"/>
      <c r="BA725" s="118"/>
      <c r="BB725" s="118"/>
      <c r="BC725" s="118"/>
      <c r="BD725" s="118"/>
      <c r="BE725" s="116">
        <v>1</v>
      </c>
      <c r="BF725" s="117">
        <f t="shared" si="18"/>
        <v>1.0169999999999999</v>
      </c>
      <c r="BG725" s="117">
        <f t="shared" si="18"/>
        <v>1.043442</v>
      </c>
      <c r="BH725" s="117">
        <f t="shared" si="18"/>
        <v>1.06952805</v>
      </c>
      <c r="BI725" s="117">
        <f t="shared" si="18"/>
        <v>1.1197958683499998</v>
      </c>
      <c r="BJ725" s="117">
        <f t="shared" si="18"/>
        <v>1.1567491320055496</v>
      </c>
      <c r="BK725" s="117">
        <f t="shared" si="18"/>
        <v>1.1810408637776662</v>
      </c>
      <c r="BL725" s="117">
        <f t="shared" si="18"/>
        <v>1.1940323132792203</v>
      </c>
      <c r="BM725" s="117">
        <f t="shared" si="18"/>
        <v>1.2155248949182462</v>
      </c>
      <c r="BN725" s="117">
        <f t="shared" si="18"/>
        <v>1.2325422434471016</v>
      </c>
      <c r="BO725" s="117">
        <f t="shared" si="18"/>
        <v>1.2461002081250196</v>
      </c>
      <c r="BP725" s="117">
        <f t="shared" si="18"/>
        <v>1.2859754147850204</v>
      </c>
      <c r="BQ725" s="117">
        <f t="shared" si="18"/>
        <v>1.2898333410293754</v>
      </c>
      <c r="BR725" s="117">
        <f t="shared" si="19"/>
        <v>1.3091808411448158</v>
      </c>
      <c r="BS725" s="117">
        <f t="shared" si="19"/>
        <v>1.343219543014581</v>
      </c>
      <c r="BT725" s="117">
        <f t="shared" si="19"/>
        <v>1.3741135925039163</v>
      </c>
      <c r="BU725" s="117">
        <f t="shared" si="19"/>
        <v>1.4125887730940261</v>
      </c>
      <c r="BV725" s="117">
        <f t="shared" si="19"/>
        <v>1.4267146608249663</v>
      </c>
      <c r="BW725" s="117">
        <f t="shared" si="19"/>
        <v>1.4381283781115661</v>
      </c>
      <c r="BX725" s="117">
        <f t="shared" si="19"/>
        <v>1.4410046348677892</v>
      </c>
      <c r="BY725" s="117">
        <f t="shared" si="19"/>
        <v>1.4611786997559382</v>
      </c>
      <c r="BZ725" s="117">
        <f t="shared" si="19"/>
        <v>1.4787128441530095</v>
      </c>
      <c r="CA725" s="117">
        <f t="shared" si="19"/>
        <v>1.5171593781009878</v>
      </c>
      <c r="CB725" s="117">
        <f t="shared" si="19"/>
        <v>1.5414339281506035</v>
      </c>
      <c r="CC725" s="117">
        <f t="shared" si="17"/>
        <v>1.5691797388573143</v>
      </c>
      <c r="CD725" s="117">
        <f t="shared" si="17"/>
        <v>1.666468882666468</v>
      </c>
      <c r="CE725" s="117">
        <f t="shared" si="17"/>
        <v>1.7997863932797855</v>
      </c>
      <c r="CF725" s="117">
        <f t="shared" si="16"/>
        <v>1.8501804122916194</v>
      </c>
      <c r="CG725" s="117">
        <f t="shared" si="16"/>
        <v>1.8816334793005769</v>
      </c>
    </row>
    <row r="726" spans="1:85">
      <c r="A726" s="3"/>
      <c r="B726" s="115">
        <v>1999</v>
      </c>
      <c r="C726" s="3"/>
      <c r="D726" s="3"/>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c r="AA726" s="118"/>
      <c r="AB726" s="118"/>
      <c r="AC726" s="118"/>
      <c r="AD726" s="118"/>
      <c r="AE726" s="118"/>
      <c r="AF726" s="118"/>
      <c r="AG726" s="118"/>
      <c r="AH726" s="118"/>
      <c r="AI726" s="118"/>
      <c r="AJ726" s="118"/>
      <c r="AK726" s="118"/>
      <c r="AL726" s="118"/>
      <c r="AM726" s="118"/>
      <c r="AN726" s="118"/>
      <c r="AO726" s="118"/>
      <c r="AP726" s="118"/>
      <c r="AQ726" s="118"/>
      <c r="AR726" s="118"/>
      <c r="AS726" s="118"/>
      <c r="AT726" s="118"/>
      <c r="AU726" s="118"/>
      <c r="AV726" s="118"/>
      <c r="AW726" s="118"/>
      <c r="AX726" s="118"/>
      <c r="AY726" s="118"/>
      <c r="AZ726" s="118"/>
      <c r="BA726" s="118"/>
      <c r="BB726" s="118"/>
      <c r="BC726" s="118"/>
      <c r="BD726" s="118"/>
      <c r="BE726" s="118"/>
      <c r="BF726" s="116">
        <v>1</v>
      </c>
      <c r="BG726" s="117">
        <f t="shared" si="18"/>
        <v>1.026</v>
      </c>
      <c r="BH726" s="117">
        <f t="shared" si="18"/>
        <v>1.05165</v>
      </c>
      <c r="BI726" s="117">
        <f t="shared" si="18"/>
        <v>1.1010775499999998</v>
      </c>
      <c r="BJ726" s="117">
        <f t="shared" si="18"/>
        <v>1.1374131091499997</v>
      </c>
      <c r="BK726" s="117">
        <f t="shared" si="18"/>
        <v>1.1612987844421496</v>
      </c>
      <c r="BL726" s="117">
        <f t="shared" si="18"/>
        <v>1.1740730710710132</v>
      </c>
      <c r="BM726" s="117">
        <f t="shared" si="18"/>
        <v>1.1952063863502915</v>
      </c>
      <c r="BN726" s="117">
        <f t="shared" si="18"/>
        <v>1.2119392757591956</v>
      </c>
      <c r="BO726" s="117">
        <f t="shared" si="18"/>
        <v>1.2252706077925466</v>
      </c>
      <c r="BP726" s="117">
        <f t="shared" si="18"/>
        <v>1.2644792672419081</v>
      </c>
      <c r="BQ726" s="117">
        <f t="shared" si="18"/>
        <v>1.2682727050436338</v>
      </c>
      <c r="BR726" s="117">
        <f t="shared" si="19"/>
        <v>1.2872967956192882</v>
      </c>
      <c r="BS726" s="117">
        <f t="shared" si="19"/>
        <v>1.3207665123053898</v>
      </c>
      <c r="BT726" s="117">
        <f t="shared" si="19"/>
        <v>1.3511441420884136</v>
      </c>
      <c r="BU726" s="117">
        <f t="shared" si="19"/>
        <v>1.3889761780668892</v>
      </c>
      <c r="BV726" s="117">
        <f t="shared" si="19"/>
        <v>1.402865939847558</v>
      </c>
      <c r="BW726" s="117">
        <f t="shared" si="19"/>
        <v>1.4140888673663385</v>
      </c>
      <c r="BX726" s="117">
        <f t="shared" si="19"/>
        <v>1.4169170451010713</v>
      </c>
      <c r="BY726" s="117">
        <f t="shared" si="19"/>
        <v>1.4367538837324862</v>
      </c>
      <c r="BZ726" s="117">
        <f t="shared" si="19"/>
        <v>1.4539949303372761</v>
      </c>
      <c r="CA726" s="117">
        <f t="shared" si="19"/>
        <v>1.4917987985260452</v>
      </c>
      <c r="CB726" s="117">
        <f t="shared" si="19"/>
        <v>1.5156675793024621</v>
      </c>
      <c r="CC726" s="117">
        <f t="shared" si="17"/>
        <v>1.5429495957299064</v>
      </c>
      <c r="CD726" s="117">
        <f t="shared" si="17"/>
        <v>1.6386124706651608</v>
      </c>
      <c r="CE726" s="117">
        <f t="shared" si="17"/>
        <v>1.7697014683183738</v>
      </c>
      <c r="CF726" s="117">
        <f t="shared" si="16"/>
        <v>1.8192531094312883</v>
      </c>
      <c r="CG726" s="117">
        <f t="shared" si="16"/>
        <v>1.8501804122916199</v>
      </c>
    </row>
    <row r="727" spans="1:85">
      <c r="A727" s="3"/>
      <c r="B727" s="115">
        <v>2000</v>
      </c>
      <c r="C727" s="3"/>
      <c r="D727" s="3"/>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c r="AA727" s="118"/>
      <c r="AB727" s="118"/>
      <c r="AC727" s="118"/>
      <c r="AD727" s="118"/>
      <c r="AE727" s="118"/>
      <c r="AF727" s="118"/>
      <c r="AG727" s="118"/>
      <c r="AH727" s="118"/>
      <c r="AI727" s="118"/>
      <c r="AJ727" s="118"/>
      <c r="AK727" s="118"/>
      <c r="AL727" s="118"/>
      <c r="AM727" s="118"/>
      <c r="AN727" s="118"/>
      <c r="AO727" s="118"/>
      <c r="AP727" s="118"/>
      <c r="AQ727" s="118"/>
      <c r="AR727" s="118"/>
      <c r="AS727" s="118"/>
      <c r="AT727" s="118"/>
      <c r="AU727" s="118"/>
      <c r="AV727" s="118"/>
      <c r="AW727" s="118"/>
      <c r="AX727" s="118"/>
      <c r="AY727" s="118"/>
      <c r="AZ727" s="118"/>
      <c r="BA727" s="118"/>
      <c r="BB727" s="118"/>
      <c r="BC727" s="118"/>
      <c r="BD727" s="118"/>
      <c r="BE727" s="118"/>
      <c r="BF727" s="118"/>
      <c r="BG727" s="116">
        <v>1</v>
      </c>
      <c r="BH727" s="117">
        <f t="shared" si="18"/>
        <v>1.0249999999999999</v>
      </c>
      <c r="BI727" s="117">
        <f t="shared" si="18"/>
        <v>1.0731749999999998</v>
      </c>
      <c r="BJ727" s="117">
        <f t="shared" si="18"/>
        <v>1.1085897749999998</v>
      </c>
      <c r="BK727" s="117">
        <f t="shared" si="18"/>
        <v>1.1318701602749996</v>
      </c>
      <c r="BL727" s="117">
        <f t="shared" si="18"/>
        <v>1.1443207320380244</v>
      </c>
      <c r="BM727" s="117">
        <f t="shared" si="18"/>
        <v>1.1649185052147089</v>
      </c>
      <c r="BN727" s="117">
        <f t="shared" si="18"/>
        <v>1.1812273642877147</v>
      </c>
      <c r="BO727" s="117">
        <f t="shared" si="18"/>
        <v>1.1942208652948794</v>
      </c>
      <c r="BP727" s="117">
        <f t="shared" si="18"/>
        <v>1.2324359329843155</v>
      </c>
      <c r="BQ727" s="117">
        <f t="shared" si="18"/>
        <v>1.2361332407832684</v>
      </c>
      <c r="BR727" s="117">
        <f t="shared" si="19"/>
        <v>1.2546752393950173</v>
      </c>
      <c r="BS727" s="117">
        <f t="shared" si="19"/>
        <v>1.2872967956192878</v>
      </c>
      <c r="BT727" s="117">
        <f t="shared" si="19"/>
        <v>1.3169046219185312</v>
      </c>
      <c r="BU727" s="117">
        <f t="shared" si="19"/>
        <v>1.3537779513322501</v>
      </c>
      <c r="BV727" s="117">
        <f t="shared" si="19"/>
        <v>1.3673157308455726</v>
      </c>
      <c r="BW727" s="117">
        <f t="shared" si="19"/>
        <v>1.3782542566923373</v>
      </c>
      <c r="BX727" s="117">
        <f t="shared" si="19"/>
        <v>1.381010765205722</v>
      </c>
      <c r="BY727" s="117">
        <f t="shared" si="19"/>
        <v>1.4003449159186021</v>
      </c>
      <c r="BZ727" s="117">
        <f t="shared" si="19"/>
        <v>1.4171490549096253</v>
      </c>
      <c r="CA727" s="117">
        <f t="shared" si="19"/>
        <v>1.4539949303372757</v>
      </c>
      <c r="CB727" s="117">
        <f t="shared" si="19"/>
        <v>1.4772588492226721</v>
      </c>
      <c r="CC727" s="117">
        <f t="shared" si="17"/>
        <v>1.5038495085086803</v>
      </c>
      <c r="CD727" s="117">
        <f t="shared" si="17"/>
        <v>1.5970881780362185</v>
      </c>
      <c r="CE727" s="117">
        <f t="shared" si="17"/>
        <v>1.7248552322791162</v>
      </c>
      <c r="CF727" s="117">
        <f t="shared" si="16"/>
        <v>1.7731511787829315</v>
      </c>
      <c r="CG727" s="117">
        <f t="shared" si="16"/>
        <v>1.8032947488222411</v>
      </c>
    </row>
    <row r="728" spans="1:85">
      <c r="A728" s="3"/>
      <c r="B728" s="115">
        <v>2001</v>
      </c>
      <c r="C728" s="3"/>
      <c r="D728" s="3"/>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c r="AA728" s="118"/>
      <c r="AB728" s="118"/>
      <c r="AC728" s="118"/>
      <c r="AD728" s="118"/>
      <c r="AE728" s="118"/>
      <c r="AF728" s="118"/>
      <c r="AG728" s="118"/>
      <c r="AH728" s="118"/>
      <c r="AI728" s="118"/>
      <c r="AJ728" s="118"/>
      <c r="AK728" s="118"/>
      <c r="AL728" s="118"/>
      <c r="AM728" s="118"/>
      <c r="AN728" s="118"/>
      <c r="AO728" s="118"/>
      <c r="AP728" s="118"/>
      <c r="AQ728" s="118"/>
      <c r="AR728" s="118"/>
      <c r="AS728" s="118"/>
      <c r="AT728" s="118"/>
      <c r="AU728" s="118"/>
      <c r="AV728" s="118"/>
      <c r="AW728" s="118"/>
      <c r="AX728" s="118"/>
      <c r="AY728" s="118"/>
      <c r="AZ728" s="118"/>
      <c r="BA728" s="118"/>
      <c r="BB728" s="118"/>
      <c r="BC728" s="118"/>
      <c r="BD728" s="118"/>
      <c r="BE728" s="118"/>
      <c r="BF728" s="118"/>
      <c r="BG728" s="118"/>
      <c r="BH728" s="116">
        <v>1</v>
      </c>
      <c r="BI728" s="117">
        <f t="shared" si="18"/>
        <v>1.0469999999999999</v>
      </c>
      <c r="BJ728" s="117">
        <f t="shared" si="18"/>
        <v>1.0815509999999999</v>
      </c>
      <c r="BK728" s="117">
        <f t="shared" si="18"/>
        <v>1.1042635709999997</v>
      </c>
      <c r="BL728" s="117">
        <f t="shared" si="18"/>
        <v>1.1164104702809996</v>
      </c>
      <c r="BM728" s="117">
        <f t="shared" si="18"/>
        <v>1.1365058587460577</v>
      </c>
      <c r="BN728" s="117">
        <f t="shared" si="18"/>
        <v>1.1524169407685025</v>
      </c>
      <c r="BO728" s="117">
        <f t="shared" si="18"/>
        <v>1.165093527116956</v>
      </c>
      <c r="BP728" s="117">
        <f t="shared" si="18"/>
        <v>1.2023765199846987</v>
      </c>
      <c r="BQ728" s="117">
        <f t="shared" si="18"/>
        <v>1.2059836495446528</v>
      </c>
      <c r="BR728" s="117">
        <f t="shared" si="19"/>
        <v>1.2240734042878225</v>
      </c>
      <c r="BS728" s="117">
        <f t="shared" si="19"/>
        <v>1.2558993127993059</v>
      </c>
      <c r="BT728" s="117">
        <f t="shared" si="19"/>
        <v>1.2847849969936898</v>
      </c>
      <c r="BU728" s="117">
        <f t="shared" si="19"/>
        <v>1.3207589769095132</v>
      </c>
      <c r="BV728" s="117">
        <f t="shared" si="19"/>
        <v>1.3339665666786082</v>
      </c>
      <c r="BW728" s="117">
        <f t="shared" si="19"/>
        <v>1.3446382992120371</v>
      </c>
      <c r="BX728" s="117">
        <f t="shared" si="19"/>
        <v>1.3473275758104613</v>
      </c>
      <c r="BY728" s="117">
        <f t="shared" si="19"/>
        <v>1.3661901618718078</v>
      </c>
      <c r="BZ728" s="117">
        <f t="shared" si="19"/>
        <v>1.3825844438142694</v>
      </c>
      <c r="CA728" s="117">
        <f t="shared" si="19"/>
        <v>1.4185316393534404</v>
      </c>
      <c r="CB728" s="117">
        <f t="shared" si="19"/>
        <v>1.4412281455830955</v>
      </c>
      <c r="CC728" s="117">
        <f t="shared" si="17"/>
        <v>1.4671702522035912</v>
      </c>
      <c r="CD728" s="117">
        <f t="shared" si="17"/>
        <v>1.558134807840214</v>
      </c>
      <c r="CE728" s="117">
        <f t="shared" si="17"/>
        <v>1.6827855924674311</v>
      </c>
      <c r="CF728" s="117">
        <f t="shared" si="16"/>
        <v>1.7299035890565193</v>
      </c>
      <c r="CG728" s="117">
        <f t="shared" si="16"/>
        <v>1.7593119500704799</v>
      </c>
    </row>
    <row r="729" spans="1:85">
      <c r="A729" s="3"/>
      <c r="B729" s="115">
        <v>2002</v>
      </c>
      <c r="C729" s="3"/>
      <c r="D729" s="3"/>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18"/>
      <c r="AH729" s="118"/>
      <c r="AI729" s="118"/>
      <c r="AJ729" s="118"/>
      <c r="AK729" s="118"/>
      <c r="AL729" s="118"/>
      <c r="AM729" s="118"/>
      <c r="AN729" s="118"/>
      <c r="AO729" s="118"/>
      <c r="AP729" s="118"/>
      <c r="AQ729" s="118"/>
      <c r="AR729" s="118"/>
      <c r="AS729" s="118"/>
      <c r="AT729" s="118"/>
      <c r="AU729" s="118"/>
      <c r="AV729" s="118"/>
      <c r="AW729" s="118"/>
      <c r="AX729" s="118"/>
      <c r="AY729" s="118"/>
      <c r="AZ729" s="118"/>
      <c r="BA729" s="118"/>
      <c r="BB729" s="118"/>
      <c r="BC729" s="118"/>
      <c r="BD729" s="118"/>
      <c r="BE729" s="118"/>
      <c r="BF729" s="118"/>
      <c r="BG729" s="118"/>
      <c r="BH729" s="118"/>
      <c r="BI729" s="116">
        <v>1</v>
      </c>
      <c r="BJ729" s="117">
        <f t="shared" si="18"/>
        <v>1.0329999999999999</v>
      </c>
      <c r="BK729" s="117">
        <f t="shared" si="18"/>
        <v>1.0546929999999999</v>
      </c>
      <c r="BL729" s="117">
        <f t="shared" si="18"/>
        <v>1.0662946229999997</v>
      </c>
      <c r="BM729" s="117">
        <f t="shared" si="18"/>
        <v>1.0854879262139996</v>
      </c>
      <c r="BN729" s="117">
        <f t="shared" si="18"/>
        <v>1.1006847571809957</v>
      </c>
      <c r="BO729" s="117">
        <f t="shared" si="18"/>
        <v>1.1127922895099864</v>
      </c>
      <c r="BP729" s="117">
        <f t="shared" si="18"/>
        <v>1.148401642774306</v>
      </c>
      <c r="BQ729" s="117">
        <f t="shared" si="18"/>
        <v>1.1518468477026289</v>
      </c>
      <c r="BR729" s="117">
        <f t="shared" si="19"/>
        <v>1.1691245504181682</v>
      </c>
      <c r="BS729" s="117">
        <f t="shared" si="19"/>
        <v>1.1995217887290406</v>
      </c>
      <c r="BT729" s="117">
        <f t="shared" si="19"/>
        <v>1.2271107898698084</v>
      </c>
      <c r="BU729" s="117">
        <f t="shared" si="19"/>
        <v>1.2614698919861631</v>
      </c>
      <c r="BV729" s="117">
        <f t="shared" si="19"/>
        <v>1.2740845909060248</v>
      </c>
      <c r="BW729" s="117">
        <f t="shared" si="19"/>
        <v>1.284277267633273</v>
      </c>
      <c r="BX729" s="117">
        <f t="shared" si="19"/>
        <v>1.2868458221685395</v>
      </c>
      <c r="BY729" s="117">
        <f t="shared" si="19"/>
        <v>1.304861663678899</v>
      </c>
      <c r="BZ729" s="117">
        <f t="shared" si="19"/>
        <v>1.3205200036430458</v>
      </c>
      <c r="CA729" s="117">
        <f t="shared" si="19"/>
        <v>1.354853523737765</v>
      </c>
      <c r="CB729" s="117">
        <f t="shared" si="19"/>
        <v>1.3765311801175693</v>
      </c>
      <c r="CC729" s="117">
        <f t="shared" si="17"/>
        <v>1.4013087413596854</v>
      </c>
      <c r="CD729" s="117">
        <f t="shared" si="17"/>
        <v>1.4881898833239859</v>
      </c>
      <c r="CE729" s="117">
        <f t="shared" si="17"/>
        <v>1.6072450739899049</v>
      </c>
      <c r="CF729" s="117">
        <f t="shared" si="16"/>
        <v>1.6522479360616222</v>
      </c>
      <c r="CG729" s="117">
        <f t="shared" si="16"/>
        <v>1.6803361509746697</v>
      </c>
    </row>
    <row r="730" spans="1:85">
      <c r="A730" s="3"/>
      <c r="B730" s="115">
        <v>2003</v>
      </c>
      <c r="C730" s="3"/>
      <c r="D730" s="3"/>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18"/>
      <c r="AH730" s="118"/>
      <c r="AI730" s="118"/>
      <c r="AJ730" s="118"/>
      <c r="AK730" s="118"/>
      <c r="AL730" s="118"/>
      <c r="AM730" s="118"/>
      <c r="AN730" s="118"/>
      <c r="AO730" s="118"/>
      <c r="AP730" s="118"/>
      <c r="AQ730" s="118"/>
      <c r="AR730" s="118"/>
      <c r="AS730" s="118"/>
      <c r="AT730" s="118"/>
      <c r="AU730" s="118"/>
      <c r="AV730" s="118"/>
      <c r="AW730" s="118"/>
      <c r="AX730" s="118"/>
      <c r="AY730" s="118"/>
      <c r="AZ730" s="118"/>
      <c r="BA730" s="118"/>
      <c r="BB730" s="118"/>
      <c r="BC730" s="118"/>
      <c r="BD730" s="118"/>
      <c r="BE730" s="118"/>
      <c r="BF730" s="118"/>
      <c r="BG730" s="118"/>
      <c r="BH730" s="118"/>
      <c r="BI730" s="118"/>
      <c r="BJ730" s="116">
        <v>1</v>
      </c>
      <c r="BK730" s="117">
        <f t="shared" si="18"/>
        <v>1.0209999999999999</v>
      </c>
      <c r="BL730" s="117">
        <f t="shared" si="18"/>
        <v>1.0322309999999999</v>
      </c>
      <c r="BM730" s="117">
        <f t="shared" si="18"/>
        <v>1.0508111579999999</v>
      </c>
      <c r="BN730" s="117">
        <f t="shared" si="18"/>
        <v>1.0655225142119999</v>
      </c>
      <c r="BO730" s="117">
        <f t="shared" si="18"/>
        <v>1.0772432618683319</v>
      </c>
      <c r="BP730" s="117">
        <f t="shared" si="18"/>
        <v>1.1117150462481185</v>
      </c>
      <c r="BQ730" s="117">
        <f t="shared" si="18"/>
        <v>1.1150501913868627</v>
      </c>
      <c r="BR730" s="117">
        <f t="shared" si="19"/>
        <v>1.1317759442576656</v>
      </c>
      <c r="BS730" s="117">
        <f t="shared" si="19"/>
        <v>1.161202118808365</v>
      </c>
      <c r="BT730" s="117">
        <f t="shared" si="19"/>
        <v>1.1879097675409573</v>
      </c>
      <c r="BU730" s="117">
        <f t="shared" si="19"/>
        <v>1.2211712410321043</v>
      </c>
      <c r="BV730" s="117">
        <f t="shared" si="19"/>
        <v>1.2333829534424254</v>
      </c>
      <c r="BW730" s="117">
        <f t="shared" si="19"/>
        <v>1.2432500170699647</v>
      </c>
      <c r="BX730" s="117">
        <f t="shared" si="19"/>
        <v>1.2457365171041046</v>
      </c>
      <c r="BY730" s="117">
        <f t="shared" si="19"/>
        <v>1.263176828343562</v>
      </c>
      <c r="BZ730" s="117">
        <f t="shared" si="19"/>
        <v>1.2783349502836847</v>
      </c>
      <c r="CA730" s="117">
        <f t="shared" si="19"/>
        <v>1.3115716589910607</v>
      </c>
      <c r="CB730" s="117">
        <f t="shared" si="19"/>
        <v>1.3325568055349177</v>
      </c>
      <c r="CC730" s="117">
        <f t="shared" si="17"/>
        <v>1.3565428280345462</v>
      </c>
      <c r="CD730" s="117">
        <f t="shared" si="17"/>
        <v>1.440648483372688</v>
      </c>
      <c r="CE730" s="117">
        <f t="shared" si="17"/>
        <v>1.5559003620425031</v>
      </c>
      <c r="CF730" s="117">
        <f t="shared" si="16"/>
        <v>1.5994655721796933</v>
      </c>
      <c r="CG730" s="117">
        <f t="shared" si="16"/>
        <v>1.6266564869067479</v>
      </c>
    </row>
    <row r="731" spans="1:85">
      <c r="A731" s="3"/>
      <c r="B731" s="115">
        <v>2004</v>
      </c>
      <c r="C731" s="3"/>
      <c r="D731" s="3"/>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18"/>
      <c r="AP731" s="118"/>
      <c r="AQ731" s="118"/>
      <c r="AR731" s="118"/>
      <c r="AS731" s="118"/>
      <c r="AT731" s="118"/>
      <c r="AU731" s="118"/>
      <c r="AV731" s="118"/>
      <c r="AW731" s="118"/>
      <c r="AX731" s="118"/>
      <c r="AY731" s="118"/>
      <c r="AZ731" s="118"/>
      <c r="BA731" s="118"/>
      <c r="BB731" s="118"/>
      <c r="BC731" s="118"/>
      <c r="BD731" s="118"/>
      <c r="BE731" s="118"/>
      <c r="BF731" s="118"/>
      <c r="BG731" s="118"/>
      <c r="BH731" s="118"/>
      <c r="BI731" s="118"/>
      <c r="BJ731" s="118"/>
      <c r="BK731" s="116">
        <v>1</v>
      </c>
      <c r="BL731" s="117">
        <f t="shared" si="18"/>
        <v>1.0109999999999999</v>
      </c>
      <c r="BM731" s="117">
        <f t="shared" si="18"/>
        <v>1.0291979999999998</v>
      </c>
      <c r="BN731" s="117">
        <f t="shared" si="18"/>
        <v>1.0436067719999997</v>
      </c>
      <c r="BO731" s="117">
        <f t="shared" si="18"/>
        <v>1.0550864464919996</v>
      </c>
      <c r="BP731" s="117">
        <f t="shared" si="18"/>
        <v>1.0888492127797436</v>
      </c>
      <c r="BQ731" s="117">
        <f t="shared" si="18"/>
        <v>1.0921157604180827</v>
      </c>
      <c r="BR731" s="117">
        <f t="shared" si="19"/>
        <v>1.1084974968243537</v>
      </c>
      <c r="BS731" s="117">
        <f t="shared" si="19"/>
        <v>1.137318431741787</v>
      </c>
      <c r="BT731" s="117">
        <f t="shared" si="19"/>
        <v>1.1634767556718479</v>
      </c>
      <c r="BU731" s="117">
        <f t="shared" si="19"/>
        <v>1.1960541048306597</v>
      </c>
      <c r="BV731" s="117">
        <f t="shared" si="19"/>
        <v>1.2080146458789662</v>
      </c>
      <c r="BW731" s="117">
        <f t="shared" si="19"/>
        <v>1.217678763045998</v>
      </c>
      <c r="BX731" s="117">
        <f t="shared" si="19"/>
        <v>1.22011412057209</v>
      </c>
      <c r="BY731" s="117">
        <f t="shared" si="19"/>
        <v>1.2371957182600992</v>
      </c>
      <c r="BZ731" s="117">
        <f t="shared" si="19"/>
        <v>1.2520420668792205</v>
      </c>
      <c r="CA731" s="117">
        <f t="shared" si="19"/>
        <v>1.2845951606180803</v>
      </c>
      <c r="CB731" s="117">
        <f t="shared" si="19"/>
        <v>1.3051486831879697</v>
      </c>
      <c r="CC731" s="117">
        <f t="shared" si="17"/>
        <v>1.3286413594853532</v>
      </c>
      <c r="CD731" s="117">
        <f t="shared" si="17"/>
        <v>1.4110171237734452</v>
      </c>
      <c r="CE731" s="117">
        <f t="shared" si="17"/>
        <v>1.523898493675321</v>
      </c>
      <c r="CF731" s="117">
        <f t="shared" si="16"/>
        <v>1.5665676514982301</v>
      </c>
      <c r="CG731" s="117">
        <f t="shared" si="16"/>
        <v>1.5931993015736998</v>
      </c>
    </row>
    <row r="732" spans="1:85">
      <c r="A732" s="3"/>
      <c r="B732" s="115">
        <v>2005</v>
      </c>
      <c r="C732" s="3"/>
      <c r="D732" s="3"/>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c r="AH732" s="118"/>
      <c r="AI732" s="118"/>
      <c r="AJ732" s="118"/>
      <c r="AK732" s="118"/>
      <c r="AL732" s="118"/>
      <c r="AM732" s="118"/>
      <c r="AN732" s="118"/>
      <c r="AO732" s="118"/>
      <c r="AP732" s="118"/>
      <c r="AQ732" s="118"/>
      <c r="AR732" s="118"/>
      <c r="AS732" s="118"/>
      <c r="AT732" s="118"/>
      <c r="AU732" s="118"/>
      <c r="AV732" s="118"/>
      <c r="AW732" s="118"/>
      <c r="AX732" s="118"/>
      <c r="AY732" s="118"/>
      <c r="AZ732" s="118"/>
      <c r="BA732" s="118"/>
      <c r="BB732" s="118"/>
      <c r="BC732" s="118"/>
      <c r="BD732" s="118"/>
      <c r="BE732" s="118"/>
      <c r="BF732" s="118"/>
      <c r="BG732" s="118"/>
      <c r="BH732" s="118"/>
      <c r="BI732" s="118"/>
      <c r="BJ732" s="118"/>
      <c r="BK732" s="118"/>
      <c r="BL732" s="116">
        <v>1</v>
      </c>
      <c r="BM732" s="117">
        <f t="shared" si="18"/>
        <v>1.018</v>
      </c>
      <c r="BN732" s="117">
        <f t="shared" si="18"/>
        <v>1.0322519999999999</v>
      </c>
      <c r="BO732" s="117">
        <f t="shared" si="18"/>
        <v>1.0436067719999997</v>
      </c>
      <c r="BP732" s="117">
        <f t="shared" si="18"/>
        <v>1.0770021887039998</v>
      </c>
      <c r="BQ732" s="117">
        <f t="shared" si="18"/>
        <v>1.0802331952701116</v>
      </c>
      <c r="BR732" s="117">
        <f t="shared" si="19"/>
        <v>1.0964366931991631</v>
      </c>
      <c r="BS732" s="117">
        <f t="shared" si="19"/>
        <v>1.1249440472223413</v>
      </c>
      <c r="BT732" s="117">
        <f t="shared" si="19"/>
        <v>1.1508177603084551</v>
      </c>
      <c r="BU732" s="117">
        <f t="shared" si="19"/>
        <v>1.1830406575970918</v>
      </c>
      <c r="BV732" s="117">
        <f t="shared" si="19"/>
        <v>1.1948710641730627</v>
      </c>
      <c r="BW732" s="117">
        <f t="shared" si="19"/>
        <v>1.2044300326864472</v>
      </c>
      <c r="BX732" s="117">
        <f t="shared" si="19"/>
        <v>1.2068388927518201</v>
      </c>
      <c r="BY732" s="117">
        <f t="shared" si="19"/>
        <v>1.2237346372503457</v>
      </c>
      <c r="BZ732" s="117">
        <f t="shared" si="19"/>
        <v>1.2384194528973498</v>
      </c>
      <c r="CA732" s="117">
        <f t="shared" si="19"/>
        <v>1.2706183586726809</v>
      </c>
      <c r="CB732" s="117">
        <f t="shared" si="19"/>
        <v>1.2909482524114437</v>
      </c>
      <c r="CC732" s="117">
        <f t="shared" si="17"/>
        <v>1.3141853209548497</v>
      </c>
      <c r="CD732" s="117">
        <f t="shared" si="17"/>
        <v>1.3956648108540506</v>
      </c>
      <c r="CE732" s="117">
        <f t="shared" si="17"/>
        <v>1.5073179957223748</v>
      </c>
      <c r="CF732" s="117">
        <f t="shared" si="16"/>
        <v>1.5495228996026014</v>
      </c>
      <c r="CG732" s="117">
        <f t="shared" si="16"/>
        <v>1.5758647888958455</v>
      </c>
    </row>
    <row r="733" spans="1:85">
      <c r="A733" s="3"/>
      <c r="B733" s="115">
        <v>2006</v>
      </c>
      <c r="C733" s="3"/>
      <c r="D733" s="3"/>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K733" s="118"/>
      <c r="AL733" s="118"/>
      <c r="AM733" s="118"/>
      <c r="AN733" s="118"/>
      <c r="AO733" s="118"/>
      <c r="AP733" s="118"/>
      <c r="AQ733" s="118"/>
      <c r="AR733" s="118"/>
      <c r="AS733" s="118"/>
      <c r="AT733" s="118"/>
      <c r="AU733" s="118"/>
      <c r="AV733" s="118"/>
      <c r="AW733" s="118"/>
      <c r="AX733" s="118"/>
      <c r="AY733" s="118"/>
      <c r="AZ733" s="118"/>
      <c r="BA733" s="118"/>
      <c r="BB733" s="118"/>
      <c r="BC733" s="118"/>
      <c r="BD733" s="118"/>
      <c r="BE733" s="118"/>
      <c r="BF733" s="118"/>
      <c r="BG733" s="118"/>
      <c r="BH733" s="118"/>
      <c r="BI733" s="118"/>
      <c r="BJ733" s="118"/>
      <c r="BK733" s="118"/>
      <c r="BL733" s="118"/>
      <c r="BM733" s="116">
        <v>1</v>
      </c>
      <c r="BN733" s="117">
        <f t="shared" si="18"/>
        <v>1.014</v>
      </c>
      <c r="BO733" s="117">
        <f t="shared" si="18"/>
        <v>1.0251539999999999</v>
      </c>
      <c r="BP733" s="117">
        <f t="shared" si="18"/>
        <v>1.0579589279999999</v>
      </c>
      <c r="BQ733" s="117">
        <f t="shared" si="18"/>
        <v>1.0611328047839999</v>
      </c>
      <c r="BR733" s="117">
        <f t="shared" si="19"/>
        <v>1.0770497968557597</v>
      </c>
      <c r="BS733" s="117">
        <f t="shared" si="19"/>
        <v>1.1050530915740095</v>
      </c>
      <c r="BT733" s="117">
        <f t="shared" si="19"/>
        <v>1.1304693126802117</v>
      </c>
      <c r="BU733" s="117">
        <f t="shared" si="19"/>
        <v>1.1621224534352577</v>
      </c>
      <c r="BV733" s="117">
        <f t="shared" si="19"/>
        <v>1.1737436779696102</v>
      </c>
      <c r="BW733" s="117">
        <f t="shared" si="19"/>
        <v>1.183133627393367</v>
      </c>
      <c r="BX733" s="117">
        <f t="shared" si="19"/>
        <v>1.1854998946481539</v>
      </c>
      <c r="BY733" s="117">
        <f t="shared" si="19"/>
        <v>1.2020968931732281</v>
      </c>
      <c r="BZ733" s="117">
        <f t="shared" si="19"/>
        <v>1.2165220558913068</v>
      </c>
      <c r="CA733" s="117">
        <f t="shared" si="19"/>
        <v>1.2481516293444808</v>
      </c>
      <c r="CB733" s="117">
        <f t="shared" si="19"/>
        <v>1.2681220554139925</v>
      </c>
      <c r="CC733" s="117">
        <f t="shared" si="17"/>
        <v>1.2909482524114444</v>
      </c>
      <c r="CD733" s="117">
        <f t="shared" si="17"/>
        <v>1.370987044060954</v>
      </c>
      <c r="CE733" s="117">
        <f t="shared" si="17"/>
        <v>1.4806660075858304</v>
      </c>
      <c r="CF733" s="117">
        <f t="shared" si="16"/>
        <v>1.5221246557982337</v>
      </c>
      <c r="CG733" s="117">
        <f t="shared" si="16"/>
        <v>1.5480007749468037</v>
      </c>
    </row>
    <row r="734" spans="1:85">
      <c r="A734" s="3"/>
      <c r="B734" s="115">
        <v>2007</v>
      </c>
      <c r="C734" s="3"/>
      <c r="D734" s="3"/>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K734" s="118"/>
      <c r="AL734" s="118"/>
      <c r="AM734" s="118"/>
      <c r="AN734" s="118"/>
      <c r="AO734" s="118"/>
      <c r="AP734" s="118"/>
      <c r="AQ734" s="118"/>
      <c r="AR734" s="118"/>
      <c r="AS734" s="118"/>
      <c r="AT734" s="118"/>
      <c r="AU734" s="118"/>
      <c r="AV734" s="118"/>
      <c r="AW734" s="118"/>
      <c r="AX734" s="118"/>
      <c r="AY734" s="118"/>
      <c r="AZ734" s="118"/>
      <c r="BA734" s="118"/>
      <c r="BB734" s="118"/>
      <c r="BC734" s="118"/>
      <c r="BD734" s="118"/>
      <c r="BE734" s="118"/>
      <c r="BF734" s="118"/>
      <c r="BG734" s="118"/>
      <c r="BH734" s="118"/>
      <c r="BI734" s="118"/>
      <c r="BJ734" s="118"/>
      <c r="BK734" s="118"/>
      <c r="BL734" s="118"/>
      <c r="BM734" s="118"/>
      <c r="BN734" s="116">
        <v>1</v>
      </c>
      <c r="BO734" s="117">
        <f t="shared" si="18"/>
        <v>1.0109999999999999</v>
      </c>
      <c r="BP734" s="117">
        <f t="shared" si="18"/>
        <v>1.0433519999999998</v>
      </c>
      <c r="BQ734" s="117">
        <f t="shared" si="18"/>
        <v>1.0464820559999997</v>
      </c>
      <c r="BR734" s="117">
        <f t="shared" si="19"/>
        <v>1.0621792868399995</v>
      </c>
      <c r="BS734" s="117">
        <f t="shared" si="19"/>
        <v>1.0897959482978394</v>
      </c>
      <c r="BT734" s="117">
        <f t="shared" si="19"/>
        <v>1.1148612551086896</v>
      </c>
      <c r="BU734" s="117">
        <f t="shared" si="19"/>
        <v>1.1460773702517328</v>
      </c>
      <c r="BV734" s="117">
        <f t="shared" si="19"/>
        <v>1.1575381439542503</v>
      </c>
      <c r="BW734" s="117">
        <f t="shared" si="19"/>
        <v>1.1667984491058843</v>
      </c>
      <c r="BX734" s="117">
        <f t="shared" si="19"/>
        <v>1.1691320460040959</v>
      </c>
      <c r="BY734" s="117">
        <f t="shared" si="19"/>
        <v>1.1854998946481532</v>
      </c>
      <c r="BZ734" s="117">
        <f t="shared" si="19"/>
        <v>1.199725893383931</v>
      </c>
      <c r="CA734" s="117">
        <f t="shared" si="19"/>
        <v>1.2309187666119132</v>
      </c>
      <c r="CB734" s="117">
        <f t="shared" si="19"/>
        <v>1.2506134668777038</v>
      </c>
      <c r="CC734" s="117">
        <f t="shared" si="17"/>
        <v>1.2731245092815024</v>
      </c>
      <c r="CD734" s="117">
        <f t="shared" si="17"/>
        <v>1.3520582288569556</v>
      </c>
      <c r="CE734" s="117">
        <f t="shared" si="17"/>
        <v>1.4602228871655121</v>
      </c>
      <c r="CF734" s="117">
        <f t="shared" si="16"/>
        <v>1.5011091280061464</v>
      </c>
      <c r="CG734" s="117">
        <f t="shared" si="16"/>
        <v>1.5266279831822507</v>
      </c>
    </row>
    <row r="735" spans="1:85">
      <c r="A735" s="3"/>
      <c r="B735" s="115">
        <v>2008</v>
      </c>
      <c r="C735" s="3"/>
      <c r="D735" s="3"/>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c r="AH735" s="118"/>
      <c r="AI735" s="118"/>
      <c r="AJ735" s="118"/>
      <c r="AK735" s="118"/>
      <c r="AL735" s="118"/>
      <c r="AM735" s="118"/>
      <c r="AN735" s="118"/>
      <c r="AO735" s="118"/>
      <c r="AP735" s="118"/>
      <c r="AQ735" s="118"/>
      <c r="AR735" s="118"/>
      <c r="AS735" s="118"/>
      <c r="AT735" s="118"/>
      <c r="AU735" s="118"/>
      <c r="AV735" s="118"/>
      <c r="AW735" s="118"/>
      <c r="AX735" s="118"/>
      <c r="AY735" s="118"/>
      <c r="AZ735" s="118"/>
      <c r="BA735" s="118"/>
      <c r="BB735" s="118"/>
      <c r="BC735" s="118"/>
      <c r="BD735" s="118"/>
      <c r="BE735" s="118"/>
      <c r="BF735" s="118"/>
      <c r="BG735" s="118"/>
      <c r="BH735" s="118"/>
      <c r="BI735" s="118"/>
      <c r="BJ735" s="118"/>
      <c r="BK735" s="118"/>
      <c r="BL735" s="118"/>
      <c r="BM735" s="118"/>
      <c r="BN735" s="118"/>
      <c r="BO735" s="116">
        <v>1</v>
      </c>
      <c r="BP735" s="117">
        <f t="shared" si="18"/>
        <v>1.032</v>
      </c>
      <c r="BQ735" s="117">
        <f t="shared" si="18"/>
        <v>1.035096</v>
      </c>
      <c r="BR735" s="117">
        <f t="shared" si="19"/>
        <v>1.0506224399999999</v>
      </c>
      <c r="BS735" s="117">
        <f t="shared" si="19"/>
        <v>1.0779386234399999</v>
      </c>
      <c r="BT735" s="117">
        <f t="shared" si="19"/>
        <v>1.1027312117791197</v>
      </c>
      <c r="BU735" s="117">
        <f t="shared" si="19"/>
        <v>1.133607685708935</v>
      </c>
      <c r="BV735" s="117">
        <f t="shared" si="19"/>
        <v>1.1449437625660244</v>
      </c>
      <c r="BW735" s="117">
        <f t="shared" si="19"/>
        <v>1.1541033126665525</v>
      </c>
      <c r="BX735" s="117">
        <f t="shared" si="19"/>
        <v>1.1564115192918856</v>
      </c>
      <c r="BY735" s="117">
        <f t="shared" si="19"/>
        <v>1.1726012805619719</v>
      </c>
      <c r="BZ735" s="117">
        <f t="shared" si="19"/>
        <v>1.1866724959287156</v>
      </c>
      <c r="CA735" s="117">
        <f t="shared" si="19"/>
        <v>1.2175259808228622</v>
      </c>
      <c r="CB735" s="117">
        <f t="shared" si="19"/>
        <v>1.2370063965160281</v>
      </c>
      <c r="CC735" s="117">
        <f t="shared" si="17"/>
        <v>1.2592725116533166</v>
      </c>
      <c r="CD735" s="117">
        <f t="shared" si="17"/>
        <v>1.3373474073758223</v>
      </c>
      <c r="CE735" s="117">
        <f t="shared" si="17"/>
        <v>1.4443351999658882</v>
      </c>
      <c r="CF735" s="117">
        <f t="shared" si="16"/>
        <v>1.4847765855649331</v>
      </c>
      <c r="CG735" s="117">
        <f t="shared" si="16"/>
        <v>1.5100177875195369</v>
      </c>
    </row>
    <row r="736" spans="1:85">
      <c r="A736" s="3"/>
      <c r="B736" s="115">
        <v>2009</v>
      </c>
      <c r="C736" s="3"/>
      <c r="D736" s="3"/>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c r="AH736" s="118"/>
      <c r="AI736" s="118"/>
      <c r="AJ736" s="118"/>
      <c r="AK736" s="118"/>
      <c r="AL736" s="118"/>
      <c r="AM736" s="118"/>
      <c r="AN736" s="118"/>
      <c r="AO736" s="118"/>
      <c r="AP736" s="118"/>
      <c r="AQ736" s="118"/>
      <c r="AR736" s="118"/>
      <c r="AS736" s="118"/>
      <c r="AT736" s="118"/>
      <c r="AU736" s="118"/>
      <c r="AV736" s="118"/>
      <c r="AW736" s="118"/>
      <c r="AX736" s="118"/>
      <c r="AY736" s="118"/>
      <c r="AZ736" s="118"/>
      <c r="BA736" s="118"/>
      <c r="BB736" s="118"/>
      <c r="BC736" s="118"/>
      <c r="BD736" s="118"/>
      <c r="BE736" s="118"/>
      <c r="BF736" s="118"/>
      <c r="BG736" s="118"/>
      <c r="BH736" s="118"/>
      <c r="BI736" s="118"/>
      <c r="BJ736" s="118"/>
      <c r="BK736" s="118"/>
      <c r="BL736" s="118"/>
      <c r="BM736" s="118"/>
      <c r="BN736" s="118"/>
      <c r="BO736" s="118"/>
      <c r="BP736" s="116">
        <v>1</v>
      </c>
      <c r="BQ736" s="117">
        <f t="shared" si="18"/>
        <v>1.0029999999999999</v>
      </c>
      <c r="BR736" s="117">
        <f t="shared" si="19"/>
        <v>1.0180449999999999</v>
      </c>
      <c r="BS736" s="117">
        <f t="shared" si="19"/>
        <v>1.0445141699999998</v>
      </c>
      <c r="BT736" s="117">
        <f t="shared" si="19"/>
        <v>1.0685379959099996</v>
      </c>
      <c r="BU736" s="117">
        <f t="shared" si="19"/>
        <v>1.0984570597954797</v>
      </c>
      <c r="BV736" s="117">
        <f t="shared" si="19"/>
        <v>1.1094416303934345</v>
      </c>
      <c r="BW736" s="117">
        <f t="shared" si="19"/>
        <v>1.1183171634365821</v>
      </c>
      <c r="BX736" s="117">
        <f t="shared" si="19"/>
        <v>1.1205537977634552</v>
      </c>
      <c r="BY736" s="117">
        <f t="shared" si="19"/>
        <v>1.1362415509321435</v>
      </c>
      <c r="BZ736" s="117">
        <f t="shared" si="19"/>
        <v>1.1498764495433293</v>
      </c>
      <c r="CA736" s="117">
        <f t="shared" si="19"/>
        <v>1.179773237231456</v>
      </c>
      <c r="CB736" s="117">
        <f t="shared" si="19"/>
        <v>1.1986496090271592</v>
      </c>
      <c r="CC736" s="117">
        <f t="shared" si="17"/>
        <v>1.2202253019896481</v>
      </c>
      <c r="CD736" s="117">
        <f t="shared" si="17"/>
        <v>1.2958792707130062</v>
      </c>
      <c r="CE736" s="117">
        <f t="shared" si="17"/>
        <v>1.3995496123700468</v>
      </c>
      <c r="CF736" s="117">
        <f t="shared" si="16"/>
        <v>1.4387370015164083</v>
      </c>
      <c r="CG736" s="117">
        <f t="shared" si="16"/>
        <v>1.4631955305421871</v>
      </c>
    </row>
    <row r="737" spans="1:85">
      <c r="A737" s="3"/>
      <c r="B737" s="115">
        <v>2010</v>
      </c>
      <c r="C737" s="3"/>
      <c r="D737" s="3"/>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18"/>
      <c r="AP737" s="118"/>
      <c r="AQ737" s="118"/>
      <c r="AR737" s="118"/>
      <c r="AS737" s="118"/>
      <c r="AT737" s="118"/>
      <c r="AU737" s="118"/>
      <c r="AV737" s="118"/>
      <c r="AW737" s="118"/>
      <c r="AX737" s="118"/>
      <c r="AY737" s="118"/>
      <c r="AZ737" s="118"/>
      <c r="BA737" s="118"/>
      <c r="BB737" s="118"/>
      <c r="BC737" s="118"/>
      <c r="BD737" s="118"/>
      <c r="BE737" s="118"/>
      <c r="BF737" s="118"/>
      <c r="BG737" s="118"/>
      <c r="BH737" s="118"/>
      <c r="BI737" s="118"/>
      <c r="BJ737" s="118"/>
      <c r="BK737" s="118"/>
      <c r="BL737" s="118"/>
      <c r="BM737" s="118"/>
      <c r="BN737" s="118"/>
      <c r="BO737" s="118"/>
      <c r="BP737" s="118"/>
      <c r="BQ737" s="116">
        <v>1</v>
      </c>
      <c r="BR737" s="117">
        <f t="shared" si="19"/>
        <v>1.0149999999999999</v>
      </c>
      <c r="BS737" s="117">
        <f t="shared" si="19"/>
        <v>1.0413899999999998</v>
      </c>
      <c r="BT737" s="117">
        <f t="shared" si="19"/>
        <v>1.0653419699999997</v>
      </c>
      <c r="BU737" s="117">
        <f t="shared" si="19"/>
        <v>1.0951715451599997</v>
      </c>
      <c r="BV737" s="117">
        <f t="shared" si="19"/>
        <v>1.1061232606115996</v>
      </c>
      <c r="BW737" s="117">
        <f t="shared" si="19"/>
        <v>1.1149722466964924</v>
      </c>
      <c r="BX737" s="117">
        <f t="shared" si="19"/>
        <v>1.1172021911898855</v>
      </c>
      <c r="BY737" s="117">
        <f t="shared" si="19"/>
        <v>1.132843021866544</v>
      </c>
      <c r="BZ737" s="117">
        <f t="shared" si="19"/>
        <v>1.1464371381289424</v>
      </c>
      <c r="CA737" s="117">
        <f t="shared" si="19"/>
        <v>1.1762445037202949</v>
      </c>
      <c r="CB737" s="117">
        <f t="shared" si="19"/>
        <v>1.1950644157798196</v>
      </c>
      <c r="CC737" s="117">
        <f t="shared" si="17"/>
        <v>1.2165755752638563</v>
      </c>
      <c r="CD737" s="117">
        <f t="shared" si="17"/>
        <v>1.2920032609302154</v>
      </c>
      <c r="CE737" s="117">
        <f t="shared" si="17"/>
        <v>1.3953635218046327</v>
      </c>
      <c r="CF737" s="117">
        <f t="shared" si="17"/>
        <v>1.4344337004151626</v>
      </c>
      <c r="CG737" s="117">
        <f t="shared" si="17"/>
        <v>1.4588190733222202</v>
      </c>
    </row>
    <row r="738" spans="1:85">
      <c r="A738" s="3"/>
      <c r="B738" s="115">
        <v>2011</v>
      </c>
      <c r="C738" s="3"/>
      <c r="D738" s="3"/>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AN738" s="118"/>
      <c r="AO738" s="118"/>
      <c r="AP738" s="118"/>
      <c r="AQ738" s="118"/>
      <c r="AR738" s="118"/>
      <c r="AS738" s="118"/>
      <c r="AT738" s="118"/>
      <c r="AU738" s="118"/>
      <c r="AV738" s="118"/>
      <c r="AW738" s="118"/>
      <c r="AX738" s="118"/>
      <c r="AY738" s="118"/>
      <c r="AZ738" s="118"/>
      <c r="BA738" s="118"/>
      <c r="BB738" s="118"/>
      <c r="BC738" s="118"/>
      <c r="BD738" s="118"/>
      <c r="BE738" s="118"/>
      <c r="BF738" s="118"/>
      <c r="BG738" s="118"/>
      <c r="BH738" s="118"/>
      <c r="BI738" s="118"/>
      <c r="BJ738" s="118"/>
      <c r="BK738" s="118"/>
      <c r="BL738" s="118"/>
      <c r="BM738" s="118"/>
      <c r="BN738" s="118"/>
      <c r="BO738" s="118"/>
      <c r="BP738" s="118"/>
      <c r="BQ738" s="118"/>
      <c r="BR738" s="116">
        <v>1</v>
      </c>
      <c r="BS738" s="117">
        <f t="shared" si="19"/>
        <v>1.026</v>
      </c>
      <c r="BT738" s="117">
        <f t="shared" si="19"/>
        <v>1.049598</v>
      </c>
      <c r="BU738" s="117">
        <f t="shared" si="19"/>
        <v>1.0789867440000001</v>
      </c>
      <c r="BV738" s="117">
        <f t="shared" si="19"/>
        <v>1.08977661144</v>
      </c>
      <c r="BW738" s="117">
        <f t="shared" si="19"/>
        <v>1.09849482433152</v>
      </c>
      <c r="BX738" s="117">
        <f t="shared" si="19"/>
        <v>1.1006918139801831</v>
      </c>
      <c r="BY738" s="117">
        <f t="shared" si="19"/>
        <v>1.1161014993759057</v>
      </c>
      <c r="BZ738" s="117">
        <f t="shared" si="19"/>
        <v>1.1294947173684167</v>
      </c>
      <c r="CA738" s="117">
        <f t="shared" si="19"/>
        <v>1.1588615800199955</v>
      </c>
      <c r="CB738" s="117">
        <f t="shared" si="19"/>
        <v>1.1774033653003155</v>
      </c>
      <c r="CC738" s="117">
        <f t="shared" si="17"/>
        <v>1.1985966258757212</v>
      </c>
      <c r="CD738" s="117">
        <f t="shared" si="17"/>
        <v>1.272909616680016</v>
      </c>
      <c r="CE738" s="117">
        <f t="shared" si="17"/>
        <v>1.3747423860144175</v>
      </c>
      <c r="CF738" s="117">
        <f t="shared" si="17"/>
        <v>1.4132351728228212</v>
      </c>
      <c r="CG738" s="117">
        <f t="shared" si="17"/>
        <v>1.437260170760809</v>
      </c>
    </row>
    <row r="739" spans="1:85">
      <c r="A739" s="3"/>
      <c r="B739" s="115">
        <v>2012</v>
      </c>
      <c r="C739" s="3"/>
      <c r="D739" s="3"/>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AN739" s="118"/>
      <c r="AO739" s="118"/>
      <c r="AP739" s="118"/>
      <c r="AQ739" s="118"/>
      <c r="AR739" s="118"/>
      <c r="AS739" s="118"/>
      <c r="AT739" s="118"/>
      <c r="AU739" s="118"/>
      <c r="AV739" s="118"/>
      <c r="AW739" s="118"/>
      <c r="AX739" s="118"/>
      <c r="AY739" s="118"/>
      <c r="AZ739" s="118"/>
      <c r="BA739" s="118"/>
      <c r="BB739" s="118"/>
      <c r="BC739" s="118"/>
      <c r="BD739" s="118"/>
      <c r="BE739" s="118"/>
      <c r="BF739" s="118"/>
      <c r="BG739" s="118"/>
      <c r="BH739" s="118"/>
      <c r="BI739" s="118"/>
      <c r="BJ739" s="118"/>
      <c r="BK739" s="118"/>
      <c r="BL739" s="118"/>
      <c r="BM739" s="118"/>
      <c r="BN739" s="118"/>
      <c r="BO739" s="118"/>
      <c r="BP739" s="118"/>
      <c r="BQ739" s="118"/>
      <c r="BR739" s="118"/>
      <c r="BS739" s="116">
        <v>1</v>
      </c>
      <c r="BT739" s="117">
        <f t="shared" si="19"/>
        <v>1.0229999999999999</v>
      </c>
      <c r="BU739" s="117">
        <f t="shared" si="19"/>
        <v>1.051644</v>
      </c>
      <c r="BV739" s="117">
        <f t="shared" si="19"/>
        <v>1.06216044</v>
      </c>
      <c r="BW739" s="117">
        <f t="shared" si="19"/>
        <v>1.0706577235199999</v>
      </c>
      <c r="BX739" s="117">
        <f t="shared" si="19"/>
        <v>1.0727990389670399</v>
      </c>
      <c r="BY739" s="117">
        <f t="shared" si="19"/>
        <v>1.0878182255125783</v>
      </c>
      <c r="BZ739" s="117">
        <f t="shared" si="19"/>
        <v>1.1008720442187292</v>
      </c>
      <c r="CA739" s="117">
        <f t="shared" si="19"/>
        <v>1.1294947173684162</v>
      </c>
      <c r="CB739" s="117">
        <f t="shared" si="19"/>
        <v>1.147566632846311</v>
      </c>
      <c r="CC739" s="117">
        <f t="shared" si="17"/>
        <v>1.1682228322375445</v>
      </c>
      <c r="CD739" s="117">
        <f t="shared" si="17"/>
        <v>1.2406526478362723</v>
      </c>
      <c r="CE739" s="117">
        <f t="shared" si="17"/>
        <v>1.3399048596631742</v>
      </c>
      <c r="CF739" s="117">
        <f t="shared" si="17"/>
        <v>1.3774221957337431</v>
      </c>
      <c r="CG739" s="117">
        <f t="shared" si="17"/>
        <v>1.4008383730612166</v>
      </c>
    </row>
    <row r="740" spans="1:85">
      <c r="A740" s="3"/>
      <c r="B740" s="115">
        <v>2013</v>
      </c>
      <c r="C740" s="3"/>
      <c r="D740" s="3"/>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c r="AH740" s="118"/>
      <c r="AI740" s="118"/>
      <c r="AJ740" s="118"/>
      <c r="AK740" s="118"/>
      <c r="AL740" s="118"/>
      <c r="AM740" s="118"/>
      <c r="AN740" s="118"/>
      <c r="AO740" s="118"/>
      <c r="AP740" s="118"/>
      <c r="AQ740" s="118"/>
      <c r="AR740" s="118"/>
      <c r="AS740" s="118"/>
      <c r="AT740" s="118"/>
      <c r="AU740" s="118"/>
      <c r="AV740" s="118"/>
      <c r="AW740" s="118"/>
      <c r="AX740" s="118"/>
      <c r="AY740" s="118"/>
      <c r="AZ740" s="118"/>
      <c r="BA740" s="118"/>
      <c r="BB740" s="118"/>
      <c r="BC740" s="118"/>
      <c r="BD740" s="118"/>
      <c r="BE740" s="118"/>
      <c r="BF740" s="118"/>
      <c r="BG740" s="118"/>
      <c r="BH740" s="118"/>
      <c r="BI740" s="118"/>
      <c r="BJ740" s="118"/>
      <c r="BK740" s="118"/>
      <c r="BL740" s="118"/>
      <c r="BM740" s="118"/>
      <c r="BN740" s="118"/>
      <c r="BO740" s="118"/>
      <c r="BP740" s="118"/>
      <c r="BQ740" s="118"/>
      <c r="BR740" s="118"/>
      <c r="BS740" s="118"/>
      <c r="BT740" s="116">
        <v>1</v>
      </c>
      <c r="BU740" s="117">
        <f t="shared" si="19"/>
        <v>1.028</v>
      </c>
      <c r="BV740" s="117">
        <f t="shared" si="19"/>
        <v>1.0382800000000001</v>
      </c>
      <c r="BW740" s="117">
        <f t="shared" si="19"/>
        <v>1.0465862400000001</v>
      </c>
      <c r="BX740" s="117">
        <f t="shared" si="19"/>
        <v>1.0486794124800001</v>
      </c>
      <c r="BY740" s="117">
        <f t="shared" si="19"/>
        <v>1.0633609242547202</v>
      </c>
      <c r="BZ740" s="117">
        <f t="shared" si="19"/>
        <v>1.0761212553457769</v>
      </c>
      <c r="CA740" s="117">
        <f t="shared" si="19"/>
        <v>1.1041004079847672</v>
      </c>
      <c r="CB740" s="117">
        <f t="shared" si="19"/>
        <v>1.1217660145125234</v>
      </c>
      <c r="CC740" s="117">
        <f t="shared" si="17"/>
        <v>1.1419578027737489</v>
      </c>
      <c r="CD740" s="117">
        <f t="shared" si="17"/>
        <v>1.2127591865457215</v>
      </c>
      <c r="CE740" s="117">
        <f t="shared" si="17"/>
        <v>1.3097799214693793</v>
      </c>
      <c r="CF740" s="117">
        <f t="shared" si="17"/>
        <v>1.3464537592705219</v>
      </c>
      <c r="CG740" s="117">
        <f t="shared" si="17"/>
        <v>1.3693434731781207</v>
      </c>
    </row>
    <row r="741" spans="1:85">
      <c r="A741" s="3"/>
      <c r="B741" s="115">
        <v>2014</v>
      </c>
      <c r="C741" s="3"/>
      <c r="D741" s="3"/>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c r="AH741" s="118"/>
      <c r="AI741" s="118"/>
      <c r="AJ741" s="118"/>
      <c r="AK741" s="118"/>
      <c r="AL741" s="118"/>
      <c r="AM741" s="118"/>
      <c r="AN741" s="118"/>
      <c r="AO741" s="118"/>
      <c r="AP741" s="118"/>
      <c r="AQ741" s="118"/>
      <c r="AR741" s="118"/>
      <c r="AS741" s="118"/>
      <c r="AT741" s="118"/>
      <c r="AU741" s="118"/>
      <c r="AV741" s="118"/>
      <c r="AW741" s="118"/>
      <c r="AX741" s="118"/>
      <c r="AY741" s="118"/>
      <c r="AZ741" s="118"/>
      <c r="BA741" s="118"/>
      <c r="BB741" s="118"/>
      <c r="BC741" s="118"/>
      <c r="BD741" s="118"/>
      <c r="BE741" s="118"/>
      <c r="BF741" s="118"/>
      <c r="BG741" s="118"/>
      <c r="BH741" s="118"/>
      <c r="BI741" s="118"/>
      <c r="BJ741" s="118"/>
      <c r="BK741" s="118"/>
      <c r="BL741" s="118"/>
      <c r="BM741" s="118"/>
      <c r="BN741" s="118"/>
      <c r="BO741" s="118"/>
      <c r="BP741" s="118"/>
      <c r="BQ741" s="118"/>
      <c r="BR741" s="118"/>
      <c r="BS741" s="118"/>
      <c r="BT741" s="118"/>
      <c r="BU741" s="116">
        <v>1</v>
      </c>
      <c r="BV741" s="117">
        <f t="shared" si="19"/>
        <v>1.01</v>
      </c>
      <c r="BW741" s="117">
        <f t="shared" si="19"/>
        <v>1.0180800000000001</v>
      </c>
      <c r="BX741" s="117">
        <f t="shared" si="19"/>
        <v>1.0201161600000002</v>
      </c>
      <c r="BY741" s="117">
        <f t="shared" si="19"/>
        <v>1.0343977862400002</v>
      </c>
      <c r="BZ741" s="117">
        <f t="shared" si="19"/>
        <v>1.0468105596748802</v>
      </c>
      <c r="CA741" s="117">
        <f t="shared" si="19"/>
        <v>1.0740276342264272</v>
      </c>
      <c r="CB741" s="117">
        <f t="shared" si="19"/>
        <v>1.09121207637405</v>
      </c>
      <c r="CC741" s="117">
        <f t="shared" si="17"/>
        <v>1.1108538937487831</v>
      </c>
      <c r="CD741" s="117">
        <f t="shared" si="17"/>
        <v>1.1797268351612076</v>
      </c>
      <c r="CE741" s="117">
        <f t="shared" si="17"/>
        <v>1.2741049819741042</v>
      </c>
      <c r="CF741" s="117">
        <f t="shared" si="17"/>
        <v>1.309779921469379</v>
      </c>
      <c r="CG741" s="117">
        <f t="shared" si="17"/>
        <v>1.3320461801343584</v>
      </c>
    </row>
    <row r="742" spans="1:85">
      <c r="A742" s="3"/>
      <c r="B742" s="115">
        <v>2015</v>
      </c>
      <c r="C742" s="3"/>
      <c r="D742" s="3"/>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c r="AH742" s="118"/>
      <c r="AI742" s="118"/>
      <c r="AJ742" s="118"/>
      <c r="AK742" s="118"/>
      <c r="AL742" s="118"/>
      <c r="AM742" s="118"/>
      <c r="AN742" s="118"/>
      <c r="AO742" s="118"/>
      <c r="AP742" s="118"/>
      <c r="AQ742" s="118"/>
      <c r="AR742" s="118"/>
      <c r="AS742" s="118"/>
      <c r="AT742" s="118"/>
      <c r="AU742" s="118"/>
      <c r="AV742" s="118"/>
      <c r="AW742" s="118"/>
      <c r="AX742" s="118"/>
      <c r="AY742" s="118"/>
      <c r="AZ742" s="118"/>
      <c r="BA742" s="118"/>
      <c r="BB742" s="118"/>
      <c r="BC742" s="118"/>
      <c r="BD742" s="118"/>
      <c r="BE742" s="118"/>
      <c r="BF742" s="118"/>
      <c r="BG742" s="118"/>
      <c r="BH742" s="118"/>
      <c r="BI742" s="118"/>
      <c r="BJ742" s="118"/>
      <c r="BK742" s="118"/>
      <c r="BL742" s="118"/>
      <c r="BM742" s="118"/>
      <c r="BN742" s="118"/>
      <c r="BO742" s="118"/>
      <c r="BP742" s="118"/>
      <c r="BQ742" s="118"/>
      <c r="BR742" s="118"/>
      <c r="BS742" s="118"/>
      <c r="BT742" s="118"/>
      <c r="BU742" s="118"/>
      <c r="BV742" s="116">
        <v>1</v>
      </c>
      <c r="BW742" s="117">
        <f t="shared" si="19"/>
        <v>1.008</v>
      </c>
      <c r="BX742" s="117">
        <f t="shared" si="19"/>
        <v>1.010016</v>
      </c>
      <c r="BY742" s="117">
        <f t="shared" si="19"/>
        <v>1.0241562239999999</v>
      </c>
      <c r="BZ742" s="117">
        <f t="shared" si="19"/>
        <v>1.036446098688</v>
      </c>
      <c r="CA742" s="117">
        <f t="shared" si="19"/>
        <v>1.063393697253888</v>
      </c>
      <c r="CB742" s="117">
        <f t="shared" si="19"/>
        <v>1.0804079964099502</v>
      </c>
      <c r="CC742" s="117">
        <f t="shared" si="17"/>
        <v>1.0998553403453293</v>
      </c>
      <c r="CD742" s="117">
        <f t="shared" si="17"/>
        <v>1.1680463714467397</v>
      </c>
      <c r="CE742" s="117">
        <f t="shared" si="17"/>
        <v>1.261490081162479</v>
      </c>
      <c r="CF742" s="117">
        <f t="shared" si="17"/>
        <v>1.2968118034350284</v>
      </c>
      <c r="CG742" s="117">
        <f t="shared" si="17"/>
        <v>1.3188576040934239</v>
      </c>
    </row>
    <row r="743" spans="1:85">
      <c r="A743" s="3"/>
      <c r="B743" s="115">
        <v>2016</v>
      </c>
      <c r="C743" s="3"/>
      <c r="D743" s="3"/>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c r="AH743" s="118"/>
      <c r="AI743" s="118"/>
      <c r="AJ743" s="118"/>
      <c r="AK743" s="118"/>
      <c r="AL743" s="118"/>
      <c r="AM743" s="118"/>
      <c r="AN743" s="118"/>
      <c r="AO743" s="118"/>
      <c r="AP743" s="118"/>
      <c r="AQ743" s="118"/>
      <c r="AR743" s="118"/>
      <c r="AS743" s="118"/>
      <c r="AT743" s="118"/>
      <c r="AU743" s="118"/>
      <c r="AV743" s="118"/>
      <c r="AW743" s="118"/>
      <c r="AX743" s="118"/>
      <c r="AY743" s="118"/>
      <c r="AZ743" s="118"/>
      <c r="BA743" s="118"/>
      <c r="BB743" s="118"/>
      <c r="BC743" s="118"/>
      <c r="BD743" s="118"/>
      <c r="BE743" s="118"/>
      <c r="BF743" s="118"/>
      <c r="BG743" s="118"/>
      <c r="BH743" s="118"/>
      <c r="BI743" s="118"/>
      <c r="BJ743" s="118"/>
      <c r="BK743" s="118"/>
      <c r="BL743" s="118"/>
      <c r="BM743" s="118"/>
      <c r="BN743" s="118"/>
      <c r="BO743" s="118"/>
      <c r="BP743" s="118"/>
      <c r="BQ743" s="118"/>
      <c r="BR743" s="118"/>
      <c r="BS743" s="118"/>
      <c r="BT743" s="118"/>
      <c r="BU743" s="118"/>
      <c r="BV743" s="118"/>
      <c r="BW743" s="116">
        <v>1</v>
      </c>
      <c r="BX743" s="117">
        <f t="shared" si="19"/>
        <v>1.002</v>
      </c>
      <c r="BY743" s="117">
        <f t="shared" si="19"/>
        <v>1.0160279999999999</v>
      </c>
      <c r="BZ743" s="117">
        <f t="shared" si="19"/>
        <v>1.028220336</v>
      </c>
      <c r="CA743" s="117">
        <f t="shared" si="19"/>
        <v>1.0549540647360001</v>
      </c>
      <c r="CB743" s="117">
        <f t="shared" si="19"/>
        <v>1.0718333297717761</v>
      </c>
      <c r="CC743" s="117">
        <f t="shared" si="17"/>
        <v>1.0911263297076681</v>
      </c>
      <c r="CD743" s="117">
        <f t="shared" si="17"/>
        <v>1.1587761621495436</v>
      </c>
      <c r="CE743" s="117">
        <f t="shared" si="17"/>
        <v>1.2514782551215071</v>
      </c>
      <c r="CF743" s="117">
        <f t="shared" si="17"/>
        <v>1.2865196462649093</v>
      </c>
      <c r="CG743" s="117">
        <f t="shared" si="17"/>
        <v>1.3083904802514126</v>
      </c>
    </row>
    <row r="744" spans="1:85">
      <c r="A744" s="3"/>
      <c r="B744" s="115">
        <v>2017</v>
      </c>
      <c r="C744" s="3"/>
      <c r="D744" s="3"/>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c r="AH744" s="118"/>
      <c r="AI744" s="118"/>
      <c r="AJ744" s="118"/>
      <c r="AK744" s="118"/>
      <c r="AL744" s="118"/>
      <c r="AM744" s="118"/>
      <c r="AN744" s="118"/>
      <c r="AO744" s="118"/>
      <c r="AP744" s="118"/>
      <c r="AQ744" s="118"/>
      <c r="AR744" s="118"/>
      <c r="AS744" s="118"/>
      <c r="AT744" s="118"/>
      <c r="AU744" s="118"/>
      <c r="AV744" s="118"/>
      <c r="AW744" s="118"/>
      <c r="AX744" s="118"/>
      <c r="AY744" s="118"/>
      <c r="AZ744" s="118"/>
      <c r="BA744" s="118"/>
      <c r="BB744" s="118"/>
      <c r="BC744" s="118"/>
      <c r="BD744" s="118"/>
      <c r="BE744" s="118"/>
      <c r="BF744" s="118"/>
      <c r="BG744" s="118"/>
      <c r="BH744" s="118"/>
      <c r="BI744" s="118"/>
      <c r="BJ744" s="118"/>
      <c r="BK744" s="118"/>
      <c r="BL744" s="118"/>
      <c r="BM744" s="118"/>
      <c r="BN744" s="118"/>
      <c r="BO744" s="118"/>
      <c r="BP744" s="118"/>
      <c r="BQ744" s="118"/>
      <c r="BR744" s="118"/>
      <c r="BS744" s="118"/>
      <c r="BT744" s="118"/>
      <c r="BU744" s="118"/>
      <c r="BV744" s="118"/>
      <c r="BW744" s="118"/>
      <c r="BX744" s="116">
        <v>1</v>
      </c>
      <c r="BY744" s="117">
        <f t="shared" si="19"/>
        <v>1.014</v>
      </c>
      <c r="BZ744" s="117">
        <f t="shared" si="19"/>
        <v>1.026168</v>
      </c>
      <c r="CA744" s="117">
        <f t="shared" si="19"/>
        <v>1.052848368</v>
      </c>
      <c r="CB744" s="117">
        <f t="shared" si="19"/>
        <v>1.069693941888</v>
      </c>
      <c r="CC744" s="117">
        <f t="shared" si="17"/>
        <v>1.0889484328419841</v>
      </c>
      <c r="CD744" s="117">
        <f t="shared" si="17"/>
        <v>1.1564632356781872</v>
      </c>
      <c r="CE744" s="117">
        <f t="shared" si="17"/>
        <v>1.2489802945324422</v>
      </c>
      <c r="CF744" s="117">
        <f t="shared" si="17"/>
        <v>1.2839517427793505</v>
      </c>
      <c r="CG744" s="117">
        <f t="shared" si="17"/>
        <v>1.3057789224065994</v>
      </c>
    </row>
    <row r="745" spans="1:85">
      <c r="A745" s="3"/>
      <c r="B745" s="115">
        <v>2018</v>
      </c>
      <c r="C745" s="3"/>
      <c r="D745" s="3"/>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c r="AH745" s="118"/>
      <c r="AI745" s="118"/>
      <c r="AJ745" s="118"/>
      <c r="AK745" s="118"/>
      <c r="AL745" s="118"/>
      <c r="AM745" s="118"/>
      <c r="AN745" s="118"/>
      <c r="AO745" s="118"/>
      <c r="AP745" s="118"/>
      <c r="AQ745" s="118"/>
      <c r="AR745" s="118"/>
      <c r="AS745" s="118"/>
      <c r="AT745" s="118"/>
      <c r="AU745" s="118"/>
      <c r="AV745" s="118"/>
      <c r="AW745" s="118"/>
      <c r="AX745" s="118"/>
      <c r="AY745" s="118"/>
      <c r="AZ745" s="118"/>
      <c r="BA745" s="118"/>
      <c r="BB745" s="118"/>
      <c r="BC745" s="118"/>
      <c r="BD745" s="118"/>
      <c r="BE745" s="118"/>
      <c r="BF745" s="118"/>
      <c r="BG745" s="118"/>
      <c r="BH745" s="118"/>
      <c r="BI745" s="118"/>
      <c r="BJ745" s="118"/>
      <c r="BK745" s="118"/>
      <c r="BL745" s="118"/>
      <c r="BM745" s="118"/>
      <c r="BN745" s="118"/>
      <c r="BO745" s="118"/>
      <c r="BP745" s="118"/>
      <c r="BQ745" s="118"/>
      <c r="BR745" s="118"/>
      <c r="BS745" s="118"/>
      <c r="BT745" s="118"/>
      <c r="BU745" s="118"/>
      <c r="BV745" s="118"/>
      <c r="BW745" s="118"/>
      <c r="BX745" s="118"/>
      <c r="BY745" s="116">
        <v>1</v>
      </c>
      <c r="BZ745" s="117">
        <f t="shared" si="19"/>
        <v>1.012</v>
      </c>
      <c r="CA745" s="117">
        <f t="shared" si="19"/>
        <v>1.0383120000000001</v>
      </c>
      <c r="CB745" s="117">
        <f t="shared" si="19"/>
        <v>1.0549249920000001</v>
      </c>
      <c r="CC745" s="117">
        <f t="shared" si="17"/>
        <v>1.0739136418560002</v>
      </c>
      <c r="CD745" s="117">
        <f t="shared" si="17"/>
        <v>1.1404962876510722</v>
      </c>
      <c r="CE745" s="117">
        <f t="shared" si="17"/>
        <v>1.2317359906631582</v>
      </c>
      <c r="CF745" s="117">
        <f t="shared" si="17"/>
        <v>1.2662245984017266</v>
      </c>
      <c r="CG745" s="117">
        <f t="shared" si="17"/>
        <v>1.2877504165745559</v>
      </c>
    </row>
    <row r="746" spans="1:85">
      <c r="A746" s="3"/>
      <c r="B746" s="115">
        <v>2019</v>
      </c>
      <c r="C746" s="3"/>
      <c r="D746" s="3"/>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AN746" s="118"/>
      <c r="AO746" s="118"/>
      <c r="AP746" s="118"/>
      <c r="AQ746" s="118"/>
      <c r="AR746" s="118"/>
      <c r="AS746" s="118"/>
      <c r="AT746" s="118"/>
      <c r="AU746" s="118"/>
      <c r="AV746" s="118"/>
      <c r="AW746" s="118"/>
      <c r="AX746" s="118"/>
      <c r="AY746" s="118"/>
      <c r="AZ746" s="118"/>
      <c r="BA746" s="118"/>
      <c r="BB746" s="118"/>
      <c r="BC746" s="118"/>
      <c r="BD746" s="118"/>
      <c r="BE746" s="118"/>
      <c r="BF746" s="118"/>
      <c r="BG746" s="118"/>
      <c r="BH746" s="118"/>
      <c r="BI746" s="118"/>
      <c r="BJ746" s="118"/>
      <c r="BK746" s="118"/>
      <c r="BL746" s="118"/>
      <c r="BM746" s="118"/>
      <c r="BN746" s="118"/>
      <c r="BO746" s="118"/>
      <c r="BP746" s="118"/>
      <c r="BQ746" s="118"/>
      <c r="BR746" s="118"/>
      <c r="BS746" s="118"/>
      <c r="BT746" s="118"/>
      <c r="BU746" s="118"/>
      <c r="BV746" s="118"/>
      <c r="BW746" s="118"/>
      <c r="BX746" s="118"/>
      <c r="BY746" s="118"/>
      <c r="BZ746" s="116">
        <v>1</v>
      </c>
      <c r="CA746" s="117">
        <f t="shared" si="19"/>
        <v>1.026</v>
      </c>
      <c r="CB746" s="117">
        <f t="shared" si="19"/>
        <v>1.042416</v>
      </c>
      <c r="CC746" s="117">
        <f t="shared" si="17"/>
        <v>1.0611794880000001</v>
      </c>
      <c r="CD746" s="117">
        <f t="shared" si="17"/>
        <v>1.1269726162560001</v>
      </c>
      <c r="CE746" s="117">
        <f t="shared" si="17"/>
        <v>1.2171304255564801</v>
      </c>
      <c r="CF746" s="117">
        <f t="shared" si="17"/>
        <v>1.2512100774720616</v>
      </c>
      <c r="CG746" s="117">
        <f t="shared" si="17"/>
        <v>1.2724806487890865</v>
      </c>
    </row>
    <row r="747" spans="1:85">
      <c r="A747" s="3"/>
      <c r="B747" s="115">
        <v>2020</v>
      </c>
      <c r="C747" s="3"/>
      <c r="D747" s="3"/>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c r="AH747" s="118"/>
      <c r="AI747" s="118"/>
      <c r="AJ747" s="118"/>
      <c r="AK747" s="118"/>
      <c r="AL747" s="118"/>
      <c r="AM747" s="118"/>
      <c r="AN747" s="118"/>
      <c r="AO747" s="118"/>
      <c r="AP747" s="118"/>
      <c r="AQ747" s="118"/>
      <c r="AR747" s="118"/>
      <c r="AS747" s="118"/>
      <c r="AT747" s="118"/>
      <c r="AU747" s="118"/>
      <c r="AV747" s="118"/>
      <c r="AW747" s="118"/>
      <c r="AX747" s="118"/>
      <c r="AY747" s="118"/>
      <c r="AZ747" s="118"/>
      <c r="BA747" s="118"/>
      <c r="BB747" s="118"/>
      <c r="BC747" s="118"/>
      <c r="BD747" s="118"/>
      <c r="BE747" s="118"/>
      <c r="BF747" s="118"/>
      <c r="BG747" s="118"/>
      <c r="BH747" s="118"/>
      <c r="BI747" s="118"/>
      <c r="BJ747" s="118"/>
      <c r="BK747" s="118"/>
      <c r="BL747" s="118"/>
      <c r="BM747" s="118"/>
      <c r="BN747" s="118"/>
      <c r="BO747" s="118"/>
      <c r="BP747" s="118"/>
      <c r="BQ747" s="118"/>
      <c r="BR747" s="118"/>
      <c r="BS747" s="118"/>
      <c r="BT747" s="118"/>
      <c r="BU747" s="118"/>
      <c r="BV747" s="118"/>
      <c r="BW747" s="118"/>
      <c r="BX747" s="118"/>
      <c r="BY747" s="118"/>
      <c r="BZ747" s="118"/>
      <c r="CA747" s="116">
        <v>1</v>
      </c>
      <c r="CB747" s="117">
        <f t="shared" si="19"/>
        <v>1.016</v>
      </c>
      <c r="CC747" s="117">
        <f t="shared" si="17"/>
        <v>1.0342880000000001</v>
      </c>
      <c r="CD747" s="117">
        <f t="shared" si="17"/>
        <v>1.0984138560000001</v>
      </c>
      <c r="CE747" s="117">
        <f t="shared" si="17"/>
        <v>1.1862869644800003</v>
      </c>
      <c r="CF747" s="117">
        <f t="shared" si="17"/>
        <v>1.2195029994854403</v>
      </c>
      <c r="CG747" s="117">
        <f t="shared" si="17"/>
        <v>1.2402345504766927</v>
      </c>
    </row>
    <row r="748" spans="1:85">
      <c r="A748" s="3"/>
      <c r="B748" s="115">
        <v>2021</v>
      </c>
      <c r="C748" s="3"/>
      <c r="D748" s="3"/>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c r="AH748" s="118"/>
      <c r="AI748" s="118"/>
      <c r="AJ748" s="118"/>
      <c r="AK748" s="118"/>
      <c r="AL748" s="118"/>
      <c r="AM748" s="118"/>
      <c r="AN748" s="118"/>
      <c r="AO748" s="118"/>
      <c r="AP748" s="118"/>
      <c r="AQ748" s="118"/>
      <c r="AR748" s="118"/>
      <c r="AS748" s="118"/>
      <c r="AT748" s="118"/>
      <c r="AU748" s="118"/>
      <c r="AV748" s="118"/>
      <c r="AW748" s="118"/>
      <c r="AX748" s="118"/>
      <c r="AY748" s="118"/>
      <c r="AZ748" s="118"/>
      <c r="BA748" s="118"/>
      <c r="BB748" s="118"/>
      <c r="BC748" s="118"/>
      <c r="BD748" s="118"/>
      <c r="BE748" s="118"/>
      <c r="BF748" s="118"/>
      <c r="BG748" s="118"/>
      <c r="BH748" s="118"/>
      <c r="BI748" s="118"/>
      <c r="BJ748" s="118"/>
      <c r="BK748" s="118"/>
      <c r="BL748" s="118"/>
      <c r="BM748" s="118"/>
      <c r="BN748" s="118"/>
      <c r="BO748" s="118"/>
      <c r="BP748" s="118"/>
      <c r="BQ748" s="118"/>
      <c r="BR748" s="118"/>
      <c r="BS748" s="118"/>
      <c r="BT748" s="118"/>
      <c r="BU748" s="118"/>
      <c r="BV748" s="118"/>
      <c r="BW748" s="118"/>
      <c r="BX748" s="118"/>
      <c r="BY748" s="118"/>
      <c r="BZ748" s="118"/>
      <c r="CA748" s="118"/>
      <c r="CB748" s="116">
        <v>1</v>
      </c>
      <c r="CC748" s="117">
        <f t="shared" si="17"/>
        <v>1.018</v>
      </c>
      <c r="CD748" s="117">
        <f t="shared" si="17"/>
        <v>1.081116</v>
      </c>
      <c r="CE748" s="117">
        <f t="shared" si="17"/>
        <v>1.1676052800000001</v>
      </c>
      <c r="CF748" s="117">
        <f t="shared" si="17"/>
        <v>1.2002982278400001</v>
      </c>
      <c r="CG748" s="117">
        <f t="shared" si="17"/>
        <v>1.2207032977132799</v>
      </c>
    </row>
    <row r="749" spans="1:85">
      <c r="A749" s="3"/>
      <c r="B749" s="115">
        <v>2022</v>
      </c>
      <c r="C749" s="3"/>
      <c r="D749" s="3"/>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c r="AH749" s="118"/>
      <c r="AI749" s="118"/>
      <c r="AJ749" s="118"/>
      <c r="AK749" s="118"/>
      <c r="AL749" s="118"/>
      <c r="AM749" s="118"/>
      <c r="AN749" s="118"/>
      <c r="AO749" s="118"/>
      <c r="AP749" s="118"/>
      <c r="AQ749" s="118"/>
      <c r="AR749" s="118"/>
      <c r="AS749" s="118"/>
      <c r="AT749" s="118"/>
      <c r="AU749" s="118"/>
      <c r="AV749" s="118"/>
      <c r="AW749" s="118"/>
      <c r="AX749" s="118"/>
      <c r="AY749" s="118"/>
      <c r="AZ749" s="118"/>
      <c r="BA749" s="118"/>
      <c r="BB749" s="118"/>
      <c r="BC749" s="118"/>
      <c r="BD749" s="118"/>
      <c r="BE749" s="118"/>
      <c r="BF749" s="118"/>
      <c r="BG749" s="118"/>
      <c r="BH749" s="118"/>
      <c r="BI749" s="118"/>
      <c r="BJ749" s="118"/>
      <c r="BK749" s="118"/>
      <c r="BL749" s="118"/>
      <c r="BM749" s="118"/>
      <c r="BN749" s="118"/>
      <c r="BO749" s="118"/>
      <c r="BP749" s="118"/>
      <c r="BQ749" s="118"/>
      <c r="BR749" s="118"/>
      <c r="BS749" s="118"/>
      <c r="BT749" s="118"/>
      <c r="BU749" s="118"/>
      <c r="BV749" s="118"/>
      <c r="BW749" s="118"/>
      <c r="BX749" s="118"/>
      <c r="BY749" s="118"/>
      <c r="BZ749" s="118"/>
      <c r="CA749" s="118"/>
      <c r="CB749" s="118"/>
      <c r="CC749" s="116">
        <v>1</v>
      </c>
      <c r="CD749" s="117">
        <f>CC749*CD$670</f>
        <v>1.0620000000000001</v>
      </c>
      <c r="CE749" s="117">
        <f>CD749*CE$670</f>
        <v>1.1469600000000002</v>
      </c>
      <c r="CF749" s="117">
        <f t="shared" ref="CF749:CG752" si="20">CE749*CF$670</f>
        <v>1.1790748800000002</v>
      </c>
      <c r="CG749" s="117">
        <f t="shared" si="20"/>
        <v>1.19911915296</v>
      </c>
    </row>
    <row r="750" spans="1:85">
      <c r="A750" s="3"/>
      <c r="B750" s="115">
        <v>2023</v>
      </c>
      <c r="C750" s="3"/>
      <c r="D750" s="3"/>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c r="AH750" s="118"/>
      <c r="AI750" s="118"/>
      <c r="AJ750" s="118"/>
      <c r="AK750" s="118"/>
      <c r="AL750" s="118"/>
      <c r="AM750" s="118"/>
      <c r="AN750" s="118"/>
      <c r="AO750" s="118"/>
      <c r="AP750" s="118"/>
      <c r="AQ750" s="118"/>
      <c r="AR750" s="118"/>
      <c r="AS750" s="118"/>
      <c r="AT750" s="118"/>
      <c r="AU750" s="118"/>
      <c r="AV750" s="118"/>
      <c r="AW750" s="118"/>
      <c r="AX750" s="118"/>
      <c r="AY750" s="118"/>
      <c r="AZ750" s="118"/>
      <c r="BA750" s="118"/>
      <c r="BB750" s="118"/>
      <c r="BC750" s="118"/>
      <c r="BD750" s="118"/>
      <c r="BE750" s="118"/>
      <c r="BF750" s="118"/>
      <c r="BG750" s="118"/>
      <c r="BH750" s="118"/>
      <c r="BI750" s="118"/>
      <c r="BJ750" s="118"/>
      <c r="BK750" s="118"/>
      <c r="BL750" s="118"/>
      <c r="BM750" s="118"/>
      <c r="BN750" s="118"/>
      <c r="BO750" s="118"/>
      <c r="BP750" s="118"/>
      <c r="BQ750" s="118"/>
      <c r="BR750" s="118"/>
      <c r="BS750" s="118"/>
      <c r="BT750" s="118"/>
      <c r="BU750" s="118"/>
      <c r="BV750" s="118"/>
      <c r="BW750" s="118"/>
      <c r="BX750" s="118"/>
      <c r="BY750" s="118"/>
      <c r="BZ750" s="118"/>
      <c r="CA750" s="118"/>
      <c r="CB750" s="118"/>
      <c r="CC750" s="118"/>
      <c r="CD750" s="116">
        <v>1</v>
      </c>
      <c r="CE750" s="117">
        <f>CD750*CE$670</f>
        <v>1.08</v>
      </c>
      <c r="CF750" s="117">
        <f t="shared" si="20"/>
        <v>1.1102400000000001</v>
      </c>
      <c r="CG750" s="117">
        <f t="shared" si="20"/>
        <v>1.1291140799999999</v>
      </c>
    </row>
    <row r="751" spans="1:85">
      <c r="A751" s="3"/>
      <c r="B751" s="115">
        <v>2024</v>
      </c>
      <c r="C751" s="3"/>
      <c r="D751" s="3"/>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c r="AH751" s="118"/>
      <c r="AI751" s="118"/>
      <c r="AJ751" s="118"/>
      <c r="AK751" s="118"/>
      <c r="AL751" s="118"/>
      <c r="AM751" s="118"/>
      <c r="AN751" s="118"/>
      <c r="AO751" s="118"/>
      <c r="AP751" s="118"/>
      <c r="AQ751" s="118"/>
      <c r="AR751" s="118"/>
      <c r="AS751" s="118"/>
      <c r="AT751" s="118"/>
      <c r="AU751" s="118"/>
      <c r="AV751" s="118"/>
      <c r="AW751" s="118"/>
      <c r="AX751" s="118"/>
      <c r="AY751" s="118"/>
      <c r="AZ751" s="118"/>
      <c r="BA751" s="118"/>
      <c r="BB751" s="118"/>
      <c r="BC751" s="118"/>
      <c r="BD751" s="118"/>
      <c r="BE751" s="118"/>
      <c r="BF751" s="118"/>
      <c r="BG751" s="118"/>
      <c r="BH751" s="118"/>
      <c r="BI751" s="118"/>
      <c r="BJ751" s="118"/>
      <c r="BK751" s="118"/>
      <c r="BL751" s="118"/>
      <c r="BM751" s="118"/>
      <c r="BN751" s="118"/>
      <c r="BO751" s="118"/>
      <c r="BP751" s="118"/>
      <c r="BQ751" s="118"/>
      <c r="BR751" s="118"/>
      <c r="BS751" s="118"/>
      <c r="BT751" s="118"/>
      <c r="BU751" s="118"/>
      <c r="BV751" s="118"/>
      <c r="BW751" s="118"/>
      <c r="BX751" s="118"/>
      <c r="BY751" s="118"/>
      <c r="BZ751" s="118"/>
      <c r="CA751" s="118"/>
      <c r="CB751" s="118"/>
      <c r="CC751" s="118"/>
      <c r="CD751" s="118"/>
      <c r="CE751" s="116">
        <v>1</v>
      </c>
      <c r="CF751" s="117">
        <f t="shared" si="20"/>
        <v>1.028</v>
      </c>
      <c r="CG751" s="117">
        <f t="shared" si="20"/>
        <v>1.0454759999999998</v>
      </c>
    </row>
    <row r="752" spans="1:85" ht="13.5" customHeight="1">
      <c r="A752" s="3"/>
      <c r="B752" s="115">
        <v>2025</v>
      </c>
      <c r="C752" s="3"/>
      <c r="D752" s="3"/>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c r="AT752" s="118"/>
      <c r="AU752" s="118"/>
      <c r="AV752" s="118"/>
      <c r="AW752" s="118"/>
      <c r="AX752" s="118"/>
      <c r="AY752" s="118"/>
      <c r="AZ752" s="118"/>
      <c r="BA752" s="118"/>
      <c r="BB752" s="118"/>
      <c r="BC752" s="118"/>
      <c r="BD752" s="118"/>
      <c r="BE752" s="118"/>
      <c r="BF752" s="118"/>
      <c r="BG752" s="118"/>
      <c r="BH752" s="118"/>
      <c r="BI752" s="118"/>
      <c r="BJ752" s="118"/>
      <c r="BK752" s="118"/>
      <c r="BL752" s="118"/>
      <c r="BM752" s="118"/>
      <c r="BN752" s="118"/>
      <c r="BO752" s="118"/>
      <c r="BP752" s="118"/>
      <c r="BQ752" s="118"/>
      <c r="BR752" s="118"/>
      <c r="BS752" s="118"/>
      <c r="BT752" s="118"/>
      <c r="BU752" s="118"/>
      <c r="BV752" s="118"/>
      <c r="BW752" s="118"/>
      <c r="BX752" s="118"/>
      <c r="BY752" s="118"/>
      <c r="BZ752" s="118"/>
      <c r="CA752" s="118"/>
      <c r="CB752" s="118"/>
      <c r="CC752" s="118"/>
      <c r="CD752" s="118"/>
      <c r="CE752" s="118"/>
      <c r="CF752" s="116">
        <v>1</v>
      </c>
      <c r="CG752" s="117">
        <f t="shared" si="20"/>
        <v>1.0169999999999999</v>
      </c>
    </row>
    <row r="753" spans="1:16383">
      <c r="A753" s="3"/>
      <c r="B753" s="115">
        <v>2026</v>
      </c>
      <c r="C753" s="3"/>
      <c r="D753" s="3"/>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c r="AT753" s="118"/>
      <c r="AU753" s="118"/>
      <c r="AV753" s="118"/>
      <c r="AW753" s="118"/>
      <c r="AX753" s="118"/>
      <c r="AY753" s="118"/>
      <c r="AZ753" s="118"/>
      <c r="BA753" s="118"/>
      <c r="BB753" s="118"/>
      <c r="BC753" s="118"/>
      <c r="BD753" s="118"/>
      <c r="BE753" s="118"/>
      <c r="BF753" s="118"/>
      <c r="BG753" s="118"/>
      <c r="BH753" s="118"/>
      <c r="BI753" s="118"/>
      <c r="BJ753" s="118"/>
      <c r="BK753" s="118"/>
      <c r="BL753" s="118"/>
      <c r="BM753" s="118"/>
      <c r="BN753" s="118"/>
      <c r="BO753" s="118"/>
      <c r="BP753" s="118"/>
      <c r="BQ753" s="118"/>
      <c r="BR753" s="118"/>
      <c r="BS753" s="118"/>
      <c r="BT753" s="118"/>
      <c r="BU753" s="118"/>
      <c r="BV753" s="118"/>
      <c r="BW753" s="118"/>
      <c r="BX753" s="118"/>
      <c r="BY753" s="118"/>
      <c r="BZ753" s="118"/>
      <c r="CA753" s="118"/>
      <c r="CB753" s="118"/>
      <c r="CC753" s="118"/>
      <c r="CD753" s="118"/>
      <c r="CE753" s="118"/>
      <c r="CF753" s="118"/>
      <c r="CG753" s="116">
        <v>1</v>
      </c>
    </row>
    <row r="755" spans="1:16383" s="124" customFormat="1">
      <c r="A755" s="98"/>
      <c r="B755" s="33" t="s">
        <v>946</v>
      </c>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33"/>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c r="CM755" s="33"/>
      <c r="CN755" s="33"/>
      <c r="CO755" s="33"/>
      <c r="CP755" s="33"/>
      <c r="CQ755" s="33"/>
      <c r="CR755" s="33"/>
      <c r="CS755" s="123"/>
      <c r="CT755" s="123"/>
      <c r="CU755" s="123"/>
      <c r="CV755" s="123"/>
      <c r="CW755" s="123"/>
      <c r="CX755" s="123"/>
      <c r="CY755" s="123"/>
      <c r="CZ755" s="123"/>
      <c r="DA755" s="123"/>
      <c r="DB755" s="123"/>
      <c r="DC755" s="123"/>
      <c r="DD755" s="123"/>
      <c r="DE755" s="123"/>
      <c r="DF755" s="123"/>
      <c r="DG755" s="123"/>
      <c r="DH755" s="123"/>
      <c r="DI755" s="123"/>
      <c r="DJ755" s="123"/>
      <c r="DK755" s="123"/>
      <c r="DL755" s="123"/>
      <c r="DM755" s="123"/>
      <c r="DN755" s="123"/>
      <c r="DO755" s="123"/>
      <c r="DP755" s="123"/>
      <c r="DQ755" s="123"/>
      <c r="DR755" s="123"/>
      <c r="DS755" s="123"/>
      <c r="DT755" s="123"/>
      <c r="DU755" s="123"/>
      <c r="DV755" s="123"/>
      <c r="DW755" s="123"/>
      <c r="DX755" s="123"/>
      <c r="DY755" s="123"/>
      <c r="DZ755" s="123"/>
      <c r="EA755" s="123"/>
      <c r="EB755" s="123"/>
      <c r="EC755" s="123"/>
      <c r="ED755" s="123"/>
      <c r="EE755" s="123"/>
      <c r="EF755" s="123"/>
      <c r="EG755" s="123"/>
      <c r="EH755" s="123"/>
      <c r="EI755" s="123"/>
      <c r="EJ755" s="123"/>
      <c r="EK755" s="123"/>
      <c r="EL755" s="123"/>
      <c r="EM755" s="123"/>
      <c r="EN755" s="123"/>
      <c r="EO755" s="123"/>
      <c r="EP755" s="123"/>
      <c r="EQ755" s="123"/>
      <c r="ER755" s="123"/>
      <c r="ES755" s="123"/>
      <c r="ET755" s="123"/>
      <c r="EU755" s="123"/>
      <c r="EV755" s="123"/>
      <c r="EW755" s="123"/>
      <c r="EX755" s="123"/>
      <c r="EY755" s="123"/>
      <c r="EZ755" s="123"/>
      <c r="FA755" s="123"/>
      <c r="FB755" s="123"/>
      <c r="FC755" s="123"/>
      <c r="FD755" s="123"/>
      <c r="FE755" s="123"/>
      <c r="FF755" s="123"/>
      <c r="FG755" s="123"/>
      <c r="FH755" s="123"/>
      <c r="FI755" s="123"/>
      <c r="FJ755" s="123"/>
      <c r="FK755" s="123"/>
      <c r="FL755" s="123"/>
      <c r="FM755" s="123"/>
      <c r="FN755" s="123"/>
      <c r="FO755" s="123"/>
      <c r="FP755" s="123"/>
      <c r="FQ755" s="123"/>
      <c r="FR755" s="123"/>
      <c r="FS755" s="123"/>
      <c r="FT755" s="123"/>
      <c r="FU755" s="123"/>
      <c r="FV755" s="123"/>
      <c r="FW755" s="123"/>
      <c r="FX755" s="123"/>
      <c r="FY755" s="123"/>
      <c r="FZ755" s="123"/>
      <c r="GA755" s="123"/>
      <c r="GB755" s="123"/>
      <c r="GC755" s="123"/>
      <c r="GD755" s="123"/>
      <c r="GE755" s="123"/>
      <c r="GF755" s="123"/>
      <c r="GG755" s="123"/>
      <c r="GH755" s="123"/>
      <c r="GI755" s="123"/>
      <c r="GJ755" s="123"/>
      <c r="GK755" s="123"/>
      <c r="GL755" s="123"/>
      <c r="GM755" s="123"/>
      <c r="GN755" s="123"/>
      <c r="GO755" s="123"/>
      <c r="GP755" s="123"/>
      <c r="GQ755" s="123"/>
      <c r="GR755" s="123"/>
      <c r="GS755" s="123"/>
      <c r="GT755" s="123"/>
      <c r="GU755" s="123"/>
      <c r="GV755" s="123"/>
      <c r="GW755" s="123"/>
      <c r="GX755" s="123"/>
      <c r="GY755" s="123"/>
      <c r="GZ755" s="123"/>
      <c r="HA755" s="123"/>
      <c r="HB755" s="123"/>
      <c r="HC755" s="123"/>
      <c r="HD755" s="123"/>
      <c r="HE755" s="123"/>
      <c r="HF755" s="123"/>
      <c r="HG755" s="123"/>
      <c r="HH755" s="123"/>
      <c r="HI755" s="123"/>
      <c r="HJ755" s="123"/>
      <c r="HK755" s="123"/>
      <c r="HL755" s="123"/>
      <c r="HM755" s="123"/>
      <c r="HN755" s="123"/>
      <c r="HO755" s="123"/>
      <c r="HP755" s="123"/>
      <c r="HQ755" s="123"/>
      <c r="HR755" s="123"/>
      <c r="HS755" s="123"/>
      <c r="HT755" s="123"/>
      <c r="HU755" s="123"/>
      <c r="HV755" s="123"/>
      <c r="HW755" s="123"/>
      <c r="HX755" s="123"/>
      <c r="HY755" s="123"/>
      <c r="HZ755" s="123"/>
      <c r="IA755" s="123"/>
      <c r="IB755" s="123"/>
      <c r="IC755" s="123"/>
      <c r="ID755" s="123"/>
      <c r="IE755" s="123"/>
      <c r="IF755" s="123"/>
      <c r="IG755" s="123"/>
      <c r="IH755" s="123"/>
      <c r="II755" s="123"/>
      <c r="IJ755" s="123"/>
      <c r="IK755" s="123"/>
      <c r="IL755" s="123"/>
      <c r="IM755" s="123"/>
      <c r="IN755" s="123"/>
      <c r="IO755" s="123"/>
      <c r="IP755" s="123"/>
      <c r="IQ755" s="123"/>
      <c r="IR755" s="123"/>
      <c r="IS755" s="123"/>
      <c r="IT755" s="123"/>
      <c r="IU755" s="123"/>
      <c r="IV755" s="123"/>
      <c r="IW755" s="123"/>
      <c r="IX755" s="123"/>
      <c r="IY755" s="123"/>
      <c r="IZ755" s="123"/>
      <c r="JA755" s="123"/>
      <c r="JB755" s="123"/>
      <c r="JC755" s="123"/>
      <c r="JD755" s="123"/>
      <c r="JE755" s="123"/>
      <c r="JF755" s="123"/>
      <c r="JG755" s="123"/>
      <c r="JH755" s="123"/>
      <c r="JI755" s="123"/>
      <c r="JJ755" s="123"/>
      <c r="JK755" s="123"/>
      <c r="JL755" s="123"/>
      <c r="JM755" s="123"/>
      <c r="JN755" s="123"/>
      <c r="JO755" s="123"/>
      <c r="JP755" s="123"/>
      <c r="JQ755" s="123"/>
      <c r="JR755" s="123"/>
      <c r="JS755" s="123"/>
      <c r="JT755" s="123"/>
      <c r="JU755" s="123"/>
      <c r="JV755" s="123"/>
      <c r="JW755" s="123"/>
      <c r="JX755" s="123"/>
      <c r="JY755" s="123"/>
      <c r="JZ755" s="123"/>
      <c r="KA755" s="123"/>
      <c r="KB755" s="123"/>
      <c r="KC755" s="123"/>
      <c r="KD755" s="123"/>
      <c r="KE755" s="123"/>
      <c r="KF755" s="123"/>
      <c r="KG755" s="123"/>
      <c r="KH755" s="123"/>
      <c r="KI755" s="123"/>
      <c r="KJ755" s="123"/>
      <c r="KK755" s="123"/>
      <c r="KL755" s="123"/>
      <c r="KM755" s="123"/>
      <c r="KN755" s="123"/>
      <c r="KO755" s="123"/>
      <c r="KP755" s="123"/>
      <c r="KQ755" s="123"/>
      <c r="KR755" s="123"/>
      <c r="KS755" s="123"/>
      <c r="KT755" s="123"/>
      <c r="KU755" s="123"/>
      <c r="KV755" s="123"/>
      <c r="KW755" s="123"/>
      <c r="KX755" s="123"/>
      <c r="KY755" s="123"/>
      <c r="KZ755" s="123"/>
      <c r="LA755" s="123"/>
      <c r="LB755" s="123"/>
      <c r="LC755" s="123"/>
      <c r="LD755" s="123"/>
      <c r="LE755" s="123"/>
      <c r="LF755" s="123"/>
      <c r="LG755" s="123"/>
      <c r="LH755" s="123"/>
      <c r="LI755" s="123"/>
      <c r="LJ755" s="123"/>
      <c r="LK755" s="123"/>
      <c r="LL755" s="123"/>
      <c r="LM755" s="123"/>
      <c r="LN755" s="123"/>
      <c r="LO755" s="123"/>
      <c r="LP755" s="123"/>
      <c r="LQ755" s="123"/>
      <c r="LR755" s="123"/>
      <c r="LS755" s="123"/>
      <c r="LT755" s="123"/>
      <c r="LU755" s="123"/>
      <c r="LV755" s="123"/>
      <c r="LW755" s="123"/>
      <c r="LX755" s="123"/>
      <c r="LY755" s="123"/>
      <c r="LZ755" s="123"/>
      <c r="MA755" s="123"/>
      <c r="MB755" s="123"/>
      <c r="MC755" s="123"/>
      <c r="MD755" s="123"/>
      <c r="ME755" s="123"/>
      <c r="MF755" s="123"/>
      <c r="MG755" s="123"/>
      <c r="MH755" s="123"/>
      <c r="MI755" s="123"/>
      <c r="MJ755" s="123"/>
      <c r="MK755" s="123"/>
      <c r="ML755" s="123"/>
      <c r="MM755" s="123"/>
      <c r="MN755" s="123"/>
      <c r="MO755" s="123"/>
      <c r="MP755" s="123"/>
      <c r="MQ755" s="123"/>
      <c r="MR755" s="123"/>
      <c r="MS755" s="123"/>
      <c r="MT755" s="123"/>
      <c r="MU755" s="123"/>
      <c r="MV755" s="123"/>
      <c r="MW755" s="123"/>
      <c r="MX755" s="123"/>
      <c r="MY755" s="123"/>
      <c r="MZ755" s="123"/>
      <c r="NA755" s="123"/>
      <c r="NB755" s="123"/>
      <c r="NC755" s="123"/>
      <c r="ND755" s="123"/>
      <c r="NE755" s="123"/>
      <c r="NF755" s="123"/>
      <c r="NG755" s="123"/>
      <c r="NH755" s="123"/>
      <c r="NI755" s="123"/>
      <c r="NJ755" s="123"/>
      <c r="NK755" s="123"/>
      <c r="NL755" s="123"/>
      <c r="NM755" s="123"/>
      <c r="NN755" s="123"/>
      <c r="NO755" s="123"/>
      <c r="NP755" s="123"/>
      <c r="NQ755" s="123"/>
      <c r="NR755" s="123"/>
      <c r="NS755" s="123"/>
      <c r="NT755" s="123"/>
      <c r="NU755" s="123"/>
      <c r="NV755" s="123"/>
      <c r="NW755" s="123"/>
      <c r="NX755" s="123"/>
      <c r="NY755" s="123"/>
      <c r="NZ755" s="123"/>
      <c r="OA755" s="123"/>
      <c r="OB755" s="123"/>
      <c r="OC755" s="123"/>
      <c r="OD755" s="123"/>
      <c r="OE755" s="123"/>
      <c r="OF755" s="123"/>
      <c r="OG755" s="123"/>
      <c r="OH755" s="123"/>
      <c r="OI755" s="123"/>
      <c r="OJ755" s="123"/>
      <c r="OK755" s="123"/>
      <c r="OL755" s="123"/>
      <c r="OM755" s="123"/>
      <c r="ON755" s="123"/>
      <c r="OO755" s="123"/>
      <c r="OP755" s="123"/>
      <c r="OQ755" s="123"/>
      <c r="OR755" s="123"/>
      <c r="OS755" s="123"/>
      <c r="OT755" s="123"/>
      <c r="OU755" s="123"/>
      <c r="OV755" s="123"/>
      <c r="OW755" s="123"/>
      <c r="OX755" s="123"/>
      <c r="OY755" s="123"/>
      <c r="OZ755" s="123"/>
      <c r="PA755" s="123"/>
      <c r="PB755" s="123"/>
      <c r="PC755" s="123"/>
      <c r="PD755" s="123"/>
      <c r="PE755" s="123"/>
      <c r="PF755" s="123"/>
      <c r="PG755" s="123"/>
      <c r="PH755" s="123"/>
      <c r="PI755" s="123"/>
      <c r="PJ755" s="123"/>
      <c r="PK755" s="123"/>
      <c r="PL755" s="123"/>
      <c r="PM755" s="123"/>
      <c r="PN755" s="123"/>
      <c r="PO755" s="123"/>
      <c r="PP755" s="123"/>
      <c r="PQ755" s="123"/>
      <c r="PR755" s="123"/>
      <c r="PS755" s="123"/>
      <c r="PT755" s="123"/>
      <c r="PU755" s="123"/>
      <c r="PV755" s="123"/>
      <c r="PW755" s="123"/>
      <c r="PX755" s="123"/>
      <c r="PY755" s="123"/>
      <c r="PZ755" s="123"/>
      <c r="QA755" s="123"/>
      <c r="QB755" s="123"/>
      <c r="QC755" s="123"/>
      <c r="QD755" s="123"/>
      <c r="QE755" s="123"/>
      <c r="QF755" s="123"/>
      <c r="QG755" s="123"/>
      <c r="QH755" s="123"/>
      <c r="QI755" s="123"/>
      <c r="QJ755" s="123"/>
      <c r="QK755" s="123"/>
      <c r="QL755" s="123"/>
      <c r="QM755" s="123"/>
      <c r="QN755" s="123"/>
      <c r="QO755" s="123"/>
      <c r="QP755" s="123"/>
      <c r="QQ755" s="123"/>
      <c r="QR755" s="123"/>
      <c r="QS755" s="123"/>
      <c r="QT755" s="123"/>
      <c r="QU755" s="123"/>
      <c r="QV755" s="123"/>
      <c r="QW755" s="123"/>
      <c r="QX755" s="123"/>
      <c r="QY755" s="123"/>
      <c r="QZ755" s="123"/>
      <c r="RA755" s="123"/>
      <c r="RB755" s="123"/>
      <c r="RC755" s="123"/>
      <c r="RD755" s="123"/>
      <c r="RE755" s="123"/>
      <c r="RF755" s="123"/>
      <c r="RG755" s="123"/>
      <c r="RH755" s="123"/>
      <c r="RI755" s="123"/>
      <c r="RJ755" s="123"/>
      <c r="RK755" s="123"/>
      <c r="RL755" s="123"/>
      <c r="RM755" s="123"/>
      <c r="RN755" s="123"/>
      <c r="RO755" s="123"/>
      <c r="RP755" s="123"/>
      <c r="RQ755" s="123"/>
      <c r="RR755" s="123"/>
      <c r="RS755" s="123"/>
      <c r="RT755" s="123"/>
      <c r="RU755" s="123"/>
      <c r="RV755" s="123"/>
      <c r="RW755" s="123"/>
      <c r="RX755" s="123"/>
      <c r="RY755" s="123"/>
      <c r="RZ755" s="123"/>
      <c r="SA755" s="123"/>
      <c r="SB755" s="123"/>
      <c r="SC755" s="123"/>
      <c r="SD755" s="123"/>
      <c r="SE755" s="123"/>
      <c r="SF755" s="123"/>
      <c r="SG755" s="123"/>
      <c r="SH755" s="123"/>
      <c r="SI755" s="123"/>
      <c r="SJ755" s="123"/>
      <c r="SK755" s="123"/>
      <c r="SL755" s="123"/>
      <c r="SM755" s="123"/>
      <c r="SN755" s="123"/>
      <c r="SO755" s="123"/>
      <c r="SP755" s="123"/>
      <c r="SQ755" s="123"/>
      <c r="SR755" s="123"/>
      <c r="SS755" s="123"/>
      <c r="ST755" s="123"/>
      <c r="SU755" s="123"/>
      <c r="SV755" s="123"/>
      <c r="SW755" s="123"/>
      <c r="SX755" s="123"/>
      <c r="SY755" s="123"/>
      <c r="SZ755" s="123"/>
      <c r="TA755" s="123"/>
      <c r="TB755" s="123"/>
      <c r="TC755" s="123"/>
      <c r="TD755" s="123"/>
      <c r="TE755" s="123"/>
      <c r="TF755" s="123"/>
      <c r="TG755" s="123"/>
      <c r="TH755" s="123"/>
      <c r="TI755" s="123"/>
      <c r="TJ755" s="123"/>
      <c r="TK755" s="123"/>
      <c r="TL755" s="123"/>
      <c r="TM755" s="123"/>
      <c r="TN755" s="123"/>
      <c r="TO755" s="123"/>
      <c r="TP755" s="123"/>
      <c r="TQ755" s="123"/>
      <c r="TR755" s="123"/>
      <c r="TS755" s="123"/>
      <c r="TT755" s="123"/>
      <c r="TU755" s="123"/>
      <c r="TV755" s="123"/>
      <c r="TW755" s="123"/>
      <c r="TX755" s="123"/>
      <c r="TY755" s="123"/>
      <c r="TZ755" s="123"/>
      <c r="UA755" s="123"/>
      <c r="UB755" s="123"/>
      <c r="UC755" s="123"/>
      <c r="UD755" s="123"/>
      <c r="UE755" s="123"/>
      <c r="UF755" s="123"/>
      <c r="UG755" s="123"/>
      <c r="UH755" s="123"/>
      <c r="UI755" s="123"/>
      <c r="UJ755" s="123"/>
      <c r="UK755" s="123"/>
      <c r="UL755" s="123"/>
      <c r="UM755" s="123"/>
      <c r="UN755" s="123"/>
      <c r="UO755" s="123"/>
      <c r="UP755" s="123"/>
      <c r="UQ755" s="123"/>
      <c r="UR755" s="123"/>
      <c r="US755" s="123"/>
      <c r="UT755" s="123"/>
      <c r="UU755" s="123"/>
      <c r="UV755" s="123"/>
      <c r="UW755" s="123"/>
      <c r="UX755" s="123"/>
      <c r="UY755" s="123"/>
      <c r="UZ755" s="123"/>
      <c r="VA755" s="123"/>
      <c r="VB755" s="123"/>
      <c r="VC755" s="123"/>
      <c r="VD755" s="123"/>
      <c r="VE755" s="123"/>
      <c r="VF755" s="123"/>
      <c r="VG755" s="123"/>
      <c r="VH755" s="123"/>
      <c r="VI755" s="123"/>
      <c r="VJ755" s="123"/>
      <c r="VK755" s="123"/>
      <c r="VL755" s="123"/>
      <c r="VM755" s="123"/>
      <c r="VN755" s="123"/>
      <c r="VO755" s="123"/>
      <c r="VP755" s="123"/>
      <c r="VQ755" s="123"/>
      <c r="VR755" s="123"/>
      <c r="VS755" s="123"/>
      <c r="VT755" s="123"/>
      <c r="VU755" s="123"/>
      <c r="VV755" s="123"/>
      <c r="VW755" s="123"/>
      <c r="VX755" s="123"/>
      <c r="VY755" s="123"/>
      <c r="VZ755" s="123"/>
      <c r="WA755" s="123"/>
      <c r="WB755" s="123"/>
      <c r="WC755" s="123"/>
      <c r="WD755" s="123"/>
      <c r="WE755" s="123"/>
      <c r="WF755" s="123"/>
      <c r="WG755" s="123"/>
      <c r="WH755" s="123"/>
      <c r="WI755" s="123"/>
      <c r="WJ755" s="123"/>
      <c r="WK755" s="123"/>
      <c r="WL755" s="123"/>
      <c r="WM755" s="123"/>
      <c r="WN755" s="123"/>
      <c r="WO755" s="123"/>
      <c r="WP755" s="123"/>
      <c r="WQ755" s="123"/>
      <c r="WR755" s="123"/>
      <c r="WS755" s="123"/>
      <c r="WT755" s="123"/>
      <c r="WU755" s="123"/>
      <c r="WV755" s="123"/>
      <c r="WW755" s="123"/>
      <c r="WX755" s="123"/>
      <c r="WY755" s="123"/>
      <c r="WZ755" s="123"/>
      <c r="XA755" s="123"/>
      <c r="XB755" s="123"/>
      <c r="XC755" s="123"/>
      <c r="XD755" s="123"/>
      <c r="XE755" s="123"/>
      <c r="XF755" s="123"/>
      <c r="XG755" s="123"/>
      <c r="XH755" s="123"/>
      <c r="XI755" s="123"/>
      <c r="XJ755" s="123"/>
      <c r="XK755" s="123"/>
      <c r="XL755" s="123"/>
      <c r="XM755" s="123"/>
      <c r="XN755" s="123"/>
      <c r="XO755" s="123"/>
      <c r="XP755" s="123"/>
      <c r="XQ755" s="123"/>
      <c r="XR755" s="123"/>
      <c r="XS755" s="123"/>
      <c r="XT755" s="123"/>
      <c r="XU755" s="123"/>
      <c r="XV755" s="123"/>
      <c r="XW755" s="123"/>
      <c r="XX755" s="123"/>
      <c r="XY755" s="123"/>
      <c r="XZ755" s="123"/>
      <c r="YA755" s="123"/>
      <c r="YB755" s="123"/>
      <c r="YC755" s="123"/>
      <c r="YD755" s="123"/>
      <c r="YE755" s="123"/>
      <c r="YF755" s="123"/>
      <c r="YG755" s="123"/>
      <c r="YH755" s="123"/>
      <c r="YI755" s="123"/>
      <c r="YJ755" s="123"/>
      <c r="YK755" s="123"/>
      <c r="YL755" s="123"/>
      <c r="YM755" s="123"/>
      <c r="YN755" s="123"/>
      <c r="YO755" s="123"/>
      <c r="YP755" s="123"/>
      <c r="YQ755" s="123"/>
      <c r="YR755" s="123"/>
      <c r="YS755" s="123"/>
      <c r="YT755" s="123"/>
      <c r="YU755" s="123"/>
      <c r="YV755" s="123"/>
      <c r="YW755" s="123"/>
      <c r="YX755" s="123"/>
      <c r="YY755" s="123"/>
      <c r="YZ755" s="123"/>
      <c r="ZA755" s="123"/>
      <c r="ZB755" s="123"/>
      <c r="ZC755" s="123"/>
      <c r="ZD755" s="123"/>
      <c r="ZE755" s="123"/>
      <c r="ZF755" s="123"/>
      <c r="ZG755" s="123"/>
      <c r="ZH755" s="123"/>
      <c r="ZI755" s="123"/>
      <c r="ZJ755" s="123"/>
      <c r="ZK755" s="123"/>
      <c r="ZL755" s="123"/>
      <c r="ZM755" s="123"/>
      <c r="ZN755" s="123"/>
      <c r="ZO755" s="123"/>
      <c r="ZP755" s="123"/>
      <c r="ZQ755" s="123"/>
      <c r="ZR755" s="123"/>
      <c r="ZS755" s="123"/>
      <c r="ZT755" s="123"/>
      <c r="ZU755" s="123"/>
      <c r="ZV755" s="123"/>
      <c r="ZW755" s="123"/>
      <c r="ZX755" s="123"/>
      <c r="ZY755" s="123"/>
      <c r="ZZ755" s="123"/>
      <c r="AAA755" s="123"/>
      <c r="AAB755" s="123"/>
      <c r="AAC755" s="123"/>
      <c r="AAD755" s="123"/>
      <c r="AAE755" s="123"/>
      <c r="AAF755" s="123"/>
      <c r="AAG755" s="123"/>
      <c r="AAH755" s="123"/>
      <c r="AAI755" s="123"/>
      <c r="AAJ755" s="123"/>
      <c r="AAK755" s="123"/>
      <c r="AAL755" s="123"/>
      <c r="AAM755" s="123"/>
      <c r="AAN755" s="123"/>
      <c r="AAO755" s="123"/>
      <c r="AAP755" s="123"/>
      <c r="AAQ755" s="123"/>
      <c r="AAR755" s="123"/>
      <c r="AAS755" s="123"/>
      <c r="AAT755" s="123"/>
      <c r="AAU755" s="123"/>
      <c r="AAV755" s="123"/>
      <c r="AAW755" s="123"/>
      <c r="AAX755" s="123"/>
      <c r="AAY755" s="123"/>
      <c r="AAZ755" s="123"/>
      <c r="ABA755" s="123"/>
      <c r="ABB755" s="123"/>
      <c r="ABC755" s="123"/>
      <c r="ABD755" s="123"/>
      <c r="ABE755" s="123"/>
      <c r="ABF755" s="123"/>
      <c r="ABG755" s="123"/>
      <c r="ABH755" s="123"/>
      <c r="ABI755" s="123"/>
      <c r="ABJ755" s="123"/>
      <c r="ABK755" s="123"/>
      <c r="ABL755" s="123"/>
      <c r="ABM755" s="123"/>
      <c r="ABN755" s="123"/>
      <c r="ABO755" s="123"/>
      <c r="ABP755" s="123"/>
      <c r="ABQ755" s="123"/>
      <c r="ABR755" s="123"/>
      <c r="ABS755" s="123"/>
      <c r="ABT755" s="123"/>
      <c r="ABU755" s="123"/>
      <c r="ABV755" s="123"/>
      <c r="ABW755" s="123"/>
      <c r="ABX755" s="123"/>
      <c r="ABY755" s="123"/>
      <c r="ABZ755" s="123"/>
      <c r="ACA755" s="123"/>
      <c r="ACB755" s="123"/>
      <c r="ACC755" s="123"/>
      <c r="ACD755" s="123"/>
      <c r="ACE755" s="123"/>
      <c r="ACF755" s="123"/>
      <c r="ACG755" s="123"/>
      <c r="ACH755" s="123"/>
      <c r="ACI755" s="123"/>
      <c r="ACJ755" s="123"/>
      <c r="ACK755" s="123"/>
      <c r="ACL755" s="123"/>
      <c r="ACM755" s="123"/>
      <c r="ACN755" s="123"/>
      <c r="ACO755" s="123"/>
      <c r="ACP755" s="123"/>
      <c r="ACQ755" s="123"/>
      <c r="ACR755" s="123"/>
      <c r="ACS755" s="123"/>
      <c r="ACT755" s="123"/>
      <c r="ACU755" s="123"/>
      <c r="ACV755" s="123"/>
      <c r="ACW755" s="123"/>
      <c r="ACX755" s="123"/>
      <c r="ACY755" s="123"/>
      <c r="ACZ755" s="123"/>
      <c r="ADA755" s="123"/>
      <c r="ADB755" s="123"/>
      <c r="ADC755" s="123"/>
      <c r="ADD755" s="123"/>
      <c r="ADE755" s="123"/>
      <c r="ADF755" s="123"/>
      <c r="ADG755" s="123"/>
      <c r="ADH755" s="123"/>
      <c r="ADI755" s="123"/>
      <c r="ADJ755" s="123"/>
      <c r="ADK755" s="123"/>
      <c r="ADL755" s="123"/>
      <c r="ADM755" s="123"/>
      <c r="ADN755" s="123"/>
      <c r="ADO755" s="123"/>
      <c r="ADP755" s="123"/>
      <c r="ADQ755" s="123"/>
      <c r="ADR755" s="123"/>
      <c r="ADS755" s="123"/>
      <c r="ADT755" s="123"/>
      <c r="ADU755" s="123"/>
      <c r="ADV755" s="123"/>
      <c r="ADW755" s="123"/>
      <c r="ADX755" s="123"/>
      <c r="ADY755" s="123"/>
      <c r="ADZ755" s="123"/>
      <c r="AEA755" s="123"/>
      <c r="AEB755" s="123"/>
      <c r="AEC755" s="123"/>
      <c r="AED755" s="123"/>
      <c r="AEE755" s="123"/>
      <c r="AEF755" s="123"/>
      <c r="AEG755" s="123"/>
      <c r="AEH755" s="123"/>
      <c r="AEI755" s="123"/>
      <c r="AEJ755" s="123"/>
      <c r="AEK755" s="123"/>
      <c r="AEL755" s="123"/>
      <c r="AEM755" s="123"/>
      <c r="AEN755" s="123"/>
      <c r="AEO755" s="123"/>
      <c r="AEP755" s="123"/>
      <c r="AEQ755" s="123"/>
      <c r="AER755" s="123"/>
      <c r="AES755" s="123"/>
      <c r="AET755" s="123"/>
      <c r="AEU755" s="123"/>
      <c r="AEV755" s="123"/>
      <c r="AEW755" s="123"/>
      <c r="AEX755" s="123"/>
      <c r="AEY755" s="123"/>
      <c r="AEZ755" s="123"/>
      <c r="AFA755" s="123"/>
      <c r="AFB755" s="123"/>
      <c r="AFC755" s="123"/>
      <c r="AFD755" s="123"/>
      <c r="AFE755" s="123"/>
      <c r="AFF755" s="123"/>
      <c r="AFG755" s="123"/>
      <c r="AFH755" s="123"/>
      <c r="AFI755" s="123"/>
      <c r="AFJ755" s="123"/>
      <c r="AFK755" s="123"/>
      <c r="AFL755" s="123"/>
      <c r="AFM755" s="123"/>
      <c r="AFN755" s="123"/>
      <c r="AFO755" s="123"/>
      <c r="AFP755" s="123"/>
      <c r="AFQ755" s="123"/>
      <c r="AFR755" s="123"/>
      <c r="AFS755" s="123"/>
      <c r="AFT755" s="123"/>
      <c r="AFU755" s="123"/>
      <c r="AFV755" s="123"/>
      <c r="AFW755" s="123"/>
      <c r="AFX755" s="123"/>
      <c r="AFY755" s="123"/>
      <c r="AFZ755" s="123"/>
      <c r="AGA755" s="123"/>
      <c r="AGB755" s="123"/>
      <c r="AGC755" s="123"/>
      <c r="AGD755" s="123"/>
      <c r="AGE755" s="123"/>
      <c r="AGF755" s="123"/>
      <c r="AGG755" s="123"/>
      <c r="AGH755" s="123"/>
      <c r="AGI755" s="123"/>
      <c r="AGJ755" s="123"/>
      <c r="AGK755" s="123"/>
      <c r="AGL755" s="123"/>
      <c r="AGM755" s="123"/>
      <c r="AGN755" s="123"/>
      <c r="AGO755" s="123"/>
      <c r="AGP755" s="123"/>
      <c r="AGQ755" s="123"/>
      <c r="AGR755" s="123"/>
      <c r="AGS755" s="123"/>
      <c r="AGT755" s="123"/>
      <c r="AGU755" s="123"/>
      <c r="AGV755" s="123"/>
      <c r="AGW755" s="123"/>
      <c r="AGX755" s="123"/>
      <c r="AGY755" s="123"/>
      <c r="AGZ755" s="123"/>
      <c r="AHA755" s="123"/>
      <c r="AHB755" s="123"/>
      <c r="AHC755" s="123"/>
      <c r="AHD755" s="123"/>
      <c r="AHE755" s="123"/>
      <c r="AHF755" s="123"/>
      <c r="AHG755" s="123"/>
      <c r="AHH755" s="123"/>
      <c r="AHI755" s="123"/>
      <c r="AHJ755" s="123"/>
      <c r="AHK755" s="123"/>
      <c r="AHL755" s="123"/>
      <c r="AHM755" s="123"/>
      <c r="AHN755" s="123"/>
      <c r="AHO755" s="123"/>
      <c r="AHP755" s="123"/>
      <c r="AHQ755" s="123"/>
      <c r="AHR755" s="123"/>
      <c r="AHS755" s="123"/>
      <c r="AHT755" s="123"/>
      <c r="AHU755" s="123"/>
      <c r="AHV755" s="123"/>
      <c r="AHW755" s="123"/>
      <c r="AHX755" s="123"/>
      <c r="AHY755" s="123"/>
      <c r="AHZ755" s="123"/>
      <c r="AIA755" s="123"/>
      <c r="AIB755" s="123"/>
      <c r="AIC755" s="123"/>
      <c r="AID755" s="123"/>
      <c r="AIE755" s="123"/>
      <c r="AIF755" s="123"/>
      <c r="AIG755" s="123"/>
      <c r="AIH755" s="123"/>
      <c r="AII755" s="123"/>
      <c r="AIJ755" s="123"/>
      <c r="AIK755" s="123"/>
      <c r="AIL755" s="123"/>
      <c r="AIM755" s="123"/>
      <c r="AIN755" s="123"/>
      <c r="AIO755" s="123"/>
      <c r="AIP755" s="123"/>
      <c r="AIQ755" s="123"/>
      <c r="AIR755" s="123"/>
      <c r="AIS755" s="123"/>
      <c r="AIT755" s="123"/>
      <c r="AIU755" s="123"/>
      <c r="AIV755" s="123"/>
      <c r="AIW755" s="123"/>
      <c r="AIX755" s="123"/>
      <c r="AIY755" s="123"/>
      <c r="AIZ755" s="123"/>
      <c r="AJA755" s="123"/>
      <c r="AJB755" s="123"/>
      <c r="AJC755" s="123"/>
      <c r="AJD755" s="123"/>
      <c r="AJE755" s="123"/>
      <c r="AJF755" s="123"/>
      <c r="AJG755" s="123"/>
      <c r="AJH755" s="123"/>
      <c r="AJI755" s="123"/>
      <c r="AJJ755" s="123"/>
      <c r="AJK755" s="123"/>
      <c r="AJL755" s="123"/>
      <c r="AJM755" s="123"/>
      <c r="AJN755" s="123"/>
      <c r="AJO755" s="123"/>
      <c r="AJP755" s="123"/>
      <c r="AJQ755" s="123"/>
      <c r="AJR755" s="123"/>
      <c r="AJS755" s="123"/>
      <c r="AJT755" s="123"/>
      <c r="AJU755" s="123"/>
      <c r="AJV755" s="123"/>
      <c r="AJW755" s="123"/>
      <c r="AJX755" s="123"/>
      <c r="AJY755" s="123"/>
      <c r="AJZ755" s="123"/>
      <c r="AKA755" s="123"/>
      <c r="AKB755" s="123"/>
      <c r="AKC755" s="123"/>
      <c r="AKD755" s="123"/>
      <c r="AKE755" s="123"/>
      <c r="AKF755" s="123"/>
      <c r="AKG755" s="123"/>
      <c r="AKH755" s="123"/>
      <c r="AKI755" s="123"/>
      <c r="AKJ755" s="123"/>
      <c r="AKK755" s="123"/>
      <c r="AKL755" s="123"/>
      <c r="AKM755" s="123"/>
      <c r="AKN755" s="123"/>
      <c r="AKO755" s="123"/>
      <c r="AKP755" s="123"/>
      <c r="AKQ755" s="123"/>
      <c r="AKR755" s="123"/>
      <c r="AKS755" s="123"/>
      <c r="AKT755" s="123"/>
      <c r="AKU755" s="123"/>
      <c r="AKV755" s="123"/>
      <c r="AKW755" s="123"/>
      <c r="AKX755" s="123"/>
      <c r="AKY755" s="123"/>
      <c r="AKZ755" s="123"/>
      <c r="ALA755" s="123"/>
      <c r="ALB755" s="123"/>
      <c r="ALC755" s="123"/>
      <c r="ALD755" s="123"/>
      <c r="ALE755" s="123"/>
      <c r="ALF755" s="123"/>
      <c r="ALG755" s="123"/>
      <c r="ALH755" s="123"/>
      <c r="ALI755" s="123"/>
      <c r="ALJ755" s="123"/>
      <c r="ALK755" s="123"/>
      <c r="ALL755" s="123"/>
      <c r="ALM755" s="123"/>
      <c r="ALN755" s="123"/>
      <c r="ALO755" s="123"/>
      <c r="ALP755" s="123"/>
      <c r="ALQ755" s="123"/>
      <c r="ALR755" s="123"/>
      <c r="ALS755" s="123"/>
      <c r="ALT755" s="123"/>
      <c r="ALU755" s="123"/>
      <c r="ALV755" s="123"/>
      <c r="ALW755" s="123"/>
      <c r="ALX755" s="123"/>
      <c r="ALY755" s="123"/>
      <c r="ALZ755" s="123"/>
      <c r="AMA755" s="123"/>
      <c r="AMB755" s="123"/>
      <c r="AMC755" s="123"/>
      <c r="AMD755" s="123"/>
      <c r="AME755" s="123"/>
      <c r="AMF755" s="123"/>
      <c r="AMG755" s="123"/>
      <c r="AMH755" s="123"/>
      <c r="AMI755" s="123"/>
      <c r="AMJ755" s="123"/>
      <c r="AMK755" s="123"/>
      <c r="AML755" s="123"/>
      <c r="AMM755" s="123"/>
      <c r="AMN755" s="123"/>
      <c r="AMO755" s="123"/>
      <c r="AMP755" s="123"/>
      <c r="AMQ755" s="123"/>
      <c r="AMR755" s="123"/>
      <c r="AMS755" s="123"/>
      <c r="AMT755" s="123"/>
      <c r="AMU755" s="123"/>
      <c r="AMV755" s="123"/>
      <c r="AMW755" s="123"/>
      <c r="AMX755" s="123"/>
      <c r="AMY755" s="123"/>
      <c r="AMZ755" s="123"/>
      <c r="ANA755" s="123"/>
      <c r="ANB755" s="123"/>
      <c r="ANC755" s="123"/>
      <c r="AND755" s="123"/>
      <c r="ANE755" s="123"/>
      <c r="ANF755" s="123"/>
      <c r="ANG755" s="123"/>
      <c r="ANH755" s="123"/>
      <c r="ANI755" s="123"/>
      <c r="ANJ755" s="123"/>
      <c r="ANK755" s="123"/>
      <c r="ANL755" s="123"/>
      <c r="ANM755" s="123"/>
      <c r="ANN755" s="123"/>
      <c r="ANO755" s="123"/>
      <c r="ANP755" s="123"/>
      <c r="ANQ755" s="123"/>
      <c r="ANR755" s="123"/>
      <c r="ANS755" s="123"/>
      <c r="ANT755" s="123"/>
      <c r="ANU755" s="123"/>
      <c r="ANV755" s="123"/>
      <c r="ANW755" s="123"/>
      <c r="ANX755" s="123"/>
      <c r="ANY755" s="123"/>
      <c r="ANZ755" s="123"/>
      <c r="AOA755" s="123"/>
      <c r="AOB755" s="123"/>
      <c r="AOC755" s="123"/>
      <c r="AOD755" s="123"/>
      <c r="AOE755" s="123"/>
      <c r="AOF755" s="123"/>
      <c r="AOG755" s="123"/>
      <c r="AOH755" s="123"/>
      <c r="AOI755" s="123"/>
      <c r="AOJ755" s="123"/>
      <c r="AOK755" s="123"/>
      <c r="AOL755" s="123"/>
      <c r="AOM755" s="123"/>
      <c r="AON755" s="123"/>
      <c r="AOO755" s="123"/>
      <c r="AOP755" s="123"/>
      <c r="AOQ755" s="123"/>
      <c r="AOR755" s="123"/>
      <c r="AOS755" s="123"/>
      <c r="AOT755" s="123"/>
      <c r="AOU755" s="123"/>
      <c r="AOV755" s="123"/>
      <c r="AOW755" s="123"/>
      <c r="AOX755" s="123"/>
      <c r="AOY755" s="123"/>
      <c r="AOZ755" s="123"/>
      <c r="APA755" s="123"/>
      <c r="APB755" s="123"/>
      <c r="APC755" s="123"/>
      <c r="APD755" s="123"/>
      <c r="APE755" s="123"/>
      <c r="APF755" s="123"/>
      <c r="APG755" s="123"/>
      <c r="APH755" s="123"/>
      <c r="API755" s="123"/>
      <c r="APJ755" s="123"/>
      <c r="APK755" s="123"/>
      <c r="APL755" s="123"/>
      <c r="APM755" s="123"/>
      <c r="APN755" s="123"/>
      <c r="APO755" s="123"/>
      <c r="APP755" s="123"/>
      <c r="APQ755" s="123"/>
      <c r="APR755" s="123"/>
      <c r="APS755" s="123"/>
      <c r="APT755" s="123"/>
      <c r="APU755" s="123"/>
      <c r="APV755" s="123"/>
      <c r="APW755" s="123"/>
      <c r="APX755" s="123"/>
      <c r="APY755" s="123"/>
      <c r="APZ755" s="123"/>
      <c r="AQA755" s="123"/>
      <c r="AQB755" s="123"/>
      <c r="AQC755" s="123"/>
      <c r="AQD755" s="123"/>
      <c r="AQE755" s="123"/>
      <c r="AQF755" s="123"/>
      <c r="AQG755" s="123"/>
      <c r="AQH755" s="123"/>
      <c r="AQI755" s="123"/>
      <c r="AQJ755" s="123"/>
      <c r="AQK755" s="123"/>
      <c r="AQL755" s="123"/>
      <c r="AQM755" s="123"/>
      <c r="AQN755" s="123"/>
      <c r="AQO755" s="123"/>
      <c r="AQP755" s="123"/>
      <c r="AQQ755" s="123"/>
      <c r="AQR755" s="123"/>
      <c r="AQS755" s="123"/>
      <c r="AQT755" s="123"/>
      <c r="AQU755" s="123"/>
      <c r="AQV755" s="123"/>
      <c r="AQW755" s="123"/>
      <c r="AQX755" s="123"/>
      <c r="AQY755" s="123"/>
      <c r="AQZ755" s="123"/>
      <c r="ARA755" s="123"/>
      <c r="ARB755" s="123"/>
      <c r="ARC755" s="123"/>
      <c r="ARD755" s="123"/>
      <c r="ARE755" s="123"/>
      <c r="ARF755" s="123"/>
      <c r="ARG755" s="123"/>
      <c r="ARH755" s="123"/>
      <c r="ARI755" s="123"/>
      <c r="ARJ755" s="123"/>
      <c r="ARK755" s="123"/>
      <c r="ARL755" s="123"/>
      <c r="ARM755" s="123"/>
      <c r="ARN755" s="123"/>
      <c r="ARO755" s="123"/>
      <c r="ARP755" s="123"/>
      <c r="ARQ755" s="123"/>
      <c r="ARR755" s="123"/>
      <c r="ARS755" s="123"/>
      <c r="ART755" s="123"/>
      <c r="ARU755" s="123"/>
      <c r="ARV755" s="123"/>
      <c r="ARW755" s="123"/>
      <c r="ARX755" s="123"/>
      <c r="ARY755" s="123"/>
      <c r="ARZ755" s="123"/>
      <c r="ASA755" s="123"/>
      <c r="ASB755" s="123"/>
      <c r="ASC755" s="123"/>
      <c r="ASD755" s="123"/>
      <c r="ASE755" s="123"/>
      <c r="ASF755" s="123"/>
      <c r="ASG755" s="123"/>
      <c r="ASH755" s="123"/>
      <c r="ASI755" s="123"/>
      <c r="ASJ755" s="123"/>
      <c r="ASK755" s="123"/>
      <c r="ASL755" s="123"/>
      <c r="ASM755" s="123"/>
      <c r="ASN755" s="123"/>
      <c r="ASO755" s="123"/>
      <c r="ASP755" s="123"/>
      <c r="ASQ755" s="123"/>
      <c r="ASR755" s="123"/>
      <c r="ASS755" s="123"/>
      <c r="AST755" s="123"/>
      <c r="ASU755" s="123"/>
      <c r="ASV755" s="123"/>
      <c r="ASW755" s="123"/>
      <c r="ASX755" s="123"/>
      <c r="ASY755" s="123"/>
      <c r="ASZ755" s="123"/>
      <c r="ATA755" s="123"/>
      <c r="ATB755" s="123"/>
      <c r="ATC755" s="123"/>
      <c r="ATD755" s="123"/>
      <c r="ATE755" s="123"/>
      <c r="ATF755" s="123"/>
      <c r="ATG755" s="123"/>
      <c r="ATH755" s="123"/>
      <c r="ATI755" s="123"/>
      <c r="ATJ755" s="123"/>
      <c r="ATK755" s="123"/>
      <c r="ATL755" s="123"/>
      <c r="ATM755" s="123"/>
      <c r="ATN755" s="123"/>
      <c r="ATO755" s="123"/>
      <c r="ATP755" s="123"/>
      <c r="ATQ755" s="123"/>
      <c r="ATR755" s="123"/>
      <c r="ATS755" s="123"/>
      <c r="ATT755" s="123"/>
      <c r="ATU755" s="123"/>
      <c r="ATV755" s="123"/>
      <c r="ATW755" s="123"/>
      <c r="ATX755" s="123"/>
      <c r="ATY755" s="123"/>
      <c r="ATZ755" s="123"/>
      <c r="AUA755" s="123"/>
      <c r="AUB755" s="123"/>
      <c r="AUC755" s="123"/>
      <c r="AUD755" s="123"/>
      <c r="AUE755" s="123"/>
      <c r="AUF755" s="123"/>
      <c r="AUG755" s="123"/>
      <c r="AUH755" s="123"/>
      <c r="AUI755" s="123"/>
      <c r="AUJ755" s="123"/>
      <c r="AUK755" s="123"/>
      <c r="AUL755" s="123"/>
      <c r="AUM755" s="123"/>
      <c r="AUN755" s="123"/>
      <c r="AUO755" s="123"/>
      <c r="AUP755" s="123"/>
      <c r="AUQ755" s="123"/>
      <c r="AUR755" s="123"/>
      <c r="AUS755" s="123"/>
      <c r="AUT755" s="123"/>
      <c r="AUU755" s="123"/>
      <c r="AUV755" s="123"/>
      <c r="AUW755" s="123"/>
      <c r="AUX755" s="123"/>
      <c r="AUY755" s="123"/>
      <c r="AUZ755" s="123"/>
      <c r="AVA755" s="123"/>
      <c r="AVB755" s="123"/>
      <c r="AVC755" s="123"/>
      <c r="AVD755" s="123"/>
      <c r="AVE755" s="123"/>
      <c r="AVF755" s="123"/>
      <c r="AVG755" s="123"/>
      <c r="AVH755" s="123"/>
      <c r="AVI755" s="123"/>
      <c r="AVJ755" s="123"/>
      <c r="AVK755" s="123"/>
      <c r="AVL755" s="123"/>
      <c r="AVM755" s="123"/>
      <c r="AVN755" s="123"/>
      <c r="AVO755" s="123"/>
      <c r="AVP755" s="123"/>
      <c r="AVQ755" s="123"/>
      <c r="AVR755" s="123"/>
      <c r="AVS755" s="123"/>
      <c r="AVT755" s="123"/>
      <c r="AVU755" s="123"/>
      <c r="AVV755" s="123"/>
      <c r="AVW755" s="123"/>
      <c r="AVX755" s="123"/>
      <c r="AVY755" s="123"/>
      <c r="AVZ755" s="123"/>
      <c r="AWA755" s="123"/>
      <c r="AWB755" s="123"/>
      <c r="AWC755" s="123"/>
      <c r="AWD755" s="123"/>
      <c r="AWE755" s="123"/>
      <c r="AWF755" s="123"/>
      <c r="AWG755" s="123"/>
      <c r="AWH755" s="123"/>
      <c r="AWI755" s="123"/>
      <c r="AWJ755" s="123"/>
      <c r="AWK755" s="123"/>
      <c r="AWL755" s="123"/>
      <c r="AWM755" s="123"/>
      <c r="AWN755" s="123"/>
      <c r="AWO755" s="123"/>
      <c r="AWP755" s="123"/>
      <c r="AWQ755" s="123"/>
      <c r="AWR755" s="123"/>
      <c r="AWS755" s="123"/>
      <c r="AWT755" s="123"/>
      <c r="AWU755" s="123"/>
      <c r="AWV755" s="123"/>
      <c r="AWW755" s="123"/>
      <c r="AWX755" s="123"/>
      <c r="AWY755" s="123"/>
      <c r="AWZ755" s="123"/>
      <c r="AXA755" s="123"/>
      <c r="AXB755" s="123"/>
      <c r="AXC755" s="123"/>
      <c r="AXD755" s="123"/>
      <c r="AXE755" s="123"/>
      <c r="AXF755" s="123"/>
      <c r="AXG755" s="123"/>
      <c r="AXH755" s="123"/>
      <c r="AXI755" s="123"/>
      <c r="AXJ755" s="123"/>
      <c r="AXK755" s="123"/>
      <c r="AXL755" s="123"/>
      <c r="AXM755" s="123"/>
      <c r="AXN755" s="123"/>
      <c r="AXO755" s="123"/>
      <c r="AXP755" s="123"/>
      <c r="AXQ755" s="123"/>
      <c r="AXR755" s="123"/>
      <c r="AXS755" s="123"/>
      <c r="AXT755" s="123"/>
      <c r="AXU755" s="123"/>
      <c r="AXV755" s="123"/>
      <c r="AXW755" s="123"/>
      <c r="AXX755" s="123"/>
      <c r="AXY755" s="123"/>
      <c r="AXZ755" s="123"/>
      <c r="AYA755" s="123"/>
      <c r="AYB755" s="123"/>
      <c r="AYC755" s="123"/>
      <c r="AYD755" s="123"/>
      <c r="AYE755" s="123"/>
      <c r="AYF755" s="123"/>
      <c r="AYG755" s="123"/>
      <c r="AYH755" s="123"/>
      <c r="AYI755" s="123"/>
      <c r="AYJ755" s="123"/>
      <c r="AYK755" s="123"/>
      <c r="AYL755" s="123"/>
      <c r="AYM755" s="123"/>
      <c r="AYN755" s="123"/>
      <c r="AYO755" s="123"/>
      <c r="AYP755" s="123"/>
      <c r="AYQ755" s="123"/>
      <c r="AYR755" s="123"/>
      <c r="AYS755" s="123"/>
      <c r="AYT755" s="123"/>
      <c r="AYU755" s="123"/>
      <c r="AYV755" s="123"/>
      <c r="AYW755" s="123"/>
      <c r="AYX755" s="123"/>
      <c r="AYY755" s="123"/>
      <c r="AYZ755" s="123"/>
      <c r="AZA755" s="123"/>
      <c r="AZB755" s="123"/>
      <c r="AZC755" s="123"/>
      <c r="AZD755" s="123"/>
      <c r="AZE755" s="123"/>
      <c r="AZF755" s="123"/>
      <c r="AZG755" s="123"/>
      <c r="AZH755" s="123"/>
      <c r="AZI755" s="123"/>
      <c r="AZJ755" s="123"/>
      <c r="AZK755" s="123"/>
      <c r="AZL755" s="123"/>
      <c r="AZM755" s="123"/>
      <c r="AZN755" s="123"/>
      <c r="AZO755" s="123"/>
      <c r="AZP755" s="123"/>
      <c r="AZQ755" s="123"/>
      <c r="AZR755" s="123"/>
      <c r="AZS755" s="123"/>
      <c r="AZT755" s="123"/>
      <c r="AZU755" s="123"/>
      <c r="AZV755" s="123"/>
      <c r="AZW755" s="123"/>
      <c r="AZX755" s="123"/>
      <c r="AZY755" s="123"/>
      <c r="AZZ755" s="123"/>
      <c r="BAA755" s="123"/>
      <c r="BAB755" s="123"/>
      <c r="BAC755" s="123"/>
      <c r="BAD755" s="123"/>
      <c r="BAE755" s="123"/>
      <c r="BAF755" s="123"/>
      <c r="BAG755" s="123"/>
      <c r="BAH755" s="123"/>
      <c r="BAI755" s="123"/>
      <c r="BAJ755" s="123"/>
      <c r="BAK755" s="123"/>
      <c r="BAL755" s="123"/>
      <c r="BAM755" s="123"/>
      <c r="BAN755" s="123"/>
      <c r="BAO755" s="123"/>
      <c r="BAP755" s="123"/>
      <c r="BAQ755" s="123"/>
      <c r="BAR755" s="123"/>
      <c r="BAS755" s="123"/>
      <c r="BAT755" s="123"/>
      <c r="BAU755" s="123"/>
      <c r="BAV755" s="123"/>
      <c r="BAW755" s="123"/>
      <c r="BAX755" s="123"/>
      <c r="BAY755" s="123"/>
      <c r="BAZ755" s="123"/>
      <c r="BBA755" s="123"/>
      <c r="BBB755" s="123"/>
      <c r="BBC755" s="123"/>
      <c r="BBD755" s="123"/>
      <c r="BBE755" s="123"/>
      <c r="BBF755" s="123"/>
      <c r="BBG755" s="123"/>
      <c r="BBH755" s="123"/>
      <c r="BBI755" s="123"/>
      <c r="BBJ755" s="123"/>
      <c r="BBK755" s="123"/>
      <c r="BBL755" s="123"/>
      <c r="BBM755" s="123"/>
      <c r="BBN755" s="123"/>
      <c r="BBO755" s="123"/>
      <c r="BBP755" s="123"/>
      <c r="BBQ755" s="123"/>
      <c r="BBR755" s="123"/>
      <c r="BBS755" s="123"/>
      <c r="BBT755" s="123"/>
      <c r="BBU755" s="123"/>
      <c r="BBV755" s="123"/>
      <c r="BBW755" s="123"/>
      <c r="BBX755" s="123"/>
      <c r="BBY755" s="123"/>
      <c r="BBZ755" s="123"/>
      <c r="BCA755" s="123"/>
      <c r="BCB755" s="123"/>
      <c r="BCC755" s="123"/>
      <c r="BCD755" s="123"/>
      <c r="BCE755" s="123"/>
      <c r="BCF755" s="123"/>
      <c r="BCG755" s="123"/>
      <c r="BCH755" s="123"/>
      <c r="BCI755" s="123"/>
      <c r="BCJ755" s="123"/>
      <c r="BCK755" s="123"/>
      <c r="BCL755" s="123"/>
      <c r="BCM755" s="123"/>
      <c r="BCN755" s="123"/>
      <c r="BCO755" s="123"/>
      <c r="BCP755" s="123"/>
      <c r="BCQ755" s="123"/>
      <c r="BCR755" s="123"/>
      <c r="BCS755" s="123"/>
      <c r="BCT755" s="123"/>
      <c r="BCU755" s="123"/>
      <c r="BCV755" s="123"/>
      <c r="BCW755" s="123"/>
      <c r="BCX755" s="123"/>
      <c r="BCY755" s="123"/>
      <c r="BCZ755" s="123"/>
      <c r="BDA755" s="123"/>
      <c r="BDB755" s="123"/>
      <c r="BDC755" s="123"/>
      <c r="BDD755" s="123"/>
      <c r="BDE755" s="123"/>
      <c r="BDF755" s="123"/>
      <c r="BDG755" s="123"/>
      <c r="BDH755" s="123"/>
      <c r="BDI755" s="123"/>
      <c r="BDJ755" s="123"/>
      <c r="BDK755" s="123"/>
      <c r="BDL755" s="123"/>
      <c r="BDM755" s="123"/>
      <c r="BDN755" s="123"/>
      <c r="BDO755" s="123"/>
      <c r="BDP755" s="123"/>
      <c r="BDQ755" s="123"/>
      <c r="BDR755" s="123"/>
      <c r="BDS755" s="123"/>
      <c r="BDT755" s="123"/>
      <c r="BDU755" s="123"/>
      <c r="BDV755" s="123"/>
      <c r="BDW755" s="123"/>
      <c r="BDX755" s="123"/>
      <c r="BDY755" s="123"/>
      <c r="BDZ755" s="123"/>
      <c r="BEA755" s="123"/>
      <c r="BEB755" s="123"/>
      <c r="BEC755" s="123"/>
      <c r="BED755" s="123"/>
      <c r="BEE755" s="123"/>
      <c r="BEF755" s="123"/>
      <c r="BEG755" s="123"/>
      <c r="BEH755" s="123"/>
      <c r="BEI755" s="123"/>
      <c r="BEJ755" s="123"/>
      <c r="BEK755" s="123"/>
      <c r="BEL755" s="123"/>
      <c r="BEM755" s="123"/>
      <c r="BEN755" s="123"/>
      <c r="BEO755" s="123"/>
      <c r="BEP755" s="123"/>
      <c r="BEQ755" s="123"/>
      <c r="BER755" s="123"/>
      <c r="BES755" s="123"/>
      <c r="BET755" s="123"/>
      <c r="BEU755" s="123"/>
      <c r="BEV755" s="123"/>
      <c r="BEW755" s="123"/>
      <c r="BEX755" s="123"/>
      <c r="BEY755" s="123"/>
      <c r="BEZ755" s="123"/>
      <c r="BFA755" s="123"/>
      <c r="BFB755" s="123"/>
      <c r="BFC755" s="123"/>
      <c r="BFD755" s="123"/>
      <c r="BFE755" s="123"/>
      <c r="BFF755" s="123"/>
      <c r="BFG755" s="123"/>
      <c r="BFH755" s="123"/>
      <c r="BFI755" s="123"/>
      <c r="BFJ755" s="123"/>
      <c r="BFK755" s="123"/>
      <c r="BFL755" s="123"/>
      <c r="BFM755" s="123"/>
      <c r="BFN755" s="123"/>
      <c r="BFO755" s="123"/>
      <c r="BFP755" s="123"/>
      <c r="BFQ755" s="123"/>
      <c r="BFR755" s="123"/>
      <c r="BFS755" s="123"/>
      <c r="BFT755" s="123"/>
      <c r="BFU755" s="123"/>
      <c r="BFV755" s="123"/>
      <c r="BFW755" s="123"/>
      <c r="BFX755" s="123"/>
      <c r="BFY755" s="123"/>
      <c r="BFZ755" s="123"/>
      <c r="BGA755" s="123"/>
      <c r="BGB755" s="123"/>
      <c r="BGC755" s="123"/>
      <c r="BGD755" s="123"/>
      <c r="BGE755" s="123"/>
      <c r="BGF755" s="123"/>
      <c r="BGG755" s="123"/>
      <c r="BGH755" s="123"/>
      <c r="BGI755" s="123"/>
      <c r="BGJ755" s="123"/>
      <c r="BGK755" s="123"/>
      <c r="BGL755" s="123"/>
      <c r="BGM755" s="123"/>
      <c r="BGN755" s="123"/>
      <c r="BGO755" s="123"/>
      <c r="BGP755" s="123"/>
      <c r="BGQ755" s="123"/>
      <c r="BGR755" s="123"/>
      <c r="BGS755" s="123"/>
      <c r="BGT755" s="123"/>
      <c r="BGU755" s="123"/>
      <c r="BGV755" s="123"/>
      <c r="BGW755" s="123"/>
      <c r="BGX755" s="123"/>
      <c r="BGY755" s="123"/>
      <c r="BGZ755" s="123"/>
      <c r="BHA755" s="123"/>
      <c r="BHB755" s="123"/>
      <c r="BHC755" s="123"/>
      <c r="BHD755" s="123"/>
      <c r="BHE755" s="123"/>
      <c r="BHF755" s="123"/>
      <c r="BHG755" s="123"/>
      <c r="BHH755" s="123"/>
      <c r="BHI755" s="123"/>
      <c r="BHJ755" s="123"/>
      <c r="BHK755" s="123"/>
      <c r="BHL755" s="123"/>
      <c r="BHM755" s="123"/>
      <c r="BHN755" s="123"/>
      <c r="BHO755" s="123"/>
      <c r="BHP755" s="123"/>
      <c r="BHQ755" s="123"/>
      <c r="BHR755" s="123"/>
      <c r="BHS755" s="123"/>
      <c r="BHT755" s="123"/>
      <c r="BHU755" s="123"/>
      <c r="BHV755" s="123"/>
      <c r="BHW755" s="123"/>
      <c r="BHX755" s="123"/>
      <c r="BHY755" s="123"/>
      <c r="BHZ755" s="123"/>
      <c r="BIA755" s="123"/>
      <c r="BIB755" s="123"/>
      <c r="BIC755" s="123"/>
      <c r="BID755" s="123"/>
      <c r="BIE755" s="123"/>
      <c r="BIF755" s="123"/>
      <c r="BIG755" s="123"/>
      <c r="BIH755" s="123"/>
      <c r="BII755" s="123"/>
      <c r="BIJ755" s="123"/>
      <c r="BIK755" s="123"/>
      <c r="BIL755" s="123"/>
      <c r="BIM755" s="123"/>
      <c r="BIN755" s="123"/>
      <c r="BIO755" s="123"/>
      <c r="BIP755" s="123"/>
      <c r="BIQ755" s="123"/>
      <c r="BIR755" s="123"/>
      <c r="BIS755" s="123"/>
      <c r="BIT755" s="123"/>
      <c r="BIU755" s="123"/>
      <c r="BIV755" s="123"/>
      <c r="BIW755" s="123"/>
      <c r="BIX755" s="123"/>
      <c r="BIY755" s="123"/>
      <c r="BIZ755" s="123"/>
      <c r="BJA755" s="123"/>
      <c r="BJB755" s="123"/>
      <c r="BJC755" s="123"/>
      <c r="BJD755" s="123"/>
      <c r="BJE755" s="123"/>
      <c r="BJF755" s="123"/>
      <c r="BJG755" s="123"/>
      <c r="BJH755" s="123"/>
      <c r="BJI755" s="123"/>
      <c r="BJJ755" s="123"/>
      <c r="BJK755" s="123"/>
      <c r="BJL755" s="123"/>
      <c r="BJM755" s="123"/>
      <c r="BJN755" s="123"/>
      <c r="BJO755" s="123"/>
      <c r="BJP755" s="123"/>
      <c r="BJQ755" s="123"/>
      <c r="BJR755" s="123"/>
      <c r="BJS755" s="123"/>
      <c r="BJT755" s="123"/>
      <c r="BJU755" s="123"/>
      <c r="BJV755" s="123"/>
      <c r="BJW755" s="123"/>
      <c r="BJX755" s="123"/>
      <c r="BJY755" s="123"/>
      <c r="BJZ755" s="123"/>
      <c r="BKA755" s="123"/>
      <c r="BKB755" s="123"/>
      <c r="BKC755" s="123"/>
      <c r="BKD755" s="123"/>
      <c r="BKE755" s="123"/>
      <c r="BKF755" s="123"/>
      <c r="BKG755" s="123"/>
      <c r="BKH755" s="123"/>
      <c r="BKI755" s="123"/>
      <c r="BKJ755" s="123"/>
      <c r="BKK755" s="123"/>
      <c r="BKL755" s="123"/>
      <c r="BKM755" s="123"/>
      <c r="BKN755" s="123"/>
      <c r="BKO755" s="123"/>
      <c r="BKP755" s="123"/>
      <c r="BKQ755" s="123"/>
      <c r="BKR755" s="123"/>
      <c r="BKS755" s="123"/>
      <c r="BKT755" s="123"/>
      <c r="BKU755" s="123"/>
      <c r="BKV755" s="123"/>
      <c r="BKW755" s="123"/>
      <c r="BKX755" s="123"/>
      <c r="BKY755" s="123"/>
      <c r="BKZ755" s="123"/>
      <c r="BLA755" s="123"/>
      <c r="BLB755" s="123"/>
      <c r="BLC755" s="123"/>
      <c r="BLD755" s="123"/>
      <c r="BLE755" s="123"/>
      <c r="BLF755" s="123"/>
      <c r="BLG755" s="123"/>
      <c r="BLH755" s="123"/>
      <c r="BLI755" s="123"/>
      <c r="BLJ755" s="123"/>
      <c r="BLK755" s="123"/>
      <c r="BLL755" s="123"/>
      <c r="BLM755" s="123"/>
      <c r="BLN755" s="123"/>
      <c r="BLO755" s="123"/>
      <c r="BLP755" s="123"/>
      <c r="BLQ755" s="123"/>
      <c r="BLR755" s="123"/>
      <c r="BLS755" s="123"/>
      <c r="BLT755" s="123"/>
      <c r="BLU755" s="123"/>
      <c r="BLV755" s="123"/>
      <c r="BLW755" s="123"/>
      <c r="BLX755" s="123"/>
      <c r="BLY755" s="123"/>
      <c r="BLZ755" s="123"/>
      <c r="BMA755" s="123"/>
      <c r="BMB755" s="123"/>
      <c r="BMC755" s="123"/>
      <c r="BMD755" s="123"/>
      <c r="BME755" s="123"/>
      <c r="BMF755" s="123"/>
      <c r="BMG755" s="123"/>
      <c r="BMH755" s="123"/>
      <c r="BMI755" s="123"/>
      <c r="BMJ755" s="123"/>
      <c r="BMK755" s="123"/>
      <c r="BML755" s="123"/>
      <c r="BMM755" s="123"/>
      <c r="BMN755" s="123"/>
      <c r="BMO755" s="123"/>
      <c r="BMP755" s="123"/>
      <c r="BMQ755" s="123"/>
      <c r="BMR755" s="123"/>
      <c r="BMS755" s="123"/>
      <c r="BMT755" s="123"/>
      <c r="BMU755" s="123"/>
      <c r="BMV755" s="123"/>
      <c r="BMW755" s="123"/>
      <c r="BMX755" s="123"/>
      <c r="BMY755" s="123"/>
      <c r="BMZ755" s="123"/>
      <c r="BNA755" s="123"/>
      <c r="BNB755" s="123"/>
      <c r="BNC755" s="123"/>
      <c r="BND755" s="123"/>
      <c r="BNE755" s="123"/>
      <c r="BNF755" s="123"/>
      <c r="BNG755" s="123"/>
      <c r="BNH755" s="123"/>
      <c r="BNI755" s="123"/>
      <c r="BNJ755" s="123"/>
      <c r="BNK755" s="123"/>
      <c r="BNL755" s="123"/>
      <c r="BNM755" s="123"/>
      <c r="BNN755" s="123"/>
      <c r="BNO755" s="123"/>
      <c r="BNP755" s="123"/>
      <c r="BNQ755" s="123"/>
      <c r="BNR755" s="123"/>
      <c r="BNS755" s="123"/>
      <c r="BNT755" s="123"/>
      <c r="BNU755" s="123"/>
      <c r="BNV755" s="123"/>
      <c r="BNW755" s="123"/>
      <c r="BNX755" s="123"/>
      <c r="BNY755" s="123"/>
      <c r="BNZ755" s="123"/>
      <c r="BOA755" s="123"/>
      <c r="BOB755" s="123"/>
      <c r="BOC755" s="123"/>
      <c r="BOD755" s="123"/>
      <c r="BOE755" s="123"/>
      <c r="BOF755" s="123"/>
      <c r="BOG755" s="123"/>
      <c r="BOH755" s="123"/>
      <c r="BOI755" s="123"/>
      <c r="BOJ755" s="123"/>
      <c r="BOK755" s="123"/>
      <c r="BOL755" s="123"/>
      <c r="BOM755" s="123"/>
      <c r="BON755" s="123"/>
      <c r="BOO755" s="123"/>
      <c r="BOP755" s="123"/>
      <c r="BOQ755" s="123"/>
      <c r="BOR755" s="123"/>
      <c r="BOS755" s="123"/>
      <c r="BOT755" s="123"/>
      <c r="BOU755" s="123"/>
      <c r="BOV755" s="123"/>
      <c r="BOW755" s="123"/>
      <c r="BOX755" s="123"/>
      <c r="BOY755" s="123"/>
      <c r="BOZ755" s="123"/>
      <c r="BPA755" s="123"/>
      <c r="BPB755" s="123"/>
      <c r="BPC755" s="123"/>
      <c r="BPD755" s="123"/>
      <c r="BPE755" s="123"/>
      <c r="BPF755" s="123"/>
      <c r="BPG755" s="123"/>
      <c r="BPH755" s="123"/>
      <c r="BPI755" s="123"/>
      <c r="BPJ755" s="123"/>
      <c r="BPK755" s="123"/>
      <c r="BPL755" s="123"/>
      <c r="BPM755" s="123"/>
      <c r="BPN755" s="123"/>
      <c r="BPO755" s="123"/>
      <c r="BPP755" s="123"/>
      <c r="BPQ755" s="123"/>
      <c r="BPR755" s="123"/>
      <c r="BPS755" s="123"/>
      <c r="BPT755" s="123"/>
      <c r="BPU755" s="123"/>
      <c r="BPV755" s="123"/>
      <c r="BPW755" s="123"/>
      <c r="BPX755" s="123"/>
      <c r="BPY755" s="123"/>
      <c r="BPZ755" s="123"/>
      <c r="BQA755" s="123"/>
      <c r="BQB755" s="123"/>
      <c r="BQC755" s="123"/>
      <c r="BQD755" s="123"/>
      <c r="BQE755" s="123"/>
      <c r="BQF755" s="123"/>
      <c r="BQG755" s="123"/>
      <c r="BQH755" s="123"/>
      <c r="BQI755" s="123"/>
      <c r="BQJ755" s="123"/>
      <c r="BQK755" s="123"/>
      <c r="BQL755" s="123"/>
      <c r="BQM755" s="123"/>
      <c r="BQN755" s="123"/>
      <c r="BQO755" s="123"/>
      <c r="BQP755" s="123"/>
      <c r="BQQ755" s="123"/>
      <c r="BQR755" s="123"/>
      <c r="BQS755" s="123"/>
      <c r="BQT755" s="123"/>
      <c r="BQU755" s="123"/>
      <c r="BQV755" s="123"/>
      <c r="BQW755" s="123"/>
      <c r="BQX755" s="123"/>
      <c r="BQY755" s="123"/>
      <c r="BQZ755" s="123"/>
      <c r="BRA755" s="123"/>
      <c r="BRB755" s="123"/>
      <c r="BRC755" s="123"/>
      <c r="BRD755" s="123"/>
      <c r="BRE755" s="123"/>
      <c r="BRF755" s="123"/>
      <c r="BRG755" s="123"/>
      <c r="BRH755" s="123"/>
      <c r="BRI755" s="123"/>
      <c r="BRJ755" s="123"/>
      <c r="BRK755" s="123"/>
      <c r="BRL755" s="123"/>
      <c r="BRM755" s="123"/>
      <c r="BRN755" s="123"/>
      <c r="BRO755" s="123"/>
      <c r="BRP755" s="123"/>
      <c r="BRQ755" s="123"/>
      <c r="BRR755" s="123"/>
      <c r="BRS755" s="123"/>
      <c r="BRT755" s="123"/>
      <c r="BRU755" s="123"/>
      <c r="BRV755" s="123"/>
      <c r="BRW755" s="123"/>
      <c r="BRX755" s="123"/>
      <c r="BRY755" s="123"/>
      <c r="BRZ755" s="123"/>
      <c r="BSA755" s="123"/>
      <c r="BSB755" s="123"/>
      <c r="BSC755" s="123"/>
      <c r="BSD755" s="123"/>
      <c r="BSE755" s="123"/>
      <c r="BSF755" s="123"/>
      <c r="BSG755" s="123"/>
      <c r="BSH755" s="123"/>
      <c r="BSI755" s="123"/>
      <c r="BSJ755" s="123"/>
      <c r="BSK755" s="123"/>
      <c r="BSL755" s="123"/>
      <c r="BSM755" s="123"/>
      <c r="BSN755" s="123"/>
      <c r="BSO755" s="123"/>
      <c r="BSP755" s="123"/>
      <c r="BSQ755" s="123"/>
      <c r="BSR755" s="123"/>
      <c r="BSS755" s="123"/>
      <c r="BST755" s="123"/>
      <c r="BSU755" s="123"/>
      <c r="BSV755" s="123"/>
      <c r="BSW755" s="123"/>
      <c r="BSX755" s="123"/>
      <c r="BSY755" s="123"/>
      <c r="BSZ755" s="123"/>
      <c r="BTA755" s="123"/>
      <c r="BTB755" s="123"/>
      <c r="BTC755" s="123"/>
      <c r="BTD755" s="123"/>
      <c r="BTE755" s="123"/>
      <c r="BTF755" s="123"/>
      <c r="BTG755" s="123"/>
      <c r="BTH755" s="123"/>
      <c r="BTI755" s="123"/>
      <c r="BTJ755" s="123"/>
      <c r="BTK755" s="123"/>
      <c r="BTL755" s="123"/>
      <c r="BTM755" s="123"/>
      <c r="BTN755" s="123"/>
      <c r="BTO755" s="123"/>
      <c r="BTP755" s="123"/>
      <c r="BTQ755" s="123"/>
      <c r="BTR755" s="123"/>
      <c r="BTS755" s="123"/>
      <c r="BTT755" s="123"/>
      <c r="BTU755" s="123"/>
      <c r="BTV755" s="123"/>
      <c r="BTW755" s="123"/>
      <c r="BTX755" s="123"/>
      <c r="BTY755" s="123"/>
      <c r="BTZ755" s="123"/>
      <c r="BUA755" s="123"/>
      <c r="BUB755" s="123"/>
      <c r="BUC755" s="123"/>
      <c r="BUD755" s="123"/>
      <c r="BUE755" s="123"/>
      <c r="BUF755" s="123"/>
      <c r="BUG755" s="123"/>
      <c r="BUH755" s="123"/>
      <c r="BUI755" s="123"/>
      <c r="BUJ755" s="123"/>
      <c r="BUK755" s="123"/>
      <c r="BUL755" s="123"/>
      <c r="BUM755" s="123"/>
      <c r="BUN755" s="123"/>
      <c r="BUO755" s="123"/>
      <c r="BUP755" s="123"/>
      <c r="BUQ755" s="123"/>
      <c r="BUR755" s="123"/>
      <c r="BUS755" s="123"/>
      <c r="BUT755" s="123"/>
      <c r="BUU755" s="123"/>
      <c r="BUV755" s="123"/>
      <c r="BUW755" s="123"/>
      <c r="BUX755" s="123"/>
      <c r="BUY755" s="123"/>
      <c r="BUZ755" s="123"/>
      <c r="BVA755" s="123"/>
      <c r="BVB755" s="123"/>
      <c r="BVC755" s="123"/>
      <c r="BVD755" s="123"/>
      <c r="BVE755" s="123"/>
      <c r="BVF755" s="123"/>
      <c r="BVG755" s="123"/>
      <c r="BVH755" s="123"/>
      <c r="BVI755" s="123"/>
      <c r="BVJ755" s="123"/>
      <c r="BVK755" s="123"/>
      <c r="BVL755" s="123"/>
      <c r="BVM755" s="123"/>
      <c r="BVN755" s="123"/>
      <c r="BVO755" s="123"/>
      <c r="BVP755" s="123"/>
      <c r="BVQ755" s="123"/>
      <c r="BVR755" s="123"/>
      <c r="BVS755" s="123"/>
      <c r="BVT755" s="123"/>
      <c r="BVU755" s="123"/>
      <c r="BVV755" s="123"/>
      <c r="BVW755" s="123"/>
      <c r="BVX755" s="123"/>
      <c r="BVY755" s="123"/>
      <c r="BVZ755" s="123"/>
      <c r="BWA755" s="123"/>
      <c r="BWB755" s="123"/>
      <c r="BWC755" s="123"/>
      <c r="BWD755" s="123"/>
      <c r="BWE755" s="123"/>
      <c r="BWF755" s="123"/>
      <c r="BWG755" s="123"/>
      <c r="BWH755" s="123"/>
      <c r="BWI755" s="123"/>
      <c r="BWJ755" s="123"/>
      <c r="BWK755" s="123"/>
      <c r="BWL755" s="123"/>
      <c r="BWM755" s="123"/>
      <c r="BWN755" s="123"/>
      <c r="BWO755" s="123"/>
      <c r="BWP755" s="123"/>
      <c r="BWQ755" s="123"/>
      <c r="BWR755" s="123"/>
      <c r="BWS755" s="123"/>
      <c r="BWT755" s="123"/>
      <c r="BWU755" s="123"/>
      <c r="BWV755" s="123"/>
      <c r="BWW755" s="123"/>
      <c r="BWX755" s="123"/>
      <c r="BWY755" s="123"/>
      <c r="BWZ755" s="123"/>
      <c r="BXA755" s="123"/>
      <c r="BXB755" s="123"/>
      <c r="BXC755" s="123"/>
      <c r="BXD755" s="123"/>
      <c r="BXE755" s="123"/>
      <c r="BXF755" s="123"/>
      <c r="BXG755" s="123"/>
      <c r="BXH755" s="123"/>
      <c r="BXI755" s="123"/>
      <c r="BXJ755" s="123"/>
      <c r="BXK755" s="123"/>
      <c r="BXL755" s="123"/>
      <c r="BXM755" s="123"/>
      <c r="BXN755" s="123"/>
      <c r="BXO755" s="123"/>
      <c r="BXP755" s="123"/>
      <c r="BXQ755" s="123"/>
      <c r="BXR755" s="123"/>
      <c r="BXS755" s="123"/>
      <c r="BXT755" s="123"/>
      <c r="BXU755" s="123"/>
      <c r="BXV755" s="123"/>
      <c r="BXW755" s="123"/>
      <c r="BXX755" s="123"/>
      <c r="BXY755" s="123"/>
      <c r="BXZ755" s="123"/>
      <c r="BYA755" s="123"/>
      <c r="BYB755" s="123"/>
      <c r="BYC755" s="123"/>
      <c r="BYD755" s="123"/>
      <c r="BYE755" s="123"/>
      <c r="BYF755" s="123"/>
      <c r="BYG755" s="123"/>
      <c r="BYH755" s="123"/>
      <c r="BYI755" s="123"/>
      <c r="BYJ755" s="123"/>
      <c r="BYK755" s="123"/>
      <c r="BYL755" s="123"/>
      <c r="BYM755" s="123"/>
      <c r="BYN755" s="123"/>
      <c r="BYO755" s="123"/>
      <c r="BYP755" s="123"/>
      <c r="BYQ755" s="123"/>
      <c r="BYR755" s="123"/>
      <c r="BYS755" s="123"/>
      <c r="BYT755" s="123"/>
      <c r="BYU755" s="123"/>
      <c r="BYV755" s="123"/>
      <c r="BYW755" s="123"/>
      <c r="BYX755" s="123"/>
      <c r="BYY755" s="123"/>
      <c r="BYZ755" s="123"/>
      <c r="BZA755" s="123"/>
      <c r="BZB755" s="123"/>
      <c r="BZC755" s="123"/>
      <c r="BZD755" s="123"/>
      <c r="BZE755" s="123"/>
      <c r="BZF755" s="123"/>
      <c r="BZG755" s="123"/>
      <c r="BZH755" s="123"/>
      <c r="BZI755" s="123"/>
      <c r="BZJ755" s="123"/>
      <c r="BZK755" s="123"/>
      <c r="BZL755" s="123"/>
      <c r="BZM755" s="123"/>
      <c r="BZN755" s="123"/>
      <c r="BZO755" s="123"/>
      <c r="BZP755" s="123"/>
      <c r="BZQ755" s="123"/>
      <c r="BZR755" s="123"/>
      <c r="BZS755" s="123"/>
      <c r="BZT755" s="123"/>
      <c r="BZU755" s="123"/>
      <c r="BZV755" s="123"/>
      <c r="BZW755" s="123"/>
      <c r="BZX755" s="123"/>
      <c r="BZY755" s="123"/>
      <c r="BZZ755" s="123"/>
      <c r="CAA755" s="123"/>
      <c r="CAB755" s="123"/>
      <c r="CAC755" s="123"/>
      <c r="CAD755" s="123"/>
      <c r="CAE755" s="123"/>
      <c r="CAF755" s="123"/>
      <c r="CAG755" s="123"/>
      <c r="CAH755" s="123"/>
      <c r="CAI755" s="123"/>
      <c r="CAJ755" s="123"/>
      <c r="CAK755" s="123"/>
      <c r="CAL755" s="123"/>
      <c r="CAM755" s="123"/>
      <c r="CAN755" s="123"/>
      <c r="CAO755" s="123"/>
      <c r="CAP755" s="123"/>
      <c r="CAQ755" s="123"/>
      <c r="CAR755" s="123"/>
      <c r="CAS755" s="123"/>
      <c r="CAT755" s="123"/>
      <c r="CAU755" s="123"/>
      <c r="CAV755" s="123"/>
      <c r="CAW755" s="123"/>
      <c r="CAX755" s="123"/>
      <c r="CAY755" s="123"/>
      <c r="CAZ755" s="123"/>
      <c r="CBA755" s="123"/>
      <c r="CBB755" s="123"/>
      <c r="CBC755" s="123"/>
      <c r="CBD755" s="123"/>
      <c r="CBE755" s="123"/>
      <c r="CBF755" s="123"/>
      <c r="CBG755" s="123"/>
      <c r="CBH755" s="123"/>
      <c r="CBI755" s="123"/>
      <c r="CBJ755" s="123"/>
      <c r="CBK755" s="123"/>
      <c r="CBL755" s="123"/>
      <c r="CBM755" s="123"/>
      <c r="CBN755" s="123"/>
      <c r="CBO755" s="123"/>
      <c r="CBP755" s="123"/>
      <c r="CBQ755" s="123"/>
      <c r="CBR755" s="123"/>
      <c r="CBS755" s="123"/>
      <c r="CBT755" s="123"/>
      <c r="CBU755" s="123"/>
      <c r="CBV755" s="123"/>
      <c r="CBW755" s="123"/>
      <c r="CBX755" s="123"/>
      <c r="CBY755" s="123"/>
      <c r="CBZ755" s="123"/>
      <c r="CCA755" s="123"/>
      <c r="CCB755" s="123"/>
      <c r="CCC755" s="123"/>
      <c r="CCD755" s="123"/>
      <c r="CCE755" s="123"/>
      <c r="CCF755" s="123"/>
      <c r="CCG755" s="123"/>
      <c r="CCH755" s="123"/>
      <c r="CCI755" s="123"/>
      <c r="CCJ755" s="123"/>
      <c r="CCK755" s="123"/>
      <c r="CCL755" s="123"/>
      <c r="CCM755" s="123"/>
      <c r="CCN755" s="123"/>
      <c r="CCO755" s="123"/>
      <c r="CCP755" s="123"/>
      <c r="CCQ755" s="123"/>
      <c r="CCR755" s="123"/>
      <c r="CCS755" s="123"/>
      <c r="CCT755" s="123"/>
      <c r="CCU755" s="123"/>
      <c r="CCV755" s="123"/>
      <c r="CCW755" s="123"/>
      <c r="CCX755" s="123"/>
      <c r="CCY755" s="123"/>
      <c r="CCZ755" s="123"/>
      <c r="CDA755" s="123"/>
      <c r="CDB755" s="123"/>
      <c r="CDC755" s="123"/>
      <c r="CDD755" s="123"/>
      <c r="CDE755" s="123"/>
      <c r="CDF755" s="123"/>
      <c r="CDG755" s="123"/>
      <c r="CDH755" s="123"/>
      <c r="CDI755" s="123"/>
      <c r="CDJ755" s="123"/>
      <c r="CDK755" s="123"/>
      <c r="CDL755" s="123"/>
      <c r="CDM755" s="123"/>
      <c r="CDN755" s="123"/>
      <c r="CDO755" s="123"/>
      <c r="CDP755" s="123"/>
      <c r="CDQ755" s="123"/>
      <c r="CDR755" s="123"/>
      <c r="CDS755" s="123"/>
      <c r="CDT755" s="123"/>
      <c r="CDU755" s="123"/>
      <c r="CDV755" s="123"/>
      <c r="CDW755" s="123"/>
      <c r="CDX755" s="123"/>
      <c r="CDY755" s="123"/>
      <c r="CDZ755" s="123"/>
      <c r="CEA755" s="123"/>
      <c r="CEB755" s="123"/>
      <c r="CEC755" s="123"/>
      <c r="CED755" s="123"/>
      <c r="CEE755" s="123"/>
      <c r="CEF755" s="123"/>
      <c r="CEG755" s="123"/>
      <c r="CEH755" s="123"/>
      <c r="CEI755" s="123"/>
      <c r="CEJ755" s="123"/>
      <c r="CEK755" s="123"/>
      <c r="CEL755" s="123"/>
      <c r="CEM755" s="123"/>
      <c r="CEN755" s="123"/>
      <c r="CEO755" s="123"/>
      <c r="CEP755" s="123"/>
      <c r="CEQ755" s="123"/>
      <c r="CER755" s="123"/>
      <c r="CES755" s="123"/>
      <c r="CET755" s="123"/>
      <c r="CEU755" s="123"/>
      <c r="CEV755" s="123"/>
      <c r="CEW755" s="123"/>
      <c r="CEX755" s="123"/>
      <c r="CEY755" s="123"/>
      <c r="CEZ755" s="123"/>
      <c r="CFA755" s="123"/>
      <c r="CFB755" s="123"/>
      <c r="CFC755" s="123"/>
      <c r="CFD755" s="123"/>
      <c r="CFE755" s="123"/>
      <c r="CFF755" s="123"/>
      <c r="CFG755" s="123"/>
      <c r="CFH755" s="123"/>
      <c r="CFI755" s="123"/>
      <c r="CFJ755" s="123"/>
      <c r="CFK755" s="123"/>
      <c r="CFL755" s="123"/>
      <c r="CFM755" s="123"/>
      <c r="CFN755" s="123"/>
      <c r="CFO755" s="123"/>
      <c r="CFP755" s="123"/>
      <c r="CFQ755" s="123"/>
      <c r="CFR755" s="123"/>
      <c r="CFS755" s="123"/>
      <c r="CFT755" s="123"/>
      <c r="CFU755" s="123"/>
      <c r="CFV755" s="123"/>
      <c r="CFW755" s="123"/>
      <c r="CFX755" s="123"/>
      <c r="CFY755" s="123"/>
      <c r="CFZ755" s="123"/>
      <c r="CGA755" s="123"/>
      <c r="CGB755" s="123"/>
      <c r="CGC755" s="123"/>
      <c r="CGD755" s="123"/>
      <c r="CGE755" s="123"/>
      <c r="CGF755" s="123"/>
      <c r="CGG755" s="123"/>
      <c r="CGH755" s="123"/>
      <c r="CGI755" s="123"/>
      <c r="CGJ755" s="123"/>
      <c r="CGK755" s="123"/>
      <c r="CGL755" s="123"/>
      <c r="CGM755" s="123"/>
      <c r="CGN755" s="123"/>
      <c r="CGO755" s="123"/>
      <c r="CGP755" s="123"/>
      <c r="CGQ755" s="123"/>
      <c r="CGR755" s="123"/>
      <c r="CGS755" s="123"/>
      <c r="CGT755" s="123"/>
      <c r="CGU755" s="123"/>
      <c r="CGV755" s="123"/>
      <c r="CGW755" s="123"/>
      <c r="CGX755" s="123"/>
      <c r="CGY755" s="123"/>
      <c r="CGZ755" s="123"/>
      <c r="CHA755" s="123"/>
      <c r="CHB755" s="123"/>
      <c r="CHC755" s="123"/>
      <c r="CHD755" s="123"/>
      <c r="CHE755" s="123"/>
      <c r="CHF755" s="123"/>
      <c r="CHG755" s="123"/>
      <c r="CHH755" s="123"/>
      <c r="CHI755" s="123"/>
      <c r="CHJ755" s="123"/>
      <c r="CHK755" s="123"/>
      <c r="CHL755" s="123"/>
      <c r="CHM755" s="123"/>
      <c r="CHN755" s="123"/>
      <c r="CHO755" s="123"/>
      <c r="CHP755" s="123"/>
      <c r="CHQ755" s="123"/>
      <c r="CHR755" s="123"/>
      <c r="CHS755" s="123"/>
      <c r="CHT755" s="123"/>
      <c r="CHU755" s="123"/>
      <c r="CHV755" s="123"/>
      <c r="CHW755" s="123"/>
      <c r="CHX755" s="123"/>
      <c r="CHY755" s="123"/>
      <c r="CHZ755" s="123"/>
      <c r="CIA755" s="123"/>
      <c r="CIB755" s="123"/>
      <c r="CIC755" s="123"/>
      <c r="CID755" s="123"/>
      <c r="CIE755" s="123"/>
      <c r="CIF755" s="123"/>
      <c r="CIG755" s="123"/>
      <c r="CIH755" s="123"/>
      <c r="CII755" s="123"/>
      <c r="CIJ755" s="123"/>
      <c r="CIK755" s="123"/>
      <c r="CIL755" s="123"/>
      <c r="CIM755" s="123"/>
      <c r="CIN755" s="123"/>
      <c r="CIO755" s="123"/>
      <c r="CIP755" s="123"/>
      <c r="CIQ755" s="123"/>
      <c r="CIR755" s="123"/>
      <c r="CIS755" s="123"/>
      <c r="CIT755" s="123"/>
      <c r="CIU755" s="123"/>
      <c r="CIV755" s="123"/>
      <c r="CIW755" s="123"/>
      <c r="CIX755" s="123"/>
      <c r="CIY755" s="123"/>
      <c r="CIZ755" s="123"/>
      <c r="CJA755" s="123"/>
      <c r="CJB755" s="123"/>
      <c r="CJC755" s="123"/>
      <c r="CJD755" s="123"/>
      <c r="CJE755" s="123"/>
      <c r="CJF755" s="123"/>
      <c r="CJG755" s="123"/>
      <c r="CJH755" s="123"/>
      <c r="CJI755" s="123"/>
      <c r="CJJ755" s="123"/>
      <c r="CJK755" s="123"/>
      <c r="CJL755" s="123"/>
      <c r="CJM755" s="123"/>
      <c r="CJN755" s="123"/>
      <c r="CJO755" s="123"/>
      <c r="CJP755" s="123"/>
      <c r="CJQ755" s="123"/>
      <c r="CJR755" s="123"/>
      <c r="CJS755" s="123"/>
      <c r="CJT755" s="123"/>
      <c r="CJU755" s="123"/>
      <c r="CJV755" s="123"/>
      <c r="CJW755" s="123"/>
      <c r="CJX755" s="123"/>
      <c r="CJY755" s="123"/>
      <c r="CJZ755" s="123"/>
      <c r="CKA755" s="123"/>
      <c r="CKB755" s="123"/>
      <c r="CKC755" s="123"/>
      <c r="CKD755" s="123"/>
      <c r="CKE755" s="123"/>
      <c r="CKF755" s="123"/>
      <c r="CKG755" s="123"/>
      <c r="CKH755" s="123"/>
      <c r="CKI755" s="123"/>
      <c r="CKJ755" s="123"/>
      <c r="CKK755" s="123"/>
      <c r="CKL755" s="123"/>
      <c r="CKM755" s="123"/>
      <c r="CKN755" s="123"/>
      <c r="CKO755" s="123"/>
      <c r="CKP755" s="123"/>
      <c r="CKQ755" s="123"/>
      <c r="CKR755" s="123"/>
      <c r="CKS755" s="123"/>
      <c r="CKT755" s="123"/>
      <c r="CKU755" s="123"/>
      <c r="CKV755" s="123"/>
      <c r="CKW755" s="123"/>
      <c r="CKX755" s="123"/>
      <c r="CKY755" s="123"/>
      <c r="CKZ755" s="123"/>
      <c r="CLA755" s="123"/>
      <c r="CLB755" s="123"/>
      <c r="CLC755" s="123"/>
      <c r="CLD755" s="123"/>
      <c r="CLE755" s="123"/>
      <c r="CLF755" s="123"/>
      <c r="CLG755" s="123"/>
      <c r="CLH755" s="123"/>
      <c r="CLI755" s="123"/>
      <c r="CLJ755" s="123"/>
      <c r="CLK755" s="123"/>
      <c r="CLL755" s="123"/>
      <c r="CLM755" s="123"/>
      <c r="CLN755" s="123"/>
      <c r="CLO755" s="123"/>
      <c r="CLP755" s="123"/>
      <c r="CLQ755" s="123"/>
      <c r="CLR755" s="123"/>
      <c r="CLS755" s="123"/>
      <c r="CLT755" s="123"/>
      <c r="CLU755" s="123"/>
      <c r="CLV755" s="123"/>
      <c r="CLW755" s="123"/>
      <c r="CLX755" s="123"/>
      <c r="CLY755" s="123"/>
      <c r="CLZ755" s="123"/>
      <c r="CMA755" s="123"/>
      <c r="CMB755" s="123"/>
      <c r="CMC755" s="123"/>
      <c r="CMD755" s="123"/>
      <c r="CME755" s="123"/>
      <c r="CMF755" s="123"/>
      <c r="CMG755" s="123"/>
      <c r="CMH755" s="123"/>
      <c r="CMI755" s="123"/>
      <c r="CMJ755" s="123"/>
      <c r="CMK755" s="123"/>
      <c r="CML755" s="123"/>
      <c r="CMM755" s="123"/>
      <c r="CMN755" s="123"/>
      <c r="CMO755" s="123"/>
      <c r="CMP755" s="123"/>
      <c r="CMQ755" s="123"/>
      <c r="CMR755" s="123"/>
      <c r="CMS755" s="123"/>
      <c r="CMT755" s="123"/>
      <c r="CMU755" s="123"/>
      <c r="CMV755" s="123"/>
      <c r="CMW755" s="123"/>
      <c r="CMX755" s="123"/>
      <c r="CMY755" s="123"/>
      <c r="CMZ755" s="123"/>
      <c r="CNA755" s="123"/>
      <c r="CNB755" s="123"/>
      <c r="CNC755" s="123"/>
      <c r="CND755" s="123"/>
      <c r="CNE755" s="123"/>
      <c r="CNF755" s="123"/>
      <c r="CNG755" s="123"/>
      <c r="CNH755" s="123"/>
      <c r="CNI755" s="123"/>
      <c r="CNJ755" s="123"/>
      <c r="CNK755" s="123"/>
      <c r="CNL755" s="123"/>
      <c r="CNM755" s="123"/>
      <c r="CNN755" s="123"/>
      <c r="CNO755" s="123"/>
      <c r="CNP755" s="123"/>
      <c r="CNQ755" s="123"/>
      <c r="CNR755" s="123"/>
      <c r="CNS755" s="123"/>
      <c r="CNT755" s="123"/>
      <c r="CNU755" s="123"/>
      <c r="CNV755" s="123"/>
      <c r="CNW755" s="123"/>
      <c r="CNX755" s="123"/>
      <c r="CNY755" s="123"/>
      <c r="CNZ755" s="123"/>
      <c r="COA755" s="123"/>
      <c r="COB755" s="123"/>
      <c r="COC755" s="123"/>
      <c r="COD755" s="123"/>
      <c r="COE755" s="123"/>
      <c r="COF755" s="123"/>
      <c r="COG755" s="123"/>
      <c r="COH755" s="123"/>
      <c r="COI755" s="123"/>
      <c r="COJ755" s="123"/>
      <c r="COK755" s="123"/>
      <c r="COL755" s="123"/>
      <c r="COM755" s="123"/>
      <c r="CON755" s="123"/>
      <c r="COO755" s="123"/>
      <c r="COP755" s="123"/>
      <c r="COQ755" s="123"/>
      <c r="COR755" s="123"/>
      <c r="COS755" s="123"/>
      <c r="COT755" s="123"/>
      <c r="COU755" s="123"/>
      <c r="COV755" s="123"/>
      <c r="COW755" s="123"/>
      <c r="COX755" s="123"/>
      <c r="COY755" s="123"/>
      <c r="COZ755" s="123"/>
      <c r="CPA755" s="123"/>
      <c r="CPB755" s="123"/>
      <c r="CPC755" s="123"/>
      <c r="CPD755" s="123"/>
      <c r="CPE755" s="123"/>
      <c r="CPF755" s="123"/>
      <c r="CPG755" s="123"/>
      <c r="CPH755" s="123"/>
      <c r="CPI755" s="123"/>
      <c r="CPJ755" s="123"/>
      <c r="CPK755" s="123"/>
      <c r="CPL755" s="123"/>
      <c r="CPM755" s="123"/>
      <c r="CPN755" s="123"/>
      <c r="CPO755" s="123"/>
      <c r="CPP755" s="123"/>
      <c r="CPQ755" s="123"/>
      <c r="CPR755" s="123"/>
      <c r="CPS755" s="123"/>
      <c r="CPT755" s="123"/>
      <c r="CPU755" s="123"/>
      <c r="CPV755" s="123"/>
      <c r="CPW755" s="123"/>
      <c r="CPX755" s="123"/>
      <c r="CPY755" s="123"/>
      <c r="CPZ755" s="123"/>
      <c r="CQA755" s="123"/>
      <c r="CQB755" s="123"/>
      <c r="CQC755" s="123"/>
      <c r="CQD755" s="123"/>
      <c r="CQE755" s="123"/>
      <c r="CQF755" s="123"/>
      <c r="CQG755" s="123"/>
      <c r="CQH755" s="123"/>
      <c r="CQI755" s="123"/>
      <c r="CQJ755" s="123"/>
      <c r="CQK755" s="123"/>
      <c r="CQL755" s="123"/>
      <c r="CQM755" s="123"/>
      <c r="CQN755" s="123"/>
      <c r="CQO755" s="123"/>
      <c r="CQP755" s="123"/>
      <c r="CQQ755" s="123"/>
      <c r="CQR755" s="123"/>
      <c r="CQS755" s="123"/>
      <c r="CQT755" s="123"/>
      <c r="CQU755" s="123"/>
      <c r="CQV755" s="123"/>
      <c r="CQW755" s="123"/>
      <c r="CQX755" s="123"/>
      <c r="CQY755" s="123"/>
      <c r="CQZ755" s="123"/>
      <c r="CRA755" s="123"/>
      <c r="CRB755" s="123"/>
      <c r="CRC755" s="123"/>
      <c r="CRD755" s="123"/>
      <c r="CRE755" s="123"/>
      <c r="CRF755" s="123"/>
      <c r="CRG755" s="123"/>
      <c r="CRH755" s="123"/>
      <c r="CRI755" s="123"/>
      <c r="CRJ755" s="123"/>
      <c r="CRK755" s="123"/>
      <c r="CRL755" s="123"/>
      <c r="CRM755" s="123"/>
      <c r="CRN755" s="123"/>
      <c r="CRO755" s="123"/>
      <c r="CRP755" s="123"/>
      <c r="CRQ755" s="123"/>
      <c r="CRR755" s="123"/>
      <c r="CRS755" s="123"/>
      <c r="CRT755" s="123"/>
      <c r="CRU755" s="123"/>
      <c r="CRV755" s="123"/>
      <c r="CRW755" s="123"/>
      <c r="CRX755" s="123"/>
      <c r="CRY755" s="123"/>
      <c r="CRZ755" s="123"/>
      <c r="CSA755" s="123"/>
      <c r="CSB755" s="123"/>
      <c r="CSC755" s="123"/>
      <c r="CSD755" s="123"/>
      <c r="CSE755" s="123"/>
      <c r="CSF755" s="123"/>
      <c r="CSG755" s="123"/>
      <c r="CSH755" s="123"/>
      <c r="CSI755" s="123"/>
      <c r="CSJ755" s="123"/>
      <c r="CSK755" s="123"/>
      <c r="CSL755" s="123"/>
      <c r="CSM755" s="123"/>
      <c r="CSN755" s="123"/>
      <c r="CSO755" s="123"/>
      <c r="CSP755" s="123"/>
      <c r="CSQ755" s="123"/>
      <c r="CSR755" s="123"/>
      <c r="CSS755" s="123"/>
      <c r="CST755" s="123"/>
      <c r="CSU755" s="123"/>
      <c r="CSV755" s="123"/>
      <c r="CSW755" s="123"/>
      <c r="CSX755" s="123"/>
      <c r="CSY755" s="123"/>
      <c r="CSZ755" s="123"/>
      <c r="CTA755" s="123"/>
      <c r="CTB755" s="123"/>
      <c r="CTC755" s="123"/>
      <c r="CTD755" s="123"/>
      <c r="CTE755" s="123"/>
      <c r="CTF755" s="123"/>
      <c r="CTG755" s="123"/>
      <c r="CTH755" s="123"/>
      <c r="CTI755" s="123"/>
      <c r="CTJ755" s="123"/>
      <c r="CTK755" s="123"/>
      <c r="CTL755" s="123"/>
      <c r="CTM755" s="123"/>
      <c r="CTN755" s="123"/>
      <c r="CTO755" s="123"/>
      <c r="CTP755" s="123"/>
      <c r="CTQ755" s="123"/>
      <c r="CTR755" s="123"/>
      <c r="CTS755" s="123"/>
      <c r="CTT755" s="123"/>
      <c r="CTU755" s="123"/>
      <c r="CTV755" s="123"/>
      <c r="CTW755" s="123"/>
      <c r="CTX755" s="123"/>
      <c r="CTY755" s="123"/>
      <c r="CTZ755" s="123"/>
      <c r="CUA755" s="123"/>
      <c r="CUB755" s="123"/>
      <c r="CUC755" s="123"/>
      <c r="CUD755" s="123"/>
      <c r="CUE755" s="123"/>
      <c r="CUF755" s="123"/>
      <c r="CUG755" s="123"/>
      <c r="CUH755" s="123"/>
      <c r="CUI755" s="123"/>
      <c r="CUJ755" s="123"/>
      <c r="CUK755" s="123"/>
      <c r="CUL755" s="123"/>
      <c r="CUM755" s="123"/>
      <c r="CUN755" s="123"/>
      <c r="CUO755" s="123"/>
      <c r="CUP755" s="123"/>
      <c r="CUQ755" s="123"/>
      <c r="CUR755" s="123"/>
      <c r="CUS755" s="123"/>
      <c r="CUT755" s="123"/>
      <c r="CUU755" s="123"/>
      <c r="CUV755" s="123"/>
      <c r="CUW755" s="123"/>
      <c r="CUX755" s="123"/>
      <c r="CUY755" s="123"/>
      <c r="CUZ755" s="123"/>
      <c r="CVA755" s="123"/>
      <c r="CVB755" s="123"/>
      <c r="CVC755" s="123"/>
      <c r="CVD755" s="123"/>
      <c r="CVE755" s="123"/>
      <c r="CVF755" s="123"/>
      <c r="CVG755" s="123"/>
      <c r="CVH755" s="123"/>
      <c r="CVI755" s="123"/>
      <c r="CVJ755" s="123"/>
      <c r="CVK755" s="123"/>
      <c r="CVL755" s="123"/>
      <c r="CVM755" s="123"/>
      <c r="CVN755" s="123"/>
      <c r="CVO755" s="123"/>
      <c r="CVP755" s="123"/>
      <c r="CVQ755" s="123"/>
      <c r="CVR755" s="123"/>
      <c r="CVS755" s="123"/>
      <c r="CVT755" s="123"/>
      <c r="CVU755" s="123"/>
      <c r="CVV755" s="123"/>
      <c r="CVW755" s="123"/>
      <c r="CVX755" s="123"/>
      <c r="CVY755" s="123"/>
      <c r="CVZ755" s="123"/>
      <c r="CWA755" s="123"/>
      <c r="CWB755" s="123"/>
      <c r="CWC755" s="123"/>
      <c r="CWD755" s="123"/>
      <c r="CWE755" s="123"/>
      <c r="CWF755" s="123"/>
      <c r="CWG755" s="123"/>
      <c r="CWH755" s="123"/>
      <c r="CWI755" s="123"/>
      <c r="CWJ755" s="123"/>
      <c r="CWK755" s="123"/>
      <c r="CWL755" s="123"/>
      <c r="CWM755" s="123"/>
      <c r="CWN755" s="123"/>
      <c r="CWO755" s="123"/>
      <c r="CWP755" s="123"/>
      <c r="CWQ755" s="123"/>
      <c r="CWR755" s="123"/>
      <c r="CWS755" s="123"/>
      <c r="CWT755" s="123"/>
      <c r="CWU755" s="123"/>
      <c r="CWV755" s="123"/>
      <c r="CWW755" s="123"/>
      <c r="CWX755" s="123"/>
      <c r="CWY755" s="123"/>
      <c r="CWZ755" s="123"/>
      <c r="CXA755" s="123"/>
      <c r="CXB755" s="123"/>
      <c r="CXC755" s="123"/>
      <c r="CXD755" s="123"/>
      <c r="CXE755" s="123"/>
      <c r="CXF755" s="123"/>
      <c r="CXG755" s="123"/>
      <c r="CXH755" s="123"/>
      <c r="CXI755" s="123"/>
      <c r="CXJ755" s="123"/>
      <c r="CXK755" s="123"/>
      <c r="CXL755" s="123"/>
      <c r="CXM755" s="123"/>
      <c r="CXN755" s="123"/>
      <c r="CXO755" s="123"/>
      <c r="CXP755" s="123"/>
      <c r="CXQ755" s="123"/>
      <c r="CXR755" s="123"/>
      <c r="CXS755" s="123"/>
      <c r="CXT755" s="123"/>
      <c r="CXU755" s="123"/>
      <c r="CXV755" s="123"/>
      <c r="CXW755" s="123"/>
      <c r="CXX755" s="123"/>
      <c r="CXY755" s="123"/>
      <c r="CXZ755" s="123"/>
      <c r="CYA755" s="123"/>
      <c r="CYB755" s="123"/>
      <c r="CYC755" s="123"/>
      <c r="CYD755" s="123"/>
      <c r="CYE755" s="123"/>
      <c r="CYF755" s="123"/>
      <c r="CYG755" s="123"/>
      <c r="CYH755" s="123"/>
      <c r="CYI755" s="123"/>
      <c r="CYJ755" s="123"/>
      <c r="CYK755" s="123"/>
      <c r="CYL755" s="123"/>
      <c r="CYM755" s="123"/>
      <c r="CYN755" s="123"/>
      <c r="CYO755" s="123"/>
      <c r="CYP755" s="123"/>
      <c r="CYQ755" s="123"/>
      <c r="CYR755" s="123"/>
      <c r="CYS755" s="123"/>
      <c r="CYT755" s="123"/>
      <c r="CYU755" s="123"/>
      <c r="CYV755" s="123"/>
      <c r="CYW755" s="123"/>
      <c r="CYX755" s="123"/>
      <c r="CYY755" s="123"/>
      <c r="CYZ755" s="123"/>
      <c r="CZA755" s="123"/>
      <c r="CZB755" s="123"/>
      <c r="CZC755" s="123"/>
      <c r="CZD755" s="123"/>
      <c r="CZE755" s="123"/>
      <c r="CZF755" s="123"/>
      <c r="CZG755" s="123"/>
      <c r="CZH755" s="123"/>
      <c r="CZI755" s="123"/>
      <c r="CZJ755" s="123"/>
      <c r="CZK755" s="123"/>
      <c r="CZL755" s="123"/>
      <c r="CZM755" s="123"/>
      <c r="CZN755" s="123"/>
      <c r="CZO755" s="123"/>
      <c r="CZP755" s="123"/>
      <c r="CZQ755" s="123"/>
      <c r="CZR755" s="123"/>
      <c r="CZS755" s="123"/>
      <c r="CZT755" s="123"/>
      <c r="CZU755" s="123"/>
      <c r="CZV755" s="123"/>
      <c r="CZW755" s="123"/>
      <c r="CZX755" s="123"/>
      <c r="CZY755" s="123"/>
      <c r="CZZ755" s="123"/>
      <c r="DAA755" s="123"/>
      <c r="DAB755" s="123"/>
      <c r="DAC755" s="123"/>
      <c r="DAD755" s="123"/>
      <c r="DAE755" s="123"/>
      <c r="DAF755" s="123"/>
      <c r="DAG755" s="123"/>
      <c r="DAH755" s="123"/>
      <c r="DAI755" s="123"/>
      <c r="DAJ755" s="123"/>
      <c r="DAK755" s="123"/>
      <c r="DAL755" s="123"/>
      <c r="DAM755" s="123"/>
      <c r="DAN755" s="123"/>
      <c r="DAO755" s="123"/>
      <c r="DAP755" s="123"/>
      <c r="DAQ755" s="123"/>
      <c r="DAR755" s="123"/>
      <c r="DAS755" s="123"/>
      <c r="DAT755" s="123"/>
      <c r="DAU755" s="123"/>
      <c r="DAV755" s="123"/>
      <c r="DAW755" s="123"/>
      <c r="DAX755" s="123"/>
      <c r="DAY755" s="123"/>
      <c r="DAZ755" s="123"/>
      <c r="DBA755" s="123"/>
      <c r="DBB755" s="123"/>
      <c r="DBC755" s="123"/>
      <c r="DBD755" s="123"/>
      <c r="DBE755" s="123"/>
      <c r="DBF755" s="123"/>
      <c r="DBG755" s="123"/>
      <c r="DBH755" s="123"/>
      <c r="DBI755" s="123"/>
      <c r="DBJ755" s="123"/>
      <c r="DBK755" s="123"/>
      <c r="DBL755" s="123"/>
      <c r="DBM755" s="123"/>
      <c r="DBN755" s="123"/>
      <c r="DBO755" s="123"/>
      <c r="DBP755" s="123"/>
      <c r="DBQ755" s="123"/>
      <c r="DBR755" s="123"/>
      <c r="DBS755" s="123"/>
      <c r="DBT755" s="123"/>
      <c r="DBU755" s="123"/>
      <c r="DBV755" s="123"/>
      <c r="DBW755" s="123"/>
      <c r="DBX755" s="123"/>
      <c r="DBY755" s="123"/>
      <c r="DBZ755" s="123"/>
      <c r="DCA755" s="123"/>
      <c r="DCB755" s="123"/>
      <c r="DCC755" s="123"/>
      <c r="DCD755" s="123"/>
      <c r="DCE755" s="123"/>
      <c r="DCF755" s="123"/>
      <c r="DCG755" s="123"/>
      <c r="DCH755" s="123"/>
      <c r="DCI755" s="123"/>
      <c r="DCJ755" s="123"/>
      <c r="DCK755" s="123"/>
      <c r="DCL755" s="123"/>
      <c r="DCM755" s="123"/>
      <c r="DCN755" s="123"/>
      <c r="DCO755" s="123"/>
      <c r="DCP755" s="123"/>
      <c r="DCQ755" s="123"/>
      <c r="DCR755" s="123"/>
      <c r="DCS755" s="123"/>
      <c r="DCT755" s="123"/>
      <c r="DCU755" s="123"/>
      <c r="DCV755" s="123"/>
      <c r="DCW755" s="123"/>
      <c r="DCX755" s="123"/>
      <c r="DCY755" s="123"/>
      <c r="DCZ755" s="123"/>
      <c r="DDA755" s="123"/>
      <c r="DDB755" s="123"/>
      <c r="DDC755" s="123"/>
      <c r="DDD755" s="123"/>
      <c r="DDE755" s="123"/>
      <c r="DDF755" s="123"/>
      <c r="DDG755" s="123"/>
      <c r="DDH755" s="123"/>
      <c r="DDI755" s="123"/>
      <c r="DDJ755" s="123"/>
      <c r="DDK755" s="123"/>
      <c r="DDL755" s="123"/>
      <c r="DDM755" s="123"/>
      <c r="DDN755" s="123"/>
      <c r="DDO755" s="123"/>
      <c r="DDP755" s="123"/>
      <c r="DDQ755" s="123"/>
      <c r="DDR755" s="123"/>
      <c r="DDS755" s="123"/>
      <c r="DDT755" s="123"/>
      <c r="DDU755" s="123"/>
      <c r="DDV755" s="123"/>
      <c r="DDW755" s="123"/>
      <c r="DDX755" s="123"/>
      <c r="DDY755" s="123"/>
      <c r="DDZ755" s="123"/>
      <c r="DEA755" s="123"/>
      <c r="DEB755" s="123"/>
      <c r="DEC755" s="123"/>
      <c r="DED755" s="123"/>
      <c r="DEE755" s="123"/>
      <c r="DEF755" s="123"/>
      <c r="DEG755" s="123"/>
      <c r="DEH755" s="123"/>
      <c r="DEI755" s="123"/>
      <c r="DEJ755" s="123"/>
      <c r="DEK755" s="123"/>
      <c r="DEL755" s="123"/>
      <c r="DEM755" s="123"/>
      <c r="DEN755" s="123"/>
      <c r="DEO755" s="123"/>
      <c r="DEP755" s="123"/>
      <c r="DEQ755" s="123"/>
      <c r="DER755" s="123"/>
      <c r="DES755" s="123"/>
      <c r="DET755" s="123"/>
      <c r="DEU755" s="123"/>
      <c r="DEV755" s="123"/>
      <c r="DEW755" s="123"/>
      <c r="DEX755" s="123"/>
      <c r="DEY755" s="123"/>
      <c r="DEZ755" s="123"/>
      <c r="DFA755" s="123"/>
      <c r="DFB755" s="123"/>
      <c r="DFC755" s="123"/>
      <c r="DFD755" s="123"/>
      <c r="DFE755" s="123"/>
      <c r="DFF755" s="123"/>
      <c r="DFG755" s="123"/>
      <c r="DFH755" s="123"/>
      <c r="DFI755" s="123"/>
      <c r="DFJ755" s="123"/>
      <c r="DFK755" s="123"/>
      <c r="DFL755" s="123"/>
      <c r="DFM755" s="123"/>
      <c r="DFN755" s="123"/>
      <c r="DFO755" s="123"/>
      <c r="DFP755" s="123"/>
      <c r="DFQ755" s="123"/>
      <c r="DFR755" s="123"/>
      <c r="DFS755" s="123"/>
      <c r="DFT755" s="123"/>
      <c r="DFU755" s="123"/>
      <c r="DFV755" s="123"/>
      <c r="DFW755" s="123"/>
      <c r="DFX755" s="123"/>
      <c r="DFY755" s="123"/>
      <c r="DFZ755" s="123"/>
      <c r="DGA755" s="123"/>
      <c r="DGB755" s="123"/>
      <c r="DGC755" s="123"/>
      <c r="DGD755" s="123"/>
      <c r="DGE755" s="123"/>
      <c r="DGF755" s="123"/>
      <c r="DGG755" s="123"/>
      <c r="DGH755" s="123"/>
      <c r="DGI755" s="123"/>
      <c r="DGJ755" s="123"/>
      <c r="DGK755" s="123"/>
      <c r="DGL755" s="123"/>
      <c r="DGM755" s="123"/>
      <c r="DGN755" s="123"/>
      <c r="DGO755" s="123"/>
      <c r="DGP755" s="123"/>
      <c r="DGQ755" s="123"/>
      <c r="DGR755" s="123"/>
      <c r="DGS755" s="123"/>
      <c r="DGT755" s="123"/>
      <c r="DGU755" s="123"/>
      <c r="DGV755" s="123"/>
      <c r="DGW755" s="123"/>
      <c r="DGX755" s="123"/>
      <c r="DGY755" s="123"/>
      <c r="DGZ755" s="123"/>
      <c r="DHA755" s="123"/>
      <c r="DHB755" s="123"/>
      <c r="DHC755" s="123"/>
      <c r="DHD755" s="123"/>
      <c r="DHE755" s="123"/>
      <c r="DHF755" s="123"/>
      <c r="DHG755" s="123"/>
      <c r="DHH755" s="123"/>
      <c r="DHI755" s="123"/>
      <c r="DHJ755" s="123"/>
      <c r="DHK755" s="123"/>
      <c r="DHL755" s="123"/>
      <c r="DHM755" s="123"/>
      <c r="DHN755" s="123"/>
      <c r="DHO755" s="123"/>
      <c r="DHP755" s="123"/>
      <c r="DHQ755" s="123"/>
      <c r="DHR755" s="123"/>
      <c r="DHS755" s="123"/>
      <c r="DHT755" s="123"/>
      <c r="DHU755" s="123"/>
      <c r="DHV755" s="123"/>
      <c r="DHW755" s="123"/>
      <c r="DHX755" s="123"/>
      <c r="DHY755" s="123"/>
      <c r="DHZ755" s="123"/>
      <c r="DIA755" s="123"/>
      <c r="DIB755" s="123"/>
      <c r="DIC755" s="123"/>
      <c r="DID755" s="123"/>
      <c r="DIE755" s="123"/>
      <c r="DIF755" s="123"/>
      <c r="DIG755" s="123"/>
      <c r="DIH755" s="123"/>
      <c r="DII755" s="123"/>
      <c r="DIJ755" s="123"/>
      <c r="DIK755" s="123"/>
      <c r="DIL755" s="123"/>
      <c r="DIM755" s="123"/>
      <c r="DIN755" s="123"/>
      <c r="DIO755" s="123"/>
      <c r="DIP755" s="123"/>
      <c r="DIQ755" s="123"/>
      <c r="DIR755" s="123"/>
      <c r="DIS755" s="123"/>
      <c r="DIT755" s="123"/>
      <c r="DIU755" s="123"/>
      <c r="DIV755" s="123"/>
      <c r="DIW755" s="123"/>
      <c r="DIX755" s="123"/>
      <c r="DIY755" s="123"/>
      <c r="DIZ755" s="123"/>
      <c r="DJA755" s="123"/>
      <c r="DJB755" s="123"/>
      <c r="DJC755" s="123"/>
      <c r="DJD755" s="123"/>
      <c r="DJE755" s="123"/>
      <c r="DJF755" s="123"/>
      <c r="DJG755" s="123"/>
      <c r="DJH755" s="123"/>
      <c r="DJI755" s="123"/>
      <c r="DJJ755" s="123"/>
      <c r="DJK755" s="123"/>
      <c r="DJL755" s="123"/>
      <c r="DJM755" s="123"/>
      <c r="DJN755" s="123"/>
      <c r="DJO755" s="123"/>
      <c r="DJP755" s="123"/>
      <c r="DJQ755" s="123"/>
      <c r="DJR755" s="123"/>
      <c r="DJS755" s="123"/>
      <c r="DJT755" s="123"/>
      <c r="DJU755" s="123"/>
      <c r="DJV755" s="123"/>
      <c r="DJW755" s="123"/>
      <c r="DJX755" s="123"/>
      <c r="DJY755" s="123"/>
      <c r="DJZ755" s="123"/>
      <c r="DKA755" s="123"/>
      <c r="DKB755" s="123"/>
      <c r="DKC755" s="123"/>
      <c r="DKD755" s="123"/>
      <c r="DKE755" s="123"/>
      <c r="DKF755" s="123"/>
      <c r="DKG755" s="123"/>
      <c r="DKH755" s="123"/>
      <c r="DKI755" s="123"/>
      <c r="DKJ755" s="123"/>
      <c r="DKK755" s="123"/>
      <c r="DKL755" s="123"/>
      <c r="DKM755" s="123"/>
      <c r="DKN755" s="123"/>
      <c r="DKO755" s="123"/>
      <c r="DKP755" s="123"/>
      <c r="DKQ755" s="123"/>
      <c r="DKR755" s="123"/>
      <c r="DKS755" s="123"/>
      <c r="DKT755" s="123"/>
      <c r="DKU755" s="123"/>
      <c r="DKV755" s="123"/>
      <c r="DKW755" s="123"/>
      <c r="DKX755" s="123"/>
      <c r="DKY755" s="123"/>
      <c r="DKZ755" s="123"/>
      <c r="DLA755" s="123"/>
      <c r="DLB755" s="123"/>
      <c r="DLC755" s="123"/>
      <c r="DLD755" s="123"/>
      <c r="DLE755" s="123"/>
      <c r="DLF755" s="123"/>
      <c r="DLG755" s="123"/>
      <c r="DLH755" s="123"/>
      <c r="DLI755" s="123"/>
      <c r="DLJ755" s="123"/>
      <c r="DLK755" s="123"/>
      <c r="DLL755" s="123"/>
      <c r="DLM755" s="123"/>
      <c r="DLN755" s="123"/>
      <c r="DLO755" s="123"/>
      <c r="DLP755" s="123"/>
      <c r="DLQ755" s="123"/>
      <c r="DLR755" s="123"/>
      <c r="DLS755" s="123"/>
      <c r="DLT755" s="123"/>
      <c r="DLU755" s="123"/>
      <c r="DLV755" s="123"/>
      <c r="DLW755" s="123"/>
      <c r="DLX755" s="123"/>
      <c r="DLY755" s="123"/>
      <c r="DLZ755" s="123"/>
      <c r="DMA755" s="123"/>
      <c r="DMB755" s="123"/>
      <c r="DMC755" s="123"/>
      <c r="DMD755" s="123"/>
      <c r="DME755" s="123"/>
      <c r="DMF755" s="123"/>
      <c r="DMG755" s="123"/>
      <c r="DMH755" s="123"/>
      <c r="DMI755" s="123"/>
      <c r="DMJ755" s="123"/>
      <c r="DMK755" s="123"/>
      <c r="DML755" s="123"/>
      <c r="DMM755" s="123"/>
      <c r="DMN755" s="123"/>
      <c r="DMO755" s="123"/>
      <c r="DMP755" s="123"/>
      <c r="DMQ755" s="123"/>
      <c r="DMR755" s="123"/>
      <c r="DMS755" s="123"/>
      <c r="DMT755" s="123"/>
      <c r="DMU755" s="123"/>
      <c r="DMV755" s="123"/>
      <c r="DMW755" s="123"/>
      <c r="DMX755" s="123"/>
      <c r="DMY755" s="123"/>
      <c r="DMZ755" s="123"/>
      <c r="DNA755" s="123"/>
      <c r="DNB755" s="123"/>
      <c r="DNC755" s="123"/>
      <c r="DND755" s="123"/>
      <c r="DNE755" s="123"/>
      <c r="DNF755" s="123"/>
      <c r="DNG755" s="123"/>
      <c r="DNH755" s="123"/>
      <c r="DNI755" s="123"/>
      <c r="DNJ755" s="123"/>
      <c r="DNK755" s="123"/>
      <c r="DNL755" s="123"/>
      <c r="DNM755" s="123"/>
      <c r="DNN755" s="123"/>
      <c r="DNO755" s="123"/>
      <c r="DNP755" s="123"/>
      <c r="DNQ755" s="123"/>
      <c r="DNR755" s="123"/>
      <c r="DNS755" s="123"/>
      <c r="DNT755" s="123"/>
      <c r="DNU755" s="123"/>
      <c r="DNV755" s="123"/>
      <c r="DNW755" s="123"/>
      <c r="DNX755" s="123"/>
      <c r="DNY755" s="123"/>
      <c r="DNZ755" s="123"/>
      <c r="DOA755" s="123"/>
      <c r="DOB755" s="123"/>
      <c r="DOC755" s="123"/>
      <c r="DOD755" s="123"/>
      <c r="DOE755" s="123"/>
      <c r="DOF755" s="123"/>
      <c r="DOG755" s="123"/>
      <c r="DOH755" s="123"/>
      <c r="DOI755" s="123"/>
      <c r="DOJ755" s="123"/>
      <c r="DOK755" s="123"/>
      <c r="DOL755" s="123"/>
      <c r="DOM755" s="123"/>
      <c r="DON755" s="123"/>
      <c r="DOO755" s="123"/>
      <c r="DOP755" s="123"/>
      <c r="DOQ755" s="123"/>
      <c r="DOR755" s="123"/>
      <c r="DOS755" s="123"/>
      <c r="DOT755" s="123"/>
      <c r="DOU755" s="123"/>
      <c r="DOV755" s="123"/>
      <c r="DOW755" s="123"/>
      <c r="DOX755" s="123"/>
      <c r="DOY755" s="123"/>
      <c r="DOZ755" s="123"/>
      <c r="DPA755" s="123"/>
      <c r="DPB755" s="123"/>
      <c r="DPC755" s="123"/>
      <c r="DPD755" s="123"/>
      <c r="DPE755" s="123"/>
      <c r="DPF755" s="123"/>
      <c r="DPG755" s="123"/>
      <c r="DPH755" s="123"/>
      <c r="DPI755" s="123"/>
      <c r="DPJ755" s="123"/>
      <c r="DPK755" s="123"/>
      <c r="DPL755" s="123"/>
      <c r="DPM755" s="123"/>
      <c r="DPN755" s="123"/>
      <c r="DPO755" s="123"/>
      <c r="DPP755" s="123"/>
      <c r="DPQ755" s="123"/>
      <c r="DPR755" s="123"/>
      <c r="DPS755" s="123"/>
      <c r="DPT755" s="123"/>
      <c r="DPU755" s="123"/>
      <c r="DPV755" s="123"/>
      <c r="DPW755" s="123"/>
      <c r="DPX755" s="123"/>
      <c r="DPY755" s="123"/>
      <c r="DPZ755" s="123"/>
      <c r="DQA755" s="123"/>
      <c r="DQB755" s="123"/>
      <c r="DQC755" s="123"/>
      <c r="DQD755" s="123"/>
      <c r="DQE755" s="123"/>
      <c r="DQF755" s="123"/>
      <c r="DQG755" s="123"/>
      <c r="DQH755" s="123"/>
      <c r="DQI755" s="123"/>
      <c r="DQJ755" s="123"/>
      <c r="DQK755" s="123"/>
      <c r="DQL755" s="123"/>
      <c r="DQM755" s="123"/>
      <c r="DQN755" s="123"/>
      <c r="DQO755" s="123"/>
      <c r="DQP755" s="123"/>
      <c r="DQQ755" s="123"/>
      <c r="DQR755" s="123"/>
      <c r="DQS755" s="123"/>
      <c r="DQT755" s="123"/>
      <c r="DQU755" s="123"/>
      <c r="DQV755" s="123"/>
      <c r="DQW755" s="123"/>
      <c r="DQX755" s="123"/>
      <c r="DQY755" s="123"/>
      <c r="DQZ755" s="123"/>
      <c r="DRA755" s="123"/>
      <c r="DRB755" s="123"/>
      <c r="DRC755" s="123"/>
      <c r="DRD755" s="123"/>
      <c r="DRE755" s="123"/>
      <c r="DRF755" s="123"/>
      <c r="DRG755" s="123"/>
      <c r="DRH755" s="123"/>
      <c r="DRI755" s="123"/>
      <c r="DRJ755" s="123"/>
      <c r="DRK755" s="123"/>
      <c r="DRL755" s="123"/>
      <c r="DRM755" s="123"/>
      <c r="DRN755" s="123"/>
      <c r="DRO755" s="123"/>
      <c r="DRP755" s="123"/>
      <c r="DRQ755" s="123"/>
      <c r="DRR755" s="123"/>
      <c r="DRS755" s="123"/>
      <c r="DRT755" s="123"/>
      <c r="DRU755" s="123"/>
      <c r="DRV755" s="123"/>
      <c r="DRW755" s="123"/>
      <c r="DRX755" s="123"/>
      <c r="DRY755" s="123"/>
      <c r="DRZ755" s="123"/>
      <c r="DSA755" s="123"/>
      <c r="DSB755" s="123"/>
      <c r="DSC755" s="123"/>
      <c r="DSD755" s="123"/>
      <c r="DSE755" s="123"/>
      <c r="DSF755" s="123"/>
      <c r="DSG755" s="123"/>
      <c r="DSH755" s="123"/>
      <c r="DSI755" s="123"/>
      <c r="DSJ755" s="123"/>
      <c r="DSK755" s="123"/>
      <c r="DSL755" s="123"/>
      <c r="DSM755" s="123"/>
      <c r="DSN755" s="123"/>
      <c r="DSO755" s="123"/>
      <c r="DSP755" s="123"/>
      <c r="DSQ755" s="123"/>
      <c r="DSR755" s="123"/>
      <c r="DSS755" s="123"/>
      <c r="DST755" s="123"/>
      <c r="DSU755" s="123"/>
      <c r="DSV755" s="123"/>
      <c r="DSW755" s="123"/>
      <c r="DSX755" s="123"/>
      <c r="DSY755" s="123"/>
      <c r="DSZ755" s="123"/>
      <c r="DTA755" s="123"/>
      <c r="DTB755" s="123"/>
      <c r="DTC755" s="123"/>
      <c r="DTD755" s="123"/>
      <c r="DTE755" s="123"/>
      <c r="DTF755" s="123"/>
      <c r="DTG755" s="123"/>
      <c r="DTH755" s="123"/>
      <c r="DTI755" s="123"/>
      <c r="DTJ755" s="123"/>
      <c r="DTK755" s="123"/>
      <c r="DTL755" s="123"/>
      <c r="DTM755" s="123"/>
      <c r="DTN755" s="123"/>
      <c r="DTO755" s="123"/>
      <c r="DTP755" s="123"/>
      <c r="DTQ755" s="123"/>
      <c r="DTR755" s="123"/>
      <c r="DTS755" s="123"/>
      <c r="DTT755" s="123"/>
      <c r="DTU755" s="123"/>
      <c r="DTV755" s="123"/>
      <c r="DTW755" s="123"/>
      <c r="DTX755" s="123"/>
      <c r="DTY755" s="123"/>
      <c r="DTZ755" s="123"/>
      <c r="DUA755" s="123"/>
      <c r="DUB755" s="123"/>
      <c r="DUC755" s="123"/>
      <c r="DUD755" s="123"/>
      <c r="DUE755" s="123"/>
      <c r="DUF755" s="123"/>
      <c r="DUG755" s="123"/>
      <c r="DUH755" s="123"/>
      <c r="DUI755" s="123"/>
      <c r="DUJ755" s="123"/>
      <c r="DUK755" s="123"/>
      <c r="DUL755" s="123"/>
      <c r="DUM755" s="123"/>
      <c r="DUN755" s="123"/>
      <c r="DUO755" s="123"/>
      <c r="DUP755" s="123"/>
      <c r="DUQ755" s="123"/>
      <c r="DUR755" s="123"/>
      <c r="DUS755" s="123"/>
      <c r="DUT755" s="123"/>
      <c r="DUU755" s="123"/>
      <c r="DUV755" s="123"/>
      <c r="DUW755" s="123"/>
      <c r="DUX755" s="123"/>
      <c r="DUY755" s="123"/>
      <c r="DUZ755" s="123"/>
      <c r="DVA755" s="123"/>
      <c r="DVB755" s="123"/>
      <c r="DVC755" s="123"/>
      <c r="DVD755" s="123"/>
      <c r="DVE755" s="123"/>
      <c r="DVF755" s="123"/>
      <c r="DVG755" s="123"/>
      <c r="DVH755" s="123"/>
      <c r="DVI755" s="123"/>
      <c r="DVJ755" s="123"/>
      <c r="DVK755" s="123"/>
      <c r="DVL755" s="123"/>
      <c r="DVM755" s="123"/>
      <c r="DVN755" s="123"/>
      <c r="DVO755" s="123"/>
      <c r="DVP755" s="123"/>
      <c r="DVQ755" s="123"/>
      <c r="DVR755" s="123"/>
      <c r="DVS755" s="123"/>
      <c r="DVT755" s="123"/>
      <c r="DVU755" s="123"/>
      <c r="DVV755" s="123"/>
      <c r="DVW755" s="123"/>
      <c r="DVX755" s="123"/>
      <c r="DVY755" s="123"/>
      <c r="DVZ755" s="123"/>
      <c r="DWA755" s="123"/>
      <c r="DWB755" s="123"/>
      <c r="DWC755" s="123"/>
      <c r="DWD755" s="123"/>
      <c r="DWE755" s="123"/>
      <c r="DWF755" s="123"/>
      <c r="DWG755" s="123"/>
      <c r="DWH755" s="123"/>
      <c r="DWI755" s="123"/>
      <c r="DWJ755" s="123"/>
      <c r="DWK755" s="123"/>
      <c r="DWL755" s="123"/>
      <c r="DWM755" s="123"/>
      <c r="DWN755" s="123"/>
      <c r="DWO755" s="123"/>
      <c r="DWP755" s="123"/>
      <c r="DWQ755" s="123"/>
      <c r="DWR755" s="123"/>
      <c r="DWS755" s="123"/>
      <c r="DWT755" s="123"/>
      <c r="DWU755" s="123"/>
      <c r="DWV755" s="123"/>
      <c r="DWW755" s="123"/>
      <c r="DWX755" s="123"/>
      <c r="DWY755" s="123"/>
      <c r="DWZ755" s="123"/>
      <c r="DXA755" s="123"/>
      <c r="DXB755" s="123"/>
      <c r="DXC755" s="123"/>
      <c r="DXD755" s="123"/>
      <c r="DXE755" s="123"/>
      <c r="DXF755" s="123"/>
      <c r="DXG755" s="123"/>
      <c r="DXH755" s="123"/>
      <c r="DXI755" s="123"/>
      <c r="DXJ755" s="123"/>
      <c r="DXK755" s="123"/>
      <c r="DXL755" s="123"/>
      <c r="DXM755" s="123"/>
      <c r="DXN755" s="123"/>
      <c r="DXO755" s="123"/>
      <c r="DXP755" s="123"/>
      <c r="DXQ755" s="123"/>
      <c r="DXR755" s="123"/>
      <c r="DXS755" s="123"/>
      <c r="DXT755" s="123"/>
      <c r="DXU755" s="123"/>
      <c r="DXV755" s="123"/>
      <c r="DXW755" s="123"/>
      <c r="DXX755" s="123"/>
      <c r="DXY755" s="123"/>
      <c r="DXZ755" s="123"/>
      <c r="DYA755" s="123"/>
      <c r="DYB755" s="123"/>
      <c r="DYC755" s="123"/>
      <c r="DYD755" s="123"/>
      <c r="DYE755" s="123"/>
      <c r="DYF755" s="123"/>
      <c r="DYG755" s="123"/>
      <c r="DYH755" s="123"/>
      <c r="DYI755" s="123"/>
      <c r="DYJ755" s="123"/>
      <c r="DYK755" s="123"/>
      <c r="DYL755" s="123"/>
      <c r="DYM755" s="123"/>
      <c r="DYN755" s="123"/>
      <c r="DYO755" s="123"/>
      <c r="DYP755" s="123"/>
      <c r="DYQ755" s="123"/>
      <c r="DYR755" s="123"/>
      <c r="DYS755" s="123"/>
      <c r="DYT755" s="123"/>
      <c r="DYU755" s="123"/>
      <c r="DYV755" s="123"/>
      <c r="DYW755" s="123"/>
      <c r="DYX755" s="123"/>
      <c r="DYY755" s="123"/>
      <c r="DYZ755" s="123"/>
      <c r="DZA755" s="123"/>
      <c r="DZB755" s="123"/>
      <c r="DZC755" s="123"/>
      <c r="DZD755" s="123"/>
      <c r="DZE755" s="123"/>
      <c r="DZF755" s="123"/>
      <c r="DZG755" s="123"/>
      <c r="DZH755" s="123"/>
      <c r="DZI755" s="123"/>
      <c r="DZJ755" s="123"/>
      <c r="DZK755" s="123"/>
      <c r="DZL755" s="123"/>
      <c r="DZM755" s="123"/>
      <c r="DZN755" s="123"/>
      <c r="DZO755" s="123"/>
      <c r="DZP755" s="123"/>
      <c r="DZQ755" s="123"/>
      <c r="DZR755" s="123"/>
      <c r="DZS755" s="123"/>
      <c r="DZT755" s="123"/>
      <c r="DZU755" s="123"/>
      <c r="DZV755" s="123"/>
      <c r="DZW755" s="123"/>
      <c r="DZX755" s="123"/>
      <c r="DZY755" s="123"/>
      <c r="DZZ755" s="123"/>
      <c r="EAA755" s="123"/>
      <c r="EAB755" s="123"/>
      <c r="EAC755" s="123"/>
      <c r="EAD755" s="123"/>
      <c r="EAE755" s="123"/>
      <c r="EAF755" s="123"/>
      <c r="EAG755" s="123"/>
      <c r="EAH755" s="123"/>
      <c r="EAI755" s="123"/>
      <c r="EAJ755" s="123"/>
      <c r="EAK755" s="123"/>
      <c r="EAL755" s="123"/>
      <c r="EAM755" s="123"/>
      <c r="EAN755" s="123"/>
      <c r="EAO755" s="123"/>
      <c r="EAP755" s="123"/>
      <c r="EAQ755" s="123"/>
      <c r="EAR755" s="123"/>
      <c r="EAS755" s="123"/>
      <c r="EAT755" s="123"/>
      <c r="EAU755" s="123"/>
      <c r="EAV755" s="123"/>
      <c r="EAW755" s="123"/>
      <c r="EAX755" s="123"/>
      <c r="EAY755" s="123"/>
      <c r="EAZ755" s="123"/>
      <c r="EBA755" s="123"/>
      <c r="EBB755" s="123"/>
      <c r="EBC755" s="123"/>
      <c r="EBD755" s="123"/>
      <c r="EBE755" s="123"/>
      <c r="EBF755" s="123"/>
      <c r="EBG755" s="123"/>
      <c r="EBH755" s="123"/>
      <c r="EBI755" s="123"/>
      <c r="EBJ755" s="123"/>
      <c r="EBK755" s="123"/>
      <c r="EBL755" s="123"/>
      <c r="EBM755" s="123"/>
      <c r="EBN755" s="123"/>
      <c r="EBO755" s="123"/>
      <c r="EBP755" s="123"/>
      <c r="EBQ755" s="123"/>
      <c r="EBR755" s="123"/>
      <c r="EBS755" s="123"/>
      <c r="EBT755" s="123"/>
      <c r="EBU755" s="123"/>
      <c r="EBV755" s="123"/>
      <c r="EBW755" s="123"/>
      <c r="EBX755" s="123"/>
      <c r="EBY755" s="123"/>
      <c r="EBZ755" s="123"/>
      <c r="ECA755" s="123"/>
      <c r="ECB755" s="123"/>
      <c r="ECC755" s="123"/>
      <c r="ECD755" s="123"/>
      <c r="ECE755" s="123"/>
      <c r="ECF755" s="123"/>
      <c r="ECG755" s="123"/>
      <c r="ECH755" s="123"/>
      <c r="ECI755" s="123"/>
      <c r="ECJ755" s="123"/>
      <c r="ECK755" s="123"/>
      <c r="ECL755" s="123"/>
      <c r="ECM755" s="123"/>
      <c r="ECN755" s="123"/>
      <c r="ECO755" s="123"/>
      <c r="ECP755" s="123"/>
      <c r="ECQ755" s="123"/>
      <c r="ECR755" s="123"/>
      <c r="ECS755" s="123"/>
      <c r="ECT755" s="123"/>
      <c r="ECU755" s="123"/>
      <c r="ECV755" s="123"/>
      <c r="ECW755" s="123"/>
      <c r="ECX755" s="123"/>
      <c r="ECY755" s="123"/>
      <c r="ECZ755" s="123"/>
      <c r="EDA755" s="123"/>
      <c r="EDB755" s="123"/>
      <c r="EDC755" s="123"/>
      <c r="EDD755" s="123"/>
      <c r="EDE755" s="123"/>
      <c r="EDF755" s="123"/>
      <c r="EDG755" s="123"/>
      <c r="EDH755" s="123"/>
      <c r="EDI755" s="123"/>
      <c r="EDJ755" s="123"/>
      <c r="EDK755" s="123"/>
      <c r="EDL755" s="123"/>
      <c r="EDM755" s="123"/>
      <c r="EDN755" s="123"/>
      <c r="EDO755" s="123"/>
      <c r="EDP755" s="123"/>
      <c r="EDQ755" s="123"/>
      <c r="EDR755" s="123"/>
      <c r="EDS755" s="123"/>
      <c r="EDT755" s="123"/>
      <c r="EDU755" s="123"/>
      <c r="EDV755" s="123"/>
      <c r="EDW755" s="123"/>
      <c r="EDX755" s="123"/>
      <c r="EDY755" s="123"/>
      <c r="EDZ755" s="123"/>
      <c r="EEA755" s="123"/>
      <c r="EEB755" s="123"/>
      <c r="EEC755" s="123"/>
      <c r="EED755" s="123"/>
      <c r="EEE755" s="123"/>
      <c r="EEF755" s="123"/>
      <c r="EEG755" s="123"/>
      <c r="EEH755" s="123"/>
      <c r="EEI755" s="123"/>
      <c r="EEJ755" s="123"/>
      <c r="EEK755" s="123"/>
      <c r="EEL755" s="123"/>
      <c r="EEM755" s="123"/>
      <c r="EEN755" s="123"/>
      <c r="EEO755" s="123"/>
      <c r="EEP755" s="123"/>
      <c r="EEQ755" s="123"/>
      <c r="EER755" s="123"/>
      <c r="EES755" s="123"/>
      <c r="EET755" s="123"/>
      <c r="EEU755" s="123"/>
      <c r="EEV755" s="123"/>
      <c r="EEW755" s="123"/>
      <c r="EEX755" s="123"/>
      <c r="EEY755" s="123"/>
      <c r="EEZ755" s="123"/>
      <c r="EFA755" s="123"/>
      <c r="EFB755" s="123"/>
      <c r="EFC755" s="123"/>
      <c r="EFD755" s="123"/>
      <c r="EFE755" s="123"/>
      <c r="EFF755" s="123"/>
      <c r="EFG755" s="123"/>
      <c r="EFH755" s="123"/>
      <c r="EFI755" s="123"/>
      <c r="EFJ755" s="123"/>
      <c r="EFK755" s="123"/>
      <c r="EFL755" s="123"/>
      <c r="EFM755" s="123"/>
      <c r="EFN755" s="123"/>
      <c r="EFO755" s="123"/>
      <c r="EFP755" s="123"/>
      <c r="EFQ755" s="123"/>
      <c r="EFR755" s="123"/>
      <c r="EFS755" s="123"/>
      <c r="EFT755" s="123"/>
      <c r="EFU755" s="123"/>
      <c r="EFV755" s="123"/>
      <c r="EFW755" s="123"/>
      <c r="EFX755" s="123"/>
      <c r="EFY755" s="123"/>
      <c r="EFZ755" s="123"/>
      <c r="EGA755" s="123"/>
      <c r="EGB755" s="123"/>
      <c r="EGC755" s="123"/>
      <c r="EGD755" s="123"/>
      <c r="EGE755" s="123"/>
      <c r="EGF755" s="123"/>
      <c r="EGG755" s="123"/>
      <c r="EGH755" s="123"/>
      <c r="EGI755" s="123"/>
      <c r="EGJ755" s="123"/>
      <c r="EGK755" s="123"/>
      <c r="EGL755" s="123"/>
      <c r="EGM755" s="123"/>
      <c r="EGN755" s="123"/>
      <c r="EGO755" s="123"/>
      <c r="EGP755" s="123"/>
      <c r="EGQ755" s="123"/>
      <c r="EGR755" s="123"/>
      <c r="EGS755" s="123"/>
      <c r="EGT755" s="123"/>
      <c r="EGU755" s="123"/>
      <c r="EGV755" s="123"/>
      <c r="EGW755" s="123"/>
      <c r="EGX755" s="123"/>
      <c r="EGY755" s="123"/>
      <c r="EGZ755" s="123"/>
      <c r="EHA755" s="123"/>
      <c r="EHB755" s="123"/>
      <c r="EHC755" s="123"/>
      <c r="EHD755" s="123"/>
      <c r="EHE755" s="123"/>
      <c r="EHF755" s="123"/>
      <c r="EHG755" s="123"/>
      <c r="EHH755" s="123"/>
      <c r="EHI755" s="123"/>
      <c r="EHJ755" s="123"/>
      <c r="EHK755" s="123"/>
      <c r="EHL755" s="123"/>
      <c r="EHM755" s="123"/>
      <c r="EHN755" s="123"/>
      <c r="EHO755" s="123"/>
      <c r="EHP755" s="123"/>
      <c r="EHQ755" s="123"/>
      <c r="EHR755" s="123"/>
      <c r="EHS755" s="123"/>
      <c r="EHT755" s="123"/>
      <c r="EHU755" s="123"/>
      <c r="EHV755" s="123"/>
      <c r="EHW755" s="123"/>
      <c r="EHX755" s="123"/>
      <c r="EHY755" s="123"/>
      <c r="EHZ755" s="123"/>
      <c r="EIA755" s="123"/>
      <c r="EIB755" s="123"/>
      <c r="EIC755" s="123"/>
      <c r="EID755" s="123"/>
      <c r="EIE755" s="123"/>
      <c r="EIF755" s="123"/>
      <c r="EIG755" s="123"/>
      <c r="EIH755" s="123"/>
      <c r="EII755" s="123"/>
      <c r="EIJ755" s="123"/>
      <c r="EIK755" s="123"/>
      <c r="EIL755" s="123"/>
      <c r="EIM755" s="123"/>
      <c r="EIN755" s="123"/>
      <c r="EIO755" s="123"/>
      <c r="EIP755" s="123"/>
      <c r="EIQ755" s="123"/>
      <c r="EIR755" s="123"/>
      <c r="EIS755" s="123"/>
      <c r="EIT755" s="123"/>
      <c r="EIU755" s="123"/>
      <c r="EIV755" s="123"/>
      <c r="EIW755" s="123"/>
      <c r="EIX755" s="123"/>
      <c r="EIY755" s="123"/>
      <c r="EIZ755" s="123"/>
      <c r="EJA755" s="123"/>
      <c r="EJB755" s="123"/>
      <c r="EJC755" s="123"/>
      <c r="EJD755" s="123"/>
      <c r="EJE755" s="123"/>
      <c r="EJF755" s="123"/>
      <c r="EJG755" s="123"/>
      <c r="EJH755" s="123"/>
      <c r="EJI755" s="123"/>
      <c r="EJJ755" s="123"/>
      <c r="EJK755" s="123"/>
      <c r="EJL755" s="123"/>
      <c r="EJM755" s="123"/>
      <c r="EJN755" s="123"/>
      <c r="EJO755" s="123"/>
      <c r="EJP755" s="123"/>
      <c r="EJQ755" s="123"/>
      <c r="EJR755" s="123"/>
      <c r="EJS755" s="123"/>
      <c r="EJT755" s="123"/>
      <c r="EJU755" s="123"/>
      <c r="EJV755" s="123"/>
      <c r="EJW755" s="123"/>
      <c r="EJX755" s="123"/>
      <c r="EJY755" s="123"/>
      <c r="EJZ755" s="123"/>
      <c r="EKA755" s="123"/>
      <c r="EKB755" s="123"/>
      <c r="EKC755" s="123"/>
      <c r="EKD755" s="123"/>
      <c r="EKE755" s="123"/>
      <c r="EKF755" s="123"/>
      <c r="EKG755" s="123"/>
      <c r="EKH755" s="123"/>
      <c r="EKI755" s="123"/>
      <c r="EKJ755" s="123"/>
      <c r="EKK755" s="123"/>
      <c r="EKL755" s="123"/>
      <c r="EKM755" s="123"/>
      <c r="EKN755" s="123"/>
      <c r="EKO755" s="123"/>
      <c r="EKP755" s="123"/>
      <c r="EKQ755" s="123"/>
      <c r="EKR755" s="123"/>
      <c r="EKS755" s="123"/>
      <c r="EKT755" s="123"/>
      <c r="EKU755" s="123"/>
      <c r="EKV755" s="123"/>
      <c r="EKW755" s="123"/>
      <c r="EKX755" s="123"/>
      <c r="EKY755" s="123"/>
      <c r="EKZ755" s="123"/>
      <c r="ELA755" s="123"/>
      <c r="ELB755" s="123"/>
      <c r="ELC755" s="123"/>
      <c r="ELD755" s="123"/>
      <c r="ELE755" s="123"/>
      <c r="ELF755" s="123"/>
      <c r="ELG755" s="123"/>
      <c r="ELH755" s="123"/>
      <c r="ELI755" s="123"/>
      <c r="ELJ755" s="123"/>
      <c r="ELK755" s="123"/>
      <c r="ELL755" s="123"/>
      <c r="ELM755" s="123"/>
      <c r="ELN755" s="123"/>
      <c r="ELO755" s="123"/>
      <c r="ELP755" s="123"/>
      <c r="ELQ755" s="123"/>
      <c r="ELR755" s="123"/>
      <c r="ELS755" s="123"/>
      <c r="ELT755" s="123"/>
      <c r="ELU755" s="123"/>
      <c r="ELV755" s="123"/>
      <c r="ELW755" s="123"/>
      <c r="ELX755" s="123"/>
      <c r="ELY755" s="123"/>
      <c r="ELZ755" s="123"/>
      <c r="EMA755" s="123"/>
      <c r="EMB755" s="123"/>
      <c r="EMC755" s="123"/>
      <c r="EMD755" s="123"/>
      <c r="EME755" s="123"/>
      <c r="EMF755" s="123"/>
      <c r="EMG755" s="123"/>
      <c r="EMH755" s="123"/>
      <c r="EMI755" s="123"/>
      <c r="EMJ755" s="123"/>
      <c r="EMK755" s="123"/>
      <c r="EML755" s="123"/>
      <c r="EMM755" s="123"/>
      <c r="EMN755" s="123"/>
      <c r="EMO755" s="123"/>
      <c r="EMP755" s="123"/>
      <c r="EMQ755" s="123"/>
      <c r="EMR755" s="123"/>
      <c r="EMS755" s="123"/>
      <c r="EMT755" s="123"/>
      <c r="EMU755" s="123"/>
      <c r="EMV755" s="123"/>
      <c r="EMW755" s="123"/>
      <c r="EMX755" s="123"/>
      <c r="EMY755" s="123"/>
      <c r="EMZ755" s="123"/>
      <c r="ENA755" s="123"/>
      <c r="ENB755" s="123"/>
      <c r="ENC755" s="123"/>
      <c r="END755" s="123"/>
      <c r="ENE755" s="123"/>
      <c r="ENF755" s="123"/>
      <c r="ENG755" s="123"/>
      <c r="ENH755" s="123"/>
      <c r="ENI755" s="123"/>
      <c r="ENJ755" s="123"/>
      <c r="ENK755" s="123"/>
      <c r="ENL755" s="123"/>
      <c r="ENM755" s="123"/>
      <c r="ENN755" s="123"/>
      <c r="ENO755" s="123"/>
      <c r="ENP755" s="123"/>
      <c r="ENQ755" s="123"/>
      <c r="ENR755" s="123"/>
      <c r="ENS755" s="123"/>
      <c r="ENT755" s="123"/>
      <c r="ENU755" s="123"/>
      <c r="ENV755" s="123"/>
      <c r="ENW755" s="123"/>
      <c r="ENX755" s="123"/>
      <c r="ENY755" s="123"/>
      <c r="ENZ755" s="123"/>
      <c r="EOA755" s="123"/>
      <c r="EOB755" s="123"/>
      <c r="EOC755" s="123"/>
      <c r="EOD755" s="123"/>
      <c r="EOE755" s="123"/>
      <c r="EOF755" s="123"/>
      <c r="EOG755" s="123"/>
      <c r="EOH755" s="123"/>
      <c r="EOI755" s="123"/>
      <c r="EOJ755" s="123"/>
      <c r="EOK755" s="123"/>
      <c r="EOL755" s="123"/>
      <c r="EOM755" s="123"/>
      <c r="EON755" s="123"/>
      <c r="EOO755" s="123"/>
      <c r="EOP755" s="123"/>
      <c r="EOQ755" s="123"/>
      <c r="EOR755" s="123"/>
      <c r="EOS755" s="123"/>
      <c r="EOT755" s="123"/>
      <c r="EOU755" s="123"/>
      <c r="EOV755" s="123"/>
      <c r="EOW755" s="123"/>
      <c r="EOX755" s="123"/>
      <c r="EOY755" s="123"/>
      <c r="EOZ755" s="123"/>
      <c r="EPA755" s="123"/>
      <c r="EPB755" s="123"/>
      <c r="EPC755" s="123"/>
      <c r="EPD755" s="123"/>
      <c r="EPE755" s="123"/>
      <c r="EPF755" s="123"/>
      <c r="EPG755" s="123"/>
      <c r="EPH755" s="123"/>
      <c r="EPI755" s="123"/>
      <c r="EPJ755" s="123"/>
      <c r="EPK755" s="123"/>
      <c r="EPL755" s="123"/>
      <c r="EPM755" s="123"/>
      <c r="EPN755" s="123"/>
      <c r="EPO755" s="123"/>
      <c r="EPP755" s="123"/>
      <c r="EPQ755" s="123"/>
      <c r="EPR755" s="123"/>
      <c r="EPS755" s="123"/>
      <c r="EPT755" s="123"/>
      <c r="EPU755" s="123"/>
      <c r="EPV755" s="123"/>
      <c r="EPW755" s="123"/>
      <c r="EPX755" s="123"/>
      <c r="EPY755" s="123"/>
      <c r="EPZ755" s="123"/>
      <c r="EQA755" s="123"/>
      <c r="EQB755" s="123"/>
      <c r="EQC755" s="123"/>
      <c r="EQD755" s="123"/>
      <c r="EQE755" s="123"/>
      <c r="EQF755" s="123"/>
      <c r="EQG755" s="123"/>
      <c r="EQH755" s="123"/>
      <c r="EQI755" s="123"/>
      <c r="EQJ755" s="123"/>
      <c r="EQK755" s="123"/>
      <c r="EQL755" s="123"/>
      <c r="EQM755" s="123"/>
      <c r="EQN755" s="123"/>
      <c r="EQO755" s="123"/>
      <c r="EQP755" s="123"/>
      <c r="EQQ755" s="123"/>
      <c r="EQR755" s="123"/>
      <c r="EQS755" s="123"/>
      <c r="EQT755" s="123"/>
      <c r="EQU755" s="123"/>
      <c r="EQV755" s="123"/>
      <c r="EQW755" s="123"/>
      <c r="EQX755" s="123"/>
      <c r="EQY755" s="123"/>
      <c r="EQZ755" s="123"/>
      <c r="ERA755" s="123"/>
      <c r="ERB755" s="123"/>
      <c r="ERC755" s="123"/>
      <c r="ERD755" s="123"/>
      <c r="ERE755" s="123"/>
      <c r="ERF755" s="123"/>
      <c r="ERG755" s="123"/>
      <c r="ERH755" s="123"/>
      <c r="ERI755" s="123"/>
      <c r="ERJ755" s="123"/>
      <c r="ERK755" s="123"/>
      <c r="ERL755" s="123"/>
      <c r="ERM755" s="123"/>
      <c r="ERN755" s="123"/>
      <c r="ERO755" s="123"/>
      <c r="ERP755" s="123"/>
      <c r="ERQ755" s="123"/>
      <c r="ERR755" s="123"/>
      <c r="ERS755" s="123"/>
      <c r="ERT755" s="123"/>
      <c r="ERU755" s="123"/>
      <c r="ERV755" s="123"/>
      <c r="ERW755" s="123"/>
      <c r="ERX755" s="123"/>
      <c r="ERY755" s="123"/>
      <c r="ERZ755" s="123"/>
      <c r="ESA755" s="123"/>
      <c r="ESB755" s="123"/>
      <c r="ESC755" s="123"/>
      <c r="ESD755" s="123"/>
      <c r="ESE755" s="123"/>
      <c r="ESF755" s="123"/>
      <c r="ESG755" s="123"/>
      <c r="ESH755" s="123"/>
      <c r="ESI755" s="123"/>
      <c r="ESJ755" s="123"/>
      <c r="ESK755" s="123"/>
      <c r="ESL755" s="123"/>
      <c r="ESM755" s="123"/>
      <c r="ESN755" s="123"/>
      <c r="ESO755" s="123"/>
      <c r="ESP755" s="123"/>
      <c r="ESQ755" s="123"/>
      <c r="ESR755" s="123"/>
      <c r="ESS755" s="123"/>
      <c r="EST755" s="123"/>
      <c r="ESU755" s="123"/>
      <c r="ESV755" s="123"/>
      <c r="ESW755" s="123"/>
      <c r="ESX755" s="123"/>
      <c r="ESY755" s="123"/>
      <c r="ESZ755" s="123"/>
      <c r="ETA755" s="123"/>
      <c r="ETB755" s="123"/>
      <c r="ETC755" s="123"/>
      <c r="ETD755" s="123"/>
      <c r="ETE755" s="123"/>
      <c r="ETF755" s="123"/>
      <c r="ETG755" s="123"/>
      <c r="ETH755" s="123"/>
      <c r="ETI755" s="123"/>
      <c r="ETJ755" s="123"/>
      <c r="ETK755" s="123"/>
      <c r="ETL755" s="123"/>
      <c r="ETM755" s="123"/>
      <c r="ETN755" s="123"/>
      <c r="ETO755" s="123"/>
      <c r="ETP755" s="123"/>
      <c r="ETQ755" s="123"/>
      <c r="ETR755" s="123"/>
      <c r="ETS755" s="123"/>
      <c r="ETT755" s="123"/>
      <c r="ETU755" s="123"/>
      <c r="ETV755" s="123"/>
      <c r="ETW755" s="123"/>
      <c r="ETX755" s="123"/>
      <c r="ETY755" s="123"/>
      <c r="ETZ755" s="123"/>
      <c r="EUA755" s="123"/>
      <c r="EUB755" s="123"/>
      <c r="EUC755" s="123"/>
      <c r="EUD755" s="123"/>
      <c r="EUE755" s="123"/>
      <c r="EUF755" s="123"/>
      <c r="EUG755" s="123"/>
      <c r="EUH755" s="123"/>
      <c r="EUI755" s="123"/>
      <c r="EUJ755" s="123"/>
      <c r="EUK755" s="123"/>
      <c r="EUL755" s="123"/>
      <c r="EUM755" s="123"/>
      <c r="EUN755" s="123"/>
      <c r="EUO755" s="123"/>
      <c r="EUP755" s="123"/>
      <c r="EUQ755" s="123"/>
      <c r="EUR755" s="123"/>
      <c r="EUS755" s="123"/>
      <c r="EUT755" s="123"/>
      <c r="EUU755" s="123"/>
      <c r="EUV755" s="123"/>
      <c r="EUW755" s="123"/>
      <c r="EUX755" s="123"/>
      <c r="EUY755" s="123"/>
      <c r="EUZ755" s="123"/>
      <c r="EVA755" s="123"/>
      <c r="EVB755" s="123"/>
      <c r="EVC755" s="123"/>
      <c r="EVD755" s="123"/>
      <c r="EVE755" s="123"/>
      <c r="EVF755" s="123"/>
      <c r="EVG755" s="123"/>
      <c r="EVH755" s="123"/>
      <c r="EVI755" s="123"/>
      <c r="EVJ755" s="123"/>
      <c r="EVK755" s="123"/>
      <c r="EVL755" s="123"/>
      <c r="EVM755" s="123"/>
      <c r="EVN755" s="123"/>
      <c r="EVO755" s="123"/>
      <c r="EVP755" s="123"/>
      <c r="EVQ755" s="123"/>
      <c r="EVR755" s="123"/>
      <c r="EVS755" s="123"/>
      <c r="EVT755" s="123"/>
      <c r="EVU755" s="123"/>
      <c r="EVV755" s="123"/>
      <c r="EVW755" s="123"/>
      <c r="EVX755" s="123"/>
      <c r="EVY755" s="123"/>
      <c r="EVZ755" s="123"/>
      <c r="EWA755" s="123"/>
      <c r="EWB755" s="123"/>
      <c r="EWC755" s="123"/>
      <c r="EWD755" s="123"/>
      <c r="EWE755" s="123"/>
      <c r="EWF755" s="123"/>
      <c r="EWG755" s="123"/>
      <c r="EWH755" s="123"/>
      <c r="EWI755" s="123"/>
      <c r="EWJ755" s="123"/>
      <c r="EWK755" s="123"/>
      <c r="EWL755" s="123"/>
      <c r="EWM755" s="123"/>
      <c r="EWN755" s="123"/>
      <c r="EWO755" s="123"/>
      <c r="EWP755" s="123"/>
      <c r="EWQ755" s="123"/>
      <c r="EWR755" s="123"/>
      <c r="EWS755" s="123"/>
      <c r="EWT755" s="123"/>
      <c r="EWU755" s="123"/>
      <c r="EWV755" s="123"/>
      <c r="EWW755" s="123"/>
      <c r="EWX755" s="123"/>
      <c r="EWY755" s="123"/>
      <c r="EWZ755" s="123"/>
      <c r="EXA755" s="123"/>
      <c r="EXB755" s="123"/>
      <c r="EXC755" s="123"/>
      <c r="EXD755" s="123"/>
      <c r="EXE755" s="123"/>
      <c r="EXF755" s="123"/>
      <c r="EXG755" s="123"/>
      <c r="EXH755" s="123"/>
      <c r="EXI755" s="123"/>
      <c r="EXJ755" s="123"/>
      <c r="EXK755" s="123"/>
      <c r="EXL755" s="123"/>
      <c r="EXM755" s="123"/>
      <c r="EXN755" s="123"/>
      <c r="EXO755" s="123"/>
      <c r="EXP755" s="123"/>
      <c r="EXQ755" s="123"/>
      <c r="EXR755" s="123"/>
      <c r="EXS755" s="123"/>
      <c r="EXT755" s="123"/>
      <c r="EXU755" s="123"/>
      <c r="EXV755" s="123"/>
      <c r="EXW755" s="123"/>
      <c r="EXX755" s="123"/>
      <c r="EXY755" s="123"/>
      <c r="EXZ755" s="123"/>
      <c r="EYA755" s="123"/>
      <c r="EYB755" s="123"/>
      <c r="EYC755" s="123"/>
      <c r="EYD755" s="123"/>
      <c r="EYE755" s="123"/>
      <c r="EYF755" s="123"/>
      <c r="EYG755" s="123"/>
      <c r="EYH755" s="123"/>
      <c r="EYI755" s="123"/>
      <c r="EYJ755" s="123"/>
      <c r="EYK755" s="123"/>
      <c r="EYL755" s="123"/>
      <c r="EYM755" s="123"/>
      <c r="EYN755" s="123"/>
      <c r="EYO755" s="123"/>
      <c r="EYP755" s="123"/>
      <c r="EYQ755" s="123"/>
      <c r="EYR755" s="123"/>
      <c r="EYS755" s="123"/>
      <c r="EYT755" s="123"/>
      <c r="EYU755" s="123"/>
      <c r="EYV755" s="123"/>
      <c r="EYW755" s="123"/>
      <c r="EYX755" s="123"/>
      <c r="EYY755" s="123"/>
      <c r="EYZ755" s="123"/>
      <c r="EZA755" s="123"/>
      <c r="EZB755" s="123"/>
      <c r="EZC755" s="123"/>
      <c r="EZD755" s="123"/>
      <c r="EZE755" s="123"/>
      <c r="EZF755" s="123"/>
      <c r="EZG755" s="123"/>
      <c r="EZH755" s="123"/>
      <c r="EZI755" s="123"/>
      <c r="EZJ755" s="123"/>
      <c r="EZK755" s="123"/>
      <c r="EZL755" s="123"/>
      <c r="EZM755" s="123"/>
      <c r="EZN755" s="123"/>
      <c r="EZO755" s="123"/>
      <c r="EZP755" s="123"/>
      <c r="EZQ755" s="123"/>
      <c r="EZR755" s="123"/>
      <c r="EZS755" s="123"/>
      <c r="EZT755" s="123"/>
      <c r="EZU755" s="123"/>
      <c r="EZV755" s="123"/>
      <c r="EZW755" s="123"/>
      <c r="EZX755" s="123"/>
      <c r="EZY755" s="123"/>
      <c r="EZZ755" s="123"/>
      <c r="FAA755" s="123"/>
      <c r="FAB755" s="123"/>
      <c r="FAC755" s="123"/>
      <c r="FAD755" s="123"/>
      <c r="FAE755" s="123"/>
      <c r="FAF755" s="123"/>
      <c r="FAG755" s="123"/>
      <c r="FAH755" s="123"/>
      <c r="FAI755" s="123"/>
      <c r="FAJ755" s="123"/>
      <c r="FAK755" s="123"/>
      <c r="FAL755" s="123"/>
      <c r="FAM755" s="123"/>
      <c r="FAN755" s="123"/>
      <c r="FAO755" s="123"/>
      <c r="FAP755" s="123"/>
      <c r="FAQ755" s="123"/>
      <c r="FAR755" s="123"/>
      <c r="FAS755" s="123"/>
      <c r="FAT755" s="123"/>
      <c r="FAU755" s="123"/>
      <c r="FAV755" s="123"/>
      <c r="FAW755" s="123"/>
      <c r="FAX755" s="123"/>
      <c r="FAY755" s="123"/>
      <c r="FAZ755" s="123"/>
      <c r="FBA755" s="123"/>
      <c r="FBB755" s="123"/>
      <c r="FBC755" s="123"/>
      <c r="FBD755" s="123"/>
      <c r="FBE755" s="123"/>
      <c r="FBF755" s="123"/>
      <c r="FBG755" s="123"/>
      <c r="FBH755" s="123"/>
      <c r="FBI755" s="123"/>
      <c r="FBJ755" s="123"/>
      <c r="FBK755" s="123"/>
      <c r="FBL755" s="123"/>
      <c r="FBM755" s="123"/>
      <c r="FBN755" s="123"/>
      <c r="FBO755" s="123"/>
      <c r="FBP755" s="123"/>
      <c r="FBQ755" s="123"/>
      <c r="FBR755" s="123"/>
      <c r="FBS755" s="123"/>
      <c r="FBT755" s="123"/>
      <c r="FBU755" s="123"/>
      <c r="FBV755" s="123"/>
      <c r="FBW755" s="123"/>
      <c r="FBX755" s="123"/>
      <c r="FBY755" s="123"/>
      <c r="FBZ755" s="123"/>
      <c r="FCA755" s="123"/>
      <c r="FCB755" s="123"/>
      <c r="FCC755" s="123"/>
      <c r="FCD755" s="123"/>
      <c r="FCE755" s="123"/>
      <c r="FCF755" s="123"/>
      <c r="FCG755" s="123"/>
      <c r="FCH755" s="123"/>
      <c r="FCI755" s="123"/>
      <c r="FCJ755" s="123"/>
      <c r="FCK755" s="123"/>
      <c r="FCL755" s="123"/>
      <c r="FCM755" s="123"/>
      <c r="FCN755" s="123"/>
      <c r="FCO755" s="123"/>
      <c r="FCP755" s="123"/>
      <c r="FCQ755" s="123"/>
      <c r="FCR755" s="123"/>
      <c r="FCS755" s="123"/>
      <c r="FCT755" s="123"/>
      <c r="FCU755" s="123"/>
      <c r="FCV755" s="123"/>
      <c r="FCW755" s="123"/>
      <c r="FCX755" s="123"/>
      <c r="FCY755" s="123"/>
      <c r="FCZ755" s="123"/>
      <c r="FDA755" s="123"/>
      <c r="FDB755" s="123"/>
      <c r="FDC755" s="123"/>
      <c r="FDD755" s="123"/>
      <c r="FDE755" s="123"/>
      <c r="FDF755" s="123"/>
      <c r="FDG755" s="123"/>
      <c r="FDH755" s="123"/>
      <c r="FDI755" s="123"/>
      <c r="FDJ755" s="123"/>
      <c r="FDK755" s="123"/>
      <c r="FDL755" s="123"/>
      <c r="FDM755" s="123"/>
      <c r="FDN755" s="123"/>
      <c r="FDO755" s="123"/>
      <c r="FDP755" s="123"/>
      <c r="FDQ755" s="123"/>
      <c r="FDR755" s="123"/>
      <c r="FDS755" s="123"/>
      <c r="FDT755" s="123"/>
      <c r="FDU755" s="123"/>
      <c r="FDV755" s="123"/>
      <c r="FDW755" s="123"/>
      <c r="FDX755" s="123"/>
      <c r="FDY755" s="123"/>
      <c r="FDZ755" s="123"/>
      <c r="FEA755" s="123"/>
      <c r="FEB755" s="123"/>
      <c r="FEC755" s="123"/>
      <c r="FED755" s="123"/>
      <c r="FEE755" s="123"/>
      <c r="FEF755" s="123"/>
      <c r="FEG755" s="123"/>
      <c r="FEH755" s="123"/>
      <c r="FEI755" s="123"/>
      <c r="FEJ755" s="123"/>
      <c r="FEK755" s="123"/>
      <c r="FEL755" s="123"/>
      <c r="FEM755" s="123"/>
      <c r="FEN755" s="123"/>
      <c r="FEO755" s="123"/>
      <c r="FEP755" s="123"/>
      <c r="FEQ755" s="123"/>
      <c r="FER755" s="123"/>
      <c r="FES755" s="123"/>
      <c r="FET755" s="123"/>
      <c r="FEU755" s="123"/>
      <c r="FEV755" s="123"/>
      <c r="FEW755" s="123"/>
      <c r="FEX755" s="123"/>
      <c r="FEY755" s="123"/>
      <c r="FEZ755" s="123"/>
      <c r="FFA755" s="123"/>
      <c r="FFB755" s="123"/>
      <c r="FFC755" s="123"/>
      <c r="FFD755" s="123"/>
      <c r="FFE755" s="123"/>
      <c r="FFF755" s="123"/>
      <c r="FFG755" s="123"/>
      <c r="FFH755" s="123"/>
      <c r="FFI755" s="123"/>
      <c r="FFJ755" s="123"/>
      <c r="FFK755" s="123"/>
      <c r="FFL755" s="123"/>
      <c r="FFM755" s="123"/>
      <c r="FFN755" s="123"/>
      <c r="FFO755" s="123"/>
      <c r="FFP755" s="123"/>
      <c r="FFQ755" s="123"/>
      <c r="FFR755" s="123"/>
      <c r="FFS755" s="123"/>
      <c r="FFT755" s="123"/>
      <c r="FFU755" s="123"/>
      <c r="FFV755" s="123"/>
      <c r="FFW755" s="123"/>
      <c r="FFX755" s="123"/>
      <c r="FFY755" s="123"/>
      <c r="FFZ755" s="123"/>
      <c r="FGA755" s="123"/>
      <c r="FGB755" s="123"/>
      <c r="FGC755" s="123"/>
      <c r="FGD755" s="123"/>
      <c r="FGE755" s="123"/>
      <c r="FGF755" s="123"/>
      <c r="FGG755" s="123"/>
      <c r="FGH755" s="123"/>
      <c r="FGI755" s="123"/>
      <c r="FGJ755" s="123"/>
      <c r="FGK755" s="123"/>
      <c r="FGL755" s="123"/>
      <c r="FGM755" s="123"/>
      <c r="FGN755" s="123"/>
      <c r="FGO755" s="123"/>
      <c r="FGP755" s="123"/>
      <c r="FGQ755" s="123"/>
      <c r="FGR755" s="123"/>
      <c r="FGS755" s="123"/>
      <c r="FGT755" s="123"/>
      <c r="FGU755" s="123"/>
      <c r="FGV755" s="123"/>
      <c r="FGW755" s="123"/>
      <c r="FGX755" s="123"/>
      <c r="FGY755" s="123"/>
      <c r="FGZ755" s="123"/>
      <c r="FHA755" s="123"/>
      <c r="FHB755" s="123"/>
      <c r="FHC755" s="123"/>
      <c r="FHD755" s="123"/>
      <c r="FHE755" s="123"/>
      <c r="FHF755" s="123"/>
      <c r="FHG755" s="123"/>
      <c r="FHH755" s="123"/>
      <c r="FHI755" s="123"/>
      <c r="FHJ755" s="123"/>
      <c r="FHK755" s="123"/>
      <c r="FHL755" s="123"/>
      <c r="FHM755" s="123"/>
      <c r="FHN755" s="123"/>
      <c r="FHO755" s="123"/>
      <c r="FHP755" s="123"/>
      <c r="FHQ755" s="123"/>
      <c r="FHR755" s="123"/>
      <c r="FHS755" s="123"/>
      <c r="FHT755" s="123"/>
      <c r="FHU755" s="123"/>
      <c r="FHV755" s="123"/>
      <c r="FHW755" s="123"/>
      <c r="FHX755" s="123"/>
      <c r="FHY755" s="123"/>
      <c r="FHZ755" s="123"/>
      <c r="FIA755" s="123"/>
      <c r="FIB755" s="123"/>
      <c r="FIC755" s="123"/>
      <c r="FID755" s="123"/>
      <c r="FIE755" s="123"/>
      <c r="FIF755" s="123"/>
      <c r="FIG755" s="123"/>
      <c r="FIH755" s="123"/>
      <c r="FII755" s="123"/>
      <c r="FIJ755" s="123"/>
      <c r="FIK755" s="123"/>
      <c r="FIL755" s="123"/>
      <c r="FIM755" s="123"/>
      <c r="FIN755" s="123"/>
      <c r="FIO755" s="123"/>
      <c r="FIP755" s="123"/>
      <c r="FIQ755" s="123"/>
      <c r="FIR755" s="123"/>
      <c r="FIS755" s="123"/>
      <c r="FIT755" s="123"/>
      <c r="FIU755" s="123"/>
      <c r="FIV755" s="123"/>
      <c r="FIW755" s="123"/>
      <c r="FIX755" s="123"/>
      <c r="FIY755" s="123"/>
      <c r="FIZ755" s="123"/>
      <c r="FJA755" s="123"/>
      <c r="FJB755" s="123"/>
      <c r="FJC755" s="123"/>
      <c r="FJD755" s="123"/>
      <c r="FJE755" s="123"/>
      <c r="FJF755" s="123"/>
      <c r="FJG755" s="123"/>
      <c r="FJH755" s="123"/>
      <c r="FJI755" s="123"/>
      <c r="FJJ755" s="123"/>
      <c r="FJK755" s="123"/>
      <c r="FJL755" s="123"/>
      <c r="FJM755" s="123"/>
      <c r="FJN755" s="123"/>
      <c r="FJO755" s="123"/>
      <c r="FJP755" s="123"/>
      <c r="FJQ755" s="123"/>
      <c r="FJR755" s="123"/>
      <c r="FJS755" s="123"/>
      <c r="FJT755" s="123"/>
      <c r="FJU755" s="123"/>
      <c r="FJV755" s="123"/>
      <c r="FJW755" s="123"/>
      <c r="FJX755" s="123"/>
      <c r="FJY755" s="123"/>
      <c r="FJZ755" s="123"/>
      <c r="FKA755" s="123"/>
      <c r="FKB755" s="123"/>
      <c r="FKC755" s="123"/>
      <c r="FKD755" s="123"/>
      <c r="FKE755" s="123"/>
      <c r="FKF755" s="123"/>
      <c r="FKG755" s="123"/>
      <c r="FKH755" s="123"/>
      <c r="FKI755" s="123"/>
      <c r="FKJ755" s="123"/>
      <c r="FKK755" s="123"/>
      <c r="FKL755" s="123"/>
      <c r="FKM755" s="123"/>
      <c r="FKN755" s="123"/>
      <c r="FKO755" s="123"/>
      <c r="FKP755" s="123"/>
      <c r="FKQ755" s="123"/>
      <c r="FKR755" s="123"/>
      <c r="FKS755" s="123"/>
      <c r="FKT755" s="123"/>
      <c r="FKU755" s="123"/>
      <c r="FKV755" s="123"/>
      <c r="FKW755" s="123"/>
      <c r="FKX755" s="123"/>
      <c r="FKY755" s="123"/>
      <c r="FKZ755" s="123"/>
      <c r="FLA755" s="123"/>
      <c r="FLB755" s="123"/>
      <c r="FLC755" s="123"/>
      <c r="FLD755" s="123"/>
      <c r="FLE755" s="123"/>
      <c r="FLF755" s="123"/>
      <c r="FLG755" s="123"/>
      <c r="FLH755" s="123"/>
      <c r="FLI755" s="123"/>
      <c r="FLJ755" s="123"/>
      <c r="FLK755" s="123"/>
      <c r="FLL755" s="123"/>
      <c r="FLM755" s="123"/>
      <c r="FLN755" s="123"/>
      <c r="FLO755" s="123"/>
      <c r="FLP755" s="123"/>
      <c r="FLQ755" s="123"/>
      <c r="FLR755" s="123"/>
      <c r="FLS755" s="123"/>
      <c r="FLT755" s="123"/>
      <c r="FLU755" s="123"/>
      <c r="FLV755" s="123"/>
      <c r="FLW755" s="123"/>
      <c r="FLX755" s="123"/>
      <c r="FLY755" s="123"/>
      <c r="FLZ755" s="123"/>
      <c r="FMA755" s="123"/>
      <c r="FMB755" s="123"/>
      <c r="FMC755" s="123"/>
      <c r="FMD755" s="123"/>
      <c r="FME755" s="123"/>
      <c r="FMF755" s="123"/>
      <c r="FMG755" s="123"/>
      <c r="FMH755" s="123"/>
      <c r="FMI755" s="123"/>
      <c r="FMJ755" s="123"/>
      <c r="FMK755" s="123"/>
      <c r="FML755" s="123"/>
      <c r="FMM755" s="123"/>
      <c r="FMN755" s="123"/>
      <c r="FMO755" s="123"/>
      <c r="FMP755" s="123"/>
      <c r="FMQ755" s="123"/>
      <c r="FMR755" s="123"/>
      <c r="FMS755" s="123"/>
      <c r="FMT755" s="123"/>
      <c r="FMU755" s="123"/>
      <c r="FMV755" s="123"/>
      <c r="FMW755" s="123"/>
      <c r="FMX755" s="123"/>
      <c r="FMY755" s="123"/>
      <c r="FMZ755" s="123"/>
      <c r="FNA755" s="123"/>
      <c r="FNB755" s="123"/>
      <c r="FNC755" s="123"/>
      <c r="FND755" s="123"/>
      <c r="FNE755" s="123"/>
      <c r="FNF755" s="123"/>
      <c r="FNG755" s="123"/>
      <c r="FNH755" s="123"/>
      <c r="FNI755" s="123"/>
      <c r="FNJ755" s="123"/>
      <c r="FNK755" s="123"/>
      <c r="FNL755" s="123"/>
      <c r="FNM755" s="123"/>
      <c r="FNN755" s="123"/>
      <c r="FNO755" s="123"/>
      <c r="FNP755" s="123"/>
      <c r="FNQ755" s="123"/>
      <c r="FNR755" s="123"/>
      <c r="FNS755" s="123"/>
      <c r="FNT755" s="123"/>
      <c r="FNU755" s="123"/>
      <c r="FNV755" s="123"/>
      <c r="FNW755" s="123"/>
      <c r="FNX755" s="123"/>
      <c r="FNY755" s="123"/>
      <c r="FNZ755" s="123"/>
      <c r="FOA755" s="123"/>
      <c r="FOB755" s="123"/>
      <c r="FOC755" s="123"/>
      <c r="FOD755" s="123"/>
      <c r="FOE755" s="123"/>
      <c r="FOF755" s="123"/>
      <c r="FOG755" s="123"/>
      <c r="FOH755" s="123"/>
      <c r="FOI755" s="123"/>
      <c r="FOJ755" s="123"/>
      <c r="FOK755" s="123"/>
      <c r="FOL755" s="123"/>
      <c r="FOM755" s="123"/>
      <c r="FON755" s="123"/>
      <c r="FOO755" s="123"/>
      <c r="FOP755" s="123"/>
      <c r="FOQ755" s="123"/>
      <c r="FOR755" s="123"/>
      <c r="FOS755" s="123"/>
      <c r="FOT755" s="123"/>
      <c r="FOU755" s="123"/>
      <c r="FOV755" s="123"/>
      <c r="FOW755" s="123"/>
      <c r="FOX755" s="123"/>
      <c r="FOY755" s="123"/>
      <c r="FOZ755" s="123"/>
      <c r="FPA755" s="123"/>
      <c r="FPB755" s="123"/>
      <c r="FPC755" s="123"/>
      <c r="FPD755" s="123"/>
      <c r="FPE755" s="123"/>
      <c r="FPF755" s="123"/>
      <c r="FPG755" s="123"/>
      <c r="FPH755" s="123"/>
      <c r="FPI755" s="123"/>
      <c r="FPJ755" s="123"/>
      <c r="FPK755" s="123"/>
      <c r="FPL755" s="123"/>
      <c r="FPM755" s="123"/>
      <c r="FPN755" s="123"/>
      <c r="FPO755" s="123"/>
      <c r="FPP755" s="123"/>
      <c r="FPQ755" s="123"/>
      <c r="FPR755" s="123"/>
      <c r="FPS755" s="123"/>
      <c r="FPT755" s="123"/>
      <c r="FPU755" s="123"/>
      <c r="FPV755" s="123"/>
      <c r="FPW755" s="123"/>
      <c r="FPX755" s="123"/>
      <c r="FPY755" s="123"/>
      <c r="FPZ755" s="123"/>
      <c r="FQA755" s="123"/>
      <c r="FQB755" s="123"/>
      <c r="FQC755" s="123"/>
      <c r="FQD755" s="123"/>
      <c r="FQE755" s="123"/>
      <c r="FQF755" s="123"/>
      <c r="FQG755" s="123"/>
      <c r="FQH755" s="123"/>
      <c r="FQI755" s="123"/>
      <c r="FQJ755" s="123"/>
      <c r="FQK755" s="123"/>
      <c r="FQL755" s="123"/>
      <c r="FQM755" s="123"/>
      <c r="FQN755" s="123"/>
      <c r="FQO755" s="123"/>
      <c r="FQP755" s="123"/>
      <c r="FQQ755" s="123"/>
      <c r="FQR755" s="123"/>
      <c r="FQS755" s="123"/>
      <c r="FQT755" s="123"/>
      <c r="FQU755" s="123"/>
      <c r="FQV755" s="123"/>
      <c r="FQW755" s="123"/>
      <c r="FQX755" s="123"/>
      <c r="FQY755" s="123"/>
      <c r="FQZ755" s="123"/>
      <c r="FRA755" s="123"/>
      <c r="FRB755" s="123"/>
      <c r="FRC755" s="123"/>
      <c r="FRD755" s="123"/>
      <c r="FRE755" s="123"/>
      <c r="FRF755" s="123"/>
      <c r="FRG755" s="123"/>
      <c r="FRH755" s="123"/>
      <c r="FRI755" s="123"/>
      <c r="FRJ755" s="123"/>
      <c r="FRK755" s="123"/>
      <c r="FRL755" s="123"/>
      <c r="FRM755" s="123"/>
      <c r="FRN755" s="123"/>
      <c r="FRO755" s="123"/>
      <c r="FRP755" s="123"/>
      <c r="FRQ755" s="123"/>
      <c r="FRR755" s="123"/>
      <c r="FRS755" s="123"/>
      <c r="FRT755" s="123"/>
      <c r="FRU755" s="123"/>
      <c r="FRV755" s="123"/>
      <c r="FRW755" s="123"/>
      <c r="FRX755" s="123"/>
      <c r="FRY755" s="123"/>
      <c r="FRZ755" s="123"/>
      <c r="FSA755" s="123"/>
      <c r="FSB755" s="123"/>
      <c r="FSC755" s="123"/>
      <c r="FSD755" s="123"/>
      <c r="FSE755" s="123"/>
      <c r="FSF755" s="123"/>
      <c r="FSG755" s="123"/>
      <c r="FSH755" s="123"/>
      <c r="FSI755" s="123"/>
      <c r="FSJ755" s="123"/>
      <c r="FSK755" s="123"/>
      <c r="FSL755" s="123"/>
      <c r="FSM755" s="123"/>
      <c r="FSN755" s="123"/>
      <c r="FSO755" s="123"/>
      <c r="FSP755" s="123"/>
      <c r="FSQ755" s="123"/>
      <c r="FSR755" s="123"/>
      <c r="FSS755" s="123"/>
      <c r="FST755" s="123"/>
      <c r="FSU755" s="123"/>
      <c r="FSV755" s="123"/>
      <c r="FSW755" s="123"/>
      <c r="FSX755" s="123"/>
      <c r="FSY755" s="123"/>
      <c r="FSZ755" s="123"/>
      <c r="FTA755" s="123"/>
      <c r="FTB755" s="123"/>
      <c r="FTC755" s="123"/>
      <c r="FTD755" s="123"/>
      <c r="FTE755" s="123"/>
      <c r="FTF755" s="123"/>
      <c r="FTG755" s="123"/>
      <c r="FTH755" s="123"/>
      <c r="FTI755" s="123"/>
      <c r="FTJ755" s="123"/>
      <c r="FTK755" s="123"/>
      <c r="FTL755" s="123"/>
      <c r="FTM755" s="123"/>
      <c r="FTN755" s="123"/>
      <c r="FTO755" s="123"/>
      <c r="FTP755" s="123"/>
      <c r="FTQ755" s="123"/>
      <c r="FTR755" s="123"/>
      <c r="FTS755" s="123"/>
      <c r="FTT755" s="123"/>
      <c r="FTU755" s="123"/>
      <c r="FTV755" s="123"/>
      <c r="FTW755" s="123"/>
      <c r="FTX755" s="123"/>
      <c r="FTY755" s="123"/>
      <c r="FTZ755" s="123"/>
      <c r="FUA755" s="123"/>
      <c r="FUB755" s="123"/>
      <c r="FUC755" s="123"/>
      <c r="FUD755" s="123"/>
      <c r="FUE755" s="123"/>
      <c r="FUF755" s="123"/>
      <c r="FUG755" s="123"/>
      <c r="FUH755" s="123"/>
      <c r="FUI755" s="123"/>
      <c r="FUJ755" s="123"/>
      <c r="FUK755" s="123"/>
      <c r="FUL755" s="123"/>
      <c r="FUM755" s="123"/>
      <c r="FUN755" s="123"/>
      <c r="FUO755" s="123"/>
      <c r="FUP755" s="123"/>
      <c r="FUQ755" s="123"/>
      <c r="FUR755" s="123"/>
      <c r="FUS755" s="123"/>
      <c r="FUT755" s="123"/>
      <c r="FUU755" s="123"/>
      <c r="FUV755" s="123"/>
      <c r="FUW755" s="123"/>
      <c r="FUX755" s="123"/>
      <c r="FUY755" s="123"/>
      <c r="FUZ755" s="123"/>
      <c r="FVA755" s="123"/>
      <c r="FVB755" s="123"/>
      <c r="FVC755" s="123"/>
      <c r="FVD755" s="123"/>
      <c r="FVE755" s="123"/>
      <c r="FVF755" s="123"/>
      <c r="FVG755" s="123"/>
      <c r="FVH755" s="123"/>
      <c r="FVI755" s="123"/>
      <c r="FVJ755" s="123"/>
      <c r="FVK755" s="123"/>
      <c r="FVL755" s="123"/>
      <c r="FVM755" s="123"/>
      <c r="FVN755" s="123"/>
      <c r="FVO755" s="123"/>
      <c r="FVP755" s="123"/>
      <c r="FVQ755" s="123"/>
      <c r="FVR755" s="123"/>
      <c r="FVS755" s="123"/>
      <c r="FVT755" s="123"/>
      <c r="FVU755" s="123"/>
      <c r="FVV755" s="123"/>
      <c r="FVW755" s="123"/>
      <c r="FVX755" s="123"/>
      <c r="FVY755" s="123"/>
      <c r="FVZ755" s="123"/>
      <c r="FWA755" s="123"/>
      <c r="FWB755" s="123"/>
      <c r="FWC755" s="123"/>
      <c r="FWD755" s="123"/>
      <c r="FWE755" s="123"/>
      <c r="FWF755" s="123"/>
      <c r="FWG755" s="123"/>
      <c r="FWH755" s="123"/>
      <c r="FWI755" s="123"/>
      <c r="FWJ755" s="123"/>
      <c r="FWK755" s="123"/>
      <c r="FWL755" s="123"/>
      <c r="FWM755" s="123"/>
      <c r="FWN755" s="123"/>
      <c r="FWO755" s="123"/>
      <c r="FWP755" s="123"/>
      <c r="FWQ755" s="123"/>
      <c r="FWR755" s="123"/>
      <c r="FWS755" s="123"/>
      <c r="FWT755" s="123"/>
      <c r="FWU755" s="123"/>
      <c r="FWV755" s="123"/>
      <c r="FWW755" s="123"/>
      <c r="FWX755" s="123"/>
      <c r="FWY755" s="123"/>
      <c r="FWZ755" s="123"/>
      <c r="FXA755" s="123"/>
      <c r="FXB755" s="123"/>
      <c r="FXC755" s="123"/>
      <c r="FXD755" s="123"/>
      <c r="FXE755" s="123"/>
      <c r="FXF755" s="123"/>
      <c r="FXG755" s="123"/>
      <c r="FXH755" s="123"/>
      <c r="FXI755" s="123"/>
      <c r="FXJ755" s="123"/>
      <c r="FXK755" s="123"/>
      <c r="FXL755" s="123"/>
      <c r="FXM755" s="123"/>
      <c r="FXN755" s="123"/>
      <c r="FXO755" s="123"/>
      <c r="FXP755" s="123"/>
      <c r="FXQ755" s="123"/>
      <c r="FXR755" s="123"/>
      <c r="FXS755" s="123"/>
      <c r="FXT755" s="123"/>
      <c r="FXU755" s="123"/>
      <c r="FXV755" s="123"/>
      <c r="FXW755" s="123"/>
      <c r="FXX755" s="123"/>
      <c r="FXY755" s="123"/>
      <c r="FXZ755" s="123"/>
      <c r="FYA755" s="123"/>
      <c r="FYB755" s="123"/>
      <c r="FYC755" s="123"/>
      <c r="FYD755" s="123"/>
      <c r="FYE755" s="123"/>
      <c r="FYF755" s="123"/>
      <c r="FYG755" s="123"/>
      <c r="FYH755" s="123"/>
      <c r="FYI755" s="123"/>
      <c r="FYJ755" s="123"/>
      <c r="FYK755" s="123"/>
      <c r="FYL755" s="123"/>
      <c r="FYM755" s="123"/>
      <c r="FYN755" s="123"/>
      <c r="FYO755" s="123"/>
      <c r="FYP755" s="123"/>
      <c r="FYQ755" s="123"/>
      <c r="FYR755" s="123"/>
      <c r="FYS755" s="123"/>
      <c r="FYT755" s="123"/>
      <c r="FYU755" s="123"/>
      <c r="FYV755" s="123"/>
      <c r="FYW755" s="123"/>
      <c r="FYX755" s="123"/>
      <c r="FYY755" s="123"/>
      <c r="FYZ755" s="123"/>
      <c r="FZA755" s="123"/>
      <c r="FZB755" s="123"/>
      <c r="FZC755" s="123"/>
      <c r="FZD755" s="123"/>
      <c r="FZE755" s="123"/>
      <c r="FZF755" s="123"/>
      <c r="FZG755" s="123"/>
      <c r="FZH755" s="123"/>
      <c r="FZI755" s="123"/>
      <c r="FZJ755" s="123"/>
      <c r="FZK755" s="123"/>
      <c r="FZL755" s="123"/>
      <c r="FZM755" s="123"/>
      <c r="FZN755" s="123"/>
      <c r="FZO755" s="123"/>
      <c r="FZP755" s="123"/>
      <c r="FZQ755" s="123"/>
      <c r="FZR755" s="123"/>
      <c r="FZS755" s="123"/>
      <c r="FZT755" s="123"/>
      <c r="FZU755" s="123"/>
      <c r="FZV755" s="123"/>
      <c r="FZW755" s="123"/>
      <c r="FZX755" s="123"/>
      <c r="FZY755" s="123"/>
      <c r="FZZ755" s="123"/>
      <c r="GAA755" s="123"/>
      <c r="GAB755" s="123"/>
      <c r="GAC755" s="123"/>
      <c r="GAD755" s="123"/>
      <c r="GAE755" s="123"/>
      <c r="GAF755" s="123"/>
      <c r="GAG755" s="123"/>
      <c r="GAH755" s="123"/>
      <c r="GAI755" s="123"/>
      <c r="GAJ755" s="123"/>
      <c r="GAK755" s="123"/>
      <c r="GAL755" s="123"/>
      <c r="GAM755" s="123"/>
      <c r="GAN755" s="123"/>
      <c r="GAO755" s="123"/>
      <c r="GAP755" s="123"/>
      <c r="GAQ755" s="123"/>
      <c r="GAR755" s="123"/>
      <c r="GAS755" s="123"/>
      <c r="GAT755" s="123"/>
      <c r="GAU755" s="123"/>
      <c r="GAV755" s="123"/>
      <c r="GAW755" s="123"/>
      <c r="GAX755" s="123"/>
      <c r="GAY755" s="123"/>
      <c r="GAZ755" s="123"/>
      <c r="GBA755" s="123"/>
      <c r="GBB755" s="123"/>
      <c r="GBC755" s="123"/>
      <c r="GBD755" s="123"/>
      <c r="GBE755" s="123"/>
      <c r="GBF755" s="123"/>
      <c r="GBG755" s="123"/>
      <c r="GBH755" s="123"/>
      <c r="GBI755" s="123"/>
      <c r="GBJ755" s="123"/>
      <c r="GBK755" s="123"/>
      <c r="GBL755" s="123"/>
      <c r="GBM755" s="123"/>
      <c r="GBN755" s="123"/>
      <c r="GBO755" s="123"/>
      <c r="GBP755" s="123"/>
      <c r="GBQ755" s="123"/>
      <c r="GBR755" s="123"/>
      <c r="GBS755" s="123"/>
      <c r="GBT755" s="123"/>
      <c r="GBU755" s="123"/>
      <c r="GBV755" s="123"/>
      <c r="GBW755" s="123"/>
      <c r="GBX755" s="123"/>
      <c r="GBY755" s="123"/>
      <c r="GBZ755" s="123"/>
      <c r="GCA755" s="123"/>
      <c r="GCB755" s="123"/>
      <c r="GCC755" s="123"/>
      <c r="GCD755" s="123"/>
      <c r="GCE755" s="123"/>
      <c r="GCF755" s="123"/>
      <c r="GCG755" s="123"/>
      <c r="GCH755" s="123"/>
      <c r="GCI755" s="123"/>
      <c r="GCJ755" s="123"/>
      <c r="GCK755" s="123"/>
      <c r="GCL755" s="123"/>
      <c r="GCM755" s="123"/>
      <c r="GCN755" s="123"/>
      <c r="GCO755" s="123"/>
      <c r="GCP755" s="123"/>
      <c r="GCQ755" s="123"/>
      <c r="GCR755" s="123"/>
      <c r="GCS755" s="123"/>
      <c r="GCT755" s="123"/>
      <c r="GCU755" s="123"/>
      <c r="GCV755" s="123"/>
      <c r="GCW755" s="123"/>
      <c r="GCX755" s="123"/>
      <c r="GCY755" s="123"/>
      <c r="GCZ755" s="123"/>
      <c r="GDA755" s="123"/>
      <c r="GDB755" s="123"/>
      <c r="GDC755" s="123"/>
      <c r="GDD755" s="123"/>
      <c r="GDE755" s="123"/>
      <c r="GDF755" s="123"/>
      <c r="GDG755" s="123"/>
      <c r="GDH755" s="123"/>
      <c r="GDI755" s="123"/>
      <c r="GDJ755" s="123"/>
      <c r="GDK755" s="123"/>
      <c r="GDL755" s="123"/>
      <c r="GDM755" s="123"/>
      <c r="GDN755" s="123"/>
      <c r="GDO755" s="123"/>
      <c r="GDP755" s="123"/>
      <c r="GDQ755" s="123"/>
      <c r="GDR755" s="123"/>
      <c r="GDS755" s="123"/>
      <c r="GDT755" s="123"/>
      <c r="GDU755" s="123"/>
      <c r="GDV755" s="123"/>
      <c r="GDW755" s="123"/>
      <c r="GDX755" s="123"/>
      <c r="GDY755" s="123"/>
      <c r="GDZ755" s="123"/>
      <c r="GEA755" s="123"/>
      <c r="GEB755" s="123"/>
      <c r="GEC755" s="123"/>
      <c r="GED755" s="123"/>
      <c r="GEE755" s="123"/>
      <c r="GEF755" s="123"/>
      <c r="GEG755" s="123"/>
      <c r="GEH755" s="123"/>
      <c r="GEI755" s="123"/>
      <c r="GEJ755" s="123"/>
      <c r="GEK755" s="123"/>
      <c r="GEL755" s="123"/>
      <c r="GEM755" s="123"/>
      <c r="GEN755" s="123"/>
      <c r="GEO755" s="123"/>
      <c r="GEP755" s="123"/>
      <c r="GEQ755" s="123"/>
      <c r="GER755" s="123"/>
      <c r="GES755" s="123"/>
      <c r="GET755" s="123"/>
      <c r="GEU755" s="123"/>
      <c r="GEV755" s="123"/>
      <c r="GEW755" s="123"/>
      <c r="GEX755" s="123"/>
      <c r="GEY755" s="123"/>
      <c r="GEZ755" s="123"/>
      <c r="GFA755" s="123"/>
      <c r="GFB755" s="123"/>
      <c r="GFC755" s="123"/>
      <c r="GFD755" s="123"/>
      <c r="GFE755" s="123"/>
      <c r="GFF755" s="123"/>
      <c r="GFG755" s="123"/>
      <c r="GFH755" s="123"/>
      <c r="GFI755" s="123"/>
      <c r="GFJ755" s="123"/>
      <c r="GFK755" s="123"/>
      <c r="GFL755" s="123"/>
      <c r="GFM755" s="123"/>
      <c r="GFN755" s="123"/>
      <c r="GFO755" s="123"/>
      <c r="GFP755" s="123"/>
      <c r="GFQ755" s="123"/>
      <c r="GFR755" s="123"/>
      <c r="GFS755" s="123"/>
      <c r="GFT755" s="123"/>
      <c r="GFU755" s="123"/>
      <c r="GFV755" s="123"/>
      <c r="GFW755" s="123"/>
      <c r="GFX755" s="123"/>
      <c r="GFY755" s="123"/>
      <c r="GFZ755" s="123"/>
      <c r="GGA755" s="123"/>
      <c r="GGB755" s="123"/>
      <c r="GGC755" s="123"/>
      <c r="GGD755" s="123"/>
      <c r="GGE755" s="123"/>
      <c r="GGF755" s="123"/>
      <c r="GGG755" s="123"/>
      <c r="GGH755" s="123"/>
      <c r="GGI755" s="123"/>
      <c r="GGJ755" s="123"/>
      <c r="GGK755" s="123"/>
      <c r="GGL755" s="123"/>
      <c r="GGM755" s="123"/>
      <c r="GGN755" s="123"/>
      <c r="GGO755" s="123"/>
      <c r="GGP755" s="123"/>
      <c r="GGQ755" s="123"/>
      <c r="GGR755" s="123"/>
      <c r="GGS755" s="123"/>
      <c r="GGT755" s="123"/>
      <c r="GGU755" s="123"/>
      <c r="GGV755" s="123"/>
      <c r="GGW755" s="123"/>
      <c r="GGX755" s="123"/>
      <c r="GGY755" s="123"/>
      <c r="GGZ755" s="123"/>
      <c r="GHA755" s="123"/>
      <c r="GHB755" s="123"/>
      <c r="GHC755" s="123"/>
      <c r="GHD755" s="123"/>
      <c r="GHE755" s="123"/>
      <c r="GHF755" s="123"/>
      <c r="GHG755" s="123"/>
      <c r="GHH755" s="123"/>
      <c r="GHI755" s="123"/>
      <c r="GHJ755" s="123"/>
      <c r="GHK755" s="123"/>
      <c r="GHL755" s="123"/>
      <c r="GHM755" s="123"/>
      <c r="GHN755" s="123"/>
      <c r="GHO755" s="123"/>
      <c r="GHP755" s="123"/>
      <c r="GHQ755" s="123"/>
      <c r="GHR755" s="123"/>
      <c r="GHS755" s="123"/>
      <c r="GHT755" s="123"/>
      <c r="GHU755" s="123"/>
      <c r="GHV755" s="123"/>
      <c r="GHW755" s="123"/>
      <c r="GHX755" s="123"/>
      <c r="GHY755" s="123"/>
      <c r="GHZ755" s="123"/>
      <c r="GIA755" s="123"/>
      <c r="GIB755" s="123"/>
      <c r="GIC755" s="123"/>
      <c r="GID755" s="123"/>
      <c r="GIE755" s="123"/>
      <c r="GIF755" s="123"/>
      <c r="GIG755" s="123"/>
      <c r="GIH755" s="123"/>
      <c r="GII755" s="123"/>
      <c r="GIJ755" s="123"/>
      <c r="GIK755" s="123"/>
      <c r="GIL755" s="123"/>
      <c r="GIM755" s="123"/>
      <c r="GIN755" s="123"/>
      <c r="GIO755" s="123"/>
      <c r="GIP755" s="123"/>
      <c r="GIQ755" s="123"/>
      <c r="GIR755" s="123"/>
      <c r="GIS755" s="123"/>
      <c r="GIT755" s="123"/>
      <c r="GIU755" s="123"/>
      <c r="GIV755" s="123"/>
      <c r="GIW755" s="123"/>
      <c r="GIX755" s="123"/>
      <c r="GIY755" s="123"/>
      <c r="GIZ755" s="123"/>
      <c r="GJA755" s="123"/>
      <c r="GJB755" s="123"/>
      <c r="GJC755" s="123"/>
      <c r="GJD755" s="123"/>
      <c r="GJE755" s="123"/>
      <c r="GJF755" s="123"/>
      <c r="GJG755" s="123"/>
      <c r="GJH755" s="123"/>
      <c r="GJI755" s="123"/>
      <c r="GJJ755" s="123"/>
      <c r="GJK755" s="123"/>
      <c r="GJL755" s="123"/>
      <c r="GJM755" s="123"/>
      <c r="GJN755" s="123"/>
      <c r="GJO755" s="123"/>
      <c r="GJP755" s="123"/>
      <c r="GJQ755" s="123"/>
      <c r="GJR755" s="123"/>
      <c r="GJS755" s="123"/>
      <c r="GJT755" s="123"/>
      <c r="GJU755" s="123"/>
      <c r="GJV755" s="123"/>
      <c r="GJW755" s="123"/>
      <c r="GJX755" s="123"/>
      <c r="GJY755" s="123"/>
      <c r="GJZ755" s="123"/>
      <c r="GKA755" s="123"/>
      <c r="GKB755" s="123"/>
      <c r="GKC755" s="123"/>
      <c r="GKD755" s="123"/>
      <c r="GKE755" s="123"/>
      <c r="GKF755" s="123"/>
      <c r="GKG755" s="123"/>
      <c r="GKH755" s="123"/>
      <c r="GKI755" s="123"/>
      <c r="GKJ755" s="123"/>
      <c r="GKK755" s="123"/>
      <c r="GKL755" s="123"/>
      <c r="GKM755" s="123"/>
      <c r="GKN755" s="123"/>
      <c r="GKO755" s="123"/>
      <c r="GKP755" s="123"/>
      <c r="GKQ755" s="123"/>
      <c r="GKR755" s="123"/>
      <c r="GKS755" s="123"/>
      <c r="GKT755" s="123"/>
      <c r="GKU755" s="123"/>
      <c r="GKV755" s="123"/>
      <c r="GKW755" s="123"/>
      <c r="GKX755" s="123"/>
      <c r="GKY755" s="123"/>
      <c r="GKZ755" s="123"/>
      <c r="GLA755" s="123"/>
      <c r="GLB755" s="123"/>
      <c r="GLC755" s="123"/>
      <c r="GLD755" s="123"/>
      <c r="GLE755" s="123"/>
      <c r="GLF755" s="123"/>
      <c r="GLG755" s="123"/>
      <c r="GLH755" s="123"/>
      <c r="GLI755" s="123"/>
      <c r="GLJ755" s="123"/>
      <c r="GLK755" s="123"/>
      <c r="GLL755" s="123"/>
      <c r="GLM755" s="123"/>
      <c r="GLN755" s="123"/>
      <c r="GLO755" s="123"/>
      <c r="GLP755" s="123"/>
      <c r="GLQ755" s="123"/>
      <c r="GLR755" s="123"/>
      <c r="GLS755" s="123"/>
      <c r="GLT755" s="123"/>
      <c r="GLU755" s="123"/>
      <c r="GLV755" s="123"/>
      <c r="GLW755" s="123"/>
      <c r="GLX755" s="123"/>
      <c r="GLY755" s="123"/>
      <c r="GLZ755" s="123"/>
      <c r="GMA755" s="123"/>
      <c r="GMB755" s="123"/>
      <c r="GMC755" s="123"/>
      <c r="GMD755" s="123"/>
      <c r="GME755" s="123"/>
      <c r="GMF755" s="123"/>
      <c r="GMG755" s="123"/>
      <c r="GMH755" s="123"/>
      <c r="GMI755" s="123"/>
      <c r="GMJ755" s="123"/>
      <c r="GMK755" s="123"/>
      <c r="GML755" s="123"/>
      <c r="GMM755" s="123"/>
      <c r="GMN755" s="123"/>
      <c r="GMO755" s="123"/>
      <c r="GMP755" s="123"/>
      <c r="GMQ755" s="123"/>
      <c r="GMR755" s="123"/>
      <c r="GMS755" s="123"/>
      <c r="GMT755" s="123"/>
      <c r="GMU755" s="123"/>
      <c r="GMV755" s="123"/>
      <c r="GMW755" s="123"/>
      <c r="GMX755" s="123"/>
      <c r="GMY755" s="123"/>
      <c r="GMZ755" s="123"/>
      <c r="GNA755" s="123"/>
      <c r="GNB755" s="123"/>
      <c r="GNC755" s="123"/>
      <c r="GND755" s="123"/>
      <c r="GNE755" s="123"/>
      <c r="GNF755" s="123"/>
      <c r="GNG755" s="123"/>
      <c r="GNH755" s="123"/>
      <c r="GNI755" s="123"/>
      <c r="GNJ755" s="123"/>
      <c r="GNK755" s="123"/>
      <c r="GNL755" s="123"/>
      <c r="GNM755" s="123"/>
      <c r="GNN755" s="123"/>
      <c r="GNO755" s="123"/>
      <c r="GNP755" s="123"/>
      <c r="GNQ755" s="123"/>
      <c r="GNR755" s="123"/>
      <c r="GNS755" s="123"/>
      <c r="GNT755" s="123"/>
      <c r="GNU755" s="123"/>
      <c r="GNV755" s="123"/>
      <c r="GNW755" s="123"/>
      <c r="GNX755" s="123"/>
      <c r="GNY755" s="123"/>
      <c r="GNZ755" s="123"/>
      <c r="GOA755" s="123"/>
      <c r="GOB755" s="123"/>
      <c r="GOC755" s="123"/>
      <c r="GOD755" s="123"/>
      <c r="GOE755" s="123"/>
      <c r="GOF755" s="123"/>
      <c r="GOG755" s="123"/>
      <c r="GOH755" s="123"/>
      <c r="GOI755" s="123"/>
      <c r="GOJ755" s="123"/>
      <c r="GOK755" s="123"/>
      <c r="GOL755" s="123"/>
      <c r="GOM755" s="123"/>
      <c r="GON755" s="123"/>
      <c r="GOO755" s="123"/>
      <c r="GOP755" s="123"/>
      <c r="GOQ755" s="123"/>
      <c r="GOR755" s="123"/>
      <c r="GOS755" s="123"/>
      <c r="GOT755" s="123"/>
      <c r="GOU755" s="123"/>
      <c r="GOV755" s="123"/>
      <c r="GOW755" s="123"/>
      <c r="GOX755" s="123"/>
      <c r="GOY755" s="123"/>
      <c r="GOZ755" s="123"/>
      <c r="GPA755" s="123"/>
      <c r="GPB755" s="123"/>
      <c r="GPC755" s="123"/>
      <c r="GPD755" s="123"/>
      <c r="GPE755" s="123"/>
      <c r="GPF755" s="123"/>
      <c r="GPG755" s="123"/>
      <c r="GPH755" s="123"/>
      <c r="GPI755" s="123"/>
      <c r="GPJ755" s="123"/>
      <c r="GPK755" s="123"/>
      <c r="GPL755" s="123"/>
      <c r="GPM755" s="123"/>
      <c r="GPN755" s="123"/>
      <c r="GPO755" s="123"/>
      <c r="GPP755" s="123"/>
      <c r="GPQ755" s="123"/>
      <c r="GPR755" s="123"/>
      <c r="GPS755" s="123"/>
      <c r="GPT755" s="123"/>
      <c r="GPU755" s="123"/>
      <c r="GPV755" s="123"/>
      <c r="GPW755" s="123"/>
      <c r="GPX755" s="123"/>
      <c r="GPY755" s="123"/>
      <c r="GPZ755" s="123"/>
      <c r="GQA755" s="123"/>
      <c r="GQB755" s="123"/>
      <c r="GQC755" s="123"/>
      <c r="GQD755" s="123"/>
      <c r="GQE755" s="123"/>
      <c r="GQF755" s="123"/>
      <c r="GQG755" s="123"/>
      <c r="GQH755" s="123"/>
      <c r="GQI755" s="123"/>
      <c r="GQJ755" s="123"/>
      <c r="GQK755" s="123"/>
      <c r="GQL755" s="123"/>
      <c r="GQM755" s="123"/>
      <c r="GQN755" s="123"/>
      <c r="GQO755" s="123"/>
      <c r="GQP755" s="123"/>
      <c r="GQQ755" s="123"/>
      <c r="GQR755" s="123"/>
      <c r="GQS755" s="123"/>
      <c r="GQT755" s="123"/>
      <c r="GQU755" s="123"/>
      <c r="GQV755" s="123"/>
      <c r="GQW755" s="123"/>
      <c r="GQX755" s="123"/>
      <c r="GQY755" s="123"/>
      <c r="GQZ755" s="123"/>
      <c r="GRA755" s="123"/>
      <c r="GRB755" s="123"/>
      <c r="GRC755" s="123"/>
      <c r="GRD755" s="123"/>
      <c r="GRE755" s="123"/>
      <c r="GRF755" s="123"/>
      <c r="GRG755" s="123"/>
      <c r="GRH755" s="123"/>
      <c r="GRI755" s="123"/>
      <c r="GRJ755" s="123"/>
      <c r="GRK755" s="123"/>
      <c r="GRL755" s="123"/>
      <c r="GRM755" s="123"/>
      <c r="GRN755" s="123"/>
      <c r="GRO755" s="123"/>
      <c r="GRP755" s="123"/>
      <c r="GRQ755" s="123"/>
      <c r="GRR755" s="123"/>
      <c r="GRS755" s="123"/>
      <c r="GRT755" s="123"/>
      <c r="GRU755" s="123"/>
      <c r="GRV755" s="123"/>
      <c r="GRW755" s="123"/>
      <c r="GRX755" s="123"/>
      <c r="GRY755" s="123"/>
      <c r="GRZ755" s="123"/>
      <c r="GSA755" s="123"/>
      <c r="GSB755" s="123"/>
      <c r="GSC755" s="123"/>
      <c r="GSD755" s="123"/>
      <c r="GSE755" s="123"/>
      <c r="GSF755" s="123"/>
      <c r="GSG755" s="123"/>
      <c r="GSH755" s="123"/>
      <c r="GSI755" s="123"/>
      <c r="GSJ755" s="123"/>
      <c r="GSK755" s="123"/>
      <c r="GSL755" s="123"/>
      <c r="GSM755" s="123"/>
      <c r="GSN755" s="123"/>
      <c r="GSO755" s="123"/>
      <c r="GSP755" s="123"/>
      <c r="GSQ755" s="123"/>
      <c r="GSR755" s="123"/>
      <c r="GSS755" s="123"/>
      <c r="GST755" s="123"/>
      <c r="GSU755" s="123"/>
      <c r="GSV755" s="123"/>
      <c r="GSW755" s="123"/>
      <c r="GSX755" s="123"/>
      <c r="GSY755" s="123"/>
      <c r="GSZ755" s="123"/>
      <c r="GTA755" s="123"/>
      <c r="GTB755" s="123"/>
      <c r="GTC755" s="123"/>
      <c r="GTD755" s="123"/>
      <c r="GTE755" s="123"/>
      <c r="GTF755" s="123"/>
      <c r="GTG755" s="123"/>
      <c r="GTH755" s="123"/>
      <c r="GTI755" s="123"/>
      <c r="GTJ755" s="123"/>
      <c r="GTK755" s="123"/>
      <c r="GTL755" s="123"/>
      <c r="GTM755" s="123"/>
      <c r="GTN755" s="123"/>
      <c r="GTO755" s="123"/>
      <c r="GTP755" s="123"/>
      <c r="GTQ755" s="123"/>
      <c r="GTR755" s="123"/>
      <c r="GTS755" s="123"/>
      <c r="GTT755" s="123"/>
      <c r="GTU755" s="123"/>
      <c r="GTV755" s="123"/>
      <c r="GTW755" s="123"/>
      <c r="GTX755" s="123"/>
      <c r="GTY755" s="123"/>
      <c r="GTZ755" s="123"/>
      <c r="GUA755" s="123"/>
      <c r="GUB755" s="123"/>
      <c r="GUC755" s="123"/>
      <c r="GUD755" s="123"/>
      <c r="GUE755" s="123"/>
      <c r="GUF755" s="123"/>
      <c r="GUG755" s="123"/>
      <c r="GUH755" s="123"/>
      <c r="GUI755" s="123"/>
      <c r="GUJ755" s="123"/>
      <c r="GUK755" s="123"/>
      <c r="GUL755" s="123"/>
      <c r="GUM755" s="123"/>
      <c r="GUN755" s="123"/>
      <c r="GUO755" s="123"/>
      <c r="GUP755" s="123"/>
      <c r="GUQ755" s="123"/>
      <c r="GUR755" s="123"/>
      <c r="GUS755" s="123"/>
      <c r="GUT755" s="123"/>
      <c r="GUU755" s="123"/>
      <c r="GUV755" s="123"/>
      <c r="GUW755" s="123"/>
      <c r="GUX755" s="123"/>
      <c r="GUY755" s="123"/>
      <c r="GUZ755" s="123"/>
      <c r="GVA755" s="123"/>
      <c r="GVB755" s="123"/>
      <c r="GVC755" s="123"/>
      <c r="GVD755" s="123"/>
      <c r="GVE755" s="123"/>
      <c r="GVF755" s="123"/>
      <c r="GVG755" s="123"/>
      <c r="GVH755" s="123"/>
      <c r="GVI755" s="123"/>
      <c r="GVJ755" s="123"/>
      <c r="GVK755" s="123"/>
      <c r="GVL755" s="123"/>
      <c r="GVM755" s="123"/>
      <c r="GVN755" s="123"/>
      <c r="GVO755" s="123"/>
      <c r="GVP755" s="123"/>
      <c r="GVQ755" s="123"/>
      <c r="GVR755" s="123"/>
      <c r="GVS755" s="123"/>
      <c r="GVT755" s="123"/>
      <c r="GVU755" s="123"/>
      <c r="GVV755" s="123"/>
      <c r="GVW755" s="123"/>
      <c r="GVX755" s="123"/>
      <c r="GVY755" s="123"/>
      <c r="GVZ755" s="123"/>
      <c r="GWA755" s="123"/>
      <c r="GWB755" s="123"/>
      <c r="GWC755" s="123"/>
      <c r="GWD755" s="123"/>
      <c r="GWE755" s="123"/>
      <c r="GWF755" s="123"/>
      <c r="GWG755" s="123"/>
      <c r="GWH755" s="123"/>
      <c r="GWI755" s="123"/>
      <c r="GWJ755" s="123"/>
      <c r="GWK755" s="123"/>
      <c r="GWL755" s="123"/>
      <c r="GWM755" s="123"/>
      <c r="GWN755" s="123"/>
      <c r="GWO755" s="123"/>
      <c r="GWP755" s="123"/>
      <c r="GWQ755" s="123"/>
      <c r="GWR755" s="123"/>
      <c r="GWS755" s="123"/>
      <c r="GWT755" s="123"/>
      <c r="GWU755" s="123"/>
      <c r="GWV755" s="123"/>
      <c r="GWW755" s="123"/>
      <c r="GWX755" s="123"/>
      <c r="GWY755" s="123"/>
      <c r="GWZ755" s="123"/>
      <c r="GXA755" s="123"/>
      <c r="GXB755" s="123"/>
      <c r="GXC755" s="123"/>
      <c r="GXD755" s="123"/>
      <c r="GXE755" s="123"/>
      <c r="GXF755" s="123"/>
      <c r="GXG755" s="123"/>
      <c r="GXH755" s="123"/>
      <c r="GXI755" s="123"/>
      <c r="GXJ755" s="123"/>
      <c r="GXK755" s="123"/>
      <c r="GXL755" s="123"/>
      <c r="GXM755" s="123"/>
      <c r="GXN755" s="123"/>
      <c r="GXO755" s="123"/>
      <c r="GXP755" s="123"/>
      <c r="GXQ755" s="123"/>
      <c r="GXR755" s="123"/>
      <c r="GXS755" s="123"/>
      <c r="GXT755" s="123"/>
      <c r="GXU755" s="123"/>
      <c r="GXV755" s="123"/>
      <c r="GXW755" s="123"/>
      <c r="GXX755" s="123"/>
      <c r="GXY755" s="123"/>
      <c r="GXZ755" s="123"/>
      <c r="GYA755" s="123"/>
      <c r="GYB755" s="123"/>
      <c r="GYC755" s="123"/>
      <c r="GYD755" s="123"/>
      <c r="GYE755" s="123"/>
      <c r="GYF755" s="123"/>
      <c r="GYG755" s="123"/>
      <c r="GYH755" s="123"/>
      <c r="GYI755" s="123"/>
      <c r="GYJ755" s="123"/>
      <c r="GYK755" s="123"/>
      <c r="GYL755" s="123"/>
      <c r="GYM755" s="123"/>
      <c r="GYN755" s="123"/>
      <c r="GYO755" s="123"/>
      <c r="GYP755" s="123"/>
      <c r="GYQ755" s="123"/>
      <c r="GYR755" s="123"/>
      <c r="GYS755" s="123"/>
      <c r="GYT755" s="123"/>
      <c r="GYU755" s="123"/>
      <c r="GYV755" s="123"/>
      <c r="GYW755" s="123"/>
      <c r="GYX755" s="123"/>
      <c r="GYY755" s="123"/>
      <c r="GYZ755" s="123"/>
      <c r="GZA755" s="123"/>
      <c r="GZB755" s="123"/>
      <c r="GZC755" s="123"/>
      <c r="GZD755" s="123"/>
      <c r="GZE755" s="123"/>
      <c r="GZF755" s="123"/>
      <c r="GZG755" s="123"/>
      <c r="GZH755" s="123"/>
      <c r="GZI755" s="123"/>
      <c r="GZJ755" s="123"/>
      <c r="GZK755" s="123"/>
      <c r="GZL755" s="123"/>
      <c r="GZM755" s="123"/>
      <c r="GZN755" s="123"/>
      <c r="GZO755" s="123"/>
      <c r="GZP755" s="123"/>
      <c r="GZQ755" s="123"/>
      <c r="GZR755" s="123"/>
      <c r="GZS755" s="123"/>
      <c r="GZT755" s="123"/>
      <c r="GZU755" s="123"/>
      <c r="GZV755" s="123"/>
      <c r="GZW755" s="123"/>
      <c r="GZX755" s="123"/>
      <c r="GZY755" s="123"/>
      <c r="GZZ755" s="123"/>
      <c r="HAA755" s="123"/>
      <c r="HAB755" s="123"/>
      <c r="HAC755" s="123"/>
      <c r="HAD755" s="123"/>
      <c r="HAE755" s="123"/>
      <c r="HAF755" s="123"/>
      <c r="HAG755" s="123"/>
      <c r="HAH755" s="123"/>
      <c r="HAI755" s="123"/>
      <c r="HAJ755" s="123"/>
      <c r="HAK755" s="123"/>
      <c r="HAL755" s="123"/>
      <c r="HAM755" s="123"/>
      <c r="HAN755" s="123"/>
      <c r="HAO755" s="123"/>
      <c r="HAP755" s="123"/>
      <c r="HAQ755" s="123"/>
      <c r="HAR755" s="123"/>
      <c r="HAS755" s="123"/>
      <c r="HAT755" s="123"/>
      <c r="HAU755" s="123"/>
      <c r="HAV755" s="123"/>
      <c r="HAW755" s="123"/>
      <c r="HAX755" s="123"/>
      <c r="HAY755" s="123"/>
      <c r="HAZ755" s="123"/>
      <c r="HBA755" s="123"/>
      <c r="HBB755" s="123"/>
      <c r="HBC755" s="123"/>
      <c r="HBD755" s="123"/>
      <c r="HBE755" s="123"/>
      <c r="HBF755" s="123"/>
      <c r="HBG755" s="123"/>
      <c r="HBH755" s="123"/>
      <c r="HBI755" s="123"/>
      <c r="HBJ755" s="123"/>
      <c r="HBK755" s="123"/>
      <c r="HBL755" s="123"/>
      <c r="HBM755" s="123"/>
      <c r="HBN755" s="123"/>
      <c r="HBO755" s="123"/>
      <c r="HBP755" s="123"/>
      <c r="HBQ755" s="123"/>
      <c r="HBR755" s="123"/>
      <c r="HBS755" s="123"/>
      <c r="HBT755" s="123"/>
      <c r="HBU755" s="123"/>
      <c r="HBV755" s="123"/>
      <c r="HBW755" s="123"/>
      <c r="HBX755" s="123"/>
      <c r="HBY755" s="123"/>
      <c r="HBZ755" s="123"/>
      <c r="HCA755" s="123"/>
      <c r="HCB755" s="123"/>
      <c r="HCC755" s="123"/>
      <c r="HCD755" s="123"/>
      <c r="HCE755" s="123"/>
      <c r="HCF755" s="123"/>
      <c r="HCG755" s="123"/>
      <c r="HCH755" s="123"/>
      <c r="HCI755" s="123"/>
      <c r="HCJ755" s="123"/>
      <c r="HCK755" s="123"/>
      <c r="HCL755" s="123"/>
      <c r="HCM755" s="123"/>
      <c r="HCN755" s="123"/>
      <c r="HCO755" s="123"/>
      <c r="HCP755" s="123"/>
      <c r="HCQ755" s="123"/>
      <c r="HCR755" s="123"/>
      <c r="HCS755" s="123"/>
      <c r="HCT755" s="123"/>
      <c r="HCU755" s="123"/>
      <c r="HCV755" s="123"/>
      <c r="HCW755" s="123"/>
      <c r="HCX755" s="123"/>
      <c r="HCY755" s="123"/>
      <c r="HCZ755" s="123"/>
      <c r="HDA755" s="123"/>
      <c r="HDB755" s="123"/>
      <c r="HDC755" s="123"/>
      <c r="HDD755" s="123"/>
      <c r="HDE755" s="123"/>
      <c r="HDF755" s="123"/>
      <c r="HDG755" s="123"/>
      <c r="HDH755" s="123"/>
      <c r="HDI755" s="123"/>
      <c r="HDJ755" s="123"/>
      <c r="HDK755" s="123"/>
      <c r="HDL755" s="123"/>
      <c r="HDM755" s="123"/>
      <c r="HDN755" s="123"/>
      <c r="HDO755" s="123"/>
      <c r="HDP755" s="123"/>
      <c r="HDQ755" s="123"/>
      <c r="HDR755" s="123"/>
      <c r="HDS755" s="123"/>
      <c r="HDT755" s="123"/>
      <c r="HDU755" s="123"/>
      <c r="HDV755" s="123"/>
      <c r="HDW755" s="123"/>
      <c r="HDX755" s="123"/>
      <c r="HDY755" s="123"/>
      <c r="HDZ755" s="123"/>
      <c r="HEA755" s="123"/>
      <c r="HEB755" s="123"/>
      <c r="HEC755" s="123"/>
      <c r="HED755" s="123"/>
      <c r="HEE755" s="123"/>
      <c r="HEF755" s="123"/>
      <c r="HEG755" s="123"/>
      <c r="HEH755" s="123"/>
      <c r="HEI755" s="123"/>
      <c r="HEJ755" s="123"/>
      <c r="HEK755" s="123"/>
      <c r="HEL755" s="123"/>
      <c r="HEM755" s="123"/>
      <c r="HEN755" s="123"/>
      <c r="HEO755" s="123"/>
      <c r="HEP755" s="123"/>
      <c r="HEQ755" s="123"/>
      <c r="HER755" s="123"/>
      <c r="HES755" s="123"/>
      <c r="HET755" s="123"/>
      <c r="HEU755" s="123"/>
      <c r="HEV755" s="123"/>
      <c r="HEW755" s="123"/>
      <c r="HEX755" s="123"/>
      <c r="HEY755" s="123"/>
      <c r="HEZ755" s="123"/>
      <c r="HFA755" s="123"/>
      <c r="HFB755" s="123"/>
      <c r="HFC755" s="123"/>
      <c r="HFD755" s="123"/>
      <c r="HFE755" s="123"/>
      <c r="HFF755" s="123"/>
      <c r="HFG755" s="123"/>
      <c r="HFH755" s="123"/>
      <c r="HFI755" s="123"/>
      <c r="HFJ755" s="123"/>
      <c r="HFK755" s="123"/>
      <c r="HFL755" s="123"/>
      <c r="HFM755" s="123"/>
      <c r="HFN755" s="123"/>
      <c r="HFO755" s="123"/>
      <c r="HFP755" s="123"/>
      <c r="HFQ755" s="123"/>
      <c r="HFR755" s="123"/>
      <c r="HFS755" s="123"/>
      <c r="HFT755" s="123"/>
      <c r="HFU755" s="123"/>
      <c r="HFV755" s="123"/>
      <c r="HFW755" s="123"/>
      <c r="HFX755" s="123"/>
      <c r="HFY755" s="123"/>
      <c r="HFZ755" s="123"/>
      <c r="HGA755" s="123"/>
      <c r="HGB755" s="123"/>
      <c r="HGC755" s="123"/>
      <c r="HGD755" s="123"/>
      <c r="HGE755" s="123"/>
      <c r="HGF755" s="123"/>
      <c r="HGG755" s="123"/>
      <c r="HGH755" s="123"/>
      <c r="HGI755" s="123"/>
      <c r="HGJ755" s="123"/>
      <c r="HGK755" s="123"/>
      <c r="HGL755" s="123"/>
      <c r="HGM755" s="123"/>
      <c r="HGN755" s="123"/>
      <c r="HGO755" s="123"/>
      <c r="HGP755" s="123"/>
      <c r="HGQ755" s="123"/>
      <c r="HGR755" s="123"/>
      <c r="HGS755" s="123"/>
      <c r="HGT755" s="123"/>
      <c r="HGU755" s="123"/>
      <c r="HGV755" s="123"/>
      <c r="HGW755" s="123"/>
      <c r="HGX755" s="123"/>
      <c r="HGY755" s="123"/>
      <c r="HGZ755" s="123"/>
      <c r="HHA755" s="123"/>
      <c r="HHB755" s="123"/>
      <c r="HHC755" s="123"/>
      <c r="HHD755" s="123"/>
      <c r="HHE755" s="123"/>
      <c r="HHF755" s="123"/>
      <c r="HHG755" s="123"/>
      <c r="HHH755" s="123"/>
      <c r="HHI755" s="123"/>
      <c r="HHJ755" s="123"/>
      <c r="HHK755" s="123"/>
      <c r="HHL755" s="123"/>
      <c r="HHM755" s="123"/>
      <c r="HHN755" s="123"/>
      <c r="HHO755" s="123"/>
      <c r="HHP755" s="123"/>
      <c r="HHQ755" s="123"/>
      <c r="HHR755" s="123"/>
      <c r="HHS755" s="123"/>
      <c r="HHT755" s="123"/>
      <c r="HHU755" s="123"/>
      <c r="HHV755" s="123"/>
      <c r="HHW755" s="123"/>
      <c r="HHX755" s="123"/>
      <c r="HHY755" s="123"/>
      <c r="HHZ755" s="123"/>
      <c r="HIA755" s="123"/>
      <c r="HIB755" s="123"/>
      <c r="HIC755" s="123"/>
      <c r="HID755" s="123"/>
      <c r="HIE755" s="123"/>
      <c r="HIF755" s="123"/>
      <c r="HIG755" s="123"/>
      <c r="HIH755" s="123"/>
      <c r="HII755" s="123"/>
      <c r="HIJ755" s="123"/>
      <c r="HIK755" s="123"/>
      <c r="HIL755" s="123"/>
      <c r="HIM755" s="123"/>
      <c r="HIN755" s="123"/>
      <c r="HIO755" s="123"/>
      <c r="HIP755" s="123"/>
      <c r="HIQ755" s="123"/>
      <c r="HIR755" s="123"/>
      <c r="HIS755" s="123"/>
      <c r="HIT755" s="123"/>
      <c r="HIU755" s="123"/>
      <c r="HIV755" s="123"/>
      <c r="HIW755" s="123"/>
      <c r="HIX755" s="123"/>
      <c r="HIY755" s="123"/>
      <c r="HIZ755" s="123"/>
      <c r="HJA755" s="123"/>
      <c r="HJB755" s="123"/>
      <c r="HJC755" s="123"/>
      <c r="HJD755" s="123"/>
      <c r="HJE755" s="123"/>
      <c r="HJF755" s="123"/>
      <c r="HJG755" s="123"/>
      <c r="HJH755" s="123"/>
      <c r="HJI755" s="123"/>
      <c r="HJJ755" s="123"/>
      <c r="HJK755" s="123"/>
      <c r="HJL755" s="123"/>
      <c r="HJM755" s="123"/>
      <c r="HJN755" s="123"/>
      <c r="HJO755" s="123"/>
      <c r="HJP755" s="123"/>
      <c r="HJQ755" s="123"/>
      <c r="HJR755" s="123"/>
      <c r="HJS755" s="123"/>
      <c r="HJT755" s="123"/>
      <c r="HJU755" s="123"/>
      <c r="HJV755" s="123"/>
      <c r="HJW755" s="123"/>
      <c r="HJX755" s="123"/>
      <c r="HJY755" s="123"/>
      <c r="HJZ755" s="123"/>
      <c r="HKA755" s="123"/>
      <c r="HKB755" s="123"/>
      <c r="HKC755" s="123"/>
      <c r="HKD755" s="123"/>
      <c r="HKE755" s="123"/>
      <c r="HKF755" s="123"/>
      <c r="HKG755" s="123"/>
      <c r="HKH755" s="123"/>
      <c r="HKI755" s="123"/>
      <c r="HKJ755" s="123"/>
      <c r="HKK755" s="123"/>
      <c r="HKL755" s="123"/>
      <c r="HKM755" s="123"/>
      <c r="HKN755" s="123"/>
      <c r="HKO755" s="123"/>
      <c r="HKP755" s="123"/>
      <c r="HKQ755" s="123"/>
      <c r="HKR755" s="123"/>
      <c r="HKS755" s="123"/>
      <c r="HKT755" s="123"/>
      <c r="HKU755" s="123"/>
      <c r="HKV755" s="123"/>
      <c r="HKW755" s="123"/>
      <c r="HKX755" s="123"/>
      <c r="HKY755" s="123"/>
      <c r="HKZ755" s="123"/>
      <c r="HLA755" s="123"/>
      <c r="HLB755" s="123"/>
      <c r="HLC755" s="123"/>
      <c r="HLD755" s="123"/>
      <c r="HLE755" s="123"/>
      <c r="HLF755" s="123"/>
      <c r="HLG755" s="123"/>
      <c r="HLH755" s="123"/>
      <c r="HLI755" s="123"/>
      <c r="HLJ755" s="123"/>
      <c r="HLK755" s="123"/>
      <c r="HLL755" s="123"/>
      <c r="HLM755" s="123"/>
      <c r="HLN755" s="123"/>
      <c r="HLO755" s="123"/>
      <c r="HLP755" s="123"/>
      <c r="HLQ755" s="123"/>
      <c r="HLR755" s="123"/>
      <c r="HLS755" s="123"/>
      <c r="HLT755" s="123"/>
      <c r="HLU755" s="123"/>
      <c r="HLV755" s="123"/>
      <c r="HLW755" s="123"/>
      <c r="HLX755" s="123"/>
      <c r="HLY755" s="123"/>
      <c r="HLZ755" s="123"/>
      <c r="HMA755" s="123"/>
      <c r="HMB755" s="123"/>
      <c r="HMC755" s="123"/>
      <c r="HMD755" s="123"/>
      <c r="HME755" s="123"/>
      <c r="HMF755" s="123"/>
      <c r="HMG755" s="123"/>
      <c r="HMH755" s="123"/>
      <c r="HMI755" s="123"/>
      <c r="HMJ755" s="123"/>
      <c r="HMK755" s="123"/>
      <c r="HML755" s="123"/>
      <c r="HMM755" s="123"/>
      <c r="HMN755" s="123"/>
      <c r="HMO755" s="123"/>
      <c r="HMP755" s="123"/>
      <c r="HMQ755" s="123"/>
      <c r="HMR755" s="123"/>
      <c r="HMS755" s="123"/>
      <c r="HMT755" s="123"/>
      <c r="HMU755" s="123"/>
      <c r="HMV755" s="123"/>
      <c r="HMW755" s="123"/>
      <c r="HMX755" s="123"/>
      <c r="HMY755" s="123"/>
      <c r="HMZ755" s="123"/>
      <c r="HNA755" s="123"/>
      <c r="HNB755" s="123"/>
      <c r="HNC755" s="123"/>
      <c r="HND755" s="123"/>
      <c r="HNE755" s="123"/>
      <c r="HNF755" s="123"/>
      <c r="HNG755" s="123"/>
      <c r="HNH755" s="123"/>
      <c r="HNI755" s="123"/>
      <c r="HNJ755" s="123"/>
      <c r="HNK755" s="123"/>
      <c r="HNL755" s="123"/>
      <c r="HNM755" s="123"/>
      <c r="HNN755" s="123"/>
      <c r="HNO755" s="123"/>
      <c r="HNP755" s="123"/>
      <c r="HNQ755" s="123"/>
      <c r="HNR755" s="123"/>
      <c r="HNS755" s="123"/>
      <c r="HNT755" s="123"/>
      <c r="HNU755" s="123"/>
      <c r="HNV755" s="123"/>
      <c r="HNW755" s="123"/>
      <c r="HNX755" s="123"/>
      <c r="HNY755" s="123"/>
      <c r="HNZ755" s="123"/>
      <c r="HOA755" s="123"/>
      <c r="HOB755" s="123"/>
      <c r="HOC755" s="123"/>
      <c r="HOD755" s="123"/>
      <c r="HOE755" s="123"/>
      <c r="HOF755" s="123"/>
      <c r="HOG755" s="123"/>
      <c r="HOH755" s="123"/>
      <c r="HOI755" s="123"/>
      <c r="HOJ755" s="123"/>
      <c r="HOK755" s="123"/>
      <c r="HOL755" s="123"/>
      <c r="HOM755" s="123"/>
      <c r="HON755" s="123"/>
      <c r="HOO755" s="123"/>
      <c r="HOP755" s="123"/>
      <c r="HOQ755" s="123"/>
      <c r="HOR755" s="123"/>
      <c r="HOS755" s="123"/>
      <c r="HOT755" s="123"/>
      <c r="HOU755" s="123"/>
      <c r="HOV755" s="123"/>
      <c r="HOW755" s="123"/>
      <c r="HOX755" s="123"/>
      <c r="HOY755" s="123"/>
      <c r="HOZ755" s="123"/>
      <c r="HPA755" s="123"/>
      <c r="HPB755" s="123"/>
      <c r="HPC755" s="123"/>
      <c r="HPD755" s="123"/>
      <c r="HPE755" s="123"/>
      <c r="HPF755" s="123"/>
      <c r="HPG755" s="123"/>
      <c r="HPH755" s="123"/>
      <c r="HPI755" s="123"/>
      <c r="HPJ755" s="123"/>
      <c r="HPK755" s="123"/>
      <c r="HPL755" s="123"/>
      <c r="HPM755" s="123"/>
      <c r="HPN755" s="123"/>
      <c r="HPO755" s="123"/>
      <c r="HPP755" s="123"/>
      <c r="HPQ755" s="123"/>
      <c r="HPR755" s="123"/>
      <c r="HPS755" s="123"/>
      <c r="HPT755" s="123"/>
      <c r="HPU755" s="123"/>
      <c r="HPV755" s="123"/>
      <c r="HPW755" s="123"/>
      <c r="HPX755" s="123"/>
      <c r="HPY755" s="123"/>
      <c r="HPZ755" s="123"/>
      <c r="HQA755" s="123"/>
      <c r="HQB755" s="123"/>
      <c r="HQC755" s="123"/>
      <c r="HQD755" s="123"/>
      <c r="HQE755" s="123"/>
      <c r="HQF755" s="123"/>
      <c r="HQG755" s="123"/>
      <c r="HQH755" s="123"/>
      <c r="HQI755" s="123"/>
      <c r="HQJ755" s="123"/>
      <c r="HQK755" s="123"/>
      <c r="HQL755" s="123"/>
      <c r="HQM755" s="123"/>
      <c r="HQN755" s="123"/>
      <c r="HQO755" s="123"/>
      <c r="HQP755" s="123"/>
      <c r="HQQ755" s="123"/>
      <c r="HQR755" s="123"/>
      <c r="HQS755" s="123"/>
      <c r="HQT755" s="123"/>
      <c r="HQU755" s="123"/>
      <c r="HQV755" s="123"/>
      <c r="HQW755" s="123"/>
      <c r="HQX755" s="123"/>
      <c r="HQY755" s="123"/>
      <c r="HQZ755" s="123"/>
      <c r="HRA755" s="123"/>
      <c r="HRB755" s="123"/>
      <c r="HRC755" s="123"/>
      <c r="HRD755" s="123"/>
      <c r="HRE755" s="123"/>
      <c r="HRF755" s="123"/>
      <c r="HRG755" s="123"/>
      <c r="HRH755" s="123"/>
      <c r="HRI755" s="123"/>
      <c r="HRJ755" s="123"/>
      <c r="HRK755" s="123"/>
      <c r="HRL755" s="123"/>
      <c r="HRM755" s="123"/>
      <c r="HRN755" s="123"/>
      <c r="HRO755" s="123"/>
      <c r="HRP755" s="123"/>
      <c r="HRQ755" s="123"/>
      <c r="HRR755" s="123"/>
      <c r="HRS755" s="123"/>
      <c r="HRT755" s="123"/>
      <c r="HRU755" s="123"/>
      <c r="HRV755" s="123"/>
      <c r="HRW755" s="123"/>
      <c r="HRX755" s="123"/>
      <c r="HRY755" s="123"/>
      <c r="HRZ755" s="123"/>
      <c r="HSA755" s="123"/>
      <c r="HSB755" s="123"/>
      <c r="HSC755" s="123"/>
      <c r="HSD755" s="123"/>
      <c r="HSE755" s="123"/>
      <c r="HSF755" s="123"/>
      <c r="HSG755" s="123"/>
      <c r="HSH755" s="123"/>
      <c r="HSI755" s="123"/>
      <c r="HSJ755" s="123"/>
      <c r="HSK755" s="123"/>
      <c r="HSL755" s="123"/>
      <c r="HSM755" s="123"/>
      <c r="HSN755" s="123"/>
      <c r="HSO755" s="123"/>
      <c r="HSP755" s="123"/>
      <c r="HSQ755" s="123"/>
      <c r="HSR755" s="123"/>
      <c r="HSS755" s="123"/>
      <c r="HST755" s="123"/>
      <c r="HSU755" s="123"/>
      <c r="HSV755" s="123"/>
      <c r="HSW755" s="123"/>
      <c r="HSX755" s="123"/>
      <c r="HSY755" s="123"/>
      <c r="HSZ755" s="123"/>
      <c r="HTA755" s="123"/>
      <c r="HTB755" s="123"/>
      <c r="HTC755" s="123"/>
      <c r="HTD755" s="123"/>
      <c r="HTE755" s="123"/>
      <c r="HTF755" s="123"/>
      <c r="HTG755" s="123"/>
      <c r="HTH755" s="123"/>
      <c r="HTI755" s="123"/>
      <c r="HTJ755" s="123"/>
      <c r="HTK755" s="123"/>
      <c r="HTL755" s="123"/>
      <c r="HTM755" s="123"/>
      <c r="HTN755" s="123"/>
      <c r="HTO755" s="123"/>
      <c r="HTP755" s="123"/>
      <c r="HTQ755" s="123"/>
      <c r="HTR755" s="123"/>
      <c r="HTS755" s="123"/>
      <c r="HTT755" s="123"/>
      <c r="HTU755" s="123"/>
      <c r="HTV755" s="123"/>
      <c r="HTW755" s="123"/>
      <c r="HTX755" s="123"/>
      <c r="HTY755" s="123"/>
      <c r="HTZ755" s="123"/>
      <c r="HUA755" s="123"/>
      <c r="HUB755" s="123"/>
      <c r="HUC755" s="123"/>
      <c r="HUD755" s="123"/>
      <c r="HUE755" s="123"/>
      <c r="HUF755" s="123"/>
      <c r="HUG755" s="123"/>
      <c r="HUH755" s="123"/>
      <c r="HUI755" s="123"/>
      <c r="HUJ755" s="123"/>
      <c r="HUK755" s="123"/>
      <c r="HUL755" s="123"/>
      <c r="HUM755" s="123"/>
      <c r="HUN755" s="123"/>
      <c r="HUO755" s="123"/>
      <c r="HUP755" s="123"/>
      <c r="HUQ755" s="123"/>
      <c r="HUR755" s="123"/>
      <c r="HUS755" s="123"/>
      <c r="HUT755" s="123"/>
      <c r="HUU755" s="123"/>
      <c r="HUV755" s="123"/>
      <c r="HUW755" s="123"/>
      <c r="HUX755" s="123"/>
      <c r="HUY755" s="123"/>
      <c r="HUZ755" s="123"/>
      <c r="HVA755" s="123"/>
      <c r="HVB755" s="123"/>
      <c r="HVC755" s="123"/>
      <c r="HVD755" s="123"/>
      <c r="HVE755" s="123"/>
      <c r="HVF755" s="123"/>
      <c r="HVG755" s="123"/>
      <c r="HVH755" s="123"/>
      <c r="HVI755" s="123"/>
      <c r="HVJ755" s="123"/>
      <c r="HVK755" s="123"/>
      <c r="HVL755" s="123"/>
      <c r="HVM755" s="123"/>
      <c r="HVN755" s="123"/>
      <c r="HVO755" s="123"/>
      <c r="HVP755" s="123"/>
      <c r="HVQ755" s="123"/>
      <c r="HVR755" s="123"/>
      <c r="HVS755" s="123"/>
      <c r="HVT755" s="123"/>
      <c r="HVU755" s="123"/>
      <c r="HVV755" s="123"/>
      <c r="HVW755" s="123"/>
      <c r="HVX755" s="123"/>
      <c r="HVY755" s="123"/>
      <c r="HVZ755" s="123"/>
      <c r="HWA755" s="123"/>
      <c r="HWB755" s="123"/>
      <c r="HWC755" s="123"/>
      <c r="HWD755" s="123"/>
      <c r="HWE755" s="123"/>
      <c r="HWF755" s="123"/>
      <c r="HWG755" s="123"/>
      <c r="HWH755" s="123"/>
      <c r="HWI755" s="123"/>
      <c r="HWJ755" s="123"/>
      <c r="HWK755" s="123"/>
      <c r="HWL755" s="123"/>
      <c r="HWM755" s="123"/>
      <c r="HWN755" s="123"/>
      <c r="HWO755" s="123"/>
      <c r="HWP755" s="123"/>
      <c r="HWQ755" s="123"/>
      <c r="HWR755" s="123"/>
      <c r="HWS755" s="123"/>
      <c r="HWT755" s="123"/>
      <c r="HWU755" s="123"/>
      <c r="HWV755" s="123"/>
      <c r="HWW755" s="123"/>
      <c r="HWX755" s="123"/>
      <c r="HWY755" s="123"/>
      <c r="HWZ755" s="123"/>
      <c r="HXA755" s="123"/>
      <c r="HXB755" s="123"/>
      <c r="HXC755" s="123"/>
      <c r="HXD755" s="123"/>
      <c r="HXE755" s="123"/>
      <c r="HXF755" s="123"/>
      <c r="HXG755" s="123"/>
      <c r="HXH755" s="123"/>
      <c r="HXI755" s="123"/>
      <c r="HXJ755" s="123"/>
      <c r="HXK755" s="123"/>
      <c r="HXL755" s="123"/>
      <c r="HXM755" s="123"/>
      <c r="HXN755" s="123"/>
      <c r="HXO755" s="123"/>
      <c r="HXP755" s="123"/>
      <c r="HXQ755" s="123"/>
      <c r="HXR755" s="123"/>
      <c r="HXS755" s="123"/>
      <c r="HXT755" s="123"/>
      <c r="HXU755" s="123"/>
      <c r="HXV755" s="123"/>
      <c r="HXW755" s="123"/>
      <c r="HXX755" s="123"/>
      <c r="HXY755" s="123"/>
      <c r="HXZ755" s="123"/>
      <c r="HYA755" s="123"/>
      <c r="HYB755" s="123"/>
      <c r="HYC755" s="123"/>
      <c r="HYD755" s="123"/>
      <c r="HYE755" s="123"/>
      <c r="HYF755" s="123"/>
      <c r="HYG755" s="123"/>
      <c r="HYH755" s="123"/>
      <c r="HYI755" s="123"/>
      <c r="HYJ755" s="123"/>
      <c r="HYK755" s="123"/>
      <c r="HYL755" s="123"/>
      <c r="HYM755" s="123"/>
      <c r="HYN755" s="123"/>
      <c r="HYO755" s="123"/>
      <c r="HYP755" s="123"/>
      <c r="HYQ755" s="123"/>
      <c r="HYR755" s="123"/>
      <c r="HYS755" s="123"/>
      <c r="HYT755" s="123"/>
      <c r="HYU755" s="123"/>
      <c r="HYV755" s="123"/>
      <c r="HYW755" s="123"/>
      <c r="HYX755" s="123"/>
      <c r="HYY755" s="123"/>
      <c r="HYZ755" s="123"/>
      <c r="HZA755" s="123"/>
      <c r="HZB755" s="123"/>
      <c r="HZC755" s="123"/>
      <c r="HZD755" s="123"/>
      <c r="HZE755" s="123"/>
      <c r="HZF755" s="123"/>
      <c r="HZG755" s="123"/>
      <c r="HZH755" s="123"/>
      <c r="HZI755" s="123"/>
      <c r="HZJ755" s="123"/>
      <c r="HZK755" s="123"/>
      <c r="HZL755" s="123"/>
      <c r="HZM755" s="123"/>
      <c r="HZN755" s="123"/>
      <c r="HZO755" s="123"/>
      <c r="HZP755" s="123"/>
      <c r="HZQ755" s="123"/>
      <c r="HZR755" s="123"/>
      <c r="HZS755" s="123"/>
      <c r="HZT755" s="123"/>
      <c r="HZU755" s="123"/>
      <c r="HZV755" s="123"/>
      <c r="HZW755" s="123"/>
      <c r="HZX755" s="123"/>
      <c r="HZY755" s="123"/>
      <c r="HZZ755" s="123"/>
      <c r="IAA755" s="123"/>
      <c r="IAB755" s="123"/>
      <c r="IAC755" s="123"/>
      <c r="IAD755" s="123"/>
      <c r="IAE755" s="123"/>
      <c r="IAF755" s="123"/>
      <c r="IAG755" s="123"/>
      <c r="IAH755" s="123"/>
      <c r="IAI755" s="123"/>
      <c r="IAJ755" s="123"/>
      <c r="IAK755" s="123"/>
      <c r="IAL755" s="123"/>
      <c r="IAM755" s="123"/>
      <c r="IAN755" s="123"/>
      <c r="IAO755" s="123"/>
      <c r="IAP755" s="123"/>
      <c r="IAQ755" s="123"/>
      <c r="IAR755" s="123"/>
      <c r="IAS755" s="123"/>
      <c r="IAT755" s="123"/>
      <c r="IAU755" s="123"/>
      <c r="IAV755" s="123"/>
      <c r="IAW755" s="123"/>
      <c r="IAX755" s="123"/>
      <c r="IAY755" s="123"/>
      <c r="IAZ755" s="123"/>
      <c r="IBA755" s="123"/>
      <c r="IBB755" s="123"/>
      <c r="IBC755" s="123"/>
      <c r="IBD755" s="123"/>
      <c r="IBE755" s="123"/>
      <c r="IBF755" s="123"/>
      <c r="IBG755" s="123"/>
      <c r="IBH755" s="123"/>
      <c r="IBI755" s="123"/>
      <c r="IBJ755" s="123"/>
      <c r="IBK755" s="123"/>
      <c r="IBL755" s="123"/>
      <c r="IBM755" s="123"/>
      <c r="IBN755" s="123"/>
      <c r="IBO755" s="123"/>
      <c r="IBP755" s="123"/>
      <c r="IBQ755" s="123"/>
      <c r="IBR755" s="123"/>
      <c r="IBS755" s="123"/>
      <c r="IBT755" s="123"/>
      <c r="IBU755" s="123"/>
      <c r="IBV755" s="123"/>
      <c r="IBW755" s="123"/>
      <c r="IBX755" s="123"/>
      <c r="IBY755" s="123"/>
      <c r="IBZ755" s="123"/>
      <c r="ICA755" s="123"/>
      <c r="ICB755" s="123"/>
      <c r="ICC755" s="123"/>
      <c r="ICD755" s="123"/>
      <c r="ICE755" s="123"/>
      <c r="ICF755" s="123"/>
      <c r="ICG755" s="123"/>
      <c r="ICH755" s="123"/>
      <c r="ICI755" s="123"/>
      <c r="ICJ755" s="123"/>
      <c r="ICK755" s="123"/>
      <c r="ICL755" s="123"/>
      <c r="ICM755" s="123"/>
      <c r="ICN755" s="123"/>
      <c r="ICO755" s="123"/>
      <c r="ICP755" s="123"/>
      <c r="ICQ755" s="123"/>
      <c r="ICR755" s="123"/>
      <c r="ICS755" s="123"/>
      <c r="ICT755" s="123"/>
      <c r="ICU755" s="123"/>
      <c r="ICV755" s="123"/>
      <c r="ICW755" s="123"/>
      <c r="ICX755" s="123"/>
      <c r="ICY755" s="123"/>
      <c r="ICZ755" s="123"/>
      <c r="IDA755" s="123"/>
      <c r="IDB755" s="123"/>
      <c r="IDC755" s="123"/>
      <c r="IDD755" s="123"/>
      <c r="IDE755" s="123"/>
      <c r="IDF755" s="123"/>
      <c r="IDG755" s="123"/>
      <c r="IDH755" s="123"/>
      <c r="IDI755" s="123"/>
      <c r="IDJ755" s="123"/>
      <c r="IDK755" s="123"/>
      <c r="IDL755" s="123"/>
      <c r="IDM755" s="123"/>
      <c r="IDN755" s="123"/>
      <c r="IDO755" s="123"/>
      <c r="IDP755" s="123"/>
      <c r="IDQ755" s="123"/>
      <c r="IDR755" s="123"/>
      <c r="IDS755" s="123"/>
      <c r="IDT755" s="123"/>
      <c r="IDU755" s="123"/>
      <c r="IDV755" s="123"/>
      <c r="IDW755" s="123"/>
      <c r="IDX755" s="123"/>
      <c r="IDY755" s="123"/>
      <c r="IDZ755" s="123"/>
      <c r="IEA755" s="123"/>
      <c r="IEB755" s="123"/>
      <c r="IEC755" s="123"/>
      <c r="IED755" s="123"/>
      <c r="IEE755" s="123"/>
      <c r="IEF755" s="123"/>
      <c r="IEG755" s="123"/>
      <c r="IEH755" s="123"/>
      <c r="IEI755" s="123"/>
      <c r="IEJ755" s="123"/>
      <c r="IEK755" s="123"/>
      <c r="IEL755" s="123"/>
      <c r="IEM755" s="123"/>
      <c r="IEN755" s="123"/>
      <c r="IEO755" s="123"/>
      <c r="IEP755" s="123"/>
      <c r="IEQ755" s="123"/>
      <c r="IER755" s="123"/>
      <c r="IES755" s="123"/>
      <c r="IET755" s="123"/>
      <c r="IEU755" s="123"/>
      <c r="IEV755" s="123"/>
      <c r="IEW755" s="123"/>
      <c r="IEX755" s="123"/>
      <c r="IEY755" s="123"/>
      <c r="IEZ755" s="123"/>
      <c r="IFA755" s="123"/>
      <c r="IFB755" s="123"/>
      <c r="IFC755" s="123"/>
      <c r="IFD755" s="123"/>
      <c r="IFE755" s="123"/>
      <c r="IFF755" s="123"/>
      <c r="IFG755" s="123"/>
      <c r="IFH755" s="123"/>
      <c r="IFI755" s="123"/>
      <c r="IFJ755" s="123"/>
      <c r="IFK755" s="123"/>
      <c r="IFL755" s="123"/>
      <c r="IFM755" s="123"/>
      <c r="IFN755" s="123"/>
      <c r="IFO755" s="123"/>
      <c r="IFP755" s="123"/>
      <c r="IFQ755" s="123"/>
      <c r="IFR755" s="123"/>
      <c r="IFS755" s="123"/>
      <c r="IFT755" s="123"/>
      <c r="IFU755" s="123"/>
      <c r="IFV755" s="123"/>
      <c r="IFW755" s="123"/>
      <c r="IFX755" s="123"/>
      <c r="IFY755" s="123"/>
      <c r="IFZ755" s="123"/>
      <c r="IGA755" s="123"/>
      <c r="IGB755" s="123"/>
      <c r="IGC755" s="123"/>
      <c r="IGD755" s="123"/>
      <c r="IGE755" s="123"/>
      <c r="IGF755" s="123"/>
      <c r="IGG755" s="123"/>
      <c r="IGH755" s="123"/>
      <c r="IGI755" s="123"/>
      <c r="IGJ755" s="123"/>
      <c r="IGK755" s="123"/>
      <c r="IGL755" s="123"/>
      <c r="IGM755" s="123"/>
      <c r="IGN755" s="123"/>
      <c r="IGO755" s="123"/>
      <c r="IGP755" s="123"/>
      <c r="IGQ755" s="123"/>
      <c r="IGR755" s="123"/>
      <c r="IGS755" s="123"/>
      <c r="IGT755" s="123"/>
      <c r="IGU755" s="123"/>
      <c r="IGV755" s="123"/>
      <c r="IGW755" s="123"/>
      <c r="IGX755" s="123"/>
      <c r="IGY755" s="123"/>
      <c r="IGZ755" s="123"/>
      <c r="IHA755" s="123"/>
      <c r="IHB755" s="123"/>
      <c r="IHC755" s="123"/>
      <c r="IHD755" s="123"/>
      <c r="IHE755" s="123"/>
      <c r="IHF755" s="123"/>
      <c r="IHG755" s="123"/>
      <c r="IHH755" s="123"/>
      <c r="IHI755" s="123"/>
      <c r="IHJ755" s="123"/>
      <c r="IHK755" s="123"/>
      <c r="IHL755" s="123"/>
      <c r="IHM755" s="123"/>
      <c r="IHN755" s="123"/>
      <c r="IHO755" s="123"/>
      <c r="IHP755" s="123"/>
      <c r="IHQ755" s="123"/>
      <c r="IHR755" s="123"/>
      <c r="IHS755" s="123"/>
      <c r="IHT755" s="123"/>
      <c r="IHU755" s="123"/>
      <c r="IHV755" s="123"/>
      <c r="IHW755" s="123"/>
      <c r="IHX755" s="123"/>
      <c r="IHY755" s="123"/>
      <c r="IHZ755" s="123"/>
      <c r="IIA755" s="123"/>
      <c r="IIB755" s="123"/>
      <c r="IIC755" s="123"/>
      <c r="IID755" s="123"/>
      <c r="IIE755" s="123"/>
      <c r="IIF755" s="123"/>
      <c r="IIG755" s="123"/>
      <c r="IIH755" s="123"/>
      <c r="III755" s="123"/>
      <c r="IIJ755" s="123"/>
      <c r="IIK755" s="123"/>
      <c r="IIL755" s="123"/>
      <c r="IIM755" s="123"/>
      <c r="IIN755" s="123"/>
      <c r="IIO755" s="123"/>
      <c r="IIP755" s="123"/>
      <c r="IIQ755" s="123"/>
      <c r="IIR755" s="123"/>
      <c r="IIS755" s="123"/>
      <c r="IIT755" s="123"/>
      <c r="IIU755" s="123"/>
      <c r="IIV755" s="123"/>
      <c r="IIW755" s="123"/>
      <c r="IIX755" s="123"/>
      <c r="IIY755" s="123"/>
      <c r="IIZ755" s="123"/>
      <c r="IJA755" s="123"/>
      <c r="IJB755" s="123"/>
      <c r="IJC755" s="123"/>
      <c r="IJD755" s="123"/>
      <c r="IJE755" s="123"/>
      <c r="IJF755" s="123"/>
      <c r="IJG755" s="123"/>
      <c r="IJH755" s="123"/>
      <c r="IJI755" s="123"/>
      <c r="IJJ755" s="123"/>
      <c r="IJK755" s="123"/>
      <c r="IJL755" s="123"/>
      <c r="IJM755" s="123"/>
      <c r="IJN755" s="123"/>
      <c r="IJO755" s="123"/>
      <c r="IJP755" s="123"/>
      <c r="IJQ755" s="123"/>
      <c r="IJR755" s="123"/>
      <c r="IJS755" s="123"/>
      <c r="IJT755" s="123"/>
      <c r="IJU755" s="123"/>
      <c r="IJV755" s="123"/>
      <c r="IJW755" s="123"/>
      <c r="IJX755" s="123"/>
      <c r="IJY755" s="123"/>
      <c r="IJZ755" s="123"/>
      <c r="IKA755" s="123"/>
      <c r="IKB755" s="123"/>
      <c r="IKC755" s="123"/>
      <c r="IKD755" s="123"/>
      <c r="IKE755" s="123"/>
      <c r="IKF755" s="123"/>
      <c r="IKG755" s="123"/>
      <c r="IKH755" s="123"/>
      <c r="IKI755" s="123"/>
      <c r="IKJ755" s="123"/>
      <c r="IKK755" s="123"/>
      <c r="IKL755" s="123"/>
      <c r="IKM755" s="123"/>
      <c r="IKN755" s="123"/>
      <c r="IKO755" s="123"/>
      <c r="IKP755" s="123"/>
      <c r="IKQ755" s="123"/>
      <c r="IKR755" s="123"/>
      <c r="IKS755" s="123"/>
      <c r="IKT755" s="123"/>
      <c r="IKU755" s="123"/>
      <c r="IKV755" s="123"/>
      <c r="IKW755" s="123"/>
      <c r="IKX755" s="123"/>
      <c r="IKY755" s="123"/>
      <c r="IKZ755" s="123"/>
      <c r="ILA755" s="123"/>
      <c r="ILB755" s="123"/>
      <c r="ILC755" s="123"/>
      <c r="ILD755" s="123"/>
      <c r="ILE755" s="123"/>
      <c r="ILF755" s="123"/>
      <c r="ILG755" s="123"/>
      <c r="ILH755" s="123"/>
      <c r="ILI755" s="123"/>
      <c r="ILJ755" s="123"/>
      <c r="ILK755" s="123"/>
      <c r="ILL755" s="123"/>
      <c r="ILM755" s="123"/>
      <c r="ILN755" s="123"/>
      <c r="ILO755" s="123"/>
      <c r="ILP755" s="123"/>
      <c r="ILQ755" s="123"/>
      <c r="ILR755" s="123"/>
      <c r="ILS755" s="123"/>
      <c r="ILT755" s="123"/>
      <c r="ILU755" s="123"/>
      <c r="ILV755" s="123"/>
      <c r="ILW755" s="123"/>
      <c r="ILX755" s="123"/>
      <c r="ILY755" s="123"/>
      <c r="ILZ755" s="123"/>
      <c r="IMA755" s="123"/>
      <c r="IMB755" s="123"/>
      <c r="IMC755" s="123"/>
      <c r="IMD755" s="123"/>
      <c r="IME755" s="123"/>
      <c r="IMF755" s="123"/>
      <c r="IMG755" s="123"/>
      <c r="IMH755" s="123"/>
      <c r="IMI755" s="123"/>
      <c r="IMJ755" s="123"/>
      <c r="IMK755" s="123"/>
      <c r="IML755" s="123"/>
      <c r="IMM755" s="123"/>
      <c r="IMN755" s="123"/>
      <c r="IMO755" s="123"/>
      <c r="IMP755" s="123"/>
      <c r="IMQ755" s="123"/>
      <c r="IMR755" s="123"/>
      <c r="IMS755" s="123"/>
      <c r="IMT755" s="123"/>
      <c r="IMU755" s="123"/>
      <c r="IMV755" s="123"/>
      <c r="IMW755" s="123"/>
      <c r="IMX755" s="123"/>
      <c r="IMY755" s="123"/>
      <c r="IMZ755" s="123"/>
      <c r="INA755" s="123"/>
      <c r="INB755" s="123"/>
      <c r="INC755" s="123"/>
      <c r="IND755" s="123"/>
      <c r="INE755" s="123"/>
      <c r="INF755" s="123"/>
      <c r="ING755" s="123"/>
      <c r="INH755" s="123"/>
      <c r="INI755" s="123"/>
      <c r="INJ755" s="123"/>
      <c r="INK755" s="123"/>
      <c r="INL755" s="123"/>
      <c r="INM755" s="123"/>
      <c r="INN755" s="123"/>
      <c r="INO755" s="123"/>
      <c r="INP755" s="123"/>
      <c r="INQ755" s="123"/>
      <c r="INR755" s="123"/>
      <c r="INS755" s="123"/>
      <c r="INT755" s="123"/>
      <c r="INU755" s="123"/>
      <c r="INV755" s="123"/>
      <c r="INW755" s="123"/>
      <c r="INX755" s="123"/>
      <c r="INY755" s="123"/>
      <c r="INZ755" s="123"/>
      <c r="IOA755" s="123"/>
      <c r="IOB755" s="123"/>
      <c r="IOC755" s="123"/>
      <c r="IOD755" s="123"/>
      <c r="IOE755" s="123"/>
      <c r="IOF755" s="123"/>
      <c r="IOG755" s="123"/>
      <c r="IOH755" s="123"/>
      <c r="IOI755" s="123"/>
      <c r="IOJ755" s="123"/>
      <c r="IOK755" s="123"/>
      <c r="IOL755" s="123"/>
      <c r="IOM755" s="123"/>
      <c r="ION755" s="123"/>
      <c r="IOO755" s="123"/>
      <c r="IOP755" s="123"/>
      <c r="IOQ755" s="123"/>
      <c r="IOR755" s="123"/>
      <c r="IOS755" s="123"/>
      <c r="IOT755" s="123"/>
      <c r="IOU755" s="123"/>
      <c r="IOV755" s="123"/>
      <c r="IOW755" s="123"/>
      <c r="IOX755" s="123"/>
      <c r="IOY755" s="123"/>
      <c r="IOZ755" s="123"/>
      <c r="IPA755" s="123"/>
      <c r="IPB755" s="123"/>
      <c r="IPC755" s="123"/>
      <c r="IPD755" s="123"/>
      <c r="IPE755" s="123"/>
      <c r="IPF755" s="123"/>
      <c r="IPG755" s="123"/>
      <c r="IPH755" s="123"/>
      <c r="IPI755" s="123"/>
      <c r="IPJ755" s="123"/>
      <c r="IPK755" s="123"/>
      <c r="IPL755" s="123"/>
      <c r="IPM755" s="123"/>
      <c r="IPN755" s="123"/>
      <c r="IPO755" s="123"/>
      <c r="IPP755" s="123"/>
      <c r="IPQ755" s="123"/>
      <c r="IPR755" s="123"/>
      <c r="IPS755" s="123"/>
      <c r="IPT755" s="123"/>
      <c r="IPU755" s="123"/>
      <c r="IPV755" s="123"/>
      <c r="IPW755" s="123"/>
      <c r="IPX755" s="123"/>
      <c r="IPY755" s="123"/>
      <c r="IPZ755" s="123"/>
      <c r="IQA755" s="123"/>
      <c r="IQB755" s="123"/>
      <c r="IQC755" s="123"/>
      <c r="IQD755" s="123"/>
      <c r="IQE755" s="123"/>
      <c r="IQF755" s="123"/>
      <c r="IQG755" s="123"/>
      <c r="IQH755" s="123"/>
      <c r="IQI755" s="123"/>
      <c r="IQJ755" s="123"/>
      <c r="IQK755" s="123"/>
      <c r="IQL755" s="123"/>
      <c r="IQM755" s="123"/>
      <c r="IQN755" s="123"/>
      <c r="IQO755" s="123"/>
      <c r="IQP755" s="123"/>
      <c r="IQQ755" s="123"/>
      <c r="IQR755" s="123"/>
      <c r="IQS755" s="123"/>
      <c r="IQT755" s="123"/>
      <c r="IQU755" s="123"/>
      <c r="IQV755" s="123"/>
      <c r="IQW755" s="123"/>
      <c r="IQX755" s="123"/>
      <c r="IQY755" s="123"/>
      <c r="IQZ755" s="123"/>
      <c r="IRA755" s="123"/>
      <c r="IRB755" s="123"/>
      <c r="IRC755" s="123"/>
      <c r="IRD755" s="123"/>
      <c r="IRE755" s="123"/>
      <c r="IRF755" s="123"/>
      <c r="IRG755" s="123"/>
      <c r="IRH755" s="123"/>
      <c r="IRI755" s="123"/>
      <c r="IRJ755" s="123"/>
      <c r="IRK755" s="123"/>
      <c r="IRL755" s="123"/>
      <c r="IRM755" s="123"/>
      <c r="IRN755" s="123"/>
      <c r="IRO755" s="123"/>
      <c r="IRP755" s="123"/>
      <c r="IRQ755" s="123"/>
      <c r="IRR755" s="123"/>
      <c r="IRS755" s="123"/>
      <c r="IRT755" s="123"/>
      <c r="IRU755" s="123"/>
      <c r="IRV755" s="123"/>
      <c r="IRW755" s="123"/>
      <c r="IRX755" s="123"/>
      <c r="IRY755" s="123"/>
      <c r="IRZ755" s="123"/>
      <c r="ISA755" s="123"/>
      <c r="ISB755" s="123"/>
      <c r="ISC755" s="123"/>
      <c r="ISD755" s="123"/>
      <c r="ISE755" s="123"/>
      <c r="ISF755" s="123"/>
      <c r="ISG755" s="123"/>
      <c r="ISH755" s="123"/>
      <c r="ISI755" s="123"/>
      <c r="ISJ755" s="123"/>
      <c r="ISK755" s="123"/>
      <c r="ISL755" s="123"/>
      <c r="ISM755" s="123"/>
      <c r="ISN755" s="123"/>
      <c r="ISO755" s="123"/>
      <c r="ISP755" s="123"/>
      <c r="ISQ755" s="123"/>
      <c r="ISR755" s="123"/>
      <c r="ISS755" s="123"/>
      <c r="IST755" s="123"/>
      <c r="ISU755" s="123"/>
      <c r="ISV755" s="123"/>
      <c r="ISW755" s="123"/>
      <c r="ISX755" s="123"/>
      <c r="ISY755" s="123"/>
      <c r="ISZ755" s="123"/>
      <c r="ITA755" s="123"/>
      <c r="ITB755" s="123"/>
      <c r="ITC755" s="123"/>
      <c r="ITD755" s="123"/>
      <c r="ITE755" s="123"/>
      <c r="ITF755" s="123"/>
      <c r="ITG755" s="123"/>
      <c r="ITH755" s="123"/>
      <c r="ITI755" s="123"/>
      <c r="ITJ755" s="123"/>
      <c r="ITK755" s="123"/>
      <c r="ITL755" s="123"/>
      <c r="ITM755" s="123"/>
      <c r="ITN755" s="123"/>
      <c r="ITO755" s="123"/>
      <c r="ITP755" s="123"/>
      <c r="ITQ755" s="123"/>
      <c r="ITR755" s="123"/>
      <c r="ITS755" s="123"/>
      <c r="ITT755" s="123"/>
      <c r="ITU755" s="123"/>
      <c r="ITV755" s="123"/>
      <c r="ITW755" s="123"/>
      <c r="ITX755" s="123"/>
      <c r="ITY755" s="123"/>
      <c r="ITZ755" s="123"/>
      <c r="IUA755" s="123"/>
      <c r="IUB755" s="123"/>
      <c r="IUC755" s="123"/>
      <c r="IUD755" s="123"/>
      <c r="IUE755" s="123"/>
      <c r="IUF755" s="123"/>
      <c r="IUG755" s="123"/>
      <c r="IUH755" s="123"/>
      <c r="IUI755" s="123"/>
      <c r="IUJ755" s="123"/>
      <c r="IUK755" s="123"/>
      <c r="IUL755" s="123"/>
      <c r="IUM755" s="123"/>
      <c r="IUN755" s="123"/>
      <c r="IUO755" s="123"/>
      <c r="IUP755" s="123"/>
      <c r="IUQ755" s="123"/>
      <c r="IUR755" s="123"/>
      <c r="IUS755" s="123"/>
      <c r="IUT755" s="123"/>
      <c r="IUU755" s="123"/>
      <c r="IUV755" s="123"/>
      <c r="IUW755" s="123"/>
      <c r="IUX755" s="123"/>
      <c r="IUY755" s="123"/>
      <c r="IUZ755" s="123"/>
      <c r="IVA755" s="123"/>
      <c r="IVB755" s="123"/>
      <c r="IVC755" s="123"/>
      <c r="IVD755" s="123"/>
      <c r="IVE755" s="123"/>
      <c r="IVF755" s="123"/>
      <c r="IVG755" s="123"/>
      <c r="IVH755" s="123"/>
      <c r="IVI755" s="123"/>
      <c r="IVJ755" s="123"/>
      <c r="IVK755" s="123"/>
      <c r="IVL755" s="123"/>
      <c r="IVM755" s="123"/>
      <c r="IVN755" s="123"/>
      <c r="IVO755" s="123"/>
      <c r="IVP755" s="123"/>
      <c r="IVQ755" s="123"/>
      <c r="IVR755" s="123"/>
      <c r="IVS755" s="123"/>
      <c r="IVT755" s="123"/>
      <c r="IVU755" s="123"/>
      <c r="IVV755" s="123"/>
      <c r="IVW755" s="123"/>
      <c r="IVX755" s="123"/>
      <c r="IVY755" s="123"/>
      <c r="IVZ755" s="123"/>
      <c r="IWA755" s="123"/>
      <c r="IWB755" s="123"/>
      <c r="IWC755" s="123"/>
      <c r="IWD755" s="123"/>
      <c r="IWE755" s="123"/>
      <c r="IWF755" s="123"/>
      <c r="IWG755" s="123"/>
      <c r="IWH755" s="123"/>
      <c r="IWI755" s="123"/>
      <c r="IWJ755" s="123"/>
      <c r="IWK755" s="123"/>
      <c r="IWL755" s="123"/>
      <c r="IWM755" s="123"/>
      <c r="IWN755" s="123"/>
      <c r="IWO755" s="123"/>
      <c r="IWP755" s="123"/>
      <c r="IWQ755" s="123"/>
      <c r="IWR755" s="123"/>
      <c r="IWS755" s="123"/>
      <c r="IWT755" s="123"/>
      <c r="IWU755" s="123"/>
      <c r="IWV755" s="123"/>
      <c r="IWW755" s="123"/>
      <c r="IWX755" s="123"/>
      <c r="IWY755" s="123"/>
      <c r="IWZ755" s="123"/>
      <c r="IXA755" s="123"/>
      <c r="IXB755" s="123"/>
      <c r="IXC755" s="123"/>
      <c r="IXD755" s="123"/>
      <c r="IXE755" s="123"/>
      <c r="IXF755" s="123"/>
      <c r="IXG755" s="123"/>
      <c r="IXH755" s="123"/>
      <c r="IXI755" s="123"/>
      <c r="IXJ755" s="123"/>
      <c r="IXK755" s="123"/>
      <c r="IXL755" s="123"/>
      <c r="IXM755" s="123"/>
      <c r="IXN755" s="123"/>
      <c r="IXO755" s="123"/>
      <c r="IXP755" s="123"/>
      <c r="IXQ755" s="123"/>
      <c r="IXR755" s="123"/>
      <c r="IXS755" s="123"/>
      <c r="IXT755" s="123"/>
      <c r="IXU755" s="123"/>
      <c r="IXV755" s="123"/>
      <c r="IXW755" s="123"/>
      <c r="IXX755" s="123"/>
      <c r="IXY755" s="123"/>
      <c r="IXZ755" s="123"/>
      <c r="IYA755" s="123"/>
      <c r="IYB755" s="123"/>
      <c r="IYC755" s="123"/>
      <c r="IYD755" s="123"/>
      <c r="IYE755" s="123"/>
      <c r="IYF755" s="123"/>
      <c r="IYG755" s="123"/>
      <c r="IYH755" s="123"/>
      <c r="IYI755" s="123"/>
      <c r="IYJ755" s="123"/>
      <c r="IYK755" s="123"/>
      <c r="IYL755" s="123"/>
      <c r="IYM755" s="123"/>
      <c r="IYN755" s="123"/>
      <c r="IYO755" s="123"/>
      <c r="IYP755" s="123"/>
      <c r="IYQ755" s="123"/>
      <c r="IYR755" s="123"/>
      <c r="IYS755" s="123"/>
      <c r="IYT755" s="123"/>
      <c r="IYU755" s="123"/>
      <c r="IYV755" s="123"/>
      <c r="IYW755" s="123"/>
      <c r="IYX755" s="123"/>
      <c r="IYY755" s="123"/>
      <c r="IYZ755" s="123"/>
      <c r="IZA755" s="123"/>
      <c r="IZB755" s="123"/>
      <c r="IZC755" s="123"/>
      <c r="IZD755" s="123"/>
      <c r="IZE755" s="123"/>
      <c r="IZF755" s="123"/>
      <c r="IZG755" s="123"/>
      <c r="IZH755" s="123"/>
      <c r="IZI755" s="123"/>
      <c r="IZJ755" s="123"/>
      <c r="IZK755" s="123"/>
      <c r="IZL755" s="123"/>
      <c r="IZM755" s="123"/>
      <c r="IZN755" s="123"/>
      <c r="IZO755" s="123"/>
      <c r="IZP755" s="123"/>
      <c r="IZQ755" s="123"/>
      <c r="IZR755" s="123"/>
      <c r="IZS755" s="123"/>
      <c r="IZT755" s="123"/>
      <c r="IZU755" s="123"/>
      <c r="IZV755" s="123"/>
      <c r="IZW755" s="123"/>
      <c r="IZX755" s="123"/>
      <c r="IZY755" s="123"/>
      <c r="IZZ755" s="123"/>
      <c r="JAA755" s="123"/>
      <c r="JAB755" s="123"/>
      <c r="JAC755" s="123"/>
      <c r="JAD755" s="123"/>
      <c r="JAE755" s="123"/>
      <c r="JAF755" s="123"/>
      <c r="JAG755" s="123"/>
      <c r="JAH755" s="123"/>
      <c r="JAI755" s="123"/>
      <c r="JAJ755" s="123"/>
      <c r="JAK755" s="123"/>
      <c r="JAL755" s="123"/>
      <c r="JAM755" s="123"/>
      <c r="JAN755" s="123"/>
      <c r="JAO755" s="123"/>
      <c r="JAP755" s="123"/>
      <c r="JAQ755" s="123"/>
      <c r="JAR755" s="123"/>
      <c r="JAS755" s="123"/>
      <c r="JAT755" s="123"/>
      <c r="JAU755" s="123"/>
      <c r="JAV755" s="123"/>
      <c r="JAW755" s="123"/>
      <c r="JAX755" s="123"/>
      <c r="JAY755" s="123"/>
      <c r="JAZ755" s="123"/>
      <c r="JBA755" s="123"/>
      <c r="JBB755" s="123"/>
      <c r="JBC755" s="123"/>
      <c r="JBD755" s="123"/>
      <c r="JBE755" s="123"/>
      <c r="JBF755" s="123"/>
      <c r="JBG755" s="123"/>
      <c r="JBH755" s="123"/>
      <c r="JBI755" s="123"/>
      <c r="JBJ755" s="123"/>
      <c r="JBK755" s="123"/>
      <c r="JBL755" s="123"/>
      <c r="JBM755" s="123"/>
      <c r="JBN755" s="123"/>
      <c r="JBO755" s="123"/>
      <c r="JBP755" s="123"/>
      <c r="JBQ755" s="123"/>
      <c r="JBR755" s="123"/>
      <c r="JBS755" s="123"/>
      <c r="JBT755" s="123"/>
      <c r="JBU755" s="123"/>
      <c r="JBV755" s="123"/>
      <c r="JBW755" s="123"/>
      <c r="JBX755" s="123"/>
      <c r="JBY755" s="123"/>
      <c r="JBZ755" s="123"/>
      <c r="JCA755" s="123"/>
      <c r="JCB755" s="123"/>
      <c r="JCC755" s="123"/>
      <c r="JCD755" s="123"/>
      <c r="JCE755" s="123"/>
      <c r="JCF755" s="123"/>
      <c r="JCG755" s="123"/>
      <c r="JCH755" s="123"/>
      <c r="JCI755" s="123"/>
      <c r="JCJ755" s="123"/>
      <c r="JCK755" s="123"/>
      <c r="JCL755" s="123"/>
      <c r="JCM755" s="123"/>
      <c r="JCN755" s="123"/>
      <c r="JCO755" s="123"/>
      <c r="JCP755" s="123"/>
      <c r="JCQ755" s="123"/>
      <c r="JCR755" s="123"/>
      <c r="JCS755" s="123"/>
      <c r="JCT755" s="123"/>
      <c r="JCU755" s="123"/>
      <c r="JCV755" s="123"/>
      <c r="JCW755" s="123"/>
      <c r="JCX755" s="123"/>
      <c r="JCY755" s="123"/>
      <c r="JCZ755" s="123"/>
      <c r="JDA755" s="123"/>
      <c r="JDB755" s="123"/>
      <c r="JDC755" s="123"/>
      <c r="JDD755" s="123"/>
      <c r="JDE755" s="123"/>
      <c r="JDF755" s="123"/>
      <c r="JDG755" s="123"/>
      <c r="JDH755" s="123"/>
      <c r="JDI755" s="123"/>
      <c r="JDJ755" s="123"/>
      <c r="JDK755" s="123"/>
      <c r="JDL755" s="123"/>
      <c r="JDM755" s="123"/>
      <c r="JDN755" s="123"/>
      <c r="JDO755" s="123"/>
      <c r="JDP755" s="123"/>
      <c r="JDQ755" s="123"/>
      <c r="JDR755" s="123"/>
      <c r="JDS755" s="123"/>
      <c r="JDT755" s="123"/>
      <c r="JDU755" s="123"/>
      <c r="JDV755" s="123"/>
      <c r="JDW755" s="123"/>
      <c r="JDX755" s="123"/>
      <c r="JDY755" s="123"/>
      <c r="JDZ755" s="123"/>
      <c r="JEA755" s="123"/>
      <c r="JEB755" s="123"/>
      <c r="JEC755" s="123"/>
      <c r="JED755" s="123"/>
      <c r="JEE755" s="123"/>
      <c r="JEF755" s="123"/>
      <c r="JEG755" s="123"/>
      <c r="JEH755" s="123"/>
      <c r="JEI755" s="123"/>
      <c r="JEJ755" s="123"/>
      <c r="JEK755" s="123"/>
      <c r="JEL755" s="123"/>
      <c r="JEM755" s="123"/>
      <c r="JEN755" s="123"/>
      <c r="JEO755" s="123"/>
      <c r="JEP755" s="123"/>
      <c r="JEQ755" s="123"/>
      <c r="JER755" s="123"/>
      <c r="JES755" s="123"/>
      <c r="JET755" s="123"/>
      <c r="JEU755" s="123"/>
      <c r="JEV755" s="123"/>
      <c r="JEW755" s="123"/>
      <c r="JEX755" s="123"/>
      <c r="JEY755" s="123"/>
      <c r="JEZ755" s="123"/>
      <c r="JFA755" s="123"/>
      <c r="JFB755" s="123"/>
      <c r="JFC755" s="123"/>
      <c r="JFD755" s="123"/>
      <c r="JFE755" s="123"/>
      <c r="JFF755" s="123"/>
      <c r="JFG755" s="123"/>
      <c r="JFH755" s="123"/>
      <c r="JFI755" s="123"/>
      <c r="JFJ755" s="123"/>
      <c r="JFK755" s="123"/>
      <c r="JFL755" s="123"/>
      <c r="JFM755" s="123"/>
      <c r="JFN755" s="123"/>
      <c r="JFO755" s="123"/>
      <c r="JFP755" s="123"/>
      <c r="JFQ755" s="123"/>
      <c r="JFR755" s="123"/>
      <c r="JFS755" s="123"/>
      <c r="JFT755" s="123"/>
      <c r="JFU755" s="123"/>
      <c r="JFV755" s="123"/>
      <c r="JFW755" s="123"/>
      <c r="JFX755" s="123"/>
      <c r="JFY755" s="123"/>
      <c r="JFZ755" s="123"/>
      <c r="JGA755" s="123"/>
      <c r="JGB755" s="123"/>
      <c r="JGC755" s="123"/>
      <c r="JGD755" s="123"/>
      <c r="JGE755" s="123"/>
      <c r="JGF755" s="123"/>
      <c r="JGG755" s="123"/>
      <c r="JGH755" s="123"/>
      <c r="JGI755" s="123"/>
      <c r="JGJ755" s="123"/>
      <c r="JGK755" s="123"/>
      <c r="JGL755" s="123"/>
      <c r="JGM755" s="123"/>
      <c r="JGN755" s="123"/>
      <c r="JGO755" s="123"/>
      <c r="JGP755" s="123"/>
      <c r="JGQ755" s="123"/>
      <c r="JGR755" s="123"/>
      <c r="JGS755" s="123"/>
      <c r="JGT755" s="123"/>
      <c r="JGU755" s="123"/>
      <c r="JGV755" s="123"/>
      <c r="JGW755" s="123"/>
      <c r="JGX755" s="123"/>
      <c r="JGY755" s="123"/>
      <c r="JGZ755" s="123"/>
      <c r="JHA755" s="123"/>
      <c r="JHB755" s="123"/>
      <c r="JHC755" s="123"/>
      <c r="JHD755" s="123"/>
      <c r="JHE755" s="123"/>
      <c r="JHF755" s="123"/>
      <c r="JHG755" s="123"/>
      <c r="JHH755" s="123"/>
      <c r="JHI755" s="123"/>
      <c r="JHJ755" s="123"/>
      <c r="JHK755" s="123"/>
      <c r="JHL755" s="123"/>
      <c r="JHM755" s="123"/>
      <c r="JHN755" s="123"/>
      <c r="JHO755" s="123"/>
      <c r="JHP755" s="123"/>
      <c r="JHQ755" s="123"/>
      <c r="JHR755" s="123"/>
      <c r="JHS755" s="123"/>
      <c r="JHT755" s="123"/>
      <c r="JHU755" s="123"/>
      <c r="JHV755" s="123"/>
      <c r="JHW755" s="123"/>
      <c r="JHX755" s="123"/>
      <c r="JHY755" s="123"/>
      <c r="JHZ755" s="123"/>
      <c r="JIA755" s="123"/>
      <c r="JIB755" s="123"/>
      <c r="JIC755" s="123"/>
      <c r="JID755" s="123"/>
      <c r="JIE755" s="123"/>
      <c r="JIF755" s="123"/>
      <c r="JIG755" s="123"/>
      <c r="JIH755" s="123"/>
      <c r="JII755" s="123"/>
      <c r="JIJ755" s="123"/>
      <c r="JIK755" s="123"/>
      <c r="JIL755" s="123"/>
      <c r="JIM755" s="123"/>
      <c r="JIN755" s="123"/>
      <c r="JIO755" s="123"/>
      <c r="JIP755" s="123"/>
      <c r="JIQ755" s="123"/>
      <c r="JIR755" s="123"/>
      <c r="JIS755" s="123"/>
      <c r="JIT755" s="123"/>
      <c r="JIU755" s="123"/>
      <c r="JIV755" s="123"/>
      <c r="JIW755" s="123"/>
      <c r="JIX755" s="123"/>
      <c r="JIY755" s="123"/>
      <c r="JIZ755" s="123"/>
      <c r="JJA755" s="123"/>
      <c r="JJB755" s="123"/>
      <c r="JJC755" s="123"/>
      <c r="JJD755" s="123"/>
      <c r="JJE755" s="123"/>
      <c r="JJF755" s="123"/>
      <c r="JJG755" s="123"/>
      <c r="JJH755" s="123"/>
      <c r="JJI755" s="123"/>
      <c r="JJJ755" s="123"/>
      <c r="JJK755" s="123"/>
      <c r="JJL755" s="123"/>
      <c r="JJM755" s="123"/>
      <c r="JJN755" s="123"/>
      <c r="JJO755" s="123"/>
      <c r="JJP755" s="123"/>
      <c r="JJQ755" s="123"/>
      <c r="JJR755" s="123"/>
      <c r="JJS755" s="123"/>
      <c r="JJT755" s="123"/>
      <c r="JJU755" s="123"/>
      <c r="JJV755" s="123"/>
      <c r="JJW755" s="123"/>
      <c r="JJX755" s="123"/>
      <c r="JJY755" s="123"/>
      <c r="JJZ755" s="123"/>
      <c r="JKA755" s="123"/>
      <c r="JKB755" s="123"/>
      <c r="JKC755" s="123"/>
      <c r="JKD755" s="123"/>
      <c r="JKE755" s="123"/>
      <c r="JKF755" s="123"/>
      <c r="JKG755" s="123"/>
      <c r="JKH755" s="123"/>
      <c r="JKI755" s="123"/>
      <c r="JKJ755" s="123"/>
      <c r="JKK755" s="123"/>
      <c r="JKL755" s="123"/>
      <c r="JKM755" s="123"/>
      <c r="JKN755" s="123"/>
      <c r="JKO755" s="123"/>
      <c r="JKP755" s="123"/>
      <c r="JKQ755" s="123"/>
      <c r="JKR755" s="123"/>
      <c r="JKS755" s="123"/>
      <c r="JKT755" s="123"/>
      <c r="JKU755" s="123"/>
      <c r="JKV755" s="123"/>
      <c r="JKW755" s="123"/>
      <c r="JKX755" s="123"/>
      <c r="JKY755" s="123"/>
      <c r="JKZ755" s="123"/>
      <c r="JLA755" s="123"/>
      <c r="JLB755" s="123"/>
      <c r="JLC755" s="123"/>
      <c r="JLD755" s="123"/>
      <c r="JLE755" s="123"/>
      <c r="JLF755" s="123"/>
      <c r="JLG755" s="123"/>
      <c r="JLH755" s="123"/>
      <c r="JLI755" s="123"/>
      <c r="JLJ755" s="123"/>
      <c r="JLK755" s="123"/>
      <c r="JLL755" s="123"/>
      <c r="JLM755" s="123"/>
      <c r="JLN755" s="123"/>
      <c r="JLO755" s="123"/>
      <c r="JLP755" s="123"/>
      <c r="JLQ755" s="123"/>
      <c r="JLR755" s="123"/>
      <c r="JLS755" s="123"/>
      <c r="JLT755" s="123"/>
      <c r="JLU755" s="123"/>
      <c r="JLV755" s="123"/>
      <c r="JLW755" s="123"/>
      <c r="JLX755" s="123"/>
      <c r="JLY755" s="123"/>
      <c r="JLZ755" s="123"/>
      <c r="JMA755" s="123"/>
      <c r="JMB755" s="123"/>
      <c r="JMC755" s="123"/>
      <c r="JMD755" s="123"/>
      <c r="JME755" s="123"/>
      <c r="JMF755" s="123"/>
      <c r="JMG755" s="123"/>
      <c r="JMH755" s="123"/>
      <c r="JMI755" s="123"/>
      <c r="JMJ755" s="123"/>
      <c r="JMK755" s="123"/>
      <c r="JML755" s="123"/>
      <c r="JMM755" s="123"/>
      <c r="JMN755" s="123"/>
      <c r="JMO755" s="123"/>
      <c r="JMP755" s="123"/>
      <c r="JMQ755" s="123"/>
      <c r="JMR755" s="123"/>
      <c r="JMS755" s="123"/>
      <c r="JMT755" s="123"/>
      <c r="JMU755" s="123"/>
      <c r="JMV755" s="123"/>
      <c r="JMW755" s="123"/>
      <c r="JMX755" s="123"/>
      <c r="JMY755" s="123"/>
      <c r="JMZ755" s="123"/>
      <c r="JNA755" s="123"/>
      <c r="JNB755" s="123"/>
      <c r="JNC755" s="123"/>
      <c r="JND755" s="123"/>
      <c r="JNE755" s="123"/>
      <c r="JNF755" s="123"/>
      <c r="JNG755" s="123"/>
      <c r="JNH755" s="123"/>
      <c r="JNI755" s="123"/>
      <c r="JNJ755" s="123"/>
      <c r="JNK755" s="123"/>
      <c r="JNL755" s="123"/>
      <c r="JNM755" s="123"/>
      <c r="JNN755" s="123"/>
      <c r="JNO755" s="123"/>
      <c r="JNP755" s="123"/>
      <c r="JNQ755" s="123"/>
      <c r="JNR755" s="123"/>
      <c r="JNS755" s="123"/>
      <c r="JNT755" s="123"/>
      <c r="JNU755" s="123"/>
      <c r="JNV755" s="123"/>
      <c r="JNW755" s="123"/>
      <c r="JNX755" s="123"/>
      <c r="JNY755" s="123"/>
      <c r="JNZ755" s="123"/>
      <c r="JOA755" s="123"/>
      <c r="JOB755" s="123"/>
      <c r="JOC755" s="123"/>
      <c r="JOD755" s="123"/>
      <c r="JOE755" s="123"/>
      <c r="JOF755" s="123"/>
      <c r="JOG755" s="123"/>
      <c r="JOH755" s="123"/>
      <c r="JOI755" s="123"/>
      <c r="JOJ755" s="123"/>
      <c r="JOK755" s="123"/>
      <c r="JOL755" s="123"/>
      <c r="JOM755" s="123"/>
      <c r="JON755" s="123"/>
      <c r="JOO755" s="123"/>
      <c r="JOP755" s="123"/>
      <c r="JOQ755" s="123"/>
      <c r="JOR755" s="123"/>
      <c r="JOS755" s="123"/>
      <c r="JOT755" s="123"/>
      <c r="JOU755" s="123"/>
      <c r="JOV755" s="123"/>
      <c r="JOW755" s="123"/>
      <c r="JOX755" s="123"/>
      <c r="JOY755" s="123"/>
      <c r="JOZ755" s="123"/>
      <c r="JPA755" s="123"/>
      <c r="JPB755" s="123"/>
      <c r="JPC755" s="123"/>
      <c r="JPD755" s="123"/>
      <c r="JPE755" s="123"/>
      <c r="JPF755" s="123"/>
      <c r="JPG755" s="123"/>
      <c r="JPH755" s="123"/>
      <c r="JPI755" s="123"/>
      <c r="JPJ755" s="123"/>
      <c r="JPK755" s="123"/>
      <c r="JPL755" s="123"/>
      <c r="JPM755" s="123"/>
      <c r="JPN755" s="123"/>
      <c r="JPO755" s="123"/>
      <c r="JPP755" s="123"/>
      <c r="JPQ755" s="123"/>
      <c r="JPR755" s="123"/>
      <c r="JPS755" s="123"/>
      <c r="JPT755" s="123"/>
      <c r="JPU755" s="123"/>
      <c r="JPV755" s="123"/>
      <c r="JPW755" s="123"/>
      <c r="JPX755" s="123"/>
      <c r="JPY755" s="123"/>
      <c r="JPZ755" s="123"/>
      <c r="JQA755" s="123"/>
      <c r="JQB755" s="123"/>
      <c r="JQC755" s="123"/>
      <c r="JQD755" s="123"/>
      <c r="JQE755" s="123"/>
      <c r="JQF755" s="123"/>
      <c r="JQG755" s="123"/>
      <c r="JQH755" s="123"/>
      <c r="JQI755" s="123"/>
      <c r="JQJ755" s="123"/>
      <c r="JQK755" s="123"/>
      <c r="JQL755" s="123"/>
      <c r="JQM755" s="123"/>
      <c r="JQN755" s="123"/>
      <c r="JQO755" s="123"/>
      <c r="JQP755" s="123"/>
      <c r="JQQ755" s="123"/>
      <c r="JQR755" s="123"/>
      <c r="JQS755" s="123"/>
      <c r="JQT755" s="123"/>
      <c r="JQU755" s="123"/>
      <c r="JQV755" s="123"/>
      <c r="JQW755" s="123"/>
      <c r="JQX755" s="123"/>
      <c r="JQY755" s="123"/>
      <c r="JQZ755" s="123"/>
      <c r="JRA755" s="123"/>
      <c r="JRB755" s="123"/>
      <c r="JRC755" s="123"/>
      <c r="JRD755" s="123"/>
      <c r="JRE755" s="123"/>
      <c r="JRF755" s="123"/>
      <c r="JRG755" s="123"/>
      <c r="JRH755" s="123"/>
      <c r="JRI755" s="123"/>
      <c r="JRJ755" s="123"/>
      <c r="JRK755" s="123"/>
      <c r="JRL755" s="123"/>
      <c r="JRM755" s="123"/>
      <c r="JRN755" s="123"/>
      <c r="JRO755" s="123"/>
      <c r="JRP755" s="123"/>
      <c r="JRQ755" s="123"/>
      <c r="JRR755" s="123"/>
      <c r="JRS755" s="123"/>
      <c r="JRT755" s="123"/>
      <c r="JRU755" s="123"/>
      <c r="JRV755" s="123"/>
      <c r="JRW755" s="123"/>
      <c r="JRX755" s="123"/>
      <c r="JRY755" s="123"/>
      <c r="JRZ755" s="123"/>
      <c r="JSA755" s="123"/>
      <c r="JSB755" s="123"/>
      <c r="JSC755" s="123"/>
      <c r="JSD755" s="123"/>
      <c r="JSE755" s="123"/>
      <c r="JSF755" s="123"/>
      <c r="JSG755" s="123"/>
      <c r="JSH755" s="123"/>
      <c r="JSI755" s="123"/>
      <c r="JSJ755" s="123"/>
      <c r="JSK755" s="123"/>
      <c r="JSL755" s="123"/>
      <c r="JSM755" s="123"/>
      <c r="JSN755" s="123"/>
      <c r="JSO755" s="123"/>
      <c r="JSP755" s="123"/>
      <c r="JSQ755" s="123"/>
      <c r="JSR755" s="123"/>
      <c r="JSS755" s="123"/>
      <c r="JST755" s="123"/>
      <c r="JSU755" s="123"/>
      <c r="JSV755" s="123"/>
      <c r="JSW755" s="123"/>
      <c r="JSX755" s="123"/>
      <c r="JSY755" s="123"/>
      <c r="JSZ755" s="123"/>
      <c r="JTA755" s="123"/>
      <c r="JTB755" s="123"/>
      <c r="JTC755" s="123"/>
      <c r="JTD755" s="123"/>
      <c r="JTE755" s="123"/>
      <c r="JTF755" s="123"/>
      <c r="JTG755" s="123"/>
      <c r="JTH755" s="123"/>
      <c r="JTI755" s="123"/>
      <c r="JTJ755" s="123"/>
      <c r="JTK755" s="123"/>
      <c r="JTL755" s="123"/>
      <c r="JTM755" s="123"/>
      <c r="JTN755" s="123"/>
      <c r="JTO755" s="123"/>
      <c r="JTP755" s="123"/>
      <c r="JTQ755" s="123"/>
      <c r="JTR755" s="123"/>
      <c r="JTS755" s="123"/>
      <c r="JTT755" s="123"/>
      <c r="JTU755" s="123"/>
      <c r="JTV755" s="123"/>
      <c r="JTW755" s="123"/>
      <c r="JTX755" s="123"/>
      <c r="JTY755" s="123"/>
      <c r="JTZ755" s="123"/>
      <c r="JUA755" s="123"/>
      <c r="JUB755" s="123"/>
      <c r="JUC755" s="123"/>
      <c r="JUD755" s="123"/>
      <c r="JUE755" s="123"/>
      <c r="JUF755" s="123"/>
      <c r="JUG755" s="123"/>
      <c r="JUH755" s="123"/>
      <c r="JUI755" s="123"/>
      <c r="JUJ755" s="123"/>
      <c r="JUK755" s="123"/>
      <c r="JUL755" s="123"/>
      <c r="JUM755" s="123"/>
      <c r="JUN755" s="123"/>
      <c r="JUO755" s="123"/>
      <c r="JUP755" s="123"/>
      <c r="JUQ755" s="123"/>
      <c r="JUR755" s="123"/>
      <c r="JUS755" s="123"/>
      <c r="JUT755" s="123"/>
      <c r="JUU755" s="123"/>
      <c r="JUV755" s="123"/>
      <c r="JUW755" s="123"/>
      <c r="JUX755" s="123"/>
      <c r="JUY755" s="123"/>
      <c r="JUZ755" s="123"/>
      <c r="JVA755" s="123"/>
      <c r="JVB755" s="123"/>
      <c r="JVC755" s="123"/>
      <c r="JVD755" s="123"/>
      <c r="JVE755" s="123"/>
      <c r="JVF755" s="123"/>
      <c r="JVG755" s="123"/>
      <c r="JVH755" s="123"/>
      <c r="JVI755" s="123"/>
      <c r="JVJ755" s="123"/>
      <c r="JVK755" s="123"/>
      <c r="JVL755" s="123"/>
      <c r="JVM755" s="123"/>
      <c r="JVN755" s="123"/>
      <c r="JVO755" s="123"/>
      <c r="JVP755" s="123"/>
      <c r="JVQ755" s="123"/>
      <c r="JVR755" s="123"/>
      <c r="JVS755" s="123"/>
      <c r="JVT755" s="123"/>
      <c r="JVU755" s="123"/>
      <c r="JVV755" s="123"/>
      <c r="JVW755" s="123"/>
      <c r="JVX755" s="123"/>
      <c r="JVY755" s="123"/>
      <c r="JVZ755" s="123"/>
      <c r="JWA755" s="123"/>
      <c r="JWB755" s="123"/>
      <c r="JWC755" s="123"/>
      <c r="JWD755" s="123"/>
      <c r="JWE755" s="123"/>
      <c r="JWF755" s="123"/>
      <c r="JWG755" s="123"/>
      <c r="JWH755" s="123"/>
      <c r="JWI755" s="123"/>
      <c r="JWJ755" s="123"/>
      <c r="JWK755" s="123"/>
      <c r="JWL755" s="123"/>
      <c r="JWM755" s="123"/>
      <c r="JWN755" s="123"/>
      <c r="JWO755" s="123"/>
      <c r="JWP755" s="123"/>
      <c r="JWQ755" s="123"/>
      <c r="JWR755" s="123"/>
      <c r="JWS755" s="123"/>
      <c r="JWT755" s="123"/>
      <c r="JWU755" s="123"/>
      <c r="JWV755" s="123"/>
      <c r="JWW755" s="123"/>
      <c r="JWX755" s="123"/>
      <c r="JWY755" s="123"/>
      <c r="JWZ755" s="123"/>
      <c r="JXA755" s="123"/>
      <c r="JXB755" s="123"/>
      <c r="JXC755" s="123"/>
      <c r="JXD755" s="123"/>
      <c r="JXE755" s="123"/>
      <c r="JXF755" s="123"/>
      <c r="JXG755" s="123"/>
      <c r="JXH755" s="123"/>
      <c r="JXI755" s="123"/>
      <c r="JXJ755" s="123"/>
      <c r="JXK755" s="123"/>
      <c r="JXL755" s="123"/>
      <c r="JXM755" s="123"/>
      <c r="JXN755" s="123"/>
      <c r="JXO755" s="123"/>
      <c r="JXP755" s="123"/>
      <c r="JXQ755" s="123"/>
      <c r="JXR755" s="123"/>
      <c r="JXS755" s="123"/>
      <c r="JXT755" s="123"/>
      <c r="JXU755" s="123"/>
      <c r="JXV755" s="123"/>
      <c r="JXW755" s="123"/>
      <c r="JXX755" s="123"/>
      <c r="JXY755" s="123"/>
      <c r="JXZ755" s="123"/>
      <c r="JYA755" s="123"/>
      <c r="JYB755" s="123"/>
      <c r="JYC755" s="123"/>
      <c r="JYD755" s="123"/>
      <c r="JYE755" s="123"/>
      <c r="JYF755" s="123"/>
      <c r="JYG755" s="123"/>
      <c r="JYH755" s="123"/>
      <c r="JYI755" s="123"/>
      <c r="JYJ755" s="123"/>
      <c r="JYK755" s="123"/>
      <c r="JYL755" s="123"/>
      <c r="JYM755" s="123"/>
      <c r="JYN755" s="123"/>
      <c r="JYO755" s="123"/>
      <c r="JYP755" s="123"/>
      <c r="JYQ755" s="123"/>
      <c r="JYR755" s="123"/>
      <c r="JYS755" s="123"/>
      <c r="JYT755" s="123"/>
      <c r="JYU755" s="123"/>
      <c r="JYV755" s="123"/>
      <c r="JYW755" s="123"/>
      <c r="JYX755" s="123"/>
      <c r="JYY755" s="123"/>
      <c r="JYZ755" s="123"/>
      <c r="JZA755" s="123"/>
      <c r="JZB755" s="123"/>
      <c r="JZC755" s="123"/>
      <c r="JZD755" s="123"/>
      <c r="JZE755" s="123"/>
      <c r="JZF755" s="123"/>
      <c r="JZG755" s="123"/>
      <c r="JZH755" s="123"/>
      <c r="JZI755" s="123"/>
      <c r="JZJ755" s="123"/>
      <c r="JZK755" s="123"/>
      <c r="JZL755" s="123"/>
      <c r="JZM755" s="123"/>
      <c r="JZN755" s="123"/>
      <c r="JZO755" s="123"/>
      <c r="JZP755" s="123"/>
      <c r="JZQ755" s="123"/>
      <c r="JZR755" s="123"/>
      <c r="JZS755" s="123"/>
      <c r="JZT755" s="123"/>
      <c r="JZU755" s="123"/>
      <c r="JZV755" s="123"/>
      <c r="JZW755" s="123"/>
      <c r="JZX755" s="123"/>
      <c r="JZY755" s="123"/>
      <c r="JZZ755" s="123"/>
      <c r="KAA755" s="123"/>
      <c r="KAB755" s="123"/>
      <c r="KAC755" s="123"/>
      <c r="KAD755" s="123"/>
      <c r="KAE755" s="123"/>
      <c r="KAF755" s="123"/>
      <c r="KAG755" s="123"/>
      <c r="KAH755" s="123"/>
      <c r="KAI755" s="123"/>
      <c r="KAJ755" s="123"/>
      <c r="KAK755" s="123"/>
      <c r="KAL755" s="123"/>
      <c r="KAM755" s="123"/>
      <c r="KAN755" s="123"/>
      <c r="KAO755" s="123"/>
      <c r="KAP755" s="123"/>
      <c r="KAQ755" s="123"/>
      <c r="KAR755" s="123"/>
      <c r="KAS755" s="123"/>
      <c r="KAT755" s="123"/>
      <c r="KAU755" s="123"/>
      <c r="KAV755" s="123"/>
      <c r="KAW755" s="123"/>
      <c r="KAX755" s="123"/>
      <c r="KAY755" s="123"/>
      <c r="KAZ755" s="123"/>
      <c r="KBA755" s="123"/>
      <c r="KBB755" s="123"/>
      <c r="KBC755" s="123"/>
      <c r="KBD755" s="123"/>
      <c r="KBE755" s="123"/>
      <c r="KBF755" s="123"/>
      <c r="KBG755" s="123"/>
      <c r="KBH755" s="123"/>
      <c r="KBI755" s="123"/>
      <c r="KBJ755" s="123"/>
      <c r="KBK755" s="123"/>
      <c r="KBL755" s="123"/>
      <c r="KBM755" s="123"/>
      <c r="KBN755" s="123"/>
      <c r="KBO755" s="123"/>
      <c r="KBP755" s="123"/>
      <c r="KBQ755" s="123"/>
      <c r="KBR755" s="123"/>
      <c r="KBS755" s="123"/>
      <c r="KBT755" s="123"/>
      <c r="KBU755" s="123"/>
      <c r="KBV755" s="123"/>
      <c r="KBW755" s="123"/>
      <c r="KBX755" s="123"/>
      <c r="KBY755" s="123"/>
      <c r="KBZ755" s="123"/>
      <c r="KCA755" s="123"/>
      <c r="KCB755" s="123"/>
      <c r="KCC755" s="123"/>
      <c r="KCD755" s="123"/>
      <c r="KCE755" s="123"/>
      <c r="KCF755" s="123"/>
      <c r="KCG755" s="123"/>
      <c r="KCH755" s="123"/>
      <c r="KCI755" s="123"/>
      <c r="KCJ755" s="123"/>
      <c r="KCK755" s="123"/>
      <c r="KCL755" s="123"/>
      <c r="KCM755" s="123"/>
      <c r="KCN755" s="123"/>
      <c r="KCO755" s="123"/>
      <c r="KCP755" s="123"/>
      <c r="KCQ755" s="123"/>
      <c r="KCR755" s="123"/>
      <c r="KCS755" s="123"/>
      <c r="KCT755" s="123"/>
      <c r="KCU755" s="123"/>
      <c r="KCV755" s="123"/>
      <c r="KCW755" s="123"/>
      <c r="KCX755" s="123"/>
      <c r="KCY755" s="123"/>
      <c r="KCZ755" s="123"/>
      <c r="KDA755" s="123"/>
      <c r="KDB755" s="123"/>
      <c r="KDC755" s="123"/>
      <c r="KDD755" s="123"/>
      <c r="KDE755" s="123"/>
      <c r="KDF755" s="123"/>
      <c r="KDG755" s="123"/>
      <c r="KDH755" s="123"/>
      <c r="KDI755" s="123"/>
      <c r="KDJ755" s="123"/>
      <c r="KDK755" s="123"/>
      <c r="KDL755" s="123"/>
      <c r="KDM755" s="123"/>
      <c r="KDN755" s="123"/>
      <c r="KDO755" s="123"/>
      <c r="KDP755" s="123"/>
      <c r="KDQ755" s="123"/>
      <c r="KDR755" s="123"/>
      <c r="KDS755" s="123"/>
      <c r="KDT755" s="123"/>
      <c r="KDU755" s="123"/>
      <c r="KDV755" s="123"/>
      <c r="KDW755" s="123"/>
      <c r="KDX755" s="123"/>
      <c r="KDY755" s="123"/>
      <c r="KDZ755" s="123"/>
      <c r="KEA755" s="123"/>
      <c r="KEB755" s="123"/>
      <c r="KEC755" s="123"/>
      <c r="KED755" s="123"/>
      <c r="KEE755" s="123"/>
      <c r="KEF755" s="123"/>
      <c r="KEG755" s="123"/>
      <c r="KEH755" s="123"/>
      <c r="KEI755" s="123"/>
      <c r="KEJ755" s="123"/>
      <c r="KEK755" s="123"/>
      <c r="KEL755" s="123"/>
      <c r="KEM755" s="123"/>
      <c r="KEN755" s="123"/>
      <c r="KEO755" s="123"/>
      <c r="KEP755" s="123"/>
      <c r="KEQ755" s="123"/>
      <c r="KER755" s="123"/>
      <c r="KES755" s="123"/>
      <c r="KET755" s="123"/>
      <c r="KEU755" s="123"/>
      <c r="KEV755" s="123"/>
      <c r="KEW755" s="123"/>
      <c r="KEX755" s="123"/>
      <c r="KEY755" s="123"/>
      <c r="KEZ755" s="123"/>
      <c r="KFA755" s="123"/>
      <c r="KFB755" s="123"/>
      <c r="KFC755" s="123"/>
      <c r="KFD755" s="123"/>
      <c r="KFE755" s="123"/>
      <c r="KFF755" s="123"/>
      <c r="KFG755" s="123"/>
      <c r="KFH755" s="123"/>
      <c r="KFI755" s="123"/>
      <c r="KFJ755" s="123"/>
      <c r="KFK755" s="123"/>
      <c r="KFL755" s="123"/>
      <c r="KFM755" s="123"/>
      <c r="KFN755" s="123"/>
      <c r="KFO755" s="123"/>
      <c r="KFP755" s="123"/>
      <c r="KFQ755" s="123"/>
      <c r="KFR755" s="123"/>
      <c r="KFS755" s="123"/>
      <c r="KFT755" s="123"/>
      <c r="KFU755" s="123"/>
      <c r="KFV755" s="123"/>
      <c r="KFW755" s="123"/>
      <c r="KFX755" s="123"/>
      <c r="KFY755" s="123"/>
      <c r="KFZ755" s="123"/>
      <c r="KGA755" s="123"/>
      <c r="KGB755" s="123"/>
      <c r="KGC755" s="123"/>
      <c r="KGD755" s="123"/>
      <c r="KGE755" s="123"/>
      <c r="KGF755" s="123"/>
      <c r="KGG755" s="123"/>
      <c r="KGH755" s="123"/>
      <c r="KGI755" s="123"/>
      <c r="KGJ755" s="123"/>
      <c r="KGK755" s="123"/>
      <c r="KGL755" s="123"/>
      <c r="KGM755" s="123"/>
      <c r="KGN755" s="123"/>
      <c r="KGO755" s="123"/>
      <c r="KGP755" s="123"/>
      <c r="KGQ755" s="123"/>
      <c r="KGR755" s="123"/>
      <c r="KGS755" s="123"/>
      <c r="KGT755" s="123"/>
      <c r="KGU755" s="123"/>
      <c r="KGV755" s="123"/>
      <c r="KGW755" s="123"/>
      <c r="KGX755" s="123"/>
      <c r="KGY755" s="123"/>
      <c r="KGZ755" s="123"/>
      <c r="KHA755" s="123"/>
      <c r="KHB755" s="123"/>
      <c r="KHC755" s="123"/>
      <c r="KHD755" s="123"/>
      <c r="KHE755" s="123"/>
      <c r="KHF755" s="123"/>
      <c r="KHG755" s="123"/>
      <c r="KHH755" s="123"/>
      <c r="KHI755" s="123"/>
      <c r="KHJ755" s="123"/>
      <c r="KHK755" s="123"/>
      <c r="KHL755" s="123"/>
      <c r="KHM755" s="123"/>
      <c r="KHN755" s="123"/>
      <c r="KHO755" s="123"/>
      <c r="KHP755" s="123"/>
      <c r="KHQ755" s="123"/>
      <c r="KHR755" s="123"/>
      <c r="KHS755" s="123"/>
      <c r="KHT755" s="123"/>
      <c r="KHU755" s="123"/>
      <c r="KHV755" s="123"/>
      <c r="KHW755" s="123"/>
      <c r="KHX755" s="123"/>
      <c r="KHY755" s="123"/>
      <c r="KHZ755" s="123"/>
      <c r="KIA755" s="123"/>
      <c r="KIB755" s="123"/>
      <c r="KIC755" s="123"/>
      <c r="KID755" s="123"/>
      <c r="KIE755" s="123"/>
      <c r="KIF755" s="123"/>
      <c r="KIG755" s="123"/>
      <c r="KIH755" s="123"/>
      <c r="KII755" s="123"/>
      <c r="KIJ755" s="123"/>
      <c r="KIK755" s="123"/>
      <c r="KIL755" s="123"/>
      <c r="KIM755" s="123"/>
      <c r="KIN755" s="123"/>
      <c r="KIO755" s="123"/>
      <c r="KIP755" s="123"/>
      <c r="KIQ755" s="123"/>
      <c r="KIR755" s="123"/>
      <c r="KIS755" s="123"/>
      <c r="KIT755" s="123"/>
      <c r="KIU755" s="123"/>
      <c r="KIV755" s="123"/>
      <c r="KIW755" s="123"/>
      <c r="KIX755" s="123"/>
      <c r="KIY755" s="123"/>
      <c r="KIZ755" s="123"/>
      <c r="KJA755" s="123"/>
      <c r="KJB755" s="123"/>
      <c r="KJC755" s="123"/>
      <c r="KJD755" s="123"/>
      <c r="KJE755" s="123"/>
      <c r="KJF755" s="123"/>
      <c r="KJG755" s="123"/>
      <c r="KJH755" s="123"/>
      <c r="KJI755" s="123"/>
      <c r="KJJ755" s="123"/>
      <c r="KJK755" s="123"/>
      <c r="KJL755" s="123"/>
      <c r="KJM755" s="123"/>
      <c r="KJN755" s="123"/>
      <c r="KJO755" s="123"/>
      <c r="KJP755" s="123"/>
      <c r="KJQ755" s="123"/>
      <c r="KJR755" s="123"/>
      <c r="KJS755" s="123"/>
      <c r="KJT755" s="123"/>
      <c r="KJU755" s="123"/>
      <c r="KJV755" s="123"/>
      <c r="KJW755" s="123"/>
      <c r="KJX755" s="123"/>
      <c r="KJY755" s="123"/>
      <c r="KJZ755" s="123"/>
      <c r="KKA755" s="123"/>
      <c r="KKB755" s="123"/>
      <c r="KKC755" s="123"/>
      <c r="KKD755" s="123"/>
      <c r="KKE755" s="123"/>
      <c r="KKF755" s="123"/>
      <c r="KKG755" s="123"/>
      <c r="KKH755" s="123"/>
      <c r="KKI755" s="123"/>
      <c r="KKJ755" s="123"/>
      <c r="KKK755" s="123"/>
      <c r="KKL755" s="123"/>
      <c r="KKM755" s="123"/>
      <c r="KKN755" s="123"/>
      <c r="KKO755" s="123"/>
      <c r="KKP755" s="123"/>
      <c r="KKQ755" s="123"/>
      <c r="KKR755" s="123"/>
      <c r="KKS755" s="123"/>
      <c r="KKT755" s="123"/>
      <c r="KKU755" s="123"/>
      <c r="KKV755" s="123"/>
      <c r="KKW755" s="123"/>
      <c r="KKX755" s="123"/>
      <c r="KKY755" s="123"/>
      <c r="KKZ755" s="123"/>
      <c r="KLA755" s="123"/>
      <c r="KLB755" s="123"/>
      <c r="KLC755" s="123"/>
      <c r="KLD755" s="123"/>
      <c r="KLE755" s="123"/>
      <c r="KLF755" s="123"/>
      <c r="KLG755" s="123"/>
      <c r="KLH755" s="123"/>
      <c r="KLI755" s="123"/>
      <c r="KLJ755" s="123"/>
      <c r="KLK755" s="123"/>
      <c r="KLL755" s="123"/>
      <c r="KLM755" s="123"/>
      <c r="KLN755" s="123"/>
      <c r="KLO755" s="123"/>
      <c r="KLP755" s="123"/>
      <c r="KLQ755" s="123"/>
      <c r="KLR755" s="123"/>
      <c r="KLS755" s="123"/>
      <c r="KLT755" s="123"/>
      <c r="KLU755" s="123"/>
      <c r="KLV755" s="123"/>
      <c r="KLW755" s="123"/>
      <c r="KLX755" s="123"/>
      <c r="KLY755" s="123"/>
      <c r="KLZ755" s="123"/>
      <c r="KMA755" s="123"/>
      <c r="KMB755" s="123"/>
      <c r="KMC755" s="123"/>
      <c r="KMD755" s="123"/>
      <c r="KME755" s="123"/>
      <c r="KMF755" s="123"/>
      <c r="KMG755" s="123"/>
      <c r="KMH755" s="123"/>
      <c r="KMI755" s="123"/>
      <c r="KMJ755" s="123"/>
      <c r="KMK755" s="123"/>
      <c r="KML755" s="123"/>
      <c r="KMM755" s="123"/>
      <c r="KMN755" s="123"/>
      <c r="KMO755" s="123"/>
      <c r="KMP755" s="123"/>
      <c r="KMQ755" s="123"/>
      <c r="KMR755" s="123"/>
      <c r="KMS755" s="123"/>
      <c r="KMT755" s="123"/>
      <c r="KMU755" s="123"/>
      <c r="KMV755" s="123"/>
      <c r="KMW755" s="123"/>
      <c r="KMX755" s="123"/>
      <c r="KMY755" s="123"/>
      <c r="KMZ755" s="123"/>
      <c r="KNA755" s="123"/>
      <c r="KNB755" s="123"/>
      <c r="KNC755" s="123"/>
      <c r="KND755" s="123"/>
      <c r="KNE755" s="123"/>
      <c r="KNF755" s="123"/>
      <c r="KNG755" s="123"/>
      <c r="KNH755" s="123"/>
      <c r="KNI755" s="123"/>
      <c r="KNJ755" s="123"/>
      <c r="KNK755" s="123"/>
      <c r="KNL755" s="123"/>
      <c r="KNM755" s="123"/>
      <c r="KNN755" s="123"/>
      <c r="KNO755" s="123"/>
      <c r="KNP755" s="123"/>
      <c r="KNQ755" s="123"/>
      <c r="KNR755" s="123"/>
      <c r="KNS755" s="123"/>
      <c r="KNT755" s="123"/>
      <c r="KNU755" s="123"/>
      <c r="KNV755" s="123"/>
      <c r="KNW755" s="123"/>
      <c r="KNX755" s="123"/>
      <c r="KNY755" s="123"/>
      <c r="KNZ755" s="123"/>
      <c r="KOA755" s="123"/>
      <c r="KOB755" s="123"/>
      <c r="KOC755" s="123"/>
      <c r="KOD755" s="123"/>
      <c r="KOE755" s="123"/>
      <c r="KOF755" s="123"/>
      <c r="KOG755" s="123"/>
      <c r="KOH755" s="123"/>
      <c r="KOI755" s="123"/>
      <c r="KOJ755" s="123"/>
      <c r="KOK755" s="123"/>
      <c r="KOL755" s="123"/>
      <c r="KOM755" s="123"/>
      <c r="KON755" s="123"/>
      <c r="KOO755" s="123"/>
      <c r="KOP755" s="123"/>
      <c r="KOQ755" s="123"/>
      <c r="KOR755" s="123"/>
      <c r="KOS755" s="123"/>
      <c r="KOT755" s="123"/>
      <c r="KOU755" s="123"/>
      <c r="KOV755" s="123"/>
      <c r="KOW755" s="123"/>
      <c r="KOX755" s="123"/>
      <c r="KOY755" s="123"/>
      <c r="KOZ755" s="123"/>
      <c r="KPA755" s="123"/>
      <c r="KPB755" s="123"/>
      <c r="KPC755" s="123"/>
      <c r="KPD755" s="123"/>
      <c r="KPE755" s="123"/>
      <c r="KPF755" s="123"/>
      <c r="KPG755" s="123"/>
      <c r="KPH755" s="123"/>
      <c r="KPI755" s="123"/>
      <c r="KPJ755" s="123"/>
      <c r="KPK755" s="123"/>
      <c r="KPL755" s="123"/>
      <c r="KPM755" s="123"/>
      <c r="KPN755" s="123"/>
      <c r="KPO755" s="123"/>
      <c r="KPP755" s="123"/>
      <c r="KPQ755" s="123"/>
      <c r="KPR755" s="123"/>
      <c r="KPS755" s="123"/>
      <c r="KPT755" s="123"/>
      <c r="KPU755" s="123"/>
      <c r="KPV755" s="123"/>
      <c r="KPW755" s="123"/>
      <c r="KPX755" s="123"/>
      <c r="KPY755" s="123"/>
      <c r="KPZ755" s="123"/>
      <c r="KQA755" s="123"/>
      <c r="KQB755" s="123"/>
      <c r="KQC755" s="123"/>
      <c r="KQD755" s="123"/>
      <c r="KQE755" s="123"/>
      <c r="KQF755" s="123"/>
      <c r="KQG755" s="123"/>
      <c r="KQH755" s="123"/>
      <c r="KQI755" s="123"/>
      <c r="KQJ755" s="123"/>
      <c r="KQK755" s="123"/>
      <c r="KQL755" s="123"/>
      <c r="KQM755" s="123"/>
      <c r="KQN755" s="123"/>
      <c r="KQO755" s="123"/>
      <c r="KQP755" s="123"/>
      <c r="KQQ755" s="123"/>
      <c r="KQR755" s="123"/>
      <c r="KQS755" s="123"/>
      <c r="KQT755" s="123"/>
      <c r="KQU755" s="123"/>
      <c r="KQV755" s="123"/>
      <c r="KQW755" s="123"/>
      <c r="KQX755" s="123"/>
      <c r="KQY755" s="123"/>
      <c r="KQZ755" s="123"/>
      <c r="KRA755" s="123"/>
      <c r="KRB755" s="123"/>
      <c r="KRC755" s="123"/>
      <c r="KRD755" s="123"/>
      <c r="KRE755" s="123"/>
      <c r="KRF755" s="123"/>
      <c r="KRG755" s="123"/>
      <c r="KRH755" s="123"/>
      <c r="KRI755" s="123"/>
      <c r="KRJ755" s="123"/>
      <c r="KRK755" s="123"/>
      <c r="KRL755" s="123"/>
      <c r="KRM755" s="123"/>
      <c r="KRN755" s="123"/>
      <c r="KRO755" s="123"/>
      <c r="KRP755" s="123"/>
      <c r="KRQ755" s="123"/>
      <c r="KRR755" s="123"/>
      <c r="KRS755" s="123"/>
      <c r="KRT755" s="123"/>
      <c r="KRU755" s="123"/>
      <c r="KRV755" s="123"/>
      <c r="KRW755" s="123"/>
      <c r="KRX755" s="123"/>
      <c r="KRY755" s="123"/>
      <c r="KRZ755" s="123"/>
      <c r="KSA755" s="123"/>
      <c r="KSB755" s="123"/>
      <c r="KSC755" s="123"/>
      <c r="KSD755" s="123"/>
      <c r="KSE755" s="123"/>
      <c r="KSF755" s="123"/>
      <c r="KSG755" s="123"/>
      <c r="KSH755" s="123"/>
      <c r="KSI755" s="123"/>
      <c r="KSJ755" s="123"/>
      <c r="KSK755" s="123"/>
      <c r="KSL755" s="123"/>
      <c r="KSM755" s="123"/>
      <c r="KSN755" s="123"/>
      <c r="KSO755" s="123"/>
      <c r="KSP755" s="123"/>
      <c r="KSQ755" s="123"/>
      <c r="KSR755" s="123"/>
      <c r="KSS755" s="123"/>
      <c r="KST755" s="123"/>
      <c r="KSU755" s="123"/>
      <c r="KSV755" s="123"/>
      <c r="KSW755" s="123"/>
      <c r="KSX755" s="123"/>
      <c r="KSY755" s="123"/>
      <c r="KSZ755" s="123"/>
      <c r="KTA755" s="123"/>
      <c r="KTB755" s="123"/>
      <c r="KTC755" s="123"/>
      <c r="KTD755" s="123"/>
      <c r="KTE755" s="123"/>
      <c r="KTF755" s="123"/>
      <c r="KTG755" s="123"/>
      <c r="KTH755" s="123"/>
      <c r="KTI755" s="123"/>
      <c r="KTJ755" s="123"/>
      <c r="KTK755" s="123"/>
      <c r="KTL755" s="123"/>
      <c r="KTM755" s="123"/>
      <c r="KTN755" s="123"/>
      <c r="KTO755" s="123"/>
      <c r="KTP755" s="123"/>
      <c r="KTQ755" s="123"/>
      <c r="KTR755" s="123"/>
      <c r="KTS755" s="123"/>
      <c r="KTT755" s="123"/>
      <c r="KTU755" s="123"/>
      <c r="KTV755" s="123"/>
      <c r="KTW755" s="123"/>
      <c r="KTX755" s="123"/>
      <c r="KTY755" s="123"/>
      <c r="KTZ755" s="123"/>
      <c r="KUA755" s="123"/>
      <c r="KUB755" s="123"/>
      <c r="KUC755" s="123"/>
      <c r="KUD755" s="123"/>
      <c r="KUE755" s="123"/>
      <c r="KUF755" s="123"/>
      <c r="KUG755" s="123"/>
      <c r="KUH755" s="123"/>
      <c r="KUI755" s="123"/>
      <c r="KUJ755" s="123"/>
      <c r="KUK755" s="123"/>
      <c r="KUL755" s="123"/>
      <c r="KUM755" s="123"/>
      <c r="KUN755" s="123"/>
      <c r="KUO755" s="123"/>
      <c r="KUP755" s="123"/>
      <c r="KUQ755" s="123"/>
      <c r="KUR755" s="123"/>
      <c r="KUS755" s="123"/>
      <c r="KUT755" s="123"/>
      <c r="KUU755" s="123"/>
      <c r="KUV755" s="123"/>
      <c r="KUW755" s="123"/>
      <c r="KUX755" s="123"/>
      <c r="KUY755" s="123"/>
      <c r="KUZ755" s="123"/>
      <c r="KVA755" s="123"/>
      <c r="KVB755" s="123"/>
      <c r="KVC755" s="123"/>
      <c r="KVD755" s="123"/>
      <c r="KVE755" s="123"/>
      <c r="KVF755" s="123"/>
      <c r="KVG755" s="123"/>
      <c r="KVH755" s="123"/>
      <c r="KVI755" s="123"/>
      <c r="KVJ755" s="123"/>
      <c r="KVK755" s="123"/>
      <c r="KVL755" s="123"/>
      <c r="KVM755" s="123"/>
      <c r="KVN755" s="123"/>
      <c r="KVO755" s="123"/>
      <c r="KVP755" s="123"/>
      <c r="KVQ755" s="123"/>
      <c r="KVR755" s="123"/>
      <c r="KVS755" s="123"/>
      <c r="KVT755" s="123"/>
      <c r="KVU755" s="123"/>
      <c r="KVV755" s="123"/>
      <c r="KVW755" s="123"/>
      <c r="KVX755" s="123"/>
      <c r="KVY755" s="123"/>
      <c r="KVZ755" s="123"/>
      <c r="KWA755" s="123"/>
      <c r="KWB755" s="123"/>
      <c r="KWC755" s="123"/>
      <c r="KWD755" s="123"/>
      <c r="KWE755" s="123"/>
      <c r="KWF755" s="123"/>
      <c r="KWG755" s="123"/>
      <c r="KWH755" s="123"/>
      <c r="KWI755" s="123"/>
      <c r="KWJ755" s="123"/>
      <c r="KWK755" s="123"/>
      <c r="KWL755" s="123"/>
      <c r="KWM755" s="123"/>
      <c r="KWN755" s="123"/>
      <c r="KWO755" s="123"/>
      <c r="KWP755" s="123"/>
      <c r="KWQ755" s="123"/>
      <c r="KWR755" s="123"/>
      <c r="KWS755" s="123"/>
      <c r="KWT755" s="123"/>
      <c r="KWU755" s="123"/>
      <c r="KWV755" s="123"/>
      <c r="KWW755" s="123"/>
      <c r="KWX755" s="123"/>
      <c r="KWY755" s="123"/>
      <c r="KWZ755" s="123"/>
      <c r="KXA755" s="123"/>
      <c r="KXB755" s="123"/>
      <c r="KXC755" s="123"/>
      <c r="KXD755" s="123"/>
      <c r="KXE755" s="123"/>
      <c r="KXF755" s="123"/>
      <c r="KXG755" s="123"/>
      <c r="KXH755" s="123"/>
      <c r="KXI755" s="123"/>
      <c r="KXJ755" s="123"/>
      <c r="KXK755" s="123"/>
      <c r="KXL755" s="123"/>
      <c r="KXM755" s="123"/>
      <c r="KXN755" s="123"/>
      <c r="KXO755" s="123"/>
      <c r="KXP755" s="123"/>
      <c r="KXQ755" s="123"/>
      <c r="KXR755" s="123"/>
      <c r="KXS755" s="123"/>
      <c r="KXT755" s="123"/>
      <c r="KXU755" s="123"/>
      <c r="KXV755" s="123"/>
      <c r="KXW755" s="123"/>
      <c r="KXX755" s="123"/>
      <c r="KXY755" s="123"/>
      <c r="KXZ755" s="123"/>
      <c r="KYA755" s="123"/>
      <c r="KYB755" s="123"/>
      <c r="KYC755" s="123"/>
      <c r="KYD755" s="123"/>
      <c r="KYE755" s="123"/>
      <c r="KYF755" s="123"/>
      <c r="KYG755" s="123"/>
      <c r="KYH755" s="123"/>
      <c r="KYI755" s="123"/>
      <c r="KYJ755" s="123"/>
      <c r="KYK755" s="123"/>
      <c r="KYL755" s="123"/>
      <c r="KYM755" s="123"/>
      <c r="KYN755" s="123"/>
      <c r="KYO755" s="123"/>
      <c r="KYP755" s="123"/>
      <c r="KYQ755" s="123"/>
      <c r="KYR755" s="123"/>
      <c r="KYS755" s="123"/>
      <c r="KYT755" s="123"/>
      <c r="KYU755" s="123"/>
      <c r="KYV755" s="123"/>
      <c r="KYW755" s="123"/>
      <c r="KYX755" s="123"/>
      <c r="KYY755" s="123"/>
      <c r="KYZ755" s="123"/>
      <c r="KZA755" s="123"/>
      <c r="KZB755" s="123"/>
      <c r="KZC755" s="123"/>
      <c r="KZD755" s="123"/>
      <c r="KZE755" s="123"/>
      <c r="KZF755" s="123"/>
      <c r="KZG755" s="123"/>
      <c r="KZH755" s="123"/>
      <c r="KZI755" s="123"/>
      <c r="KZJ755" s="123"/>
      <c r="KZK755" s="123"/>
      <c r="KZL755" s="123"/>
      <c r="KZM755" s="123"/>
      <c r="KZN755" s="123"/>
      <c r="KZO755" s="123"/>
      <c r="KZP755" s="123"/>
      <c r="KZQ755" s="123"/>
      <c r="KZR755" s="123"/>
      <c r="KZS755" s="123"/>
      <c r="KZT755" s="123"/>
      <c r="KZU755" s="123"/>
      <c r="KZV755" s="123"/>
      <c r="KZW755" s="123"/>
      <c r="KZX755" s="123"/>
      <c r="KZY755" s="123"/>
      <c r="KZZ755" s="123"/>
      <c r="LAA755" s="123"/>
      <c r="LAB755" s="123"/>
      <c r="LAC755" s="123"/>
      <c r="LAD755" s="123"/>
      <c r="LAE755" s="123"/>
      <c r="LAF755" s="123"/>
      <c r="LAG755" s="123"/>
      <c r="LAH755" s="123"/>
      <c r="LAI755" s="123"/>
      <c r="LAJ755" s="123"/>
      <c r="LAK755" s="123"/>
      <c r="LAL755" s="123"/>
      <c r="LAM755" s="123"/>
      <c r="LAN755" s="123"/>
      <c r="LAO755" s="123"/>
      <c r="LAP755" s="123"/>
      <c r="LAQ755" s="123"/>
      <c r="LAR755" s="123"/>
      <c r="LAS755" s="123"/>
      <c r="LAT755" s="123"/>
      <c r="LAU755" s="123"/>
      <c r="LAV755" s="123"/>
      <c r="LAW755" s="123"/>
      <c r="LAX755" s="123"/>
      <c r="LAY755" s="123"/>
      <c r="LAZ755" s="123"/>
      <c r="LBA755" s="123"/>
      <c r="LBB755" s="123"/>
      <c r="LBC755" s="123"/>
      <c r="LBD755" s="123"/>
      <c r="LBE755" s="123"/>
      <c r="LBF755" s="123"/>
      <c r="LBG755" s="123"/>
      <c r="LBH755" s="123"/>
      <c r="LBI755" s="123"/>
      <c r="LBJ755" s="123"/>
      <c r="LBK755" s="123"/>
      <c r="LBL755" s="123"/>
      <c r="LBM755" s="123"/>
      <c r="LBN755" s="123"/>
      <c r="LBO755" s="123"/>
      <c r="LBP755" s="123"/>
      <c r="LBQ755" s="123"/>
      <c r="LBR755" s="123"/>
      <c r="LBS755" s="123"/>
      <c r="LBT755" s="123"/>
      <c r="LBU755" s="123"/>
      <c r="LBV755" s="123"/>
      <c r="LBW755" s="123"/>
      <c r="LBX755" s="123"/>
      <c r="LBY755" s="123"/>
      <c r="LBZ755" s="123"/>
      <c r="LCA755" s="123"/>
      <c r="LCB755" s="123"/>
      <c r="LCC755" s="123"/>
      <c r="LCD755" s="123"/>
      <c r="LCE755" s="123"/>
      <c r="LCF755" s="123"/>
      <c r="LCG755" s="123"/>
      <c r="LCH755" s="123"/>
      <c r="LCI755" s="123"/>
      <c r="LCJ755" s="123"/>
      <c r="LCK755" s="123"/>
      <c r="LCL755" s="123"/>
      <c r="LCM755" s="123"/>
      <c r="LCN755" s="123"/>
      <c r="LCO755" s="123"/>
      <c r="LCP755" s="123"/>
      <c r="LCQ755" s="123"/>
      <c r="LCR755" s="123"/>
      <c r="LCS755" s="123"/>
      <c r="LCT755" s="123"/>
      <c r="LCU755" s="123"/>
      <c r="LCV755" s="123"/>
      <c r="LCW755" s="123"/>
      <c r="LCX755" s="123"/>
      <c r="LCY755" s="123"/>
      <c r="LCZ755" s="123"/>
      <c r="LDA755" s="123"/>
      <c r="LDB755" s="123"/>
      <c r="LDC755" s="123"/>
      <c r="LDD755" s="123"/>
      <c r="LDE755" s="123"/>
      <c r="LDF755" s="123"/>
      <c r="LDG755" s="123"/>
      <c r="LDH755" s="123"/>
      <c r="LDI755" s="123"/>
      <c r="LDJ755" s="123"/>
      <c r="LDK755" s="123"/>
      <c r="LDL755" s="123"/>
      <c r="LDM755" s="123"/>
      <c r="LDN755" s="123"/>
      <c r="LDO755" s="123"/>
      <c r="LDP755" s="123"/>
      <c r="LDQ755" s="123"/>
      <c r="LDR755" s="123"/>
      <c r="LDS755" s="123"/>
      <c r="LDT755" s="123"/>
      <c r="LDU755" s="123"/>
      <c r="LDV755" s="123"/>
      <c r="LDW755" s="123"/>
      <c r="LDX755" s="123"/>
      <c r="LDY755" s="123"/>
      <c r="LDZ755" s="123"/>
      <c r="LEA755" s="123"/>
      <c r="LEB755" s="123"/>
      <c r="LEC755" s="123"/>
      <c r="LED755" s="123"/>
      <c r="LEE755" s="123"/>
      <c r="LEF755" s="123"/>
      <c r="LEG755" s="123"/>
      <c r="LEH755" s="123"/>
      <c r="LEI755" s="123"/>
      <c r="LEJ755" s="123"/>
      <c r="LEK755" s="123"/>
      <c r="LEL755" s="123"/>
      <c r="LEM755" s="123"/>
      <c r="LEN755" s="123"/>
      <c r="LEO755" s="123"/>
      <c r="LEP755" s="123"/>
      <c r="LEQ755" s="123"/>
      <c r="LER755" s="123"/>
      <c r="LES755" s="123"/>
      <c r="LET755" s="123"/>
      <c r="LEU755" s="123"/>
      <c r="LEV755" s="123"/>
      <c r="LEW755" s="123"/>
      <c r="LEX755" s="123"/>
      <c r="LEY755" s="123"/>
      <c r="LEZ755" s="123"/>
      <c r="LFA755" s="123"/>
      <c r="LFB755" s="123"/>
      <c r="LFC755" s="123"/>
      <c r="LFD755" s="123"/>
      <c r="LFE755" s="123"/>
      <c r="LFF755" s="123"/>
      <c r="LFG755" s="123"/>
      <c r="LFH755" s="123"/>
      <c r="LFI755" s="123"/>
      <c r="LFJ755" s="123"/>
      <c r="LFK755" s="123"/>
      <c r="LFL755" s="123"/>
      <c r="LFM755" s="123"/>
      <c r="LFN755" s="123"/>
      <c r="LFO755" s="123"/>
      <c r="LFP755" s="123"/>
      <c r="LFQ755" s="123"/>
      <c r="LFR755" s="123"/>
      <c r="LFS755" s="123"/>
      <c r="LFT755" s="123"/>
      <c r="LFU755" s="123"/>
      <c r="LFV755" s="123"/>
      <c r="LFW755" s="123"/>
      <c r="LFX755" s="123"/>
      <c r="LFY755" s="123"/>
      <c r="LFZ755" s="123"/>
      <c r="LGA755" s="123"/>
      <c r="LGB755" s="123"/>
      <c r="LGC755" s="123"/>
      <c r="LGD755" s="123"/>
      <c r="LGE755" s="123"/>
      <c r="LGF755" s="123"/>
      <c r="LGG755" s="123"/>
      <c r="LGH755" s="123"/>
      <c r="LGI755" s="123"/>
      <c r="LGJ755" s="123"/>
      <c r="LGK755" s="123"/>
      <c r="LGL755" s="123"/>
      <c r="LGM755" s="123"/>
      <c r="LGN755" s="123"/>
      <c r="LGO755" s="123"/>
      <c r="LGP755" s="123"/>
      <c r="LGQ755" s="123"/>
      <c r="LGR755" s="123"/>
      <c r="LGS755" s="123"/>
      <c r="LGT755" s="123"/>
      <c r="LGU755" s="123"/>
      <c r="LGV755" s="123"/>
      <c r="LGW755" s="123"/>
      <c r="LGX755" s="123"/>
      <c r="LGY755" s="123"/>
      <c r="LGZ755" s="123"/>
      <c r="LHA755" s="123"/>
      <c r="LHB755" s="123"/>
      <c r="LHC755" s="123"/>
      <c r="LHD755" s="123"/>
      <c r="LHE755" s="123"/>
      <c r="LHF755" s="123"/>
      <c r="LHG755" s="123"/>
      <c r="LHH755" s="123"/>
      <c r="LHI755" s="123"/>
      <c r="LHJ755" s="123"/>
      <c r="LHK755" s="123"/>
      <c r="LHL755" s="123"/>
      <c r="LHM755" s="123"/>
      <c r="LHN755" s="123"/>
      <c r="LHO755" s="123"/>
      <c r="LHP755" s="123"/>
      <c r="LHQ755" s="123"/>
      <c r="LHR755" s="123"/>
      <c r="LHS755" s="123"/>
      <c r="LHT755" s="123"/>
      <c r="LHU755" s="123"/>
      <c r="LHV755" s="123"/>
      <c r="LHW755" s="123"/>
      <c r="LHX755" s="123"/>
      <c r="LHY755" s="123"/>
      <c r="LHZ755" s="123"/>
      <c r="LIA755" s="123"/>
      <c r="LIB755" s="123"/>
      <c r="LIC755" s="123"/>
      <c r="LID755" s="123"/>
      <c r="LIE755" s="123"/>
      <c r="LIF755" s="123"/>
      <c r="LIG755" s="123"/>
      <c r="LIH755" s="123"/>
      <c r="LII755" s="123"/>
      <c r="LIJ755" s="123"/>
      <c r="LIK755" s="123"/>
      <c r="LIL755" s="123"/>
      <c r="LIM755" s="123"/>
      <c r="LIN755" s="123"/>
      <c r="LIO755" s="123"/>
      <c r="LIP755" s="123"/>
      <c r="LIQ755" s="123"/>
      <c r="LIR755" s="123"/>
      <c r="LIS755" s="123"/>
      <c r="LIT755" s="123"/>
      <c r="LIU755" s="123"/>
      <c r="LIV755" s="123"/>
      <c r="LIW755" s="123"/>
      <c r="LIX755" s="123"/>
      <c r="LIY755" s="123"/>
      <c r="LIZ755" s="123"/>
      <c r="LJA755" s="123"/>
      <c r="LJB755" s="123"/>
      <c r="LJC755" s="123"/>
      <c r="LJD755" s="123"/>
      <c r="LJE755" s="123"/>
      <c r="LJF755" s="123"/>
      <c r="LJG755" s="123"/>
      <c r="LJH755" s="123"/>
      <c r="LJI755" s="123"/>
      <c r="LJJ755" s="123"/>
      <c r="LJK755" s="123"/>
      <c r="LJL755" s="123"/>
      <c r="LJM755" s="123"/>
      <c r="LJN755" s="123"/>
      <c r="LJO755" s="123"/>
      <c r="LJP755" s="123"/>
      <c r="LJQ755" s="123"/>
      <c r="LJR755" s="123"/>
      <c r="LJS755" s="123"/>
      <c r="LJT755" s="123"/>
      <c r="LJU755" s="123"/>
      <c r="LJV755" s="123"/>
      <c r="LJW755" s="123"/>
      <c r="LJX755" s="123"/>
      <c r="LJY755" s="123"/>
      <c r="LJZ755" s="123"/>
      <c r="LKA755" s="123"/>
      <c r="LKB755" s="123"/>
      <c r="LKC755" s="123"/>
      <c r="LKD755" s="123"/>
      <c r="LKE755" s="123"/>
      <c r="LKF755" s="123"/>
      <c r="LKG755" s="123"/>
      <c r="LKH755" s="123"/>
      <c r="LKI755" s="123"/>
      <c r="LKJ755" s="123"/>
      <c r="LKK755" s="123"/>
      <c r="LKL755" s="123"/>
      <c r="LKM755" s="123"/>
      <c r="LKN755" s="123"/>
      <c r="LKO755" s="123"/>
      <c r="LKP755" s="123"/>
      <c r="LKQ755" s="123"/>
      <c r="LKR755" s="123"/>
      <c r="LKS755" s="123"/>
      <c r="LKT755" s="123"/>
      <c r="LKU755" s="123"/>
      <c r="LKV755" s="123"/>
      <c r="LKW755" s="123"/>
      <c r="LKX755" s="123"/>
      <c r="LKY755" s="123"/>
      <c r="LKZ755" s="123"/>
      <c r="LLA755" s="123"/>
      <c r="LLB755" s="123"/>
      <c r="LLC755" s="123"/>
      <c r="LLD755" s="123"/>
      <c r="LLE755" s="123"/>
      <c r="LLF755" s="123"/>
      <c r="LLG755" s="123"/>
      <c r="LLH755" s="123"/>
      <c r="LLI755" s="123"/>
      <c r="LLJ755" s="123"/>
      <c r="LLK755" s="123"/>
      <c r="LLL755" s="123"/>
      <c r="LLM755" s="123"/>
      <c r="LLN755" s="123"/>
      <c r="LLO755" s="123"/>
      <c r="LLP755" s="123"/>
      <c r="LLQ755" s="123"/>
      <c r="LLR755" s="123"/>
      <c r="LLS755" s="123"/>
      <c r="LLT755" s="123"/>
      <c r="LLU755" s="123"/>
      <c r="LLV755" s="123"/>
      <c r="LLW755" s="123"/>
      <c r="LLX755" s="123"/>
      <c r="LLY755" s="123"/>
      <c r="LLZ755" s="123"/>
      <c r="LMA755" s="123"/>
      <c r="LMB755" s="123"/>
      <c r="LMC755" s="123"/>
      <c r="LMD755" s="123"/>
      <c r="LME755" s="123"/>
      <c r="LMF755" s="123"/>
      <c r="LMG755" s="123"/>
      <c r="LMH755" s="123"/>
      <c r="LMI755" s="123"/>
      <c r="LMJ755" s="123"/>
      <c r="LMK755" s="123"/>
      <c r="LML755" s="123"/>
      <c r="LMM755" s="123"/>
      <c r="LMN755" s="123"/>
      <c r="LMO755" s="123"/>
      <c r="LMP755" s="123"/>
      <c r="LMQ755" s="123"/>
      <c r="LMR755" s="123"/>
      <c r="LMS755" s="123"/>
      <c r="LMT755" s="123"/>
      <c r="LMU755" s="123"/>
      <c r="LMV755" s="123"/>
      <c r="LMW755" s="123"/>
      <c r="LMX755" s="123"/>
      <c r="LMY755" s="123"/>
      <c r="LMZ755" s="123"/>
      <c r="LNA755" s="123"/>
      <c r="LNB755" s="123"/>
      <c r="LNC755" s="123"/>
      <c r="LND755" s="123"/>
      <c r="LNE755" s="123"/>
      <c r="LNF755" s="123"/>
      <c r="LNG755" s="123"/>
      <c r="LNH755" s="123"/>
      <c r="LNI755" s="123"/>
      <c r="LNJ755" s="123"/>
      <c r="LNK755" s="123"/>
      <c r="LNL755" s="123"/>
      <c r="LNM755" s="123"/>
      <c r="LNN755" s="123"/>
      <c r="LNO755" s="123"/>
      <c r="LNP755" s="123"/>
      <c r="LNQ755" s="123"/>
      <c r="LNR755" s="123"/>
      <c r="LNS755" s="123"/>
      <c r="LNT755" s="123"/>
      <c r="LNU755" s="123"/>
      <c r="LNV755" s="123"/>
      <c r="LNW755" s="123"/>
      <c r="LNX755" s="123"/>
      <c r="LNY755" s="123"/>
      <c r="LNZ755" s="123"/>
      <c r="LOA755" s="123"/>
      <c r="LOB755" s="123"/>
      <c r="LOC755" s="123"/>
      <c r="LOD755" s="123"/>
      <c r="LOE755" s="123"/>
      <c r="LOF755" s="123"/>
      <c r="LOG755" s="123"/>
      <c r="LOH755" s="123"/>
      <c r="LOI755" s="123"/>
      <c r="LOJ755" s="123"/>
      <c r="LOK755" s="123"/>
      <c r="LOL755" s="123"/>
      <c r="LOM755" s="123"/>
      <c r="LON755" s="123"/>
      <c r="LOO755" s="123"/>
      <c r="LOP755" s="123"/>
      <c r="LOQ755" s="123"/>
      <c r="LOR755" s="123"/>
      <c r="LOS755" s="123"/>
      <c r="LOT755" s="123"/>
      <c r="LOU755" s="123"/>
      <c r="LOV755" s="123"/>
      <c r="LOW755" s="123"/>
      <c r="LOX755" s="123"/>
      <c r="LOY755" s="123"/>
      <c r="LOZ755" s="123"/>
      <c r="LPA755" s="123"/>
      <c r="LPB755" s="123"/>
      <c r="LPC755" s="123"/>
      <c r="LPD755" s="123"/>
      <c r="LPE755" s="123"/>
      <c r="LPF755" s="123"/>
      <c r="LPG755" s="123"/>
      <c r="LPH755" s="123"/>
      <c r="LPI755" s="123"/>
      <c r="LPJ755" s="123"/>
      <c r="LPK755" s="123"/>
      <c r="LPL755" s="123"/>
      <c r="LPM755" s="123"/>
      <c r="LPN755" s="123"/>
      <c r="LPO755" s="123"/>
      <c r="LPP755" s="123"/>
      <c r="LPQ755" s="123"/>
      <c r="LPR755" s="123"/>
      <c r="LPS755" s="123"/>
      <c r="LPT755" s="123"/>
      <c r="LPU755" s="123"/>
      <c r="LPV755" s="123"/>
      <c r="LPW755" s="123"/>
      <c r="LPX755" s="123"/>
      <c r="LPY755" s="123"/>
      <c r="LPZ755" s="123"/>
      <c r="LQA755" s="123"/>
      <c r="LQB755" s="123"/>
      <c r="LQC755" s="123"/>
      <c r="LQD755" s="123"/>
      <c r="LQE755" s="123"/>
      <c r="LQF755" s="123"/>
      <c r="LQG755" s="123"/>
      <c r="LQH755" s="123"/>
      <c r="LQI755" s="123"/>
      <c r="LQJ755" s="123"/>
      <c r="LQK755" s="123"/>
      <c r="LQL755" s="123"/>
      <c r="LQM755" s="123"/>
      <c r="LQN755" s="123"/>
      <c r="LQO755" s="123"/>
      <c r="LQP755" s="123"/>
      <c r="LQQ755" s="123"/>
      <c r="LQR755" s="123"/>
      <c r="LQS755" s="123"/>
      <c r="LQT755" s="123"/>
      <c r="LQU755" s="123"/>
      <c r="LQV755" s="123"/>
      <c r="LQW755" s="123"/>
      <c r="LQX755" s="123"/>
      <c r="LQY755" s="123"/>
      <c r="LQZ755" s="123"/>
      <c r="LRA755" s="123"/>
      <c r="LRB755" s="123"/>
      <c r="LRC755" s="123"/>
      <c r="LRD755" s="123"/>
      <c r="LRE755" s="123"/>
      <c r="LRF755" s="123"/>
      <c r="LRG755" s="123"/>
      <c r="LRH755" s="123"/>
      <c r="LRI755" s="123"/>
      <c r="LRJ755" s="123"/>
      <c r="LRK755" s="123"/>
      <c r="LRL755" s="123"/>
      <c r="LRM755" s="123"/>
      <c r="LRN755" s="123"/>
      <c r="LRO755" s="123"/>
      <c r="LRP755" s="123"/>
      <c r="LRQ755" s="123"/>
      <c r="LRR755" s="123"/>
      <c r="LRS755" s="123"/>
      <c r="LRT755" s="123"/>
      <c r="LRU755" s="123"/>
      <c r="LRV755" s="123"/>
      <c r="LRW755" s="123"/>
      <c r="LRX755" s="123"/>
      <c r="LRY755" s="123"/>
      <c r="LRZ755" s="123"/>
      <c r="LSA755" s="123"/>
      <c r="LSB755" s="123"/>
      <c r="LSC755" s="123"/>
      <c r="LSD755" s="123"/>
      <c r="LSE755" s="123"/>
      <c r="LSF755" s="123"/>
      <c r="LSG755" s="123"/>
      <c r="LSH755" s="123"/>
      <c r="LSI755" s="123"/>
      <c r="LSJ755" s="123"/>
      <c r="LSK755" s="123"/>
      <c r="LSL755" s="123"/>
      <c r="LSM755" s="123"/>
      <c r="LSN755" s="123"/>
      <c r="LSO755" s="123"/>
      <c r="LSP755" s="123"/>
      <c r="LSQ755" s="123"/>
      <c r="LSR755" s="123"/>
      <c r="LSS755" s="123"/>
      <c r="LST755" s="123"/>
      <c r="LSU755" s="123"/>
      <c r="LSV755" s="123"/>
      <c r="LSW755" s="123"/>
      <c r="LSX755" s="123"/>
      <c r="LSY755" s="123"/>
      <c r="LSZ755" s="123"/>
      <c r="LTA755" s="123"/>
      <c r="LTB755" s="123"/>
      <c r="LTC755" s="123"/>
      <c r="LTD755" s="123"/>
      <c r="LTE755" s="123"/>
      <c r="LTF755" s="123"/>
      <c r="LTG755" s="123"/>
      <c r="LTH755" s="123"/>
      <c r="LTI755" s="123"/>
      <c r="LTJ755" s="123"/>
      <c r="LTK755" s="123"/>
      <c r="LTL755" s="123"/>
      <c r="LTM755" s="123"/>
      <c r="LTN755" s="123"/>
      <c r="LTO755" s="123"/>
      <c r="LTP755" s="123"/>
      <c r="LTQ755" s="123"/>
      <c r="LTR755" s="123"/>
      <c r="LTS755" s="123"/>
      <c r="LTT755" s="123"/>
      <c r="LTU755" s="123"/>
      <c r="LTV755" s="123"/>
      <c r="LTW755" s="123"/>
      <c r="LTX755" s="123"/>
      <c r="LTY755" s="123"/>
      <c r="LTZ755" s="123"/>
      <c r="LUA755" s="123"/>
      <c r="LUB755" s="123"/>
      <c r="LUC755" s="123"/>
      <c r="LUD755" s="123"/>
      <c r="LUE755" s="123"/>
      <c r="LUF755" s="123"/>
      <c r="LUG755" s="123"/>
      <c r="LUH755" s="123"/>
      <c r="LUI755" s="123"/>
      <c r="LUJ755" s="123"/>
      <c r="LUK755" s="123"/>
      <c r="LUL755" s="123"/>
      <c r="LUM755" s="123"/>
      <c r="LUN755" s="123"/>
      <c r="LUO755" s="123"/>
      <c r="LUP755" s="123"/>
      <c r="LUQ755" s="123"/>
      <c r="LUR755" s="123"/>
      <c r="LUS755" s="123"/>
      <c r="LUT755" s="123"/>
      <c r="LUU755" s="123"/>
      <c r="LUV755" s="123"/>
      <c r="LUW755" s="123"/>
      <c r="LUX755" s="123"/>
      <c r="LUY755" s="123"/>
      <c r="LUZ755" s="123"/>
      <c r="LVA755" s="123"/>
      <c r="LVB755" s="123"/>
      <c r="LVC755" s="123"/>
      <c r="LVD755" s="123"/>
      <c r="LVE755" s="123"/>
      <c r="LVF755" s="123"/>
      <c r="LVG755" s="123"/>
      <c r="LVH755" s="123"/>
      <c r="LVI755" s="123"/>
      <c r="LVJ755" s="123"/>
      <c r="LVK755" s="123"/>
      <c r="LVL755" s="123"/>
      <c r="LVM755" s="123"/>
      <c r="LVN755" s="123"/>
      <c r="LVO755" s="123"/>
      <c r="LVP755" s="123"/>
      <c r="LVQ755" s="123"/>
      <c r="LVR755" s="123"/>
      <c r="LVS755" s="123"/>
      <c r="LVT755" s="123"/>
      <c r="LVU755" s="123"/>
      <c r="LVV755" s="123"/>
      <c r="LVW755" s="123"/>
      <c r="LVX755" s="123"/>
      <c r="LVY755" s="123"/>
      <c r="LVZ755" s="123"/>
      <c r="LWA755" s="123"/>
      <c r="LWB755" s="123"/>
      <c r="LWC755" s="123"/>
      <c r="LWD755" s="123"/>
      <c r="LWE755" s="123"/>
      <c r="LWF755" s="123"/>
      <c r="LWG755" s="123"/>
      <c r="LWH755" s="123"/>
      <c r="LWI755" s="123"/>
      <c r="LWJ755" s="123"/>
      <c r="LWK755" s="123"/>
      <c r="LWL755" s="123"/>
      <c r="LWM755" s="123"/>
      <c r="LWN755" s="123"/>
      <c r="LWO755" s="123"/>
      <c r="LWP755" s="123"/>
      <c r="LWQ755" s="123"/>
      <c r="LWR755" s="123"/>
      <c r="LWS755" s="123"/>
      <c r="LWT755" s="123"/>
      <c r="LWU755" s="123"/>
      <c r="LWV755" s="123"/>
      <c r="LWW755" s="123"/>
      <c r="LWX755" s="123"/>
      <c r="LWY755" s="123"/>
      <c r="LWZ755" s="123"/>
      <c r="LXA755" s="123"/>
      <c r="LXB755" s="123"/>
      <c r="LXC755" s="123"/>
      <c r="LXD755" s="123"/>
      <c r="LXE755" s="123"/>
      <c r="LXF755" s="123"/>
      <c r="LXG755" s="123"/>
      <c r="LXH755" s="123"/>
      <c r="LXI755" s="123"/>
      <c r="LXJ755" s="123"/>
      <c r="LXK755" s="123"/>
      <c r="LXL755" s="123"/>
      <c r="LXM755" s="123"/>
      <c r="LXN755" s="123"/>
      <c r="LXO755" s="123"/>
      <c r="LXP755" s="123"/>
      <c r="LXQ755" s="123"/>
      <c r="LXR755" s="123"/>
      <c r="LXS755" s="123"/>
      <c r="LXT755" s="123"/>
      <c r="LXU755" s="123"/>
      <c r="LXV755" s="123"/>
      <c r="LXW755" s="123"/>
      <c r="LXX755" s="123"/>
      <c r="LXY755" s="123"/>
      <c r="LXZ755" s="123"/>
      <c r="LYA755" s="123"/>
      <c r="LYB755" s="123"/>
      <c r="LYC755" s="123"/>
      <c r="LYD755" s="123"/>
      <c r="LYE755" s="123"/>
      <c r="LYF755" s="123"/>
      <c r="LYG755" s="123"/>
      <c r="LYH755" s="123"/>
      <c r="LYI755" s="123"/>
      <c r="LYJ755" s="123"/>
      <c r="LYK755" s="123"/>
      <c r="LYL755" s="123"/>
      <c r="LYM755" s="123"/>
      <c r="LYN755" s="123"/>
      <c r="LYO755" s="123"/>
      <c r="LYP755" s="123"/>
      <c r="LYQ755" s="123"/>
      <c r="LYR755" s="123"/>
      <c r="LYS755" s="123"/>
      <c r="LYT755" s="123"/>
      <c r="LYU755" s="123"/>
      <c r="LYV755" s="123"/>
      <c r="LYW755" s="123"/>
      <c r="LYX755" s="123"/>
      <c r="LYY755" s="123"/>
      <c r="LYZ755" s="123"/>
      <c r="LZA755" s="123"/>
      <c r="LZB755" s="123"/>
      <c r="LZC755" s="123"/>
      <c r="LZD755" s="123"/>
      <c r="LZE755" s="123"/>
      <c r="LZF755" s="123"/>
      <c r="LZG755" s="123"/>
      <c r="LZH755" s="123"/>
      <c r="LZI755" s="123"/>
      <c r="LZJ755" s="123"/>
      <c r="LZK755" s="123"/>
      <c r="LZL755" s="123"/>
      <c r="LZM755" s="123"/>
      <c r="LZN755" s="123"/>
      <c r="LZO755" s="123"/>
      <c r="LZP755" s="123"/>
      <c r="LZQ755" s="123"/>
      <c r="LZR755" s="123"/>
      <c r="LZS755" s="123"/>
      <c r="LZT755" s="123"/>
      <c r="LZU755" s="123"/>
      <c r="LZV755" s="123"/>
      <c r="LZW755" s="123"/>
      <c r="LZX755" s="123"/>
      <c r="LZY755" s="123"/>
      <c r="LZZ755" s="123"/>
      <c r="MAA755" s="123"/>
      <c r="MAB755" s="123"/>
      <c r="MAC755" s="123"/>
      <c r="MAD755" s="123"/>
      <c r="MAE755" s="123"/>
      <c r="MAF755" s="123"/>
      <c r="MAG755" s="123"/>
      <c r="MAH755" s="123"/>
      <c r="MAI755" s="123"/>
      <c r="MAJ755" s="123"/>
      <c r="MAK755" s="123"/>
      <c r="MAL755" s="123"/>
      <c r="MAM755" s="123"/>
      <c r="MAN755" s="123"/>
      <c r="MAO755" s="123"/>
      <c r="MAP755" s="123"/>
      <c r="MAQ755" s="123"/>
      <c r="MAR755" s="123"/>
      <c r="MAS755" s="123"/>
      <c r="MAT755" s="123"/>
      <c r="MAU755" s="123"/>
      <c r="MAV755" s="123"/>
      <c r="MAW755" s="123"/>
      <c r="MAX755" s="123"/>
      <c r="MAY755" s="123"/>
      <c r="MAZ755" s="123"/>
      <c r="MBA755" s="123"/>
      <c r="MBB755" s="123"/>
      <c r="MBC755" s="123"/>
      <c r="MBD755" s="123"/>
      <c r="MBE755" s="123"/>
      <c r="MBF755" s="123"/>
      <c r="MBG755" s="123"/>
      <c r="MBH755" s="123"/>
      <c r="MBI755" s="123"/>
      <c r="MBJ755" s="123"/>
      <c r="MBK755" s="123"/>
      <c r="MBL755" s="123"/>
      <c r="MBM755" s="123"/>
      <c r="MBN755" s="123"/>
      <c r="MBO755" s="123"/>
      <c r="MBP755" s="123"/>
      <c r="MBQ755" s="123"/>
      <c r="MBR755" s="123"/>
      <c r="MBS755" s="123"/>
      <c r="MBT755" s="123"/>
      <c r="MBU755" s="123"/>
      <c r="MBV755" s="123"/>
      <c r="MBW755" s="123"/>
      <c r="MBX755" s="123"/>
      <c r="MBY755" s="123"/>
      <c r="MBZ755" s="123"/>
      <c r="MCA755" s="123"/>
      <c r="MCB755" s="123"/>
      <c r="MCC755" s="123"/>
      <c r="MCD755" s="123"/>
      <c r="MCE755" s="123"/>
      <c r="MCF755" s="123"/>
      <c r="MCG755" s="123"/>
      <c r="MCH755" s="123"/>
      <c r="MCI755" s="123"/>
      <c r="MCJ755" s="123"/>
      <c r="MCK755" s="123"/>
      <c r="MCL755" s="123"/>
      <c r="MCM755" s="123"/>
      <c r="MCN755" s="123"/>
      <c r="MCO755" s="123"/>
      <c r="MCP755" s="123"/>
      <c r="MCQ755" s="123"/>
      <c r="MCR755" s="123"/>
      <c r="MCS755" s="123"/>
      <c r="MCT755" s="123"/>
      <c r="MCU755" s="123"/>
      <c r="MCV755" s="123"/>
      <c r="MCW755" s="123"/>
      <c r="MCX755" s="123"/>
      <c r="MCY755" s="123"/>
      <c r="MCZ755" s="123"/>
      <c r="MDA755" s="123"/>
      <c r="MDB755" s="123"/>
      <c r="MDC755" s="123"/>
      <c r="MDD755" s="123"/>
      <c r="MDE755" s="123"/>
      <c r="MDF755" s="123"/>
      <c r="MDG755" s="123"/>
      <c r="MDH755" s="123"/>
      <c r="MDI755" s="123"/>
      <c r="MDJ755" s="123"/>
      <c r="MDK755" s="123"/>
      <c r="MDL755" s="123"/>
      <c r="MDM755" s="123"/>
      <c r="MDN755" s="123"/>
      <c r="MDO755" s="123"/>
      <c r="MDP755" s="123"/>
      <c r="MDQ755" s="123"/>
      <c r="MDR755" s="123"/>
      <c r="MDS755" s="123"/>
      <c r="MDT755" s="123"/>
      <c r="MDU755" s="123"/>
      <c r="MDV755" s="123"/>
      <c r="MDW755" s="123"/>
      <c r="MDX755" s="123"/>
      <c r="MDY755" s="123"/>
      <c r="MDZ755" s="123"/>
      <c r="MEA755" s="123"/>
      <c r="MEB755" s="123"/>
      <c r="MEC755" s="123"/>
      <c r="MED755" s="123"/>
      <c r="MEE755" s="123"/>
      <c r="MEF755" s="123"/>
      <c r="MEG755" s="123"/>
      <c r="MEH755" s="123"/>
      <c r="MEI755" s="123"/>
      <c r="MEJ755" s="123"/>
      <c r="MEK755" s="123"/>
      <c r="MEL755" s="123"/>
      <c r="MEM755" s="123"/>
      <c r="MEN755" s="123"/>
      <c r="MEO755" s="123"/>
      <c r="MEP755" s="123"/>
      <c r="MEQ755" s="123"/>
      <c r="MER755" s="123"/>
      <c r="MES755" s="123"/>
      <c r="MET755" s="123"/>
      <c r="MEU755" s="123"/>
      <c r="MEV755" s="123"/>
      <c r="MEW755" s="123"/>
      <c r="MEX755" s="123"/>
      <c r="MEY755" s="123"/>
      <c r="MEZ755" s="123"/>
      <c r="MFA755" s="123"/>
      <c r="MFB755" s="123"/>
      <c r="MFC755" s="123"/>
      <c r="MFD755" s="123"/>
      <c r="MFE755" s="123"/>
      <c r="MFF755" s="123"/>
      <c r="MFG755" s="123"/>
      <c r="MFH755" s="123"/>
      <c r="MFI755" s="123"/>
      <c r="MFJ755" s="123"/>
      <c r="MFK755" s="123"/>
      <c r="MFL755" s="123"/>
      <c r="MFM755" s="123"/>
      <c r="MFN755" s="123"/>
      <c r="MFO755" s="123"/>
      <c r="MFP755" s="123"/>
      <c r="MFQ755" s="123"/>
      <c r="MFR755" s="123"/>
      <c r="MFS755" s="123"/>
      <c r="MFT755" s="123"/>
      <c r="MFU755" s="123"/>
      <c r="MFV755" s="123"/>
      <c r="MFW755" s="123"/>
      <c r="MFX755" s="123"/>
      <c r="MFY755" s="123"/>
      <c r="MFZ755" s="123"/>
      <c r="MGA755" s="123"/>
      <c r="MGB755" s="123"/>
      <c r="MGC755" s="123"/>
      <c r="MGD755" s="123"/>
      <c r="MGE755" s="123"/>
      <c r="MGF755" s="123"/>
      <c r="MGG755" s="123"/>
      <c r="MGH755" s="123"/>
      <c r="MGI755" s="123"/>
      <c r="MGJ755" s="123"/>
      <c r="MGK755" s="123"/>
      <c r="MGL755" s="123"/>
      <c r="MGM755" s="123"/>
      <c r="MGN755" s="123"/>
      <c r="MGO755" s="123"/>
      <c r="MGP755" s="123"/>
      <c r="MGQ755" s="123"/>
      <c r="MGR755" s="123"/>
      <c r="MGS755" s="123"/>
      <c r="MGT755" s="123"/>
      <c r="MGU755" s="123"/>
      <c r="MGV755" s="123"/>
      <c r="MGW755" s="123"/>
      <c r="MGX755" s="123"/>
      <c r="MGY755" s="123"/>
      <c r="MGZ755" s="123"/>
      <c r="MHA755" s="123"/>
      <c r="MHB755" s="123"/>
      <c r="MHC755" s="123"/>
      <c r="MHD755" s="123"/>
      <c r="MHE755" s="123"/>
      <c r="MHF755" s="123"/>
      <c r="MHG755" s="123"/>
      <c r="MHH755" s="123"/>
      <c r="MHI755" s="123"/>
      <c r="MHJ755" s="123"/>
      <c r="MHK755" s="123"/>
      <c r="MHL755" s="123"/>
      <c r="MHM755" s="123"/>
      <c r="MHN755" s="123"/>
      <c r="MHO755" s="123"/>
      <c r="MHP755" s="123"/>
      <c r="MHQ755" s="123"/>
      <c r="MHR755" s="123"/>
      <c r="MHS755" s="123"/>
      <c r="MHT755" s="123"/>
      <c r="MHU755" s="123"/>
      <c r="MHV755" s="123"/>
      <c r="MHW755" s="123"/>
      <c r="MHX755" s="123"/>
      <c r="MHY755" s="123"/>
      <c r="MHZ755" s="123"/>
      <c r="MIA755" s="123"/>
      <c r="MIB755" s="123"/>
      <c r="MIC755" s="123"/>
      <c r="MID755" s="123"/>
      <c r="MIE755" s="123"/>
      <c r="MIF755" s="123"/>
      <c r="MIG755" s="123"/>
      <c r="MIH755" s="123"/>
      <c r="MII755" s="123"/>
      <c r="MIJ755" s="123"/>
      <c r="MIK755" s="123"/>
      <c r="MIL755" s="123"/>
      <c r="MIM755" s="123"/>
      <c r="MIN755" s="123"/>
      <c r="MIO755" s="123"/>
      <c r="MIP755" s="123"/>
      <c r="MIQ755" s="123"/>
      <c r="MIR755" s="123"/>
      <c r="MIS755" s="123"/>
      <c r="MIT755" s="123"/>
      <c r="MIU755" s="123"/>
      <c r="MIV755" s="123"/>
      <c r="MIW755" s="123"/>
      <c r="MIX755" s="123"/>
      <c r="MIY755" s="123"/>
      <c r="MIZ755" s="123"/>
      <c r="MJA755" s="123"/>
      <c r="MJB755" s="123"/>
      <c r="MJC755" s="123"/>
      <c r="MJD755" s="123"/>
      <c r="MJE755" s="123"/>
      <c r="MJF755" s="123"/>
      <c r="MJG755" s="123"/>
      <c r="MJH755" s="123"/>
      <c r="MJI755" s="123"/>
      <c r="MJJ755" s="123"/>
      <c r="MJK755" s="123"/>
      <c r="MJL755" s="123"/>
      <c r="MJM755" s="123"/>
      <c r="MJN755" s="123"/>
      <c r="MJO755" s="123"/>
      <c r="MJP755" s="123"/>
      <c r="MJQ755" s="123"/>
      <c r="MJR755" s="123"/>
      <c r="MJS755" s="123"/>
      <c r="MJT755" s="123"/>
      <c r="MJU755" s="123"/>
      <c r="MJV755" s="123"/>
      <c r="MJW755" s="123"/>
      <c r="MJX755" s="123"/>
      <c r="MJY755" s="123"/>
      <c r="MJZ755" s="123"/>
      <c r="MKA755" s="123"/>
      <c r="MKB755" s="123"/>
      <c r="MKC755" s="123"/>
      <c r="MKD755" s="123"/>
      <c r="MKE755" s="123"/>
      <c r="MKF755" s="123"/>
      <c r="MKG755" s="123"/>
      <c r="MKH755" s="123"/>
      <c r="MKI755" s="123"/>
      <c r="MKJ755" s="123"/>
      <c r="MKK755" s="123"/>
      <c r="MKL755" s="123"/>
      <c r="MKM755" s="123"/>
      <c r="MKN755" s="123"/>
      <c r="MKO755" s="123"/>
      <c r="MKP755" s="123"/>
      <c r="MKQ755" s="123"/>
      <c r="MKR755" s="123"/>
      <c r="MKS755" s="123"/>
      <c r="MKT755" s="123"/>
      <c r="MKU755" s="123"/>
      <c r="MKV755" s="123"/>
      <c r="MKW755" s="123"/>
      <c r="MKX755" s="123"/>
      <c r="MKY755" s="123"/>
      <c r="MKZ755" s="123"/>
      <c r="MLA755" s="123"/>
      <c r="MLB755" s="123"/>
      <c r="MLC755" s="123"/>
      <c r="MLD755" s="123"/>
      <c r="MLE755" s="123"/>
      <c r="MLF755" s="123"/>
      <c r="MLG755" s="123"/>
      <c r="MLH755" s="123"/>
      <c r="MLI755" s="123"/>
      <c r="MLJ755" s="123"/>
      <c r="MLK755" s="123"/>
      <c r="MLL755" s="123"/>
      <c r="MLM755" s="123"/>
      <c r="MLN755" s="123"/>
      <c r="MLO755" s="123"/>
      <c r="MLP755" s="123"/>
      <c r="MLQ755" s="123"/>
      <c r="MLR755" s="123"/>
      <c r="MLS755" s="123"/>
      <c r="MLT755" s="123"/>
      <c r="MLU755" s="123"/>
      <c r="MLV755" s="123"/>
      <c r="MLW755" s="123"/>
      <c r="MLX755" s="123"/>
      <c r="MLY755" s="123"/>
      <c r="MLZ755" s="123"/>
      <c r="MMA755" s="123"/>
      <c r="MMB755" s="123"/>
      <c r="MMC755" s="123"/>
      <c r="MMD755" s="123"/>
      <c r="MME755" s="123"/>
      <c r="MMF755" s="123"/>
      <c r="MMG755" s="123"/>
      <c r="MMH755" s="123"/>
      <c r="MMI755" s="123"/>
      <c r="MMJ755" s="123"/>
      <c r="MMK755" s="123"/>
      <c r="MML755" s="123"/>
      <c r="MMM755" s="123"/>
      <c r="MMN755" s="123"/>
      <c r="MMO755" s="123"/>
      <c r="MMP755" s="123"/>
      <c r="MMQ755" s="123"/>
      <c r="MMR755" s="123"/>
      <c r="MMS755" s="123"/>
      <c r="MMT755" s="123"/>
      <c r="MMU755" s="123"/>
      <c r="MMV755" s="123"/>
      <c r="MMW755" s="123"/>
      <c r="MMX755" s="123"/>
      <c r="MMY755" s="123"/>
      <c r="MMZ755" s="123"/>
      <c r="MNA755" s="123"/>
      <c r="MNB755" s="123"/>
      <c r="MNC755" s="123"/>
      <c r="MND755" s="123"/>
      <c r="MNE755" s="123"/>
      <c r="MNF755" s="123"/>
      <c r="MNG755" s="123"/>
      <c r="MNH755" s="123"/>
      <c r="MNI755" s="123"/>
      <c r="MNJ755" s="123"/>
      <c r="MNK755" s="123"/>
      <c r="MNL755" s="123"/>
      <c r="MNM755" s="123"/>
      <c r="MNN755" s="123"/>
      <c r="MNO755" s="123"/>
      <c r="MNP755" s="123"/>
      <c r="MNQ755" s="123"/>
      <c r="MNR755" s="123"/>
      <c r="MNS755" s="123"/>
      <c r="MNT755" s="123"/>
      <c r="MNU755" s="123"/>
      <c r="MNV755" s="123"/>
      <c r="MNW755" s="123"/>
      <c r="MNX755" s="123"/>
      <c r="MNY755" s="123"/>
      <c r="MNZ755" s="123"/>
      <c r="MOA755" s="123"/>
      <c r="MOB755" s="123"/>
      <c r="MOC755" s="123"/>
      <c r="MOD755" s="123"/>
      <c r="MOE755" s="123"/>
      <c r="MOF755" s="123"/>
      <c r="MOG755" s="123"/>
      <c r="MOH755" s="123"/>
      <c r="MOI755" s="123"/>
      <c r="MOJ755" s="123"/>
      <c r="MOK755" s="123"/>
      <c r="MOL755" s="123"/>
      <c r="MOM755" s="123"/>
      <c r="MON755" s="123"/>
      <c r="MOO755" s="123"/>
      <c r="MOP755" s="123"/>
      <c r="MOQ755" s="123"/>
      <c r="MOR755" s="123"/>
      <c r="MOS755" s="123"/>
      <c r="MOT755" s="123"/>
      <c r="MOU755" s="123"/>
      <c r="MOV755" s="123"/>
      <c r="MOW755" s="123"/>
      <c r="MOX755" s="123"/>
      <c r="MOY755" s="123"/>
      <c r="MOZ755" s="123"/>
      <c r="MPA755" s="123"/>
      <c r="MPB755" s="123"/>
      <c r="MPC755" s="123"/>
      <c r="MPD755" s="123"/>
      <c r="MPE755" s="123"/>
      <c r="MPF755" s="123"/>
      <c r="MPG755" s="123"/>
      <c r="MPH755" s="123"/>
      <c r="MPI755" s="123"/>
      <c r="MPJ755" s="123"/>
      <c r="MPK755" s="123"/>
      <c r="MPL755" s="123"/>
      <c r="MPM755" s="123"/>
      <c r="MPN755" s="123"/>
      <c r="MPO755" s="123"/>
      <c r="MPP755" s="123"/>
      <c r="MPQ755" s="123"/>
      <c r="MPR755" s="123"/>
      <c r="MPS755" s="123"/>
      <c r="MPT755" s="123"/>
      <c r="MPU755" s="123"/>
      <c r="MPV755" s="123"/>
      <c r="MPW755" s="123"/>
      <c r="MPX755" s="123"/>
      <c r="MPY755" s="123"/>
      <c r="MPZ755" s="123"/>
      <c r="MQA755" s="123"/>
      <c r="MQB755" s="123"/>
      <c r="MQC755" s="123"/>
      <c r="MQD755" s="123"/>
      <c r="MQE755" s="123"/>
      <c r="MQF755" s="123"/>
      <c r="MQG755" s="123"/>
      <c r="MQH755" s="123"/>
      <c r="MQI755" s="123"/>
      <c r="MQJ755" s="123"/>
      <c r="MQK755" s="123"/>
      <c r="MQL755" s="123"/>
      <c r="MQM755" s="123"/>
      <c r="MQN755" s="123"/>
      <c r="MQO755" s="123"/>
      <c r="MQP755" s="123"/>
      <c r="MQQ755" s="123"/>
      <c r="MQR755" s="123"/>
      <c r="MQS755" s="123"/>
      <c r="MQT755" s="123"/>
      <c r="MQU755" s="123"/>
      <c r="MQV755" s="123"/>
      <c r="MQW755" s="123"/>
      <c r="MQX755" s="123"/>
      <c r="MQY755" s="123"/>
      <c r="MQZ755" s="123"/>
      <c r="MRA755" s="123"/>
      <c r="MRB755" s="123"/>
      <c r="MRC755" s="123"/>
      <c r="MRD755" s="123"/>
      <c r="MRE755" s="123"/>
      <c r="MRF755" s="123"/>
      <c r="MRG755" s="123"/>
      <c r="MRH755" s="123"/>
      <c r="MRI755" s="123"/>
      <c r="MRJ755" s="123"/>
      <c r="MRK755" s="123"/>
      <c r="MRL755" s="123"/>
      <c r="MRM755" s="123"/>
      <c r="MRN755" s="123"/>
      <c r="MRO755" s="123"/>
      <c r="MRP755" s="123"/>
      <c r="MRQ755" s="123"/>
      <c r="MRR755" s="123"/>
      <c r="MRS755" s="123"/>
      <c r="MRT755" s="123"/>
      <c r="MRU755" s="123"/>
      <c r="MRV755" s="123"/>
      <c r="MRW755" s="123"/>
      <c r="MRX755" s="123"/>
      <c r="MRY755" s="123"/>
      <c r="MRZ755" s="123"/>
      <c r="MSA755" s="123"/>
      <c r="MSB755" s="123"/>
      <c r="MSC755" s="123"/>
      <c r="MSD755" s="123"/>
      <c r="MSE755" s="123"/>
      <c r="MSF755" s="123"/>
      <c r="MSG755" s="123"/>
      <c r="MSH755" s="123"/>
      <c r="MSI755" s="123"/>
      <c r="MSJ755" s="123"/>
      <c r="MSK755" s="123"/>
      <c r="MSL755" s="123"/>
      <c r="MSM755" s="123"/>
      <c r="MSN755" s="123"/>
      <c r="MSO755" s="123"/>
      <c r="MSP755" s="123"/>
      <c r="MSQ755" s="123"/>
      <c r="MSR755" s="123"/>
      <c r="MSS755" s="123"/>
      <c r="MST755" s="123"/>
      <c r="MSU755" s="123"/>
      <c r="MSV755" s="123"/>
      <c r="MSW755" s="123"/>
      <c r="MSX755" s="123"/>
      <c r="MSY755" s="123"/>
      <c r="MSZ755" s="123"/>
      <c r="MTA755" s="123"/>
      <c r="MTB755" s="123"/>
      <c r="MTC755" s="123"/>
      <c r="MTD755" s="123"/>
      <c r="MTE755" s="123"/>
      <c r="MTF755" s="123"/>
      <c r="MTG755" s="123"/>
      <c r="MTH755" s="123"/>
      <c r="MTI755" s="123"/>
      <c r="MTJ755" s="123"/>
      <c r="MTK755" s="123"/>
      <c r="MTL755" s="123"/>
      <c r="MTM755" s="123"/>
      <c r="MTN755" s="123"/>
      <c r="MTO755" s="123"/>
      <c r="MTP755" s="123"/>
      <c r="MTQ755" s="123"/>
      <c r="MTR755" s="123"/>
      <c r="MTS755" s="123"/>
      <c r="MTT755" s="123"/>
      <c r="MTU755" s="123"/>
      <c r="MTV755" s="123"/>
      <c r="MTW755" s="123"/>
      <c r="MTX755" s="123"/>
      <c r="MTY755" s="123"/>
      <c r="MTZ755" s="123"/>
      <c r="MUA755" s="123"/>
      <c r="MUB755" s="123"/>
      <c r="MUC755" s="123"/>
      <c r="MUD755" s="123"/>
      <c r="MUE755" s="123"/>
      <c r="MUF755" s="123"/>
      <c r="MUG755" s="123"/>
      <c r="MUH755" s="123"/>
      <c r="MUI755" s="123"/>
      <c r="MUJ755" s="123"/>
      <c r="MUK755" s="123"/>
      <c r="MUL755" s="123"/>
      <c r="MUM755" s="123"/>
      <c r="MUN755" s="123"/>
      <c r="MUO755" s="123"/>
      <c r="MUP755" s="123"/>
      <c r="MUQ755" s="123"/>
      <c r="MUR755" s="123"/>
      <c r="MUS755" s="123"/>
      <c r="MUT755" s="123"/>
      <c r="MUU755" s="123"/>
      <c r="MUV755" s="123"/>
      <c r="MUW755" s="123"/>
      <c r="MUX755" s="123"/>
      <c r="MUY755" s="123"/>
      <c r="MUZ755" s="123"/>
      <c r="MVA755" s="123"/>
      <c r="MVB755" s="123"/>
      <c r="MVC755" s="123"/>
      <c r="MVD755" s="123"/>
      <c r="MVE755" s="123"/>
      <c r="MVF755" s="123"/>
      <c r="MVG755" s="123"/>
      <c r="MVH755" s="123"/>
      <c r="MVI755" s="123"/>
      <c r="MVJ755" s="123"/>
      <c r="MVK755" s="123"/>
      <c r="MVL755" s="123"/>
      <c r="MVM755" s="123"/>
      <c r="MVN755" s="123"/>
      <c r="MVO755" s="123"/>
      <c r="MVP755" s="123"/>
      <c r="MVQ755" s="123"/>
      <c r="MVR755" s="123"/>
      <c r="MVS755" s="123"/>
      <c r="MVT755" s="123"/>
      <c r="MVU755" s="123"/>
      <c r="MVV755" s="123"/>
      <c r="MVW755" s="123"/>
      <c r="MVX755" s="123"/>
      <c r="MVY755" s="123"/>
      <c r="MVZ755" s="123"/>
      <c r="MWA755" s="123"/>
      <c r="MWB755" s="123"/>
      <c r="MWC755" s="123"/>
      <c r="MWD755" s="123"/>
      <c r="MWE755" s="123"/>
      <c r="MWF755" s="123"/>
      <c r="MWG755" s="123"/>
      <c r="MWH755" s="123"/>
      <c r="MWI755" s="123"/>
      <c r="MWJ755" s="123"/>
      <c r="MWK755" s="123"/>
      <c r="MWL755" s="123"/>
      <c r="MWM755" s="123"/>
      <c r="MWN755" s="123"/>
      <c r="MWO755" s="123"/>
      <c r="MWP755" s="123"/>
      <c r="MWQ755" s="123"/>
      <c r="MWR755" s="123"/>
      <c r="MWS755" s="123"/>
      <c r="MWT755" s="123"/>
      <c r="MWU755" s="123"/>
      <c r="MWV755" s="123"/>
      <c r="MWW755" s="123"/>
      <c r="MWX755" s="123"/>
      <c r="MWY755" s="123"/>
      <c r="MWZ755" s="123"/>
      <c r="MXA755" s="123"/>
      <c r="MXB755" s="123"/>
      <c r="MXC755" s="123"/>
      <c r="MXD755" s="123"/>
      <c r="MXE755" s="123"/>
      <c r="MXF755" s="123"/>
      <c r="MXG755" s="123"/>
      <c r="MXH755" s="123"/>
      <c r="MXI755" s="123"/>
      <c r="MXJ755" s="123"/>
      <c r="MXK755" s="123"/>
      <c r="MXL755" s="123"/>
      <c r="MXM755" s="123"/>
      <c r="MXN755" s="123"/>
      <c r="MXO755" s="123"/>
      <c r="MXP755" s="123"/>
      <c r="MXQ755" s="123"/>
      <c r="MXR755" s="123"/>
      <c r="MXS755" s="123"/>
      <c r="MXT755" s="123"/>
      <c r="MXU755" s="123"/>
      <c r="MXV755" s="123"/>
      <c r="MXW755" s="123"/>
      <c r="MXX755" s="123"/>
      <c r="MXY755" s="123"/>
      <c r="MXZ755" s="123"/>
      <c r="MYA755" s="123"/>
      <c r="MYB755" s="123"/>
      <c r="MYC755" s="123"/>
      <c r="MYD755" s="123"/>
      <c r="MYE755" s="123"/>
      <c r="MYF755" s="123"/>
      <c r="MYG755" s="123"/>
      <c r="MYH755" s="123"/>
      <c r="MYI755" s="123"/>
      <c r="MYJ755" s="123"/>
      <c r="MYK755" s="123"/>
      <c r="MYL755" s="123"/>
      <c r="MYM755" s="123"/>
      <c r="MYN755" s="123"/>
      <c r="MYO755" s="123"/>
      <c r="MYP755" s="123"/>
      <c r="MYQ755" s="123"/>
      <c r="MYR755" s="123"/>
      <c r="MYS755" s="123"/>
      <c r="MYT755" s="123"/>
      <c r="MYU755" s="123"/>
      <c r="MYV755" s="123"/>
      <c r="MYW755" s="123"/>
      <c r="MYX755" s="123"/>
      <c r="MYY755" s="123"/>
      <c r="MYZ755" s="123"/>
      <c r="MZA755" s="123"/>
      <c r="MZB755" s="123"/>
      <c r="MZC755" s="123"/>
      <c r="MZD755" s="123"/>
      <c r="MZE755" s="123"/>
      <c r="MZF755" s="123"/>
      <c r="MZG755" s="123"/>
      <c r="MZH755" s="123"/>
      <c r="MZI755" s="123"/>
      <c r="MZJ755" s="123"/>
      <c r="MZK755" s="123"/>
      <c r="MZL755" s="123"/>
      <c r="MZM755" s="123"/>
      <c r="MZN755" s="123"/>
      <c r="MZO755" s="123"/>
      <c r="MZP755" s="123"/>
      <c r="MZQ755" s="123"/>
      <c r="MZR755" s="123"/>
      <c r="MZS755" s="123"/>
      <c r="MZT755" s="123"/>
      <c r="MZU755" s="123"/>
      <c r="MZV755" s="123"/>
      <c r="MZW755" s="123"/>
      <c r="MZX755" s="123"/>
      <c r="MZY755" s="123"/>
      <c r="MZZ755" s="123"/>
      <c r="NAA755" s="123"/>
      <c r="NAB755" s="123"/>
      <c r="NAC755" s="123"/>
      <c r="NAD755" s="123"/>
      <c r="NAE755" s="123"/>
      <c r="NAF755" s="123"/>
      <c r="NAG755" s="123"/>
      <c r="NAH755" s="123"/>
      <c r="NAI755" s="123"/>
      <c r="NAJ755" s="123"/>
      <c r="NAK755" s="123"/>
      <c r="NAL755" s="123"/>
      <c r="NAM755" s="123"/>
      <c r="NAN755" s="123"/>
      <c r="NAO755" s="123"/>
      <c r="NAP755" s="123"/>
      <c r="NAQ755" s="123"/>
      <c r="NAR755" s="123"/>
      <c r="NAS755" s="123"/>
      <c r="NAT755" s="123"/>
      <c r="NAU755" s="123"/>
      <c r="NAV755" s="123"/>
      <c r="NAW755" s="123"/>
      <c r="NAX755" s="123"/>
      <c r="NAY755" s="123"/>
      <c r="NAZ755" s="123"/>
      <c r="NBA755" s="123"/>
      <c r="NBB755" s="123"/>
      <c r="NBC755" s="123"/>
      <c r="NBD755" s="123"/>
      <c r="NBE755" s="123"/>
      <c r="NBF755" s="123"/>
      <c r="NBG755" s="123"/>
      <c r="NBH755" s="123"/>
      <c r="NBI755" s="123"/>
      <c r="NBJ755" s="123"/>
      <c r="NBK755" s="123"/>
      <c r="NBL755" s="123"/>
      <c r="NBM755" s="123"/>
      <c r="NBN755" s="123"/>
      <c r="NBO755" s="123"/>
      <c r="NBP755" s="123"/>
      <c r="NBQ755" s="123"/>
      <c r="NBR755" s="123"/>
      <c r="NBS755" s="123"/>
      <c r="NBT755" s="123"/>
      <c r="NBU755" s="123"/>
      <c r="NBV755" s="123"/>
      <c r="NBW755" s="123"/>
      <c r="NBX755" s="123"/>
      <c r="NBY755" s="123"/>
      <c r="NBZ755" s="123"/>
      <c r="NCA755" s="123"/>
      <c r="NCB755" s="123"/>
      <c r="NCC755" s="123"/>
      <c r="NCD755" s="123"/>
      <c r="NCE755" s="123"/>
      <c r="NCF755" s="123"/>
      <c r="NCG755" s="123"/>
      <c r="NCH755" s="123"/>
      <c r="NCI755" s="123"/>
      <c r="NCJ755" s="123"/>
      <c r="NCK755" s="123"/>
      <c r="NCL755" s="123"/>
      <c r="NCM755" s="123"/>
      <c r="NCN755" s="123"/>
      <c r="NCO755" s="123"/>
      <c r="NCP755" s="123"/>
      <c r="NCQ755" s="123"/>
      <c r="NCR755" s="123"/>
      <c r="NCS755" s="123"/>
      <c r="NCT755" s="123"/>
      <c r="NCU755" s="123"/>
      <c r="NCV755" s="123"/>
      <c r="NCW755" s="123"/>
      <c r="NCX755" s="123"/>
      <c r="NCY755" s="123"/>
      <c r="NCZ755" s="123"/>
      <c r="NDA755" s="123"/>
      <c r="NDB755" s="123"/>
      <c r="NDC755" s="123"/>
      <c r="NDD755" s="123"/>
      <c r="NDE755" s="123"/>
      <c r="NDF755" s="123"/>
      <c r="NDG755" s="123"/>
      <c r="NDH755" s="123"/>
      <c r="NDI755" s="123"/>
      <c r="NDJ755" s="123"/>
      <c r="NDK755" s="123"/>
      <c r="NDL755" s="123"/>
      <c r="NDM755" s="123"/>
      <c r="NDN755" s="123"/>
      <c r="NDO755" s="123"/>
      <c r="NDP755" s="123"/>
      <c r="NDQ755" s="123"/>
      <c r="NDR755" s="123"/>
      <c r="NDS755" s="123"/>
      <c r="NDT755" s="123"/>
      <c r="NDU755" s="123"/>
      <c r="NDV755" s="123"/>
      <c r="NDW755" s="123"/>
      <c r="NDX755" s="123"/>
      <c r="NDY755" s="123"/>
      <c r="NDZ755" s="123"/>
      <c r="NEA755" s="123"/>
      <c r="NEB755" s="123"/>
      <c r="NEC755" s="123"/>
      <c r="NED755" s="123"/>
      <c r="NEE755" s="123"/>
      <c r="NEF755" s="123"/>
      <c r="NEG755" s="123"/>
      <c r="NEH755" s="123"/>
      <c r="NEI755" s="123"/>
      <c r="NEJ755" s="123"/>
      <c r="NEK755" s="123"/>
      <c r="NEL755" s="123"/>
      <c r="NEM755" s="123"/>
      <c r="NEN755" s="123"/>
      <c r="NEO755" s="123"/>
      <c r="NEP755" s="123"/>
      <c r="NEQ755" s="123"/>
      <c r="NER755" s="123"/>
      <c r="NES755" s="123"/>
      <c r="NET755" s="123"/>
      <c r="NEU755" s="123"/>
      <c r="NEV755" s="123"/>
      <c r="NEW755" s="123"/>
      <c r="NEX755" s="123"/>
      <c r="NEY755" s="123"/>
      <c r="NEZ755" s="123"/>
      <c r="NFA755" s="123"/>
      <c r="NFB755" s="123"/>
      <c r="NFC755" s="123"/>
      <c r="NFD755" s="123"/>
      <c r="NFE755" s="123"/>
      <c r="NFF755" s="123"/>
      <c r="NFG755" s="123"/>
      <c r="NFH755" s="123"/>
      <c r="NFI755" s="123"/>
      <c r="NFJ755" s="123"/>
      <c r="NFK755" s="123"/>
      <c r="NFL755" s="123"/>
      <c r="NFM755" s="123"/>
      <c r="NFN755" s="123"/>
      <c r="NFO755" s="123"/>
      <c r="NFP755" s="123"/>
      <c r="NFQ755" s="123"/>
      <c r="NFR755" s="123"/>
      <c r="NFS755" s="123"/>
      <c r="NFT755" s="123"/>
      <c r="NFU755" s="123"/>
      <c r="NFV755" s="123"/>
      <c r="NFW755" s="123"/>
      <c r="NFX755" s="123"/>
      <c r="NFY755" s="123"/>
      <c r="NFZ755" s="123"/>
      <c r="NGA755" s="123"/>
      <c r="NGB755" s="123"/>
      <c r="NGC755" s="123"/>
      <c r="NGD755" s="123"/>
      <c r="NGE755" s="123"/>
      <c r="NGF755" s="123"/>
      <c r="NGG755" s="123"/>
      <c r="NGH755" s="123"/>
      <c r="NGI755" s="123"/>
      <c r="NGJ755" s="123"/>
      <c r="NGK755" s="123"/>
      <c r="NGL755" s="123"/>
      <c r="NGM755" s="123"/>
      <c r="NGN755" s="123"/>
      <c r="NGO755" s="123"/>
      <c r="NGP755" s="123"/>
      <c r="NGQ755" s="123"/>
      <c r="NGR755" s="123"/>
      <c r="NGS755" s="123"/>
      <c r="NGT755" s="123"/>
      <c r="NGU755" s="123"/>
      <c r="NGV755" s="123"/>
      <c r="NGW755" s="123"/>
      <c r="NGX755" s="123"/>
      <c r="NGY755" s="123"/>
      <c r="NGZ755" s="123"/>
      <c r="NHA755" s="123"/>
      <c r="NHB755" s="123"/>
      <c r="NHC755" s="123"/>
      <c r="NHD755" s="123"/>
      <c r="NHE755" s="123"/>
      <c r="NHF755" s="123"/>
      <c r="NHG755" s="123"/>
      <c r="NHH755" s="123"/>
      <c r="NHI755" s="123"/>
      <c r="NHJ755" s="123"/>
      <c r="NHK755" s="123"/>
      <c r="NHL755" s="123"/>
      <c r="NHM755" s="123"/>
      <c r="NHN755" s="123"/>
      <c r="NHO755" s="123"/>
      <c r="NHP755" s="123"/>
      <c r="NHQ755" s="123"/>
      <c r="NHR755" s="123"/>
      <c r="NHS755" s="123"/>
      <c r="NHT755" s="123"/>
      <c r="NHU755" s="123"/>
      <c r="NHV755" s="123"/>
      <c r="NHW755" s="123"/>
      <c r="NHX755" s="123"/>
      <c r="NHY755" s="123"/>
      <c r="NHZ755" s="123"/>
      <c r="NIA755" s="123"/>
      <c r="NIB755" s="123"/>
      <c r="NIC755" s="123"/>
      <c r="NID755" s="123"/>
      <c r="NIE755" s="123"/>
      <c r="NIF755" s="123"/>
      <c r="NIG755" s="123"/>
      <c r="NIH755" s="123"/>
      <c r="NII755" s="123"/>
      <c r="NIJ755" s="123"/>
      <c r="NIK755" s="123"/>
      <c r="NIL755" s="123"/>
      <c r="NIM755" s="123"/>
      <c r="NIN755" s="123"/>
      <c r="NIO755" s="123"/>
      <c r="NIP755" s="123"/>
      <c r="NIQ755" s="123"/>
      <c r="NIR755" s="123"/>
      <c r="NIS755" s="123"/>
      <c r="NIT755" s="123"/>
      <c r="NIU755" s="123"/>
      <c r="NIV755" s="123"/>
      <c r="NIW755" s="123"/>
      <c r="NIX755" s="123"/>
      <c r="NIY755" s="123"/>
      <c r="NIZ755" s="123"/>
      <c r="NJA755" s="123"/>
      <c r="NJB755" s="123"/>
      <c r="NJC755" s="123"/>
      <c r="NJD755" s="123"/>
      <c r="NJE755" s="123"/>
      <c r="NJF755" s="123"/>
      <c r="NJG755" s="123"/>
      <c r="NJH755" s="123"/>
      <c r="NJI755" s="123"/>
      <c r="NJJ755" s="123"/>
      <c r="NJK755" s="123"/>
      <c r="NJL755" s="123"/>
      <c r="NJM755" s="123"/>
      <c r="NJN755" s="123"/>
      <c r="NJO755" s="123"/>
      <c r="NJP755" s="123"/>
      <c r="NJQ755" s="123"/>
      <c r="NJR755" s="123"/>
      <c r="NJS755" s="123"/>
      <c r="NJT755" s="123"/>
      <c r="NJU755" s="123"/>
      <c r="NJV755" s="123"/>
      <c r="NJW755" s="123"/>
      <c r="NJX755" s="123"/>
      <c r="NJY755" s="123"/>
      <c r="NJZ755" s="123"/>
      <c r="NKA755" s="123"/>
      <c r="NKB755" s="123"/>
      <c r="NKC755" s="123"/>
      <c r="NKD755" s="123"/>
      <c r="NKE755" s="123"/>
      <c r="NKF755" s="123"/>
      <c r="NKG755" s="123"/>
      <c r="NKH755" s="123"/>
      <c r="NKI755" s="123"/>
      <c r="NKJ755" s="123"/>
      <c r="NKK755" s="123"/>
      <c r="NKL755" s="123"/>
      <c r="NKM755" s="123"/>
      <c r="NKN755" s="123"/>
      <c r="NKO755" s="123"/>
      <c r="NKP755" s="123"/>
      <c r="NKQ755" s="123"/>
      <c r="NKR755" s="123"/>
      <c r="NKS755" s="123"/>
      <c r="NKT755" s="123"/>
      <c r="NKU755" s="123"/>
      <c r="NKV755" s="123"/>
      <c r="NKW755" s="123"/>
      <c r="NKX755" s="123"/>
      <c r="NKY755" s="123"/>
      <c r="NKZ755" s="123"/>
      <c r="NLA755" s="123"/>
      <c r="NLB755" s="123"/>
      <c r="NLC755" s="123"/>
      <c r="NLD755" s="123"/>
      <c r="NLE755" s="123"/>
      <c r="NLF755" s="123"/>
      <c r="NLG755" s="123"/>
      <c r="NLH755" s="123"/>
      <c r="NLI755" s="123"/>
      <c r="NLJ755" s="123"/>
      <c r="NLK755" s="123"/>
      <c r="NLL755" s="123"/>
      <c r="NLM755" s="123"/>
      <c r="NLN755" s="123"/>
      <c r="NLO755" s="123"/>
      <c r="NLP755" s="123"/>
      <c r="NLQ755" s="123"/>
      <c r="NLR755" s="123"/>
      <c r="NLS755" s="123"/>
      <c r="NLT755" s="123"/>
      <c r="NLU755" s="123"/>
      <c r="NLV755" s="123"/>
      <c r="NLW755" s="123"/>
      <c r="NLX755" s="123"/>
      <c r="NLY755" s="123"/>
      <c r="NLZ755" s="123"/>
      <c r="NMA755" s="123"/>
      <c r="NMB755" s="123"/>
      <c r="NMC755" s="123"/>
      <c r="NMD755" s="123"/>
      <c r="NME755" s="123"/>
      <c r="NMF755" s="123"/>
      <c r="NMG755" s="123"/>
      <c r="NMH755" s="123"/>
      <c r="NMI755" s="123"/>
      <c r="NMJ755" s="123"/>
      <c r="NMK755" s="123"/>
      <c r="NML755" s="123"/>
      <c r="NMM755" s="123"/>
      <c r="NMN755" s="123"/>
      <c r="NMO755" s="123"/>
      <c r="NMP755" s="123"/>
      <c r="NMQ755" s="123"/>
      <c r="NMR755" s="123"/>
      <c r="NMS755" s="123"/>
      <c r="NMT755" s="123"/>
      <c r="NMU755" s="123"/>
      <c r="NMV755" s="123"/>
      <c r="NMW755" s="123"/>
      <c r="NMX755" s="123"/>
      <c r="NMY755" s="123"/>
      <c r="NMZ755" s="123"/>
      <c r="NNA755" s="123"/>
      <c r="NNB755" s="123"/>
      <c r="NNC755" s="123"/>
      <c r="NND755" s="123"/>
      <c r="NNE755" s="123"/>
      <c r="NNF755" s="123"/>
      <c r="NNG755" s="123"/>
      <c r="NNH755" s="123"/>
      <c r="NNI755" s="123"/>
      <c r="NNJ755" s="123"/>
      <c r="NNK755" s="123"/>
      <c r="NNL755" s="123"/>
      <c r="NNM755" s="123"/>
      <c r="NNN755" s="123"/>
      <c r="NNO755" s="123"/>
      <c r="NNP755" s="123"/>
      <c r="NNQ755" s="123"/>
      <c r="NNR755" s="123"/>
      <c r="NNS755" s="123"/>
      <c r="NNT755" s="123"/>
      <c r="NNU755" s="123"/>
      <c r="NNV755" s="123"/>
      <c r="NNW755" s="123"/>
      <c r="NNX755" s="123"/>
      <c r="NNY755" s="123"/>
      <c r="NNZ755" s="123"/>
      <c r="NOA755" s="123"/>
      <c r="NOB755" s="123"/>
      <c r="NOC755" s="123"/>
      <c r="NOD755" s="123"/>
      <c r="NOE755" s="123"/>
      <c r="NOF755" s="123"/>
      <c r="NOG755" s="123"/>
      <c r="NOH755" s="123"/>
      <c r="NOI755" s="123"/>
      <c r="NOJ755" s="123"/>
      <c r="NOK755" s="123"/>
      <c r="NOL755" s="123"/>
      <c r="NOM755" s="123"/>
      <c r="NON755" s="123"/>
      <c r="NOO755" s="123"/>
      <c r="NOP755" s="123"/>
      <c r="NOQ755" s="123"/>
      <c r="NOR755" s="123"/>
      <c r="NOS755" s="123"/>
      <c r="NOT755" s="123"/>
      <c r="NOU755" s="123"/>
      <c r="NOV755" s="123"/>
      <c r="NOW755" s="123"/>
      <c r="NOX755" s="123"/>
      <c r="NOY755" s="123"/>
      <c r="NOZ755" s="123"/>
      <c r="NPA755" s="123"/>
      <c r="NPB755" s="123"/>
      <c r="NPC755" s="123"/>
      <c r="NPD755" s="123"/>
      <c r="NPE755" s="123"/>
      <c r="NPF755" s="123"/>
      <c r="NPG755" s="123"/>
      <c r="NPH755" s="123"/>
      <c r="NPI755" s="123"/>
      <c r="NPJ755" s="123"/>
      <c r="NPK755" s="123"/>
      <c r="NPL755" s="123"/>
      <c r="NPM755" s="123"/>
      <c r="NPN755" s="123"/>
      <c r="NPO755" s="123"/>
      <c r="NPP755" s="123"/>
      <c r="NPQ755" s="123"/>
      <c r="NPR755" s="123"/>
      <c r="NPS755" s="123"/>
      <c r="NPT755" s="123"/>
      <c r="NPU755" s="123"/>
      <c r="NPV755" s="123"/>
      <c r="NPW755" s="123"/>
      <c r="NPX755" s="123"/>
      <c r="NPY755" s="123"/>
      <c r="NPZ755" s="123"/>
      <c r="NQA755" s="123"/>
      <c r="NQB755" s="123"/>
      <c r="NQC755" s="123"/>
      <c r="NQD755" s="123"/>
      <c r="NQE755" s="123"/>
      <c r="NQF755" s="123"/>
      <c r="NQG755" s="123"/>
      <c r="NQH755" s="123"/>
      <c r="NQI755" s="123"/>
      <c r="NQJ755" s="123"/>
      <c r="NQK755" s="123"/>
      <c r="NQL755" s="123"/>
      <c r="NQM755" s="123"/>
      <c r="NQN755" s="123"/>
      <c r="NQO755" s="123"/>
      <c r="NQP755" s="123"/>
      <c r="NQQ755" s="123"/>
      <c r="NQR755" s="123"/>
      <c r="NQS755" s="123"/>
      <c r="NQT755" s="123"/>
      <c r="NQU755" s="123"/>
      <c r="NQV755" s="123"/>
      <c r="NQW755" s="123"/>
      <c r="NQX755" s="123"/>
      <c r="NQY755" s="123"/>
      <c r="NQZ755" s="123"/>
      <c r="NRA755" s="123"/>
      <c r="NRB755" s="123"/>
      <c r="NRC755" s="123"/>
      <c r="NRD755" s="123"/>
      <c r="NRE755" s="123"/>
      <c r="NRF755" s="123"/>
      <c r="NRG755" s="123"/>
      <c r="NRH755" s="123"/>
      <c r="NRI755" s="123"/>
      <c r="NRJ755" s="123"/>
      <c r="NRK755" s="123"/>
      <c r="NRL755" s="123"/>
      <c r="NRM755" s="123"/>
      <c r="NRN755" s="123"/>
      <c r="NRO755" s="123"/>
      <c r="NRP755" s="123"/>
      <c r="NRQ755" s="123"/>
      <c r="NRR755" s="123"/>
      <c r="NRS755" s="123"/>
      <c r="NRT755" s="123"/>
      <c r="NRU755" s="123"/>
      <c r="NRV755" s="123"/>
      <c r="NRW755" s="123"/>
      <c r="NRX755" s="123"/>
      <c r="NRY755" s="123"/>
      <c r="NRZ755" s="123"/>
      <c r="NSA755" s="123"/>
      <c r="NSB755" s="123"/>
      <c r="NSC755" s="123"/>
      <c r="NSD755" s="123"/>
      <c r="NSE755" s="123"/>
      <c r="NSF755" s="123"/>
      <c r="NSG755" s="123"/>
      <c r="NSH755" s="123"/>
      <c r="NSI755" s="123"/>
      <c r="NSJ755" s="123"/>
      <c r="NSK755" s="123"/>
      <c r="NSL755" s="123"/>
      <c r="NSM755" s="123"/>
      <c r="NSN755" s="123"/>
      <c r="NSO755" s="123"/>
      <c r="NSP755" s="123"/>
      <c r="NSQ755" s="123"/>
      <c r="NSR755" s="123"/>
      <c r="NSS755" s="123"/>
      <c r="NST755" s="123"/>
      <c r="NSU755" s="123"/>
      <c r="NSV755" s="123"/>
      <c r="NSW755" s="123"/>
      <c r="NSX755" s="123"/>
      <c r="NSY755" s="123"/>
      <c r="NSZ755" s="123"/>
      <c r="NTA755" s="123"/>
      <c r="NTB755" s="123"/>
      <c r="NTC755" s="123"/>
      <c r="NTD755" s="123"/>
      <c r="NTE755" s="123"/>
      <c r="NTF755" s="123"/>
      <c r="NTG755" s="123"/>
      <c r="NTH755" s="123"/>
      <c r="NTI755" s="123"/>
      <c r="NTJ755" s="123"/>
      <c r="NTK755" s="123"/>
      <c r="NTL755" s="123"/>
      <c r="NTM755" s="123"/>
      <c r="NTN755" s="123"/>
      <c r="NTO755" s="123"/>
      <c r="NTP755" s="123"/>
      <c r="NTQ755" s="123"/>
      <c r="NTR755" s="123"/>
      <c r="NTS755" s="123"/>
      <c r="NTT755" s="123"/>
      <c r="NTU755" s="123"/>
      <c r="NTV755" s="123"/>
      <c r="NTW755" s="123"/>
      <c r="NTX755" s="123"/>
      <c r="NTY755" s="123"/>
      <c r="NTZ755" s="123"/>
      <c r="NUA755" s="123"/>
      <c r="NUB755" s="123"/>
      <c r="NUC755" s="123"/>
      <c r="NUD755" s="123"/>
      <c r="NUE755" s="123"/>
      <c r="NUF755" s="123"/>
      <c r="NUG755" s="123"/>
      <c r="NUH755" s="123"/>
      <c r="NUI755" s="123"/>
      <c r="NUJ755" s="123"/>
      <c r="NUK755" s="123"/>
      <c r="NUL755" s="123"/>
      <c r="NUM755" s="123"/>
      <c r="NUN755" s="123"/>
      <c r="NUO755" s="123"/>
      <c r="NUP755" s="123"/>
      <c r="NUQ755" s="123"/>
      <c r="NUR755" s="123"/>
      <c r="NUS755" s="123"/>
      <c r="NUT755" s="123"/>
      <c r="NUU755" s="123"/>
      <c r="NUV755" s="123"/>
      <c r="NUW755" s="123"/>
      <c r="NUX755" s="123"/>
      <c r="NUY755" s="123"/>
      <c r="NUZ755" s="123"/>
      <c r="NVA755" s="123"/>
      <c r="NVB755" s="123"/>
      <c r="NVC755" s="123"/>
      <c r="NVD755" s="123"/>
      <c r="NVE755" s="123"/>
      <c r="NVF755" s="123"/>
      <c r="NVG755" s="123"/>
      <c r="NVH755" s="123"/>
      <c r="NVI755" s="123"/>
      <c r="NVJ755" s="123"/>
      <c r="NVK755" s="123"/>
      <c r="NVL755" s="123"/>
      <c r="NVM755" s="123"/>
      <c r="NVN755" s="123"/>
      <c r="NVO755" s="123"/>
      <c r="NVP755" s="123"/>
      <c r="NVQ755" s="123"/>
      <c r="NVR755" s="123"/>
      <c r="NVS755" s="123"/>
      <c r="NVT755" s="123"/>
      <c r="NVU755" s="123"/>
      <c r="NVV755" s="123"/>
      <c r="NVW755" s="123"/>
      <c r="NVX755" s="123"/>
      <c r="NVY755" s="123"/>
      <c r="NVZ755" s="123"/>
      <c r="NWA755" s="123"/>
      <c r="NWB755" s="123"/>
      <c r="NWC755" s="123"/>
      <c r="NWD755" s="123"/>
      <c r="NWE755" s="123"/>
      <c r="NWF755" s="123"/>
      <c r="NWG755" s="123"/>
      <c r="NWH755" s="123"/>
      <c r="NWI755" s="123"/>
      <c r="NWJ755" s="123"/>
      <c r="NWK755" s="123"/>
      <c r="NWL755" s="123"/>
      <c r="NWM755" s="123"/>
      <c r="NWN755" s="123"/>
      <c r="NWO755" s="123"/>
      <c r="NWP755" s="123"/>
      <c r="NWQ755" s="123"/>
      <c r="NWR755" s="123"/>
      <c r="NWS755" s="123"/>
      <c r="NWT755" s="123"/>
      <c r="NWU755" s="123"/>
      <c r="NWV755" s="123"/>
      <c r="NWW755" s="123"/>
      <c r="NWX755" s="123"/>
      <c r="NWY755" s="123"/>
      <c r="NWZ755" s="123"/>
      <c r="NXA755" s="123"/>
      <c r="NXB755" s="123"/>
      <c r="NXC755" s="123"/>
      <c r="NXD755" s="123"/>
      <c r="NXE755" s="123"/>
      <c r="NXF755" s="123"/>
      <c r="NXG755" s="123"/>
      <c r="NXH755" s="123"/>
      <c r="NXI755" s="123"/>
      <c r="NXJ755" s="123"/>
      <c r="NXK755" s="123"/>
      <c r="NXL755" s="123"/>
      <c r="NXM755" s="123"/>
      <c r="NXN755" s="123"/>
      <c r="NXO755" s="123"/>
      <c r="NXP755" s="123"/>
      <c r="NXQ755" s="123"/>
      <c r="NXR755" s="123"/>
      <c r="NXS755" s="123"/>
      <c r="NXT755" s="123"/>
      <c r="NXU755" s="123"/>
      <c r="NXV755" s="123"/>
      <c r="NXW755" s="123"/>
      <c r="NXX755" s="123"/>
      <c r="NXY755" s="123"/>
      <c r="NXZ755" s="123"/>
      <c r="NYA755" s="123"/>
      <c r="NYB755" s="123"/>
      <c r="NYC755" s="123"/>
      <c r="NYD755" s="123"/>
      <c r="NYE755" s="123"/>
      <c r="NYF755" s="123"/>
      <c r="NYG755" s="123"/>
      <c r="NYH755" s="123"/>
      <c r="NYI755" s="123"/>
      <c r="NYJ755" s="123"/>
      <c r="NYK755" s="123"/>
      <c r="NYL755" s="123"/>
      <c r="NYM755" s="123"/>
      <c r="NYN755" s="123"/>
      <c r="NYO755" s="123"/>
      <c r="NYP755" s="123"/>
      <c r="NYQ755" s="123"/>
      <c r="NYR755" s="123"/>
      <c r="NYS755" s="123"/>
      <c r="NYT755" s="123"/>
      <c r="NYU755" s="123"/>
      <c r="NYV755" s="123"/>
      <c r="NYW755" s="123"/>
      <c r="NYX755" s="123"/>
      <c r="NYY755" s="123"/>
      <c r="NYZ755" s="123"/>
      <c r="NZA755" s="123"/>
      <c r="NZB755" s="123"/>
      <c r="NZC755" s="123"/>
      <c r="NZD755" s="123"/>
      <c r="NZE755" s="123"/>
      <c r="NZF755" s="123"/>
      <c r="NZG755" s="123"/>
      <c r="NZH755" s="123"/>
      <c r="NZI755" s="123"/>
      <c r="NZJ755" s="123"/>
      <c r="NZK755" s="123"/>
      <c r="NZL755" s="123"/>
      <c r="NZM755" s="123"/>
      <c r="NZN755" s="123"/>
      <c r="NZO755" s="123"/>
      <c r="NZP755" s="123"/>
      <c r="NZQ755" s="123"/>
      <c r="NZR755" s="123"/>
      <c r="NZS755" s="123"/>
      <c r="NZT755" s="123"/>
      <c r="NZU755" s="123"/>
      <c r="NZV755" s="123"/>
      <c r="NZW755" s="123"/>
      <c r="NZX755" s="123"/>
      <c r="NZY755" s="123"/>
      <c r="NZZ755" s="123"/>
      <c r="OAA755" s="123"/>
      <c r="OAB755" s="123"/>
      <c r="OAC755" s="123"/>
      <c r="OAD755" s="123"/>
      <c r="OAE755" s="123"/>
      <c r="OAF755" s="123"/>
      <c r="OAG755" s="123"/>
      <c r="OAH755" s="123"/>
      <c r="OAI755" s="123"/>
      <c r="OAJ755" s="123"/>
      <c r="OAK755" s="123"/>
      <c r="OAL755" s="123"/>
      <c r="OAM755" s="123"/>
      <c r="OAN755" s="123"/>
      <c r="OAO755" s="123"/>
      <c r="OAP755" s="123"/>
      <c r="OAQ755" s="123"/>
      <c r="OAR755" s="123"/>
      <c r="OAS755" s="123"/>
      <c r="OAT755" s="123"/>
      <c r="OAU755" s="123"/>
      <c r="OAV755" s="123"/>
      <c r="OAW755" s="123"/>
      <c r="OAX755" s="123"/>
      <c r="OAY755" s="123"/>
      <c r="OAZ755" s="123"/>
      <c r="OBA755" s="123"/>
      <c r="OBB755" s="123"/>
      <c r="OBC755" s="123"/>
      <c r="OBD755" s="123"/>
      <c r="OBE755" s="123"/>
      <c r="OBF755" s="123"/>
      <c r="OBG755" s="123"/>
      <c r="OBH755" s="123"/>
      <c r="OBI755" s="123"/>
      <c r="OBJ755" s="123"/>
      <c r="OBK755" s="123"/>
      <c r="OBL755" s="123"/>
      <c r="OBM755" s="123"/>
      <c r="OBN755" s="123"/>
      <c r="OBO755" s="123"/>
      <c r="OBP755" s="123"/>
      <c r="OBQ755" s="123"/>
      <c r="OBR755" s="123"/>
      <c r="OBS755" s="123"/>
      <c r="OBT755" s="123"/>
      <c r="OBU755" s="123"/>
      <c r="OBV755" s="123"/>
      <c r="OBW755" s="123"/>
      <c r="OBX755" s="123"/>
      <c r="OBY755" s="123"/>
      <c r="OBZ755" s="123"/>
      <c r="OCA755" s="123"/>
      <c r="OCB755" s="123"/>
      <c r="OCC755" s="123"/>
      <c r="OCD755" s="123"/>
      <c r="OCE755" s="123"/>
      <c r="OCF755" s="123"/>
      <c r="OCG755" s="123"/>
      <c r="OCH755" s="123"/>
      <c r="OCI755" s="123"/>
      <c r="OCJ755" s="123"/>
      <c r="OCK755" s="123"/>
      <c r="OCL755" s="123"/>
      <c r="OCM755" s="123"/>
      <c r="OCN755" s="123"/>
      <c r="OCO755" s="123"/>
      <c r="OCP755" s="123"/>
      <c r="OCQ755" s="123"/>
      <c r="OCR755" s="123"/>
      <c r="OCS755" s="123"/>
      <c r="OCT755" s="123"/>
      <c r="OCU755" s="123"/>
      <c r="OCV755" s="123"/>
      <c r="OCW755" s="123"/>
      <c r="OCX755" s="123"/>
      <c r="OCY755" s="123"/>
      <c r="OCZ755" s="123"/>
      <c r="ODA755" s="123"/>
      <c r="ODB755" s="123"/>
      <c r="ODC755" s="123"/>
      <c r="ODD755" s="123"/>
      <c r="ODE755" s="123"/>
      <c r="ODF755" s="123"/>
      <c r="ODG755" s="123"/>
      <c r="ODH755" s="123"/>
      <c r="ODI755" s="123"/>
      <c r="ODJ755" s="123"/>
      <c r="ODK755" s="123"/>
      <c r="ODL755" s="123"/>
      <c r="ODM755" s="123"/>
      <c r="ODN755" s="123"/>
      <c r="ODO755" s="123"/>
      <c r="ODP755" s="123"/>
      <c r="ODQ755" s="123"/>
      <c r="ODR755" s="123"/>
      <c r="ODS755" s="123"/>
      <c r="ODT755" s="123"/>
      <c r="ODU755" s="123"/>
      <c r="ODV755" s="123"/>
      <c r="ODW755" s="123"/>
      <c r="ODX755" s="123"/>
      <c r="ODY755" s="123"/>
      <c r="ODZ755" s="123"/>
      <c r="OEA755" s="123"/>
      <c r="OEB755" s="123"/>
      <c r="OEC755" s="123"/>
      <c r="OED755" s="123"/>
      <c r="OEE755" s="123"/>
      <c r="OEF755" s="123"/>
      <c r="OEG755" s="123"/>
      <c r="OEH755" s="123"/>
      <c r="OEI755" s="123"/>
      <c r="OEJ755" s="123"/>
      <c r="OEK755" s="123"/>
      <c r="OEL755" s="123"/>
      <c r="OEM755" s="123"/>
      <c r="OEN755" s="123"/>
      <c r="OEO755" s="123"/>
      <c r="OEP755" s="123"/>
      <c r="OEQ755" s="123"/>
      <c r="OER755" s="123"/>
      <c r="OES755" s="123"/>
      <c r="OET755" s="123"/>
      <c r="OEU755" s="123"/>
      <c r="OEV755" s="123"/>
      <c r="OEW755" s="123"/>
      <c r="OEX755" s="123"/>
      <c r="OEY755" s="123"/>
      <c r="OEZ755" s="123"/>
      <c r="OFA755" s="123"/>
      <c r="OFB755" s="123"/>
      <c r="OFC755" s="123"/>
      <c r="OFD755" s="123"/>
      <c r="OFE755" s="123"/>
      <c r="OFF755" s="123"/>
      <c r="OFG755" s="123"/>
      <c r="OFH755" s="123"/>
      <c r="OFI755" s="123"/>
      <c r="OFJ755" s="123"/>
      <c r="OFK755" s="123"/>
      <c r="OFL755" s="123"/>
      <c r="OFM755" s="123"/>
      <c r="OFN755" s="123"/>
      <c r="OFO755" s="123"/>
      <c r="OFP755" s="123"/>
      <c r="OFQ755" s="123"/>
      <c r="OFR755" s="123"/>
      <c r="OFS755" s="123"/>
      <c r="OFT755" s="123"/>
      <c r="OFU755" s="123"/>
      <c r="OFV755" s="123"/>
      <c r="OFW755" s="123"/>
      <c r="OFX755" s="123"/>
      <c r="OFY755" s="123"/>
      <c r="OFZ755" s="123"/>
      <c r="OGA755" s="123"/>
      <c r="OGB755" s="123"/>
      <c r="OGC755" s="123"/>
      <c r="OGD755" s="123"/>
      <c r="OGE755" s="123"/>
      <c r="OGF755" s="123"/>
      <c r="OGG755" s="123"/>
      <c r="OGH755" s="123"/>
      <c r="OGI755" s="123"/>
      <c r="OGJ755" s="123"/>
      <c r="OGK755" s="123"/>
      <c r="OGL755" s="123"/>
      <c r="OGM755" s="123"/>
      <c r="OGN755" s="123"/>
      <c r="OGO755" s="123"/>
      <c r="OGP755" s="123"/>
      <c r="OGQ755" s="123"/>
      <c r="OGR755" s="123"/>
      <c r="OGS755" s="123"/>
      <c r="OGT755" s="123"/>
      <c r="OGU755" s="123"/>
      <c r="OGV755" s="123"/>
      <c r="OGW755" s="123"/>
      <c r="OGX755" s="123"/>
      <c r="OGY755" s="123"/>
      <c r="OGZ755" s="123"/>
      <c r="OHA755" s="123"/>
      <c r="OHB755" s="123"/>
      <c r="OHC755" s="123"/>
      <c r="OHD755" s="123"/>
      <c r="OHE755" s="123"/>
      <c r="OHF755" s="123"/>
      <c r="OHG755" s="123"/>
      <c r="OHH755" s="123"/>
      <c r="OHI755" s="123"/>
      <c r="OHJ755" s="123"/>
      <c r="OHK755" s="123"/>
      <c r="OHL755" s="123"/>
      <c r="OHM755" s="123"/>
      <c r="OHN755" s="123"/>
      <c r="OHO755" s="123"/>
      <c r="OHP755" s="123"/>
      <c r="OHQ755" s="123"/>
      <c r="OHR755" s="123"/>
      <c r="OHS755" s="123"/>
      <c r="OHT755" s="123"/>
      <c r="OHU755" s="123"/>
      <c r="OHV755" s="123"/>
      <c r="OHW755" s="123"/>
      <c r="OHX755" s="123"/>
      <c r="OHY755" s="123"/>
      <c r="OHZ755" s="123"/>
      <c r="OIA755" s="123"/>
      <c r="OIB755" s="123"/>
      <c r="OIC755" s="123"/>
      <c r="OID755" s="123"/>
      <c r="OIE755" s="123"/>
      <c r="OIF755" s="123"/>
      <c r="OIG755" s="123"/>
      <c r="OIH755" s="123"/>
      <c r="OII755" s="123"/>
      <c r="OIJ755" s="123"/>
      <c r="OIK755" s="123"/>
      <c r="OIL755" s="123"/>
      <c r="OIM755" s="123"/>
      <c r="OIN755" s="123"/>
      <c r="OIO755" s="123"/>
      <c r="OIP755" s="123"/>
      <c r="OIQ755" s="123"/>
      <c r="OIR755" s="123"/>
      <c r="OIS755" s="123"/>
      <c r="OIT755" s="123"/>
      <c r="OIU755" s="123"/>
      <c r="OIV755" s="123"/>
      <c r="OIW755" s="123"/>
      <c r="OIX755" s="123"/>
      <c r="OIY755" s="123"/>
      <c r="OIZ755" s="123"/>
      <c r="OJA755" s="123"/>
      <c r="OJB755" s="123"/>
      <c r="OJC755" s="123"/>
      <c r="OJD755" s="123"/>
      <c r="OJE755" s="123"/>
      <c r="OJF755" s="123"/>
      <c r="OJG755" s="123"/>
      <c r="OJH755" s="123"/>
      <c r="OJI755" s="123"/>
      <c r="OJJ755" s="123"/>
      <c r="OJK755" s="123"/>
      <c r="OJL755" s="123"/>
      <c r="OJM755" s="123"/>
      <c r="OJN755" s="123"/>
      <c r="OJO755" s="123"/>
      <c r="OJP755" s="123"/>
      <c r="OJQ755" s="123"/>
      <c r="OJR755" s="123"/>
      <c r="OJS755" s="123"/>
      <c r="OJT755" s="123"/>
      <c r="OJU755" s="123"/>
      <c r="OJV755" s="123"/>
      <c r="OJW755" s="123"/>
      <c r="OJX755" s="123"/>
      <c r="OJY755" s="123"/>
      <c r="OJZ755" s="123"/>
      <c r="OKA755" s="123"/>
      <c r="OKB755" s="123"/>
      <c r="OKC755" s="123"/>
      <c r="OKD755" s="123"/>
      <c r="OKE755" s="123"/>
      <c r="OKF755" s="123"/>
      <c r="OKG755" s="123"/>
      <c r="OKH755" s="123"/>
      <c r="OKI755" s="123"/>
      <c r="OKJ755" s="123"/>
      <c r="OKK755" s="123"/>
      <c r="OKL755" s="123"/>
      <c r="OKM755" s="123"/>
      <c r="OKN755" s="123"/>
      <c r="OKO755" s="123"/>
      <c r="OKP755" s="123"/>
      <c r="OKQ755" s="123"/>
      <c r="OKR755" s="123"/>
      <c r="OKS755" s="123"/>
      <c r="OKT755" s="123"/>
      <c r="OKU755" s="123"/>
      <c r="OKV755" s="123"/>
      <c r="OKW755" s="123"/>
      <c r="OKX755" s="123"/>
      <c r="OKY755" s="123"/>
      <c r="OKZ755" s="123"/>
      <c r="OLA755" s="123"/>
      <c r="OLB755" s="123"/>
      <c r="OLC755" s="123"/>
      <c r="OLD755" s="123"/>
      <c r="OLE755" s="123"/>
      <c r="OLF755" s="123"/>
      <c r="OLG755" s="123"/>
      <c r="OLH755" s="123"/>
      <c r="OLI755" s="123"/>
      <c r="OLJ755" s="123"/>
      <c r="OLK755" s="123"/>
      <c r="OLL755" s="123"/>
      <c r="OLM755" s="123"/>
      <c r="OLN755" s="123"/>
      <c r="OLO755" s="123"/>
      <c r="OLP755" s="123"/>
      <c r="OLQ755" s="123"/>
      <c r="OLR755" s="123"/>
      <c r="OLS755" s="123"/>
      <c r="OLT755" s="123"/>
      <c r="OLU755" s="123"/>
      <c r="OLV755" s="123"/>
      <c r="OLW755" s="123"/>
      <c r="OLX755" s="123"/>
      <c r="OLY755" s="123"/>
      <c r="OLZ755" s="123"/>
      <c r="OMA755" s="123"/>
      <c r="OMB755" s="123"/>
      <c r="OMC755" s="123"/>
      <c r="OMD755" s="123"/>
      <c r="OME755" s="123"/>
      <c r="OMF755" s="123"/>
      <c r="OMG755" s="123"/>
      <c r="OMH755" s="123"/>
      <c r="OMI755" s="123"/>
      <c r="OMJ755" s="123"/>
      <c r="OMK755" s="123"/>
      <c r="OML755" s="123"/>
      <c r="OMM755" s="123"/>
      <c r="OMN755" s="123"/>
      <c r="OMO755" s="123"/>
      <c r="OMP755" s="123"/>
      <c r="OMQ755" s="123"/>
      <c r="OMR755" s="123"/>
      <c r="OMS755" s="123"/>
      <c r="OMT755" s="123"/>
      <c r="OMU755" s="123"/>
      <c r="OMV755" s="123"/>
      <c r="OMW755" s="123"/>
      <c r="OMX755" s="123"/>
      <c r="OMY755" s="123"/>
      <c r="OMZ755" s="123"/>
      <c r="ONA755" s="123"/>
      <c r="ONB755" s="123"/>
      <c r="ONC755" s="123"/>
      <c r="OND755" s="123"/>
      <c r="ONE755" s="123"/>
      <c r="ONF755" s="123"/>
      <c r="ONG755" s="123"/>
      <c r="ONH755" s="123"/>
      <c r="ONI755" s="123"/>
      <c r="ONJ755" s="123"/>
      <c r="ONK755" s="123"/>
      <c r="ONL755" s="123"/>
      <c r="ONM755" s="123"/>
      <c r="ONN755" s="123"/>
      <c r="ONO755" s="123"/>
      <c r="ONP755" s="123"/>
      <c r="ONQ755" s="123"/>
      <c r="ONR755" s="123"/>
      <c r="ONS755" s="123"/>
      <c r="ONT755" s="123"/>
      <c r="ONU755" s="123"/>
      <c r="ONV755" s="123"/>
      <c r="ONW755" s="123"/>
      <c r="ONX755" s="123"/>
      <c r="ONY755" s="123"/>
      <c r="ONZ755" s="123"/>
      <c r="OOA755" s="123"/>
      <c r="OOB755" s="123"/>
      <c r="OOC755" s="123"/>
      <c r="OOD755" s="123"/>
      <c r="OOE755" s="123"/>
      <c r="OOF755" s="123"/>
      <c r="OOG755" s="123"/>
      <c r="OOH755" s="123"/>
      <c r="OOI755" s="123"/>
      <c r="OOJ755" s="123"/>
      <c r="OOK755" s="123"/>
      <c r="OOL755" s="123"/>
      <c r="OOM755" s="123"/>
      <c r="OON755" s="123"/>
      <c r="OOO755" s="123"/>
      <c r="OOP755" s="123"/>
      <c r="OOQ755" s="123"/>
      <c r="OOR755" s="123"/>
      <c r="OOS755" s="123"/>
      <c r="OOT755" s="123"/>
      <c r="OOU755" s="123"/>
      <c r="OOV755" s="123"/>
      <c r="OOW755" s="123"/>
      <c r="OOX755" s="123"/>
      <c r="OOY755" s="123"/>
      <c r="OOZ755" s="123"/>
      <c r="OPA755" s="123"/>
      <c r="OPB755" s="123"/>
      <c r="OPC755" s="123"/>
      <c r="OPD755" s="123"/>
      <c r="OPE755" s="123"/>
      <c r="OPF755" s="123"/>
      <c r="OPG755" s="123"/>
      <c r="OPH755" s="123"/>
      <c r="OPI755" s="123"/>
      <c r="OPJ755" s="123"/>
      <c r="OPK755" s="123"/>
      <c r="OPL755" s="123"/>
      <c r="OPM755" s="123"/>
      <c r="OPN755" s="123"/>
      <c r="OPO755" s="123"/>
      <c r="OPP755" s="123"/>
      <c r="OPQ755" s="123"/>
      <c r="OPR755" s="123"/>
      <c r="OPS755" s="123"/>
      <c r="OPT755" s="123"/>
      <c r="OPU755" s="123"/>
      <c r="OPV755" s="123"/>
      <c r="OPW755" s="123"/>
      <c r="OPX755" s="123"/>
      <c r="OPY755" s="123"/>
      <c r="OPZ755" s="123"/>
      <c r="OQA755" s="123"/>
      <c r="OQB755" s="123"/>
      <c r="OQC755" s="123"/>
      <c r="OQD755" s="123"/>
      <c r="OQE755" s="123"/>
      <c r="OQF755" s="123"/>
      <c r="OQG755" s="123"/>
      <c r="OQH755" s="123"/>
      <c r="OQI755" s="123"/>
      <c r="OQJ755" s="123"/>
      <c r="OQK755" s="123"/>
      <c r="OQL755" s="123"/>
      <c r="OQM755" s="123"/>
      <c r="OQN755" s="123"/>
      <c r="OQO755" s="123"/>
      <c r="OQP755" s="123"/>
      <c r="OQQ755" s="123"/>
      <c r="OQR755" s="123"/>
      <c r="OQS755" s="123"/>
      <c r="OQT755" s="123"/>
      <c r="OQU755" s="123"/>
      <c r="OQV755" s="123"/>
      <c r="OQW755" s="123"/>
      <c r="OQX755" s="123"/>
      <c r="OQY755" s="123"/>
      <c r="OQZ755" s="123"/>
      <c r="ORA755" s="123"/>
      <c r="ORB755" s="123"/>
      <c r="ORC755" s="123"/>
      <c r="ORD755" s="123"/>
      <c r="ORE755" s="123"/>
      <c r="ORF755" s="123"/>
      <c r="ORG755" s="123"/>
      <c r="ORH755" s="123"/>
      <c r="ORI755" s="123"/>
      <c r="ORJ755" s="123"/>
      <c r="ORK755" s="123"/>
      <c r="ORL755" s="123"/>
      <c r="ORM755" s="123"/>
      <c r="ORN755" s="123"/>
      <c r="ORO755" s="123"/>
      <c r="ORP755" s="123"/>
      <c r="ORQ755" s="123"/>
      <c r="ORR755" s="123"/>
      <c r="ORS755" s="123"/>
      <c r="ORT755" s="123"/>
      <c r="ORU755" s="123"/>
      <c r="ORV755" s="123"/>
      <c r="ORW755" s="123"/>
      <c r="ORX755" s="123"/>
      <c r="ORY755" s="123"/>
      <c r="ORZ755" s="123"/>
      <c r="OSA755" s="123"/>
      <c r="OSB755" s="123"/>
      <c r="OSC755" s="123"/>
      <c r="OSD755" s="123"/>
      <c r="OSE755" s="123"/>
      <c r="OSF755" s="123"/>
      <c r="OSG755" s="123"/>
      <c r="OSH755" s="123"/>
      <c r="OSI755" s="123"/>
      <c r="OSJ755" s="123"/>
      <c r="OSK755" s="123"/>
      <c r="OSL755" s="123"/>
      <c r="OSM755" s="123"/>
      <c r="OSN755" s="123"/>
      <c r="OSO755" s="123"/>
      <c r="OSP755" s="123"/>
      <c r="OSQ755" s="123"/>
      <c r="OSR755" s="123"/>
      <c r="OSS755" s="123"/>
      <c r="OST755" s="123"/>
      <c r="OSU755" s="123"/>
      <c r="OSV755" s="123"/>
      <c r="OSW755" s="123"/>
      <c r="OSX755" s="123"/>
      <c r="OSY755" s="123"/>
      <c r="OSZ755" s="123"/>
      <c r="OTA755" s="123"/>
      <c r="OTB755" s="123"/>
      <c r="OTC755" s="123"/>
      <c r="OTD755" s="123"/>
      <c r="OTE755" s="123"/>
      <c r="OTF755" s="123"/>
      <c r="OTG755" s="123"/>
      <c r="OTH755" s="123"/>
      <c r="OTI755" s="123"/>
      <c r="OTJ755" s="123"/>
      <c r="OTK755" s="123"/>
      <c r="OTL755" s="123"/>
      <c r="OTM755" s="123"/>
      <c r="OTN755" s="123"/>
      <c r="OTO755" s="123"/>
      <c r="OTP755" s="123"/>
      <c r="OTQ755" s="123"/>
      <c r="OTR755" s="123"/>
      <c r="OTS755" s="123"/>
      <c r="OTT755" s="123"/>
      <c r="OTU755" s="123"/>
      <c r="OTV755" s="123"/>
      <c r="OTW755" s="123"/>
      <c r="OTX755" s="123"/>
      <c r="OTY755" s="123"/>
      <c r="OTZ755" s="123"/>
      <c r="OUA755" s="123"/>
      <c r="OUB755" s="123"/>
      <c r="OUC755" s="123"/>
      <c r="OUD755" s="123"/>
      <c r="OUE755" s="123"/>
      <c r="OUF755" s="123"/>
      <c r="OUG755" s="123"/>
      <c r="OUH755" s="123"/>
      <c r="OUI755" s="123"/>
      <c r="OUJ755" s="123"/>
      <c r="OUK755" s="123"/>
      <c r="OUL755" s="123"/>
      <c r="OUM755" s="123"/>
      <c r="OUN755" s="123"/>
      <c r="OUO755" s="123"/>
      <c r="OUP755" s="123"/>
      <c r="OUQ755" s="123"/>
      <c r="OUR755" s="123"/>
      <c r="OUS755" s="123"/>
      <c r="OUT755" s="123"/>
      <c r="OUU755" s="123"/>
      <c r="OUV755" s="123"/>
      <c r="OUW755" s="123"/>
      <c r="OUX755" s="123"/>
      <c r="OUY755" s="123"/>
      <c r="OUZ755" s="123"/>
      <c r="OVA755" s="123"/>
      <c r="OVB755" s="123"/>
      <c r="OVC755" s="123"/>
      <c r="OVD755" s="123"/>
      <c r="OVE755" s="123"/>
      <c r="OVF755" s="123"/>
      <c r="OVG755" s="123"/>
      <c r="OVH755" s="123"/>
      <c r="OVI755" s="123"/>
      <c r="OVJ755" s="123"/>
      <c r="OVK755" s="123"/>
      <c r="OVL755" s="123"/>
      <c r="OVM755" s="123"/>
      <c r="OVN755" s="123"/>
      <c r="OVO755" s="123"/>
      <c r="OVP755" s="123"/>
      <c r="OVQ755" s="123"/>
      <c r="OVR755" s="123"/>
      <c r="OVS755" s="123"/>
      <c r="OVT755" s="123"/>
      <c r="OVU755" s="123"/>
      <c r="OVV755" s="123"/>
      <c r="OVW755" s="123"/>
      <c r="OVX755" s="123"/>
      <c r="OVY755" s="123"/>
      <c r="OVZ755" s="123"/>
      <c r="OWA755" s="123"/>
      <c r="OWB755" s="123"/>
      <c r="OWC755" s="123"/>
      <c r="OWD755" s="123"/>
      <c r="OWE755" s="123"/>
      <c r="OWF755" s="123"/>
      <c r="OWG755" s="123"/>
      <c r="OWH755" s="123"/>
      <c r="OWI755" s="123"/>
      <c r="OWJ755" s="123"/>
      <c r="OWK755" s="123"/>
      <c r="OWL755" s="123"/>
      <c r="OWM755" s="123"/>
      <c r="OWN755" s="123"/>
      <c r="OWO755" s="123"/>
      <c r="OWP755" s="123"/>
      <c r="OWQ755" s="123"/>
      <c r="OWR755" s="123"/>
      <c r="OWS755" s="123"/>
      <c r="OWT755" s="123"/>
      <c r="OWU755" s="123"/>
      <c r="OWV755" s="123"/>
      <c r="OWW755" s="123"/>
      <c r="OWX755" s="123"/>
      <c r="OWY755" s="123"/>
      <c r="OWZ755" s="123"/>
      <c r="OXA755" s="123"/>
      <c r="OXB755" s="123"/>
      <c r="OXC755" s="123"/>
      <c r="OXD755" s="123"/>
      <c r="OXE755" s="123"/>
      <c r="OXF755" s="123"/>
      <c r="OXG755" s="123"/>
      <c r="OXH755" s="123"/>
      <c r="OXI755" s="123"/>
      <c r="OXJ755" s="123"/>
      <c r="OXK755" s="123"/>
      <c r="OXL755" s="123"/>
      <c r="OXM755" s="123"/>
      <c r="OXN755" s="123"/>
      <c r="OXO755" s="123"/>
      <c r="OXP755" s="123"/>
      <c r="OXQ755" s="123"/>
      <c r="OXR755" s="123"/>
      <c r="OXS755" s="123"/>
      <c r="OXT755" s="123"/>
      <c r="OXU755" s="123"/>
      <c r="OXV755" s="123"/>
      <c r="OXW755" s="123"/>
      <c r="OXX755" s="123"/>
      <c r="OXY755" s="123"/>
      <c r="OXZ755" s="123"/>
      <c r="OYA755" s="123"/>
      <c r="OYB755" s="123"/>
      <c r="OYC755" s="123"/>
      <c r="OYD755" s="123"/>
      <c r="OYE755" s="123"/>
      <c r="OYF755" s="123"/>
      <c r="OYG755" s="123"/>
      <c r="OYH755" s="123"/>
      <c r="OYI755" s="123"/>
      <c r="OYJ755" s="123"/>
      <c r="OYK755" s="123"/>
      <c r="OYL755" s="123"/>
      <c r="OYM755" s="123"/>
      <c r="OYN755" s="123"/>
      <c r="OYO755" s="123"/>
      <c r="OYP755" s="123"/>
      <c r="OYQ755" s="123"/>
      <c r="OYR755" s="123"/>
      <c r="OYS755" s="123"/>
      <c r="OYT755" s="123"/>
      <c r="OYU755" s="123"/>
      <c r="OYV755" s="123"/>
      <c r="OYW755" s="123"/>
      <c r="OYX755" s="123"/>
      <c r="OYY755" s="123"/>
      <c r="OYZ755" s="123"/>
      <c r="OZA755" s="123"/>
      <c r="OZB755" s="123"/>
      <c r="OZC755" s="123"/>
      <c r="OZD755" s="123"/>
      <c r="OZE755" s="123"/>
      <c r="OZF755" s="123"/>
      <c r="OZG755" s="123"/>
      <c r="OZH755" s="123"/>
      <c r="OZI755" s="123"/>
      <c r="OZJ755" s="123"/>
      <c r="OZK755" s="123"/>
      <c r="OZL755" s="123"/>
      <c r="OZM755" s="123"/>
      <c r="OZN755" s="123"/>
      <c r="OZO755" s="123"/>
      <c r="OZP755" s="123"/>
      <c r="OZQ755" s="123"/>
      <c r="OZR755" s="123"/>
      <c r="OZS755" s="123"/>
      <c r="OZT755" s="123"/>
      <c r="OZU755" s="123"/>
      <c r="OZV755" s="123"/>
      <c r="OZW755" s="123"/>
      <c r="OZX755" s="123"/>
      <c r="OZY755" s="123"/>
      <c r="OZZ755" s="123"/>
      <c r="PAA755" s="123"/>
      <c r="PAB755" s="123"/>
      <c r="PAC755" s="123"/>
      <c r="PAD755" s="123"/>
      <c r="PAE755" s="123"/>
      <c r="PAF755" s="123"/>
      <c r="PAG755" s="123"/>
      <c r="PAH755" s="123"/>
      <c r="PAI755" s="123"/>
      <c r="PAJ755" s="123"/>
      <c r="PAK755" s="123"/>
      <c r="PAL755" s="123"/>
      <c r="PAM755" s="123"/>
      <c r="PAN755" s="123"/>
      <c r="PAO755" s="123"/>
      <c r="PAP755" s="123"/>
      <c r="PAQ755" s="123"/>
      <c r="PAR755" s="123"/>
      <c r="PAS755" s="123"/>
      <c r="PAT755" s="123"/>
      <c r="PAU755" s="123"/>
      <c r="PAV755" s="123"/>
      <c r="PAW755" s="123"/>
      <c r="PAX755" s="123"/>
      <c r="PAY755" s="123"/>
      <c r="PAZ755" s="123"/>
      <c r="PBA755" s="123"/>
      <c r="PBB755" s="123"/>
      <c r="PBC755" s="123"/>
      <c r="PBD755" s="123"/>
      <c r="PBE755" s="123"/>
      <c r="PBF755" s="123"/>
      <c r="PBG755" s="123"/>
      <c r="PBH755" s="123"/>
      <c r="PBI755" s="123"/>
      <c r="PBJ755" s="123"/>
      <c r="PBK755" s="123"/>
      <c r="PBL755" s="123"/>
      <c r="PBM755" s="123"/>
      <c r="PBN755" s="123"/>
      <c r="PBO755" s="123"/>
      <c r="PBP755" s="123"/>
      <c r="PBQ755" s="123"/>
      <c r="PBR755" s="123"/>
      <c r="PBS755" s="123"/>
      <c r="PBT755" s="123"/>
      <c r="PBU755" s="123"/>
      <c r="PBV755" s="123"/>
      <c r="PBW755" s="123"/>
      <c r="PBX755" s="123"/>
      <c r="PBY755" s="123"/>
      <c r="PBZ755" s="123"/>
      <c r="PCA755" s="123"/>
      <c r="PCB755" s="123"/>
      <c r="PCC755" s="123"/>
      <c r="PCD755" s="123"/>
      <c r="PCE755" s="123"/>
      <c r="PCF755" s="123"/>
      <c r="PCG755" s="123"/>
      <c r="PCH755" s="123"/>
      <c r="PCI755" s="123"/>
      <c r="PCJ755" s="123"/>
      <c r="PCK755" s="123"/>
      <c r="PCL755" s="123"/>
      <c r="PCM755" s="123"/>
      <c r="PCN755" s="123"/>
      <c r="PCO755" s="123"/>
      <c r="PCP755" s="123"/>
      <c r="PCQ755" s="123"/>
      <c r="PCR755" s="123"/>
      <c r="PCS755" s="123"/>
      <c r="PCT755" s="123"/>
      <c r="PCU755" s="123"/>
      <c r="PCV755" s="123"/>
      <c r="PCW755" s="123"/>
      <c r="PCX755" s="123"/>
      <c r="PCY755" s="123"/>
      <c r="PCZ755" s="123"/>
      <c r="PDA755" s="123"/>
      <c r="PDB755" s="123"/>
      <c r="PDC755" s="123"/>
      <c r="PDD755" s="123"/>
      <c r="PDE755" s="123"/>
      <c r="PDF755" s="123"/>
      <c r="PDG755" s="123"/>
      <c r="PDH755" s="123"/>
      <c r="PDI755" s="123"/>
      <c r="PDJ755" s="123"/>
      <c r="PDK755" s="123"/>
      <c r="PDL755" s="123"/>
      <c r="PDM755" s="123"/>
      <c r="PDN755" s="123"/>
      <c r="PDO755" s="123"/>
      <c r="PDP755" s="123"/>
      <c r="PDQ755" s="123"/>
      <c r="PDR755" s="123"/>
      <c r="PDS755" s="123"/>
      <c r="PDT755" s="123"/>
      <c r="PDU755" s="123"/>
      <c r="PDV755" s="123"/>
      <c r="PDW755" s="123"/>
      <c r="PDX755" s="123"/>
      <c r="PDY755" s="123"/>
      <c r="PDZ755" s="123"/>
      <c r="PEA755" s="123"/>
      <c r="PEB755" s="123"/>
      <c r="PEC755" s="123"/>
      <c r="PED755" s="123"/>
      <c r="PEE755" s="123"/>
      <c r="PEF755" s="123"/>
      <c r="PEG755" s="123"/>
      <c r="PEH755" s="123"/>
      <c r="PEI755" s="123"/>
      <c r="PEJ755" s="123"/>
      <c r="PEK755" s="123"/>
      <c r="PEL755" s="123"/>
      <c r="PEM755" s="123"/>
      <c r="PEN755" s="123"/>
      <c r="PEO755" s="123"/>
      <c r="PEP755" s="123"/>
      <c r="PEQ755" s="123"/>
      <c r="PER755" s="123"/>
      <c r="PES755" s="123"/>
      <c r="PET755" s="123"/>
      <c r="PEU755" s="123"/>
      <c r="PEV755" s="123"/>
      <c r="PEW755" s="123"/>
      <c r="PEX755" s="123"/>
      <c r="PEY755" s="123"/>
      <c r="PEZ755" s="123"/>
      <c r="PFA755" s="123"/>
      <c r="PFB755" s="123"/>
      <c r="PFC755" s="123"/>
      <c r="PFD755" s="123"/>
      <c r="PFE755" s="123"/>
      <c r="PFF755" s="123"/>
      <c r="PFG755" s="123"/>
      <c r="PFH755" s="123"/>
      <c r="PFI755" s="123"/>
      <c r="PFJ755" s="123"/>
      <c r="PFK755" s="123"/>
      <c r="PFL755" s="123"/>
      <c r="PFM755" s="123"/>
      <c r="PFN755" s="123"/>
      <c r="PFO755" s="123"/>
      <c r="PFP755" s="123"/>
      <c r="PFQ755" s="123"/>
      <c r="PFR755" s="123"/>
      <c r="PFS755" s="123"/>
      <c r="PFT755" s="123"/>
      <c r="PFU755" s="123"/>
      <c r="PFV755" s="123"/>
      <c r="PFW755" s="123"/>
      <c r="PFX755" s="123"/>
      <c r="PFY755" s="123"/>
      <c r="PFZ755" s="123"/>
      <c r="PGA755" s="123"/>
      <c r="PGB755" s="123"/>
      <c r="PGC755" s="123"/>
      <c r="PGD755" s="123"/>
      <c r="PGE755" s="123"/>
      <c r="PGF755" s="123"/>
      <c r="PGG755" s="123"/>
      <c r="PGH755" s="123"/>
      <c r="PGI755" s="123"/>
      <c r="PGJ755" s="123"/>
      <c r="PGK755" s="123"/>
      <c r="PGL755" s="123"/>
      <c r="PGM755" s="123"/>
      <c r="PGN755" s="123"/>
      <c r="PGO755" s="123"/>
      <c r="PGP755" s="123"/>
      <c r="PGQ755" s="123"/>
      <c r="PGR755" s="123"/>
      <c r="PGS755" s="123"/>
      <c r="PGT755" s="123"/>
      <c r="PGU755" s="123"/>
      <c r="PGV755" s="123"/>
      <c r="PGW755" s="123"/>
      <c r="PGX755" s="123"/>
      <c r="PGY755" s="123"/>
      <c r="PGZ755" s="123"/>
      <c r="PHA755" s="123"/>
      <c r="PHB755" s="123"/>
      <c r="PHC755" s="123"/>
      <c r="PHD755" s="123"/>
      <c r="PHE755" s="123"/>
      <c r="PHF755" s="123"/>
      <c r="PHG755" s="123"/>
      <c r="PHH755" s="123"/>
      <c r="PHI755" s="123"/>
      <c r="PHJ755" s="123"/>
      <c r="PHK755" s="123"/>
      <c r="PHL755" s="123"/>
      <c r="PHM755" s="123"/>
      <c r="PHN755" s="123"/>
      <c r="PHO755" s="123"/>
      <c r="PHP755" s="123"/>
      <c r="PHQ755" s="123"/>
      <c r="PHR755" s="123"/>
      <c r="PHS755" s="123"/>
      <c r="PHT755" s="123"/>
      <c r="PHU755" s="123"/>
      <c r="PHV755" s="123"/>
      <c r="PHW755" s="123"/>
      <c r="PHX755" s="123"/>
      <c r="PHY755" s="123"/>
      <c r="PHZ755" s="123"/>
      <c r="PIA755" s="123"/>
      <c r="PIB755" s="123"/>
      <c r="PIC755" s="123"/>
      <c r="PID755" s="123"/>
      <c r="PIE755" s="123"/>
      <c r="PIF755" s="123"/>
      <c r="PIG755" s="123"/>
      <c r="PIH755" s="123"/>
      <c r="PII755" s="123"/>
      <c r="PIJ755" s="123"/>
      <c r="PIK755" s="123"/>
      <c r="PIL755" s="123"/>
      <c r="PIM755" s="123"/>
      <c r="PIN755" s="123"/>
      <c r="PIO755" s="123"/>
      <c r="PIP755" s="123"/>
      <c r="PIQ755" s="123"/>
      <c r="PIR755" s="123"/>
      <c r="PIS755" s="123"/>
      <c r="PIT755" s="123"/>
      <c r="PIU755" s="123"/>
      <c r="PIV755" s="123"/>
      <c r="PIW755" s="123"/>
      <c r="PIX755" s="123"/>
      <c r="PIY755" s="123"/>
      <c r="PIZ755" s="123"/>
      <c r="PJA755" s="123"/>
      <c r="PJB755" s="123"/>
      <c r="PJC755" s="123"/>
      <c r="PJD755" s="123"/>
      <c r="PJE755" s="123"/>
      <c r="PJF755" s="123"/>
      <c r="PJG755" s="123"/>
      <c r="PJH755" s="123"/>
      <c r="PJI755" s="123"/>
      <c r="PJJ755" s="123"/>
      <c r="PJK755" s="123"/>
      <c r="PJL755" s="123"/>
      <c r="PJM755" s="123"/>
      <c r="PJN755" s="123"/>
      <c r="PJO755" s="123"/>
      <c r="PJP755" s="123"/>
      <c r="PJQ755" s="123"/>
      <c r="PJR755" s="123"/>
      <c r="PJS755" s="123"/>
      <c r="PJT755" s="123"/>
      <c r="PJU755" s="123"/>
      <c r="PJV755" s="123"/>
      <c r="PJW755" s="123"/>
      <c r="PJX755" s="123"/>
      <c r="PJY755" s="123"/>
      <c r="PJZ755" s="123"/>
      <c r="PKA755" s="123"/>
      <c r="PKB755" s="123"/>
      <c r="PKC755" s="123"/>
      <c r="PKD755" s="123"/>
      <c r="PKE755" s="123"/>
      <c r="PKF755" s="123"/>
      <c r="PKG755" s="123"/>
      <c r="PKH755" s="123"/>
      <c r="PKI755" s="123"/>
      <c r="PKJ755" s="123"/>
      <c r="PKK755" s="123"/>
      <c r="PKL755" s="123"/>
      <c r="PKM755" s="123"/>
      <c r="PKN755" s="123"/>
      <c r="PKO755" s="123"/>
      <c r="PKP755" s="123"/>
      <c r="PKQ755" s="123"/>
      <c r="PKR755" s="123"/>
      <c r="PKS755" s="123"/>
      <c r="PKT755" s="123"/>
      <c r="PKU755" s="123"/>
      <c r="PKV755" s="123"/>
      <c r="PKW755" s="123"/>
      <c r="PKX755" s="123"/>
      <c r="PKY755" s="123"/>
      <c r="PKZ755" s="123"/>
      <c r="PLA755" s="123"/>
      <c r="PLB755" s="123"/>
      <c r="PLC755" s="123"/>
      <c r="PLD755" s="123"/>
      <c r="PLE755" s="123"/>
      <c r="PLF755" s="123"/>
      <c r="PLG755" s="123"/>
      <c r="PLH755" s="123"/>
      <c r="PLI755" s="123"/>
      <c r="PLJ755" s="123"/>
      <c r="PLK755" s="123"/>
      <c r="PLL755" s="123"/>
      <c r="PLM755" s="123"/>
      <c r="PLN755" s="123"/>
      <c r="PLO755" s="123"/>
      <c r="PLP755" s="123"/>
      <c r="PLQ755" s="123"/>
      <c r="PLR755" s="123"/>
      <c r="PLS755" s="123"/>
      <c r="PLT755" s="123"/>
      <c r="PLU755" s="123"/>
      <c r="PLV755" s="123"/>
      <c r="PLW755" s="123"/>
      <c r="PLX755" s="123"/>
      <c r="PLY755" s="123"/>
      <c r="PLZ755" s="123"/>
      <c r="PMA755" s="123"/>
      <c r="PMB755" s="123"/>
      <c r="PMC755" s="123"/>
      <c r="PMD755" s="123"/>
      <c r="PME755" s="123"/>
      <c r="PMF755" s="123"/>
      <c r="PMG755" s="123"/>
      <c r="PMH755" s="123"/>
      <c r="PMI755" s="123"/>
      <c r="PMJ755" s="123"/>
      <c r="PMK755" s="123"/>
      <c r="PML755" s="123"/>
      <c r="PMM755" s="123"/>
      <c r="PMN755" s="123"/>
      <c r="PMO755" s="123"/>
      <c r="PMP755" s="123"/>
      <c r="PMQ755" s="123"/>
      <c r="PMR755" s="123"/>
      <c r="PMS755" s="123"/>
      <c r="PMT755" s="123"/>
      <c r="PMU755" s="123"/>
      <c r="PMV755" s="123"/>
      <c r="PMW755" s="123"/>
      <c r="PMX755" s="123"/>
      <c r="PMY755" s="123"/>
      <c r="PMZ755" s="123"/>
      <c r="PNA755" s="123"/>
      <c r="PNB755" s="123"/>
      <c r="PNC755" s="123"/>
      <c r="PND755" s="123"/>
      <c r="PNE755" s="123"/>
      <c r="PNF755" s="123"/>
      <c r="PNG755" s="123"/>
      <c r="PNH755" s="123"/>
      <c r="PNI755" s="123"/>
      <c r="PNJ755" s="123"/>
      <c r="PNK755" s="123"/>
      <c r="PNL755" s="123"/>
      <c r="PNM755" s="123"/>
      <c r="PNN755" s="123"/>
      <c r="PNO755" s="123"/>
      <c r="PNP755" s="123"/>
      <c r="PNQ755" s="123"/>
      <c r="PNR755" s="123"/>
      <c r="PNS755" s="123"/>
      <c r="PNT755" s="123"/>
      <c r="PNU755" s="123"/>
      <c r="PNV755" s="123"/>
      <c r="PNW755" s="123"/>
      <c r="PNX755" s="123"/>
      <c r="PNY755" s="123"/>
      <c r="PNZ755" s="123"/>
      <c r="POA755" s="123"/>
      <c r="POB755" s="123"/>
      <c r="POC755" s="123"/>
      <c r="POD755" s="123"/>
      <c r="POE755" s="123"/>
      <c r="POF755" s="123"/>
      <c r="POG755" s="123"/>
      <c r="POH755" s="123"/>
      <c r="POI755" s="123"/>
      <c r="POJ755" s="123"/>
      <c r="POK755" s="123"/>
      <c r="POL755" s="123"/>
      <c r="POM755" s="123"/>
      <c r="PON755" s="123"/>
      <c r="POO755" s="123"/>
      <c r="POP755" s="123"/>
      <c r="POQ755" s="123"/>
      <c r="POR755" s="123"/>
      <c r="POS755" s="123"/>
      <c r="POT755" s="123"/>
      <c r="POU755" s="123"/>
      <c r="POV755" s="123"/>
      <c r="POW755" s="123"/>
      <c r="POX755" s="123"/>
      <c r="POY755" s="123"/>
      <c r="POZ755" s="123"/>
      <c r="PPA755" s="123"/>
      <c r="PPB755" s="123"/>
      <c r="PPC755" s="123"/>
      <c r="PPD755" s="123"/>
      <c r="PPE755" s="123"/>
      <c r="PPF755" s="123"/>
      <c r="PPG755" s="123"/>
      <c r="PPH755" s="123"/>
      <c r="PPI755" s="123"/>
      <c r="PPJ755" s="123"/>
      <c r="PPK755" s="123"/>
      <c r="PPL755" s="123"/>
      <c r="PPM755" s="123"/>
      <c r="PPN755" s="123"/>
      <c r="PPO755" s="123"/>
      <c r="PPP755" s="123"/>
      <c r="PPQ755" s="123"/>
      <c r="PPR755" s="123"/>
      <c r="PPS755" s="123"/>
      <c r="PPT755" s="123"/>
      <c r="PPU755" s="123"/>
      <c r="PPV755" s="123"/>
      <c r="PPW755" s="123"/>
      <c r="PPX755" s="123"/>
      <c r="PPY755" s="123"/>
      <c r="PPZ755" s="123"/>
      <c r="PQA755" s="123"/>
      <c r="PQB755" s="123"/>
      <c r="PQC755" s="123"/>
      <c r="PQD755" s="123"/>
      <c r="PQE755" s="123"/>
      <c r="PQF755" s="123"/>
      <c r="PQG755" s="123"/>
      <c r="PQH755" s="123"/>
      <c r="PQI755" s="123"/>
      <c r="PQJ755" s="123"/>
      <c r="PQK755" s="123"/>
      <c r="PQL755" s="123"/>
      <c r="PQM755" s="123"/>
      <c r="PQN755" s="123"/>
      <c r="PQO755" s="123"/>
      <c r="PQP755" s="123"/>
      <c r="PQQ755" s="123"/>
      <c r="PQR755" s="123"/>
      <c r="PQS755" s="123"/>
      <c r="PQT755" s="123"/>
      <c r="PQU755" s="123"/>
      <c r="PQV755" s="123"/>
      <c r="PQW755" s="123"/>
      <c r="PQX755" s="123"/>
      <c r="PQY755" s="123"/>
      <c r="PQZ755" s="123"/>
      <c r="PRA755" s="123"/>
      <c r="PRB755" s="123"/>
      <c r="PRC755" s="123"/>
      <c r="PRD755" s="123"/>
      <c r="PRE755" s="123"/>
      <c r="PRF755" s="123"/>
      <c r="PRG755" s="123"/>
      <c r="PRH755" s="123"/>
      <c r="PRI755" s="123"/>
      <c r="PRJ755" s="123"/>
      <c r="PRK755" s="123"/>
      <c r="PRL755" s="123"/>
      <c r="PRM755" s="123"/>
      <c r="PRN755" s="123"/>
      <c r="PRO755" s="123"/>
      <c r="PRP755" s="123"/>
      <c r="PRQ755" s="123"/>
      <c r="PRR755" s="123"/>
      <c r="PRS755" s="123"/>
      <c r="PRT755" s="123"/>
      <c r="PRU755" s="123"/>
      <c r="PRV755" s="123"/>
      <c r="PRW755" s="123"/>
      <c r="PRX755" s="123"/>
      <c r="PRY755" s="123"/>
      <c r="PRZ755" s="123"/>
      <c r="PSA755" s="123"/>
      <c r="PSB755" s="123"/>
      <c r="PSC755" s="123"/>
      <c r="PSD755" s="123"/>
      <c r="PSE755" s="123"/>
      <c r="PSF755" s="123"/>
      <c r="PSG755" s="123"/>
      <c r="PSH755" s="123"/>
      <c r="PSI755" s="123"/>
      <c r="PSJ755" s="123"/>
      <c r="PSK755" s="123"/>
      <c r="PSL755" s="123"/>
      <c r="PSM755" s="123"/>
      <c r="PSN755" s="123"/>
      <c r="PSO755" s="123"/>
      <c r="PSP755" s="123"/>
      <c r="PSQ755" s="123"/>
      <c r="PSR755" s="123"/>
      <c r="PSS755" s="123"/>
      <c r="PST755" s="123"/>
      <c r="PSU755" s="123"/>
      <c r="PSV755" s="123"/>
      <c r="PSW755" s="123"/>
      <c r="PSX755" s="123"/>
      <c r="PSY755" s="123"/>
      <c r="PSZ755" s="123"/>
      <c r="PTA755" s="123"/>
      <c r="PTB755" s="123"/>
      <c r="PTC755" s="123"/>
      <c r="PTD755" s="123"/>
      <c r="PTE755" s="123"/>
      <c r="PTF755" s="123"/>
      <c r="PTG755" s="123"/>
      <c r="PTH755" s="123"/>
      <c r="PTI755" s="123"/>
      <c r="PTJ755" s="123"/>
      <c r="PTK755" s="123"/>
      <c r="PTL755" s="123"/>
      <c r="PTM755" s="123"/>
      <c r="PTN755" s="123"/>
      <c r="PTO755" s="123"/>
      <c r="PTP755" s="123"/>
      <c r="PTQ755" s="123"/>
      <c r="PTR755" s="123"/>
      <c r="PTS755" s="123"/>
      <c r="PTT755" s="123"/>
      <c r="PTU755" s="123"/>
      <c r="PTV755" s="123"/>
      <c r="PTW755" s="123"/>
      <c r="PTX755" s="123"/>
      <c r="PTY755" s="123"/>
      <c r="PTZ755" s="123"/>
      <c r="PUA755" s="123"/>
      <c r="PUB755" s="123"/>
      <c r="PUC755" s="123"/>
      <c r="PUD755" s="123"/>
      <c r="PUE755" s="123"/>
      <c r="PUF755" s="123"/>
      <c r="PUG755" s="123"/>
      <c r="PUH755" s="123"/>
      <c r="PUI755" s="123"/>
      <c r="PUJ755" s="123"/>
      <c r="PUK755" s="123"/>
      <c r="PUL755" s="123"/>
      <c r="PUM755" s="123"/>
      <c r="PUN755" s="123"/>
      <c r="PUO755" s="123"/>
      <c r="PUP755" s="123"/>
      <c r="PUQ755" s="123"/>
      <c r="PUR755" s="123"/>
      <c r="PUS755" s="123"/>
      <c r="PUT755" s="123"/>
      <c r="PUU755" s="123"/>
      <c r="PUV755" s="123"/>
      <c r="PUW755" s="123"/>
      <c r="PUX755" s="123"/>
      <c r="PUY755" s="123"/>
      <c r="PUZ755" s="123"/>
      <c r="PVA755" s="123"/>
      <c r="PVB755" s="123"/>
      <c r="PVC755" s="123"/>
      <c r="PVD755" s="123"/>
      <c r="PVE755" s="123"/>
      <c r="PVF755" s="123"/>
      <c r="PVG755" s="123"/>
      <c r="PVH755" s="123"/>
      <c r="PVI755" s="123"/>
      <c r="PVJ755" s="123"/>
      <c r="PVK755" s="123"/>
      <c r="PVL755" s="123"/>
      <c r="PVM755" s="123"/>
      <c r="PVN755" s="123"/>
      <c r="PVO755" s="123"/>
      <c r="PVP755" s="123"/>
      <c r="PVQ755" s="123"/>
      <c r="PVR755" s="123"/>
      <c r="PVS755" s="123"/>
      <c r="PVT755" s="123"/>
      <c r="PVU755" s="123"/>
      <c r="PVV755" s="123"/>
      <c r="PVW755" s="123"/>
      <c r="PVX755" s="123"/>
      <c r="PVY755" s="123"/>
      <c r="PVZ755" s="123"/>
      <c r="PWA755" s="123"/>
      <c r="PWB755" s="123"/>
      <c r="PWC755" s="123"/>
      <c r="PWD755" s="123"/>
      <c r="PWE755" s="123"/>
      <c r="PWF755" s="123"/>
      <c r="PWG755" s="123"/>
      <c r="PWH755" s="123"/>
      <c r="PWI755" s="123"/>
      <c r="PWJ755" s="123"/>
      <c r="PWK755" s="123"/>
      <c r="PWL755" s="123"/>
      <c r="PWM755" s="123"/>
      <c r="PWN755" s="123"/>
      <c r="PWO755" s="123"/>
      <c r="PWP755" s="123"/>
      <c r="PWQ755" s="123"/>
      <c r="PWR755" s="123"/>
      <c r="PWS755" s="123"/>
      <c r="PWT755" s="123"/>
      <c r="PWU755" s="123"/>
      <c r="PWV755" s="123"/>
      <c r="PWW755" s="123"/>
      <c r="PWX755" s="123"/>
      <c r="PWY755" s="123"/>
      <c r="PWZ755" s="123"/>
      <c r="PXA755" s="123"/>
      <c r="PXB755" s="123"/>
      <c r="PXC755" s="123"/>
      <c r="PXD755" s="123"/>
      <c r="PXE755" s="123"/>
      <c r="PXF755" s="123"/>
      <c r="PXG755" s="123"/>
      <c r="PXH755" s="123"/>
      <c r="PXI755" s="123"/>
      <c r="PXJ755" s="123"/>
      <c r="PXK755" s="123"/>
      <c r="PXL755" s="123"/>
      <c r="PXM755" s="123"/>
      <c r="PXN755" s="123"/>
      <c r="PXO755" s="123"/>
      <c r="PXP755" s="123"/>
      <c r="PXQ755" s="123"/>
      <c r="PXR755" s="123"/>
      <c r="PXS755" s="123"/>
      <c r="PXT755" s="123"/>
      <c r="PXU755" s="123"/>
      <c r="PXV755" s="123"/>
      <c r="PXW755" s="123"/>
      <c r="PXX755" s="123"/>
      <c r="PXY755" s="123"/>
      <c r="PXZ755" s="123"/>
      <c r="PYA755" s="123"/>
      <c r="PYB755" s="123"/>
      <c r="PYC755" s="123"/>
      <c r="PYD755" s="123"/>
      <c r="PYE755" s="123"/>
      <c r="PYF755" s="123"/>
      <c r="PYG755" s="123"/>
      <c r="PYH755" s="123"/>
      <c r="PYI755" s="123"/>
      <c r="PYJ755" s="123"/>
      <c r="PYK755" s="123"/>
      <c r="PYL755" s="123"/>
      <c r="PYM755" s="123"/>
      <c r="PYN755" s="123"/>
      <c r="PYO755" s="123"/>
      <c r="PYP755" s="123"/>
      <c r="PYQ755" s="123"/>
      <c r="PYR755" s="123"/>
      <c r="PYS755" s="123"/>
      <c r="PYT755" s="123"/>
      <c r="PYU755" s="123"/>
      <c r="PYV755" s="123"/>
      <c r="PYW755" s="123"/>
      <c r="PYX755" s="123"/>
      <c r="PYY755" s="123"/>
      <c r="PYZ755" s="123"/>
      <c r="PZA755" s="123"/>
      <c r="PZB755" s="123"/>
      <c r="PZC755" s="123"/>
      <c r="PZD755" s="123"/>
      <c r="PZE755" s="123"/>
      <c r="PZF755" s="123"/>
      <c r="PZG755" s="123"/>
      <c r="PZH755" s="123"/>
      <c r="PZI755" s="123"/>
      <c r="PZJ755" s="123"/>
      <c r="PZK755" s="123"/>
      <c r="PZL755" s="123"/>
      <c r="PZM755" s="123"/>
      <c r="PZN755" s="123"/>
      <c r="PZO755" s="123"/>
      <c r="PZP755" s="123"/>
      <c r="PZQ755" s="123"/>
      <c r="PZR755" s="123"/>
      <c r="PZS755" s="123"/>
      <c r="PZT755" s="123"/>
      <c r="PZU755" s="123"/>
      <c r="PZV755" s="123"/>
      <c r="PZW755" s="123"/>
      <c r="PZX755" s="123"/>
      <c r="PZY755" s="123"/>
      <c r="PZZ755" s="123"/>
      <c r="QAA755" s="123"/>
      <c r="QAB755" s="123"/>
      <c r="QAC755" s="123"/>
      <c r="QAD755" s="123"/>
      <c r="QAE755" s="123"/>
      <c r="QAF755" s="123"/>
      <c r="QAG755" s="123"/>
      <c r="QAH755" s="123"/>
      <c r="QAI755" s="123"/>
      <c r="QAJ755" s="123"/>
      <c r="QAK755" s="123"/>
      <c r="QAL755" s="123"/>
      <c r="QAM755" s="123"/>
      <c r="QAN755" s="123"/>
      <c r="QAO755" s="123"/>
      <c r="QAP755" s="123"/>
      <c r="QAQ755" s="123"/>
      <c r="QAR755" s="123"/>
      <c r="QAS755" s="123"/>
      <c r="QAT755" s="123"/>
      <c r="QAU755" s="123"/>
      <c r="QAV755" s="123"/>
      <c r="QAW755" s="123"/>
      <c r="QAX755" s="123"/>
      <c r="QAY755" s="123"/>
      <c r="QAZ755" s="123"/>
      <c r="QBA755" s="123"/>
      <c r="QBB755" s="123"/>
      <c r="QBC755" s="123"/>
      <c r="QBD755" s="123"/>
      <c r="QBE755" s="123"/>
      <c r="QBF755" s="123"/>
      <c r="QBG755" s="123"/>
      <c r="QBH755" s="123"/>
      <c r="QBI755" s="123"/>
      <c r="QBJ755" s="123"/>
      <c r="QBK755" s="123"/>
      <c r="QBL755" s="123"/>
      <c r="QBM755" s="123"/>
      <c r="QBN755" s="123"/>
      <c r="QBO755" s="123"/>
      <c r="QBP755" s="123"/>
      <c r="QBQ755" s="123"/>
      <c r="QBR755" s="123"/>
      <c r="QBS755" s="123"/>
      <c r="QBT755" s="123"/>
      <c r="QBU755" s="123"/>
      <c r="QBV755" s="123"/>
      <c r="QBW755" s="123"/>
      <c r="QBX755" s="123"/>
      <c r="QBY755" s="123"/>
      <c r="QBZ755" s="123"/>
      <c r="QCA755" s="123"/>
      <c r="QCB755" s="123"/>
      <c r="QCC755" s="123"/>
      <c r="QCD755" s="123"/>
      <c r="QCE755" s="123"/>
      <c r="QCF755" s="123"/>
      <c r="QCG755" s="123"/>
      <c r="QCH755" s="123"/>
      <c r="QCI755" s="123"/>
      <c r="QCJ755" s="123"/>
      <c r="QCK755" s="123"/>
      <c r="QCL755" s="123"/>
      <c r="QCM755" s="123"/>
      <c r="QCN755" s="123"/>
      <c r="QCO755" s="123"/>
      <c r="QCP755" s="123"/>
      <c r="QCQ755" s="123"/>
      <c r="QCR755" s="123"/>
      <c r="QCS755" s="123"/>
      <c r="QCT755" s="123"/>
      <c r="QCU755" s="123"/>
      <c r="QCV755" s="123"/>
      <c r="QCW755" s="123"/>
      <c r="QCX755" s="123"/>
      <c r="QCY755" s="123"/>
      <c r="QCZ755" s="123"/>
      <c r="QDA755" s="123"/>
      <c r="QDB755" s="123"/>
      <c r="QDC755" s="123"/>
      <c r="QDD755" s="123"/>
      <c r="QDE755" s="123"/>
      <c r="QDF755" s="123"/>
      <c r="QDG755" s="123"/>
      <c r="QDH755" s="123"/>
      <c r="QDI755" s="123"/>
      <c r="QDJ755" s="123"/>
      <c r="QDK755" s="123"/>
      <c r="QDL755" s="123"/>
      <c r="QDM755" s="123"/>
      <c r="QDN755" s="123"/>
      <c r="QDO755" s="123"/>
      <c r="QDP755" s="123"/>
      <c r="QDQ755" s="123"/>
      <c r="QDR755" s="123"/>
      <c r="QDS755" s="123"/>
      <c r="QDT755" s="123"/>
      <c r="QDU755" s="123"/>
      <c r="QDV755" s="123"/>
      <c r="QDW755" s="123"/>
      <c r="QDX755" s="123"/>
      <c r="QDY755" s="123"/>
      <c r="QDZ755" s="123"/>
      <c r="QEA755" s="123"/>
      <c r="QEB755" s="123"/>
      <c r="QEC755" s="123"/>
      <c r="QED755" s="123"/>
      <c r="QEE755" s="123"/>
      <c r="QEF755" s="123"/>
      <c r="QEG755" s="123"/>
      <c r="QEH755" s="123"/>
      <c r="QEI755" s="123"/>
      <c r="QEJ755" s="123"/>
      <c r="QEK755" s="123"/>
      <c r="QEL755" s="123"/>
      <c r="QEM755" s="123"/>
      <c r="QEN755" s="123"/>
      <c r="QEO755" s="123"/>
      <c r="QEP755" s="123"/>
      <c r="QEQ755" s="123"/>
      <c r="QER755" s="123"/>
      <c r="QES755" s="123"/>
      <c r="QET755" s="123"/>
      <c r="QEU755" s="123"/>
      <c r="QEV755" s="123"/>
      <c r="QEW755" s="123"/>
      <c r="QEX755" s="123"/>
      <c r="QEY755" s="123"/>
      <c r="QEZ755" s="123"/>
      <c r="QFA755" s="123"/>
      <c r="QFB755" s="123"/>
      <c r="QFC755" s="123"/>
      <c r="QFD755" s="123"/>
      <c r="QFE755" s="123"/>
      <c r="QFF755" s="123"/>
      <c r="QFG755" s="123"/>
      <c r="QFH755" s="123"/>
      <c r="QFI755" s="123"/>
      <c r="QFJ755" s="123"/>
      <c r="QFK755" s="123"/>
      <c r="QFL755" s="123"/>
      <c r="QFM755" s="123"/>
      <c r="QFN755" s="123"/>
      <c r="QFO755" s="123"/>
      <c r="QFP755" s="123"/>
      <c r="QFQ755" s="123"/>
      <c r="QFR755" s="123"/>
      <c r="QFS755" s="123"/>
      <c r="QFT755" s="123"/>
      <c r="QFU755" s="123"/>
      <c r="QFV755" s="123"/>
      <c r="QFW755" s="123"/>
      <c r="QFX755" s="123"/>
      <c r="QFY755" s="123"/>
      <c r="QFZ755" s="123"/>
      <c r="QGA755" s="123"/>
      <c r="QGB755" s="123"/>
      <c r="QGC755" s="123"/>
      <c r="QGD755" s="123"/>
      <c r="QGE755" s="123"/>
      <c r="QGF755" s="123"/>
      <c r="QGG755" s="123"/>
      <c r="QGH755" s="123"/>
      <c r="QGI755" s="123"/>
      <c r="QGJ755" s="123"/>
      <c r="QGK755" s="123"/>
      <c r="QGL755" s="123"/>
      <c r="QGM755" s="123"/>
      <c r="QGN755" s="123"/>
      <c r="QGO755" s="123"/>
      <c r="QGP755" s="123"/>
      <c r="QGQ755" s="123"/>
      <c r="QGR755" s="123"/>
      <c r="QGS755" s="123"/>
      <c r="QGT755" s="123"/>
      <c r="QGU755" s="123"/>
      <c r="QGV755" s="123"/>
      <c r="QGW755" s="123"/>
      <c r="QGX755" s="123"/>
      <c r="QGY755" s="123"/>
      <c r="QGZ755" s="123"/>
      <c r="QHA755" s="123"/>
      <c r="QHB755" s="123"/>
      <c r="QHC755" s="123"/>
      <c r="QHD755" s="123"/>
      <c r="QHE755" s="123"/>
      <c r="QHF755" s="123"/>
      <c r="QHG755" s="123"/>
      <c r="QHH755" s="123"/>
      <c r="QHI755" s="123"/>
      <c r="QHJ755" s="123"/>
      <c r="QHK755" s="123"/>
      <c r="QHL755" s="123"/>
      <c r="QHM755" s="123"/>
      <c r="QHN755" s="123"/>
      <c r="QHO755" s="123"/>
      <c r="QHP755" s="123"/>
      <c r="QHQ755" s="123"/>
      <c r="QHR755" s="123"/>
      <c r="QHS755" s="123"/>
      <c r="QHT755" s="123"/>
      <c r="QHU755" s="123"/>
      <c r="QHV755" s="123"/>
      <c r="QHW755" s="123"/>
      <c r="QHX755" s="123"/>
      <c r="QHY755" s="123"/>
      <c r="QHZ755" s="123"/>
      <c r="QIA755" s="123"/>
      <c r="QIB755" s="123"/>
      <c r="QIC755" s="123"/>
      <c r="QID755" s="123"/>
      <c r="QIE755" s="123"/>
      <c r="QIF755" s="123"/>
      <c r="QIG755" s="123"/>
      <c r="QIH755" s="123"/>
      <c r="QII755" s="123"/>
      <c r="QIJ755" s="123"/>
      <c r="QIK755" s="123"/>
      <c r="QIL755" s="123"/>
      <c r="QIM755" s="123"/>
      <c r="QIN755" s="123"/>
      <c r="QIO755" s="123"/>
      <c r="QIP755" s="123"/>
      <c r="QIQ755" s="123"/>
      <c r="QIR755" s="123"/>
      <c r="QIS755" s="123"/>
      <c r="QIT755" s="123"/>
      <c r="QIU755" s="123"/>
      <c r="QIV755" s="123"/>
      <c r="QIW755" s="123"/>
      <c r="QIX755" s="123"/>
      <c r="QIY755" s="123"/>
      <c r="QIZ755" s="123"/>
      <c r="QJA755" s="123"/>
      <c r="QJB755" s="123"/>
      <c r="QJC755" s="123"/>
      <c r="QJD755" s="123"/>
      <c r="QJE755" s="123"/>
      <c r="QJF755" s="123"/>
      <c r="QJG755" s="123"/>
      <c r="QJH755" s="123"/>
      <c r="QJI755" s="123"/>
      <c r="QJJ755" s="123"/>
      <c r="QJK755" s="123"/>
      <c r="QJL755" s="123"/>
      <c r="QJM755" s="123"/>
      <c r="QJN755" s="123"/>
      <c r="QJO755" s="123"/>
      <c r="QJP755" s="123"/>
      <c r="QJQ755" s="123"/>
      <c r="QJR755" s="123"/>
      <c r="QJS755" s="123"/>
      <c r="QJT755" s="123"/>
      <c r="QJU755" s="123"/>
      <c r="QJV755" s="123"/>
      <c r="QJW755" s="123"/>
      <c r="QJX755" s="123"/>
      <c r="QJY755" s="123"/>
      <c r="QJZ755" s="123"/>
      <c r="QKA755" s="123"/>
      <c r="QKB755" s="123"/>
      <c r="QKC755" s="123"/>
      <c r="QKD755" s="123"/>
      <c r="QKE755" s="123"/>
      <c r="QKF755" s="123"/>
      <c r="QKG755" s="123"/>
      <c r="QKH755" s="123"/>
      <c r="QKI755" s="123"/>
      <c r="QKJ755" s="123"/>
      <c r="QKK755" s="123"/>
      <c r="QKL755" s="123"/>
      <c r="QKM755" s="123"/>
      <c r="QKN755" s="123"/>
      <c r="QKO755" s="123"/>
      <c r="QKP755" s="123"/>
      <c r="QKQ755" s="123"/>
      <c r="QKR755" s="123"/>
      <c r="QKS755" s="123"/>
      <c r="QKT755" s="123"/>
      <c r="QKU755" s="123"/>
      <c r="QKV755" s="123"/>
      <c r="QKW755" s="123"/>
      <c r="QKX755" s="123"/>
      <c r="QKY755" s="123"/>
      <c r="QKZ755" s="123"/>
      <c r="QLA755" s="123"/>
      <c r="QLB755" s="123"/>
      <c r="QLC755" s="123"/>
      <c r="QLD755" s="123"/>
      <c r="QLE755" s="123"/>
      <c r="QLF755" s="123"/>
      <c r="QLG755" s="123"/>
      <c r="QLH755" s="123"/>
      <c r="QLI755" s="123"/>
      <c r="QLJ755" s="123"/>
      <c r="QLK755" s="123"/>
      <c r="QLL755" s="123"/>
      <c r="QLM755" s="123"/>
      <c r="QLN755" s="123"/>
      <c r="QLO755" s="123"/>
      <c r="QLP755" s="123"/>
      <c r="QLQ755" s="123"/>
      <c r="QLR755" s="123"/>
      <c r="QLS755" s="123"/>
      <c r="QLT755" s="123"/>
      <c r="QLU755" s="123"/>
      <c r="QLV755" s="123"/>
      <c r="QLW755" s="123"/>
      <c r="QLX755" s="123"/>
      <c r="QLY755" s="123"/>
      <c r="QLZ755" s="123"/>
      <c r="QMA755" s="123"/>
      <c r="QMB755" s="123"/>
      <c r="QMC755" s="123"/>
      <c r="QMD755" s="123"/>
      <c r="QME755" s="123"/>
      <c r="QMF755" s="123"/>
      <c r="QMG755" s="123"/>
      <c r="QMH755" s="123"/>
      <c r="QMI755" s="123"/>
      <c r="QMJ755" s="123"/>
      <c r="QMK755" s="123"/>
      <c r="QML755" s="123"/>
      <c r="QMM755" s="123"/>
      <c r="QMN755" s="123"/>
      <c r="QMO755" s="123"/>
      <c r="QMP755" s="123"/>
      <c r="QMQ755" s="123"/>
      <c r="QMR755" s="123"/>
      <c r="QMS755" s="123"/>
      <c r="QMT755" s="123"/>
      <c r="QMU755" s="123"/>
      <c r="QMV755" s="123"/>
      <c r="QMW755" s="123"/>
      <c r="QMX755" s="123"/>
      <c r="QMY755" s="123"/>
      <c r="QMZ755" s="123"/>
      <c r="QNA755" s="123"/>
      <c r="QNB755" s="123"/>
      <c r="QNC755" s="123"/>
      <c r="QND755" s="123"/>
      <c r="QNE755" s="123"/>
      <c r="QNF755" s="123"/>
      <c r="QNG755" s="123"/>
      <c r="QNH755" s="123"/>
      <c r="QNI755" s="123"/>
      <c r="QNJ755" s="123"/>
      <c r="QNK755" s="123"/>
      <c r="QNL755" s="123"/>
      <c r="QNM755" s="123"/>
      <c r="QNN755" s="123"/>
      <c r="QNO755" s="123"/>
      <c r="QNP755" s="123"/>
      <c r="QNQ755" s="123"/>
      <c r="QNR755" s="123"/>
      <c r="QNS755" s="123"/>
      <c r="QNT755" s="123"/>
      <c r="QNU755" s="123"/>
      <c r="QNV755" s="123"/>
      <c r="QNW755" s="123"/>
      <c r="QNX755" s="123"/>
      <c r="QNY755" s="123"/>
      <c r="QNZ755" s="123"/>
      <c r="QOA755" s="123"/>
      <c r="QOB755" s="123"/>
      <c r="QOC755" s="123"/>
      <c r="QOD755" s="123"/>
      <c r="QOE755" s="123"/>
      <c r="QOF755" s="123"/>
      <c r="QOG755" s="123"/>
      <c r="QOH755" s="123"/>
      <c r="QOI755" s="123"/>
      <c r="QOJ755" s="123"/>
      <c r="QOK755" s="123"/>
      <c r="QOL755" s="123"/>
      <c r="QOM755" s="123"/>
      <c r="QON755" s="123"/>
      <c r="QOO755" s="123"/>
      <c r="QOP755" s="123"/>
      <c r="QOQ755" s="123"/>
      <c r="QOR755" s="123"/>
      <c r="QOS755" s="123"/>
      <c r="QOT755" s="123"/>
      <c r="QOU755" s="123"/>
      <c r="QOV755" s="123"/>
      <c r="QOW755" s="123"/>
      <c r="QOX755" s="123"/>
      <c r="QOY755" s="123"/>
      <c r="QOZ755" s="123"/>
      <c r="QPA755" s="123"/>
      <c r="QPB755" s="123"/>
      <c r="QPC755" s="123"/>
      <c r="QPD755" s="123"/>
      <c r="QPE755" s="123"/>
      <c r="QPF755" s="123"/>
      <c r="QPG755" s="123"/>
      <c r="QPH755" s="123"/>
      <c r="QPI755" s="123"/>
      <c r="QPJ755" s="123"/>
      <c r="QPK755" s="123"/>
      <c r="QPL755" s="123"/>
      <c r="QPM755" s="123"/>
      <c r="QPN755" s="123"/>
      <c r="QPO755" s="123"/>
      <c r="QPP755" s="123"/>
      <c r="QPQ755" s="123"/>
      <c r="QPR755" s="123"/>
      <c r="QPS755" s="123"/>
      <c r="QPT755" s="123"/>
      <c r="QPU755" s="123"/>
      <c r="QPV755" s="123"/>
      <c r="QPW755" s="123"/>
      <c r="QPX755" s="123"/>
      <c r="QPY755" s="123"/>
      <c r="QPZ755" s="123"/>
      <c r="QQA755" s="123"/>
      <c r="QQB755" s="123"/>
      <c r="QQC755" s="123"/>
      <c r="QQD755" s="123"/>
      <c r="QQE755" s="123"/>
      <c r="QQF755" s="123"/>
      <c r="QQG755" s="123"/>
      <c r="QQH755" s="123"/>
      <c r="QQI755" s="123"/>
      <c r="QQJ755" s="123"/>
      <c r="QQK755" s="123"/>
      <c r="QQL755" s="123"/>
      <c r="QQM755" s="123"/>
      <c r="QQN755" s="123"/>
      <c r="QQO755" s="123"/>
      <c r="QQP755" s="123"/>
      <c r="QQQ755" s="123"/>
      <c r="QQR755" s="123"/>
      <c r="QQS755" s="123"/>
      <c r="QQT755" s="123"/>
      <c r="QQU755" s="123"/>
      <c r="QQV755" s="123"/>
      <c r="QQW755" s="123"/>
      <c r="QQX755" s="123"/>
      <c r="QQY755" s="123"/>
      <c r="QQZ755" s="123"/>
      <c r="QRA755" s="123"/>
      <c r="QRB755" s="123"/>
      <c r="QRC755" s="123"/>
      <c r="QRD755" s="123"/>
      <c r="QRE755" s="123"/>
      <c r="QRF755" s="123"/>
      <c r="QRG755" s="123"/>
      <c r="QRH755" s="123"/>
      <c r="QRI755" s="123"/>
      <c r="QRJ755" s="123"/>
      <c r="QRK755" s="123"/>
      <c r="QRL755" s="123"/>
      <c r="QRM755" s="123"/>
      <c r="QRN755" s="123"/>
      <c r="QRO755" s="123"/>
      <c r="QRP755" s="123"/>
      <c r="QRQ755" s="123"/>
      <c r="QRR755" s="123"/>
      <c r="QRS755" s="123"/>
      <c r="QRT755" s="123"/>
      <c r="QRU755" s="123"/>
      <c r="QRV755" s="123"/>
      <c r="QRW755" s="123"/>
      <c r="QRX755" s="123"/>
      <c r="QRY755" s="123"/>
      <c r="QRZ755" s="123"/>
      <c r="QSA755" s="123"/>
      <c r="QSB755" s="123"/>
      <c r="QSC755" s="123"/>
      <c r="QSD755" s="123"/>
      <c r="QSE755" s="123"/>
      <c r="QSF755" s="123"/>
      <c r="QSG755" s="123"/>
      <c r="QSH755" s="123"/>
      <c r="QSI755" s="123"/>
      <c r="QSJ755" s="123"/>
      <c r="QSK755" s="123"/>
      <c r="QSL755" s="123"/>
      <c r="QSM755" s="123"/>
      <c r="QSN755" s="123"/>
      <c r="QSO755" s="123"/>
      <c r="QSP755" s="123"/>
      <c r="QSQ755" s="123"/>
      <c r="QSR755" s="123"/>
      <c r="QSS755" s="123"/>
      <c r="QST755" s="123"/>
      <c r="QSU755" s="123"/>
      <c r="QSV755" s="123"/>
      <c r="QSW755" s="123"/>
      <c r="QSX755" s="123"/>
      <c r="QSY755" s="123"/>
      <c r="QSZ755" s="123"/>
      <c r="QTA755" s="123"/>
      <c r="QTB755" s="123"/>
      <c r="QTC755" s="123"/>
      <c r="QTD755" s="123"/>
      <c r="QTE755" s="123"/>
      <c r="QTF755" s="123"/>
      <c r="QTG755" s="123"/>
      <c r="QTH755" s="123"/>
      <c r="QTI755" s="123"/>
      <c r="QTJ755" s="123"/>
      <c r="QTK755" s="123"/>
      <c r="QTL755" s="123"/>
      <c r="QTM755" s="123"/>
      <c r="QTN755" s="123"/>
      <c r="QTO755" s="123"/>
      <c r="QTP755" s="123"/>
      <c r="QTQ755" s="123"/>
      <c r="QTR755" s="123"/>
      <c r="QTS755" s="123"/>
      <c r="QTT755" s="123"/>
      <c r="QTU755" s="123"/>
      <c r="QTV755" s="123"/>
      <c r="QTW755" s="123"/>
      <c r="QTX755" s="123"/>
      <c r="QTY755" s="123"/>
      <c r="QTZ755" s="123"/>
      <c r="QUA755" s="123"/>
      <c r="QUB755" s="123"/>
      <c r="QUC755" s="123"/>
      <c r="QUD755" s="123"/>
      <c r="QUE755" s="123"/>
      <c r="QUF755" s="123"/>
      <c r="QUG755" s="123"/>
      <c r="QUH755" s="123"/>
      <c r="QUI755" s="123"/>
      <c r="QUJ755" s="123"/>
      <c r="QUK755" s="123"/>
      <c r="QUL755" s="123"/>
      <c r="QUM755" s="123"/>
      <c r="QUN755" s="123"/>
      <c r="QUO755" s="123"/>
      <c r="QUP755" s="123"/>
      <c r="QUQ755" s="123"/>
      <c r="QUR755" s="123"/>
      <c r="QUS755" s="123"/>
      <c r="QUT755" s="123"/>
      <c r="QUU755" s="123"/>
      <c r="QUV755" s="123"/>
      <c r="QUW755" s="123"/>
      <c r="QUX755" s="123"/>
      <c r="QUY755" s="123"/>
      <c r="QUZ755" s="123"/>
      <c r="QVA755" s="123"/>
      <c r="QVB755" s="123"/>
      <c r="QVC755" s="123"/>
      <c r="QVD755" s="123"/>
      <c r="QVE755" s="123"/>
      <c r="QVF755" s="123"/>
      <c r="QVG755" s="123"/>
      <c r="QVH755" s="123"/>
      <c r="QVI755" s="123"/>
      <c r="QVJ755" s="123"/>
      <c r="QVK755" s="123"/>
      <c r="QVL755" s="123"/>
      <c r="QVM755" s="123"/>
      <c r="QVN755" s="123"/>
      <c r="QVO755" s="123"/>
      <c r="QVP755" s="123"/>
      <c r="QVQ755" s="123"/>
      <c r="QVR755" s="123"/>
      <c r="QVS755" s="123"/>
      <c r="QVT755" s="123"/>
      <c r="QVU755" s="123"/>
      <c r="QVV755" s="123"/>
      <c r="QVW755" s="123"/>
      <c r="QVX755" s="123"/>
      <c r="QVY755" s="123"/>
      <c r="QVZ755" s="123"/>
      <c r="QWA755" s="123"/>
      <c r="QWB755" s="123"/>
      <c r="QWC755" s="123"/>
      <c r="QWD755" s="123"/>
      <c r="QWE755" s="123"/>
      <c r="QWF755" s="123"/>
      <c r="QWG755" s="123"/>
      <c r="QWH755" s="123"/>
      <c r="QWI755" s="123"/>
      <c r="QWJ755" s="123"/>
      <c r="QWK755" s="123"/>
      <c r="QWL755" s="123"/>
      <c r="QWM755" s="123"/>
      <c r="QWN755" s="123"/>
      <c r="QWO755" s="123"/>
      <c r="QWP755" s="123"/>
      <c r="QWQ755" s="123"/>
      <c r="QWR755" s="123"/>
      <c r="QWS755" s="123"/>
      <c r="QWT755" s="123"/>
      <c r="QWU755" s="123"/>
      <c r="QWV755" s="123"/>
      <c r="QWW755" s="123"/>
      <c r="QWX755" s="123"/>
      <c r="QWY755" s="123"/>
      <c r="QWZ755" s="123"/>
      <c r="QXA755" s="123"/>
      <c r="QXB755" s="123"/>
      <c r="QXC755" s="123"/>
      <c r="QXD755" s="123"/>
      <c r="QXE755" s="123"/>
      <c r="QXF755" s="123"/>
      <c r="QXG755" s="123"/>
      <c r="QXH755" s="123"/>
      <c r="QXI755" s="123"/>
      <c r="QXJ755" s="123"/>
      <c r="QXK755" s="123"/>
      <c r="QXL755" s="123"/>
      <c r="QXM755" s="123"/>
      <c r="QXN755" s="123"/>
      <c r="QXO755" s="123"/>
      <c r="QXP755" s="123"/>
      <c r="QXQ755" s="123"/>
      <c r="QXR755" s="123"/>
      <c r="QXS755" s="123"/>
      <c r="QXT755" s="123"/>
      <c r="QXU755" s="123"/>
      <c r="QXV755" s="123"/>
      <c r="QXW755" s="123"/>
      <c r="QXX755" s="123"/>
      <c r="QXY755" s="123"/>
      <c r="QXZ755" s="123"/>
      <c r="QYA755" s="123"/>
      <c r="QYB755" s="123"/>
      <c r="QYC755" s="123"/>
      <c r="QYD755" s="123"/>
      <c r="QYE755" s="123"/>
      <c r="QYF755" s="123"/>
      <c r="QYG755" s="123"/>
      <c r="QYH755" s="123"/>
      <c r="QYI755" s="123"/>
      <c r="QYJ755" s="123"/>
      <c r="QYK755" s="123"/>
      <c r="QYL755" s="123"/>
      <c r="QYM755" s="123"/>
      <c r="QYN755" s="123"/>
      <c r="QYO755" s="123"/>
      <c r="QYP755" s="123"/>
      <c r="QYQ755" s="123"/>
      <c r="QYR755" s="123"/>
      <c r="QYS755" s="123"/>
      <c r="QYT755" s="123"/>
      <c r="QYU755" s="123"/>
      <c r="QYV755" s="123"/>
      <c r="QYW755" s="123"/>
      <c r="QYX755" s="123"/>
      <c r="QYY755" s="123"/>
      <c r="QYZ755" s="123"/>
      <c r="QZA755" s="123"/>
      <c r="QZB755" s="123"/>
      <c r="QZC755" s="123"/>
      <c r="QZD755" s="123"/>
      <c r="QZE755" s="123"/>
      <c r="QZF755" s="123"/>
      <c r="QZG755" s="123"/>
      <c r="QZH755" s="123"/>
      <c r="QZI755" s="123"/>
      <c r="QZJ755" s="123"/>
      <c r="QZK755" s="123"/>
      <c r="QZL755" s="123"/>
      <c r="QZM755" s="123"/>
      <c r="QZN755" s="123"/>
      <c r="QZO755" s="123"/>
      <c r="QZP755" s="123"/>
      <c r="QZQ755" s="123"/>
      <c r="QZR755" s="123"/>
      <c r="QZS755" s="123"/>
      <c r="QZT755" s="123"/>
      <c r="QZU755" s="123"/>
      <c r="QZV755" s="123"/>
      <c r="QZW755" s="123"/>
      <c r="QZX755" s="123"/>
      <c r="QZY755" s="123"/>
      <c r="QZZ755" s="123"/>
      <c r="RAA755" s="123"/>
      <c r="RAB755" s="123"/>
      <c r="RAC755" s="123"/>
      <c r="RAD755" s="123"/>
      <c r="RAE755" s="123"/>
      <c r="RAF755" s="123"/>
      <c r="RAG755" s="123"/>
      <c r="RAH755" s="123"/>
      <c r="RAI755" s="123"/>
      <c r="RAJ755" s="123"/>
      <c r="RAK755" s="123"/>
      <c r="RAL755" s="123"/>
      <c r="RAM755" s="123"/>
      <c r="RAN755" s="123"/>
      <c r="RAO755" s="123"/>
      <c r="RAP755" s="123"/>
      <c r="RAQ755" s="123"/>
      <c r="RAR755" s="123"/>
      <c r="RAS755" s="123"/>
      <c r="RAT755" s="123"/>
      <c r="RAU755" s="123"/>
      <c r="RAV755" s="123"/>
      <c r="RAW755" s="123"/>
      <c r="RAX755" s="123"/>
      <c r="RAY755" s="123"/>
      <c r="RAZ755" s="123"/>
      <c r="RBA755" s="123"/>
      <c r="RBB755" s="123"/>
      <c r="RBC755" s="123"/>
      <c r="RBD755" s="123"/>
      <c r="RBE755" s="123"/>
      <c r="RBF755" s="123"/>
      <c r="RBG755" s="123"/>
      <c r="RBH755" s="123"/>
      <c r="RBI755" s="123"/>
      <c r="RBJ755" s="123"/>
      <c r="RBK755" s="123"/>
      <c r="RBL755" s="123"/>
      <c r="RBM755" s="123"/>
      <c r="RBN755" s="123"/>
      <c r="RBO755" s="123"/>
      <c r="RBP755" s="123"/>
      <c r="RBQ755" s="123"/>
      <c r="RBR755" s="123"/>
      <c r="RBS755" s="123"/>
      <c r="RBT755" s="123"/>
      <c r="RBU755" s="123"/>
      <c r="RBV755" s="123"/>
      <c r="RBW755" s="123"/>
      <c r="RBX755" s="123"/>
      <c r="RBY755" s="123"/>
      <c r="RBZ755" s="123"/>
      <c r="RCA755" s="123"/>
      <c r="RCB755" s="123"/>
      <c r="RCC755" s="123"/>
      <c r="RCD755" s="123"/>
      <c r="RCE755" s="123"/>
      <c r="RCF755" s="123"/>
      <c r="RCG755" s="123"/>
      <c r="RCH755" s="123"/>
      <c r="RCI755" s="123"/>
      <c r="RCJ755" s="123"/>
      <c r="RCK755" s="123"/>
      <c r="RCL755" s="123"/>
      <c r="RCM755" s="123"/>
      <c r="RCN755" s="123"/>
      <c r="RCO755" s="123"/>
      <c r="RCP755" s="123"/>
      <c r="RCQ755" s="123"/>
      <c r="RCR755" s="123"/>
      <c r="RCS755" s="123"/>
      <c r="RCT755" s="123"/>
      <c r="RCU755" s="123"/>
      <c r="RCV755" s="123"/>
      <c r="RCW755" s="123"/>
      <c r="RCX755" s="123"/>
      <c r="RCY755" s="123"/>
      <c r="RCZ755" s="123"/>
      <c r="RDA755" s="123"/>
      <c r="RDB755" s="123"/>
      <c r="RDC755" s="123"/>
      <c r="RDD755" s="123"/>
      <c r="RDE755" s="123"/>
      <c r="RDF755" s="123"/>
      <c r="RDG755" s="123"/>
      <c r="RDH755" s="123"/>
      <c r="RDI755" s="123"/>
      <c r="RDJ755" s="123"/>
      <c r="RDK755" s="123"/>
      <c r="RDL755" s="123"/>
      <c r="RDM755" s="123"/>
      <c r="RDN755" s="123"/>
      <c r="RDO755" s="123"/>
      <c r="RDP755" s="123"/>
      <c r="RDQ755" s="123"/>
      <c r="RDR755" s="123"/>
      <c r="RDS755" s="123"/>
      <c r="RDT755" s="123"/>
      <c r="RDU755" s="123"/>
      <c r="RDV755" s="123"/>
      <c r="RDW755" s="123"/>
      <c r="RDX755" s="123"/>
      <c r="RDY755" s="123"/>
      <c r="RDZ755" s="123"/>
      <c r="REA755" s="123"/>
      <c r="REB755" s="123"/>
      <c r="REC755" s="123"/>
      <c r="RED755" s="123"/>
      <c r="REE755" s="123"/>
      <c r="REF755" s="123"/>
      <c r="REG755" s="123"/>
      <c r="REH755" s="123"/>
      <c r="REI755" s="123"/>
      <c r="REJ755" s="123"/>
      <c r="REK755" s="123"/>
      <c r="REL755" s="123"/>
      <c r="REM755" s="123"/>
      <c r="REN755" s="123"/>
      <c r="REO755" s="123"/>
      <c r="REP755" s="123"/>
      <c r="REQ755" s="123"/>
      <c r="RER755" s="123"/>
      <c r="RES755" s="123"/>
      <c r="RET755" s="123"/>
      <c r="REU755" s="123"/>
      <c r="REV755" s="123"/>
      <c r="REW755" s="123"/>
      <c r="REX755" s="123"/>
      <c r="REY755" s="123"/>
      <c r="REZ755" s="123"/>
      <c r="RFA755" s="123"/>
      <c r="RFB755" s="123"/>
      <c r="RFC755" s="123"/>
      <c r="RFD755" s="123"/>
      <c r="RFE755" s="123"/>
      <c r="RFF755" s="123"/>
      <c r="RFG755" s="123"/>
      <c r="RFH755" s="123"/>
      <c r="RFI755" s="123"/>
      <c r="RFJ755" s="123"/>
      <c r="RFK755" s="123"/>
      <c r="RFL755" s="123"/>
      <c r="RFM755" s="123"/>
      <c r="RFN755" s="123"/>
      <c r="RFO755" s="123"/>
      <c r="RFP755" s="123"/>
      <c r="RFQ755" s="123"/>
      <c r="RFR755" s="123"/>
      <c r="RFS755" s="123"/>
      <c r="RFT755" s="123"/>
      <c r="RFU755" s="123"/>
      <c r="RFV755" s="123"/>
      <c r="RFW755" s="123"/>
      <c r="RFX755" s="123"/>
      <c r="RFY755" s="123"/>
      <c r="RFZ755" s="123"/>
      <c r="RGA755" s="123"/>
      <c r="RGB755" s="123"/>
      <c r="RGC755" s="123"/>
      <c r="RGD755" s="123"/>
      <c r="RGE755" s="123"/>
      <c r="RGF755" s="123"/>
      <c r="RGG755" s="123"/>
      <c r="RGH755" s="123"/>
      <c r="RGI755" s="123"/>
      <c r="RGJ755" s="123"/>
      <c r="RGK755" s="123"/>
      <c r="RGL755" s="123"/>
      <c r="RGM755" s="123"/>
      <c r="RGN755" s="123"/>
      <c r="RGO755" s="123"/>
      <c r="RGP755" s="123"/>
      <c r="RGQ755" s="123"/>
      <c r="RGR755" s="123"/>
      <c r="RGS755" s="123"/>
      <c r="RGT755" s="123"/>
      <c r="RGU755" s="123"/>
      <c r="RGV755" s="123"/>
      <c r="RGW755" s="123"/>
      <c r="RGX755" s="123"/>
      <c r="RGY755" s="123"/>
      <c r="RGZ755" s="123"/>
      <c r="RHA755" s="123"/>
      <c r="RHB755" s="123"/>
      <c r="RHC755" s="123"/>
      <c r="RHD755" s="123"/>
      <c r="RHE755" s="123"/>
      <c r="RHF755" s="123"/>
      <c r="RHG755" s="123"/>
      <c r="RHH755" s="123"/>
      <c r="RHI755" s="123"/>
      <c r="RHJ755" s="123"/>
      <c r="RHK755" s="123"/>
      <c r="RHL755" s="123"/>
      <c r="RHM755" s="123"/>
      <c r="RHN755" s="123"/>
      <c r="RHO755" s="123"/>
      <c r="RHP755" s="123"/>
      <c r="RHQ755" s="123"/>
      <c r="RHR755" s="123"/>
      <c r="RHS755" s="123"/>
      <c r="RHT755" s="123"/>
      <c r="RHU755" s="123"/>
      <c r="RHV755" s="123"/>
      <c r="RHW755" s="123"/>
      <c r="RHX755" s="123"/>
      <c r="RHY755" s="123"/>
      <c r="RHZ755" s="123"/>
      <c r="RIA755" s="123"/>
      <c r="RIB755" s="123"/>
      <c r="RIC755" s="123"/>
      <c r="RID755" s="123"/>
      <c r="RIE755" s="123"/>
      <c r="RIF755" s="123"/>
      <c r="RIG755" s="123"/>
      <c r="RIH755" s="123"/>
      <c r="RII755" s="123"/>
      <c r="RIJ755" s="123"/>
      <c r="RIK755" s="123"/>
      <c r="RIL755" s="123"/>
      <c r="RIM755" s="123"/>
      <c r="RIN755" s="123"/>
      <c r="RIO755" s="123"/>
      <c r="RIP755" s="123"/>
      <c r="RIQ755" s="123"/>
      <c r="RIR755" s="123"/>
      <c r="RIS755" s="123"/>
      <c r="RIT755" s="123"/>
      <c r="RIU755" s="123"/>
      <c r="RIV755" s="123"/>
      <c r="RIW755" s="123"/>
      <c r="RIX755" s="123"/>
      <c r="RIY755" s="123"/>
      <c r="RIZ755" s="123"/>
      <c r="RJA755" s="123"/>
      <c r="RJB755" s="123"/>
      <c r="RJC755" s="123"/>
      <c r="RJD755" s="123"/>
      <c r="RJE755" s="123"/>
      <c r="RJF755" s="123"/>
      <c r="RJG755" s="123"/>
      <c r="RJH755" s="123"/>
      <c r="RJI755" s="123"/>
      <c r="RJJ755" s="123"/>
      <c r="RJK755" s="123"/>
      <c r="RJL755" s="123"/>
      <c r="RJM755" s="123"/>
      <c r="RJN755" s="123"/>
      <c r="RJO755" s="123"/>
      <c r="RJP755" s="123"/>
      <c r="RJQ755" s="123"/>
      <c r="RJR755" s="123"/>
      <c r="RJS755" s="123"/>
      <c r="RJT755" s="123"/>
      <c r="RJU755" s="123"/>
      <c r="RJV755" s="123"/>
      <c r="RJW755" s="123"/>
      <c r="RJX755" s="123"/>
      <c r="RJY755" s="123"/>
      <c r="RJZ755" s="123"/>
      <c r="RKA755" s="123"/>
      <c r="RKB755" s="123"/>
      <c r="RKC755" s="123"/>
      <c r="RKD755" s="123"/>
      <c r="RKE755" s="123"/>
      <c r="RKF755" s="123"/>
      <c r="RKG755" s="123"/>
      <c r="RKH755" s="123"/>
      <c r="RKI755" s="123"/>
      <c r="RKJ755" s="123"/>
      <c r="RKK755" s="123"/>
      <c r="RKL755" s="123"/>
      <c r="RKM755" s="123"/>
      <c r="RKN755" s="123"/>
      <c r="RKO755" s="123"/>
      <c r="RKP755" s="123"/>
      <c r="RKQ755" s="123"/>
      <c r="RKR755" s="123"/>
      <c r="RKS755" s="123"/>
      <c r="RKT755" s="123"/>
      <c r="RKU755" s="123"/>
      <c r="RKV755" s="123"/>
      <c r="RKW755" s="123"/>
      <c r="RKX755" s="123"/>
      <c r="RKY755" s="123"/>
      <c r="RKZ755" s="123"/>
      <c r="RLA755" s="123"/>
      <c r="RLB755" s="123"/>
      <c r="RLC755" s="123"/>
      <c r="RLD755" s="123"/>
      <c r="RLE755" s="123"/>
      <c r="RLF755" s="123"/>
      <c r="RLG755" s="123"/>
      <c r="RLH755" s="123"/>
      <c r="RLI755" s="123"/>
      <c r="RLJ755" s="123"/>
      <c r="RLK755" s="123"/>
      <c r="RLL755" s="123"/>
      <c r="RLM755" s="123"/>
      <c r="RLN755" s="123"/>
      <c r="RLO755" s="123"/>
      <c r="RLP755" s="123"/>
      <c r="RLQ755" s="123"/>
      <c r="RLR755" s="123"/>
      <c r="RLS755" s="123"/>
      <c r="RLT755" s="123"/>
      <c r="RLU755" s="123"/>
      <c r="RLV755" s="123"/>
      <c r="RLW755" s="123"/>
      <c r="RLX755" s="123"/>
      <c r="RLY755" s="123"/>
      <c r="RLZ755" s="123"/>
      <c r="RMA755" s="123"/>
      <c r="RMB755" s="123"/>
      <c r="RMC755" s="123"/>
      <c r="RMD755" s="123"/>
      <c r="RME755" s="123"/>
      <c r="RMF755" s="123"/>
      <c r="RMG755" s="123"/>
      <c r="RMH755" s="123"/>
      <c r="RMI755" s="123"/>
      <c r="RMJ755" s="123"/>
      <c r="RMK755" s="123"/>
      <c r="RML755" s="123"/>
      <c r="RMM755" s="123"/>
      <c r="RMN755" s="123"/>
      <c r="RMO755" s="123"/>
      <c r="RMP755" s="123"/>
      <c r="RMQ755" s="123"/>
      <c r="RMR755" s="123"/>
      <c r="RMS755" s="123"/>
      <c r="RMT755" s="123"/>
      <c r="RMU755" s="123"/>
      <c r="RMV755" s="123"/>
      <c r="RMW755" s="123"/>
      <c r="RMX755" s="123"/>
      <c r="RMY755" s="123"/>
      <c r="RMZ755" s="123"/>
      <c r="RNA755" s="123"/>
      <c r="RNB755" s="123"/>
      <c r="RNC755" s="123"/>
      <c r="RND755" s="123"/>
      <c r="RNE755" s="123"/>
      <c r="RNF755" s="123"/>
      <c r="RNG755" s="123"/>
      <c r="RNH755" s="123"/>
      <c r="RNI755" s="123"/>
      <c r="RNJ755" s="123"/>
      <c r="RNK755" s="123"/>
      <c r="RNL755" s="123"/>
      <c r="RNM755" s="123"/>
      <c r="RNN755" s="123"/>
      <c r="RNO755" s="123"/>
      <c r="RNP755" s="123"/>
      <c r="RNQ755" s="123"/>
      <c r="RNR755" s="123"/>
      <c r="RNS755" s="123"/>
      <c r="RNT755" s="123"/>
      <c r="RNU755" s="123"/>
      <c r="RNV755" s="123"/>
      <c r="RNW755" s="123"/>
      <c r="RNX755" s="123"/>
      <c r="RNY755" s="123"/>
      <c r="RNZ755" s="123"/>
      <c r="ROA755" s="123"/>
      <c r="ROB755" s="123"/>
      <c r="ROC755" s="123"/>
      <c r="ROD755" s="123"/>
      <c r="ROE755" s="123"/>
      <c r="ROF755" s="123"/>
      <c r="ROG755" s="123"/>
      <c r="ROH755" s="123"/>
      <c r="ROI755" s="123"/>
      <c r="ROJ755" s="123"/>
      <c r="ROK755" s="123"/>
      <c r="ROL755" s="123"/>
      <c r="ROM755" s="123"/>
      <c r="RON755" s="123"/>
      <c r="ROO755" s="123"/>
      <c r="ROP755" s="123"/>
      <c r="ROQ755" s="123"/>
      <c r="ROR755" s="123"/>
      <c r="ROS755" s="123"/>
      <c r="ROT755" s="123"/>
      <c r="ROU755" s="123"/>
      <c r="ROV755" s="123"/>
      <c r="ROW755" s="123"/>
      <c r="ROX755" s="123"/>
      <c r="ROY755" s="123"/>
      <c r="ROZ755" s="123"/>
      <c r="RPA755" s="123"/>
      <c r="RPB755" s="123"/>
      <c r="RPC755" s="123"/>
      <c r="RPD755" s="123"/>
      <c r="RPE755" s="123"/>
      <c r="RPF755" s="123"/>
      <c r="RPG755" s="123"/>
      <c r="RPH755" s="123"/>
      <c r="RPI755" s="123"/>
      <c r="RPJ755" s="123"/>
      <c r="RPK755" s="123"/>
      <c r="RPL755" s="123"/>
      <c r="RPM755" s="123"/>
      <c r="RPN755" s="123"/>
      <c r="RPO755" s="123"/>
      <c r="RPP755" s="123"/>
      <c r="RPQ755" s="123"/>
      <c r="RPR755" s="123"/>
      <c r="RPS755" s="123"/>
      <c r="RPT755" s="123"/>
      <c r="RPU755" s="123"/>
      <c r="RPV755" s="123"/>
      <c r="RPW755" s="123"/>
      <c r="RPX755" s="123"/>
      <c r="RPY755" s="123"/>
      <c r="RPZ755" s="123"/>
      <c r="RQA755" s="123"/>
      <c r="RQB755" s="123"/>
      <c r="RQC755" s="123"/>
      <c r="RQD755" s="123"/>
      <c r="RQE755" s="123"/>
      <c r="RQF755" s="123"/>
      <c r="RQG755" s="123"/>
      <c r="RQH755" s="123"/>
      <c r="RQI755" s="123"/>
      <c r="RQJ755" s="123"/>
      <c r="RQK755" s="123"/>
      <c r="RQL755" s="123"/>
      <c r="RQM755" s="123"/>
      <c r="RQN755" s="123"/>
      <c r="RQO755" s="123"/>
      <c r="RQP755" s="123"/>
      <c r="RQQ755" s="123"/>
      <c r="RQR755" s="123"/>
      <c r="RQS755" s="123"/>
      <c r="RQT755" s="123"/>
      <c r="RQU755" s="123"/>
      <c r="RQV755" s="123"/>
      <c r="RQW755" s="123"/>
      <c r="RQX755" s="123"/>
      <c r="RQY755" s="123"/>
      <c r="RQZ755" s="123"/>
      <c r="RRA755" s="123"/>
      <c r="RRB755" s="123"/>
      <c r="RRC755" s="123"/>
      <c r="RRD755" s="123"/>
      <c r="RRE755" s="123"/>
      <c r="RRF755" s="123"/>
      <c r="RRG755" s="123"/>
      <c r="RRH755" s="123"/>
      <c r="RRI755" s="123"/>
      <c r="RRJ755" s="123"/>
      <c r="RRK755" s="123"/>
      <c r="RRL755" s="123"/>
      <c r="RRM755" s="123"/>
      <c r="RRN755" s="123"/>
      <c r="RRO755" s="123"/>
      <c r="RRP755" s="123"/>
      <c r="RRQ755" s="123"/>
      <c r="RRR755" s="123"/>
      <c r="RRS755" s="123"/>
      <c r="RRT755" s="123"/>
      <c r="RRU755" s="123"/>
      <c r="RRV755" s="123"/>
      <c r="RRW755" s="123"/>
      <c r="RRX755" s="123"/>
      <c r="RRY755" s="123"/>
      <c r="RRZ755" s="123"/>
      <c r="RSA755" s="123"/>
      <c r="RSB755" s="123"/>
      <c r="RSC755" s="123"/>
      <c r="RSD755" s="123"/>
      <c r="RSE755" s="123"/>
      <c r="RSF755" s="123"/>
      <c r="RSG755" s="123"/>
      <c r="RSH755" s="123"/>
      <c r="RSI755" s="123"/>
      <c r="RSJ755" s="123"/>
      <c r="RSK755" s="123"/>
      <c r="RSL755" s="123"/>
      <c r="RSM755" s="123"/>
      <c r="RSN755" s="123"/>
      <c r="RSO755" s="123"/>
      <c r="RSP755" s="123"/>
      <c r="RSQ755" s="123"/>
      <c r="RSR755" s="123"/>
      <c r="RSS755" s="123"/>
      <c r="RST755" s="123"/>
      <c r="RSU755" s="123"/>
      <c r="RSV755" s="123"/>
      <c r="RSW755" s="123"/>
      <c r="RSX755" s="123"/>
      <c r="RSY755" s="123"/>
      <c r="RSZ755" s="123"/>
      <c r="RTA755" s="123"/>
      <c r="RTB755" s="123"/>
      <c r="RTC755" s="123"/>
      <c r="RTD755" s="123"/>
      <c r="RTE755" s="123"/>
      <c r="RTF755" s="123"/>
      <c r="RTG755" s="123"/>
      <c r="RTH755" s="123"/>
      <c r="RTI755" s="123"/>
      <c r="RTJ755" s="123"/>
      <c r="RTK755" s="123"/>
      <c r="RTL755" s="123"/>
      <c r="RTM755" s="123"/>
      <c r="RTN755" s="123"/>
      <c r="RTO755" s="123"/>
      <c r="RTP755" s="123"/>
      <c r="RTQ755" s="123"/>
      <c r="RTR755" s="123"/>
      <c r="RTS755" s="123"/>
      <c r="RTT755" s="123"/>
      <c r="RTU755" s="123"/>
      <c r="RTV755" s="123"/>
      <c r="RTW755" s="123"/>
      <c r="RTX755" s="123"/>
      <c r="RTY755" s="123"/>
      <c r="RTZ755" s="123"/>
      <c r="RUA755" s="123"/>
      <c r="RUB755" s="123"/>
      <c r="RUC755" s="123"/>
      <c r="RUD755" s="123"/>
      <c r="RUE755" s="123"/>
      <c r="RUF755" s="123"/>
      <c r="RUG755" s="123"/>
      <c r="RUH755" s="123"/>
      <c r="RUI755" s="123"/>
      <c r="RUJ755" s="123"/>
      <c r="RUK755" s="123"/>
      <c r="RUL755" s="123"/>
      <c r="RUM755" s="123"/>
      <c r="RUN755" s="123"/>
      <c r="RUO755" s="123"/>
      <c r="RUP755" s="123"/>
      <c r="RUQ755" s="123"/>
      <c r="RUR755" s="123"/>
      <c r="RUS755" s="123"/>
      <c r="RUT755" s="123"/>
      <c r="RUU755" s="123"/>
      <c r="RUV755" s="123"/>
      <c r="RUW755" s="123"/>
      <c r="RUX755" s="123"/>
      <c r="RUY755" s="123"/>
      <c r="RUZ755" s="123"/>
      <c r="RVA755" s="123"/>
      <c r="RVB755" s="123"/>
      <c r="RVC755" s="123"/>
      <c r="RVD755" s="123"/>
      <c r="RVE755" s="123"/>
      <c r="RVF755" s="123"/>
      <c r="RVG755" s="123"/>
      <c r="RVH755" s="123"/>
      <c r="RVI755" s="123"/>
      <c r="RVJ755" s="123"/>
      <c r="RVK755" s="123"/>
      <c r="RVL755" s="123"/>
      <c r="RVM755" s="123"/>
      <c r="RVN755" s="123"/>
      <c r="RVO755" s="123"/>
      <c r="RVP755" s="123"/>
      <c r="RVQ755" s="123"/>
      <c r="RVR755" s="123"/>
      <c r="RVS755" s="123"/>
      <c r="RVT755" s="123"/>
      <c r="RVU755" s="123"/>
      <c r="RVV755" s="123"/>
      <c r="RVW755" s="123"/>
      <c r="RVX755" s="123"/>
      <c r="RVY755" s="123"/>
      <c r="RVZ755" s="123"/>
      <c r="RWA755" s="123"/>
      <c r="RWB755" s="123"/>
      <c r="RWC755" s="123"/>
      <c r="RWD755" s="123"/>
      <c r="RWE755" s="123"/>
      <c r="RWF755" s="123"/>
      <c r="RWG755" s="123"/>
      <c r="RWH755" s="123"/>
      <c r="RWI755" s="123"/>
      <c r="RWJ755" s="123"/>
      <c r="RWK755" s="123"/>
      <c r="RWL755" s="123"/>
      <c r="RWM755" s="123"/>
      <c r="RWN755" s="123"/>
      <c r="RWO755" s="123"/>
      <c r="RWP755" s="123"/>
      <c r="RWQ755" s="123"/>
      <c r="RWR755" s="123"/>
      <c r="RWS755" s="123"/>
      <c r="RWT755" s="123"/>
      <c r="RWU755" s="123"/>
      <c r="RWV755" s="123"/>
      <c r="RWW755" s="123"/>
      <c r="RWX755" s="123"/>
      <c r="RWY755" s="123"/>
      <c r="RWZ755" s="123"/>
      <c r="RXA755" s="123"/>
      <c r="RXB755" s="123"/>
      <c r="RXC755" s="123"/>
      <c r="RXD755" s="123"/>
      <c r="RXE755" s="123"/>
      <c r="RXF755" s="123"/>
      <c r="RXG755" s="123"/>
      <c r="RXH755" s="123"/>
      <c r="RXI755" s="123"/>
      <c r="RXJ755" s="123"/>
      <c r="RXK755" s="123"/>
      <c r="RXL755" s="123"/>
      <c r="RXM755" s="123"/>
      <c r="RXN755" s="123"/>
      <c r="RXO755" s="123"/>
      <c r="RXP755" s="123"/>
      <c r="RXQ755" s="123"/>
      <c r="RXR755" s="123"/>
      <c r="RXS755" s="123"/>
      <c r="RXT755" s="123"/>
      <c r="RXU755" s="123"/>
      <c r="RXV755" s="123"/>
      <c r="RXW755" s="123"/>
      <c r="RXX755" s="123"/>
      <c r="RXY755" s="123"/>
      <c r="RXZ755" s="123"/>
      <c r="RYA755" s="123"/>
      <c r="RYB755" s="123"/>
      <c r="RYC755" s="123"/>
      <c r="RYD755" s="123"/>
      <c r="RYE755" s="123"/>
      <c r="RYF755" s="123"/>
      <c r="RYG755" s="123"/>
      <c r="RYH755" s="123"/>
      <c r="RYI755" s="123"/>
      <c r="RYJ755" s="123"/>
      <c r="RYK755" s="123"/>
      <c r="RYL755" s="123"/>
      <c r="RYM755" s="123"/>
      <c r="RYN755" s="123"/>
      <c r="RYO755" s="123"/>
      <c r="RYP755" s="123"/>
      <c r="RYQ755" s="123"/>
      <c r="RYR755" s="123"/>
      <c r="RYS755" s="123"/>
      <c r="RYT755" s="123"/>
      <c r="RYU755" s="123"/>
      <c r="RYV755" s="123"/>
      <c r="RYW755" s="123"/>
      <c r="RYX755" s="123"/>
      <c r="RYY755" s="123"/>
      <c r="RYZ755" s="123"/>
      <c r="RZA755" s="123"/>
      <c r="RZB755" s="123"/>
      <c r="RZC755" s="123"/>
      <c r="RZD755" s="123"/>
      <c r="RZE755" s="123"/>
      <c r="RZF755" s="123"/>
      <c r="RZG755" s="123"/>
      <c r="RZH755" s="123"/>
      <c r="RZI755" s="123"/>
      <c r="RZJ755" s="123"/>
      <c r="RZK755" s="123"/>
      <c r="RZL755" s="123"/>
      <c r="RZM755" s="123"/>
      <c r="RZN755" s="123"/>
      <c r="RZO755" s="123"/>
      <c r="RZP755" s="123"/>
      <c r="RZQ755" s="123"/>
      <c r="RZR755" s="123"/>
      <c r="RZS755" s="123"/>
      <c r="RZT755" s="123"/>
      <c r="RZU755" s="123"/>
      <c r="RZV755" s="123"/>
      <c r="RZW755" s="123"/>
      <c r="RZX755" s="123"/>
      <c r="RZY755" s="123"/>
      <c r="RZZ755" s="123"/>
      <c r="SAA755" s="123"/>
      <c r="SAB755" s="123"/>
      <c r="SAC755" s="123"/>
      <c r="SAD755" s="123"/>
      <c r="SAE755" s="123"/>
      <c r="SAF755" s="123"/>
      <c r="SAG755" s="123"/>
      <c r="SAH755" s="123"/>
      <c r="SAI755" s="123"/>
      <c r="SAJ755" s="123"/>
      <c r="SAK755" s="123"/>
      <c r="SAL755" s="123"/>
      <c r="SAM755" s="123"/>
      <c r="SAN755" s="123"/>
      <c r="SAO755" s="123"/>
      <c r="SAP755" s="123"/>
      <c r="SAQ755" s="123"/>
      <c r="SAR755" s="123"/>
      <c r="SAS755" s="123"/>
      <c r="SAT755" s="123"/>
      <c r="SAU755" s="123"/>
      <c r="SAV755" s="123"/>
      <c r="SAW755" s="123"/>
      <c r="SAX755" s="123"/>
      <c r="SAY755" s="123"/>
      <c r="SAZ755" s="123"/>
      <c r="SBA755" s="123"/>
      <c r="SBB755" s="123"/>
      <c r="SBC755" s="123"/>
      <c r="SBD755" s="123"/>
      <c r="SBE755" s="123"/>
      <c r="SBF755" s="123"/>
      <c r="SBG755" s="123"/>
      <c r="SBH755" s="123"/>
      <c r="SBI755" s="123"/>
      <c r="SBJ755" s="123"/>
      <c r="SBK755" s="123"/>
      <c r="SBL755" s="123"/>
      <c r="SBM755" s="123"/>
      <c r="SBN755" s="123"/>
      <c r="SBO755" s="123"/>
      <c r="SBP755" s="123"/>
      <c r="SBQ755" s="123"/>
      <c r="SBR755" s="123"/>
      <c r="SBS755" s="123"/>
      <c r="SBT755" s="123"/>
      <c r="SBU755" s="123"/>
      <c r="SBV755" s="123"/>
      <c r="SBW755" s="123"/>
      <c r="SBX755" s="123"/>
      <c r="SBY755" s="123"/>
      <c r="SBZ755" s="123"/>
      <c r="SCA755" s="123"/>
      <c r="SCB755" s="123"/>
      <c r="SCC755" s="123"/>
      <c r="SCD755" s="123"/>
      <c r="SCE755" s="123"/>
      <c r="SCF755" s="123"/>
      <c r="SCG755" s="123"/>
      <c r="SCH755" s="123"/>
      <c r="SCI755" s="123"/>
      <c r="SCJ755" s="123"/>
      <c r="SCK755" s="123"/>
      <c r="SCL755" s="123"/>
      <c r="SCM755" s="123"/>
      <c r="SCN755" s="123"/>
      <c r="SCO755" s="123"/>
      <c r="SCP755" s="123"/>
      <c r="SCQ755" s="123"/>
      <c r="SCR755" s="123"/>
      <c r="SCS755" s="123"/>
      <c r="SCT755" s="123"/>
      <c r="SCU755" s="123"/>
      <c r="SCV755" s="123"/>
      <c r="SCW755" s="123"/>
      <c r="SCX755" s="123"/>
      <c r="SCY755" s="123"/>
      <c r="SCZ755" s="123"/>
      <c r="SDA755" s="123"/>
      <c r="SDB755" s="123"/>
      <c r="SDC755" s="123"/>
      <c r="SDD755" s="123"/>
      <c r="SDE755" s="123"/>
      <c r="SDF755" s="123"/>
      <c r="SDG755" s="123"/>
      <c r="SDH755" s="123"/>
      <c r="SDI755" s="123"/>
      <c r="SDJ755" s="123"/>
      <c r="SDK755" s="123"/>
      <c r="SDL755" s="123"/>
      <c r="SDM755" s="123"/>
      <c r="SDN755" s="123"/>
      <c r="SDO755" s="123"/>
      <c r="SDP755" s="123"/>
      <c r="SDQ755" s="123"/>
      <c r="SDR755" s="123"/>
      <c r="SDS755" s="123"/>
      <c r="SDT755" s="123"/>
      <c r="SDU755" s="123"/>
      <c r="SDV755" s="123"/>
      <c r="SDW755" s="123"/>
      <c r="SDX755" s="123"/>
      <c r="SDY755" s="123"/>
      <c r="SDZ755" s="123"/>
      <c r="SEA755" s="123"/>
      <c r="SEB755" s="123"/>
      <c r="SEC755" s="123"/>
      <c r="SED755" s="123"/>
      <c r="SEE755" s="123"/>
      <c r="SEF755" s="123"/>
      <c r="SEG755" s="123"/>
      <c r="SEH755" s="123"/>
      <c r="SEI755" s="123"/>
      <c r="SEJ755" s="123"/>
      <c r="SEK755" s="123"/>
      <c r="SEL755" s="123"/>
      <c r="SEM755" s="123"/>
      <c r="SEN755" s="123"/>
      <c r="SEO755" s="123"/>
      <c r="SEP755" s="123"/>
      <c r="SEQ755" s="123"/>
      <c r="SER755" s="123"/>
      <c r="SES755" s="123"/>
      <c r="SET755" s="123"/>
      <c r="SEU755" s="123"/>
      <c r="SEV755" s="123"/>
      <c r="SEW755" s="123"/>
      <c r="SEX755" s="123"/>
      <c r="SEY755" s="123"/>
      <c r="SEZ755" s="123"/>
      <c r="SFA755" s="123"/>
      <c r="SFB755" s="123"/>
      <c r="SFC755" s="123"/>
      <c r="SFD755" s="123"/>
      <c r="SFE755" s="123"/>
      <c r="SFF755" s="123"/>
      <c r="SFG755" s="123"/>
      <c r="SFH755" s="123"/>
      <c r="SFI755" s="123"/>
      <c r="SFJ755" s="123"/>
      <c r="SFK755" s="123"/>
      <c r="SFL755" s="123"/>
      <c r="SFM755" s="123"/>
      <c r="SFN755" s="123"/>
      <c r="SFO755" s="123"/>
      <c r="SFP755" s="123"/>
      <c r="SFQ755" s="123"/>
      <c r="SFR755" s="123"/>
      <c r="SFS755" s="123"/>
      <c r="SFT755" s="123"/>
      <c r="SFU755" s="123"/>
      <c r="SFV755" s="123"/>
      <c r="SFW755" s="123"/>
      <c r="SFX755" s="123"/>
      <c r="SFY755" s="123"/>
      <c r="SFZ755" s="123"/>
      <c r="SGA755" s="123"/>
      <c r="SGB755" s="123"/>
      <c r="SGC755" s="123"/>
      <c r="SGD755" s="123"/>
      <c r="SGE755" s="123"/>
      <c r="SGF755" s="123"/>
      <c r="SGG755" s="123"/>
      <c r="SGH755" s="123"/>
      <c r="SGI755" s="123"/>
      <c r="SGJ755" s="123"/>
      <c r="SGK755" s="123"/>
      <c r="SGL755" s="123"/>
      <c r="SGM755" s="123"/>
      <c r="SGN755" s="123"/>
      <c r="SGO755" s="123"/>
      <c r="SGP755" s="123"/>
      <c r="SGQ755" s="123"/>
      <c r="SGR755" s="123"/>
      <c r="SGS755" s="123"/>
      <c r="SGT755" s="123"/>
      <c r="SGU755" s="123"/>
      <c r="SGV755" s="123"/>
      <c r="SGW755" s="123"/>
      <c r="SGX755" s="123"/>
      <c r="SGY755" s="123"/>
      <c r="SGZ755" s="123"/>
      <c r="SHA755" s="123"/>
      <c r="SHB755" s="123"/>
      <c r="SHC755" s="123"/>
      <c r="SHD755" s="123"/>
      <c r="SHE755" s="123"/>
      <c r="SHF755" s="123"/>
      <c r="SHG755" s="123"/>
      <c r="SHH755" s="123"/>
      <c r="SHI755" s="123"/>
      <c r="SHJ755" s="123"/>
      <c r="SHK755" s="123"/>
      <c r="SHL755" s="123"/>
      <c r="SHM755" s="123"/>
      <c r="SHN755" s="123"/>
      <c r="SHO755" s="123"/>
      <c r="SHP755" s="123"/>
      <c r="SHQ755" s="123"/>
      <c r="SHR755" s="123"/>
      <c r="SHS755" s="123"/>
      <c r="SHT755" s="123"/>
      <c r="SHU755" s="123"/>
      <c r="SHV755" s="123"/>
      <c r="SHW755" s="123"/>
      <c r="SHX755" s="123"/>
      <c r="SHY755" s="123"/>
      <c r="SHZ755" s="123"/>
      <c r="SIA755" s="123"/>
      <c r="SIB755" s="123"/>
      <c r="SIC755" s="123"/>
      <c r="SID755" s="123"/>
      <c r="SIE755" s="123"/>
      <c r="SIF755" s="123"/>
      <c r="SIG755" s="123"/>
      <c r="SIH755" s="123"/>
      <c r="SII755" s="123"/>
      <c r="SIJ755" s="123"/>
      <c r="SIK755" s="123"/>
      <c r="SIL755" s="123"/>
      <c r="SIM755" s="123"/>
      <c r="SIN755" s="123"/>
      <c r="SIO755" s="123"/>
      <c r="SIP755" s="123"/>
      <c r="SIQ755" s="123"/>
      <c r="SIR755" s="123"/>
      <c r="SIS755" s="123"/>
      <c r="SIT755" s="123"/>
      <c r="SIU755" s="123"/>
      <c r="SIV755" s="123"/>
      <c r="SIW755" s="123"/>
      <c r="SIX755" s="123"/>
      <c r="SIY755" s="123"/>
      <c r="SIZ755" s="123"/>
      <c r="SJA755" s="123"/>
      <c r="SJB755" s="123"/>
      <c r="SJC755" s="123"/>
      <c r="SJD755" s="123"/>
      <c r="SJE755" s="123"/>
      <c r="SJF755" s="123"/>
      <c r="SJG755" s="123"/>
      <c r="SJH755" s="123"/>
      <c r="SJI755" s="123"/>
      <c r="SJJ755" s="123"/>
      <c r="SJK755" s="123"/>
      <c r="SJL755" s="123"/>
      <c r="SJM755" s="123"/>
      <c r="SJN755" s="123"/>
      <c r="SJO755" s="123"/>
      <c r="SJP755" s="123"/>
      <c r="SJQ755" s="123"/>
      <c r="SJR755" s="123"/>
      <c r="SJS755" s="123"/>
      <c r="SJT755" s="123"/>
      <c r="SJU755" s="123"/>
      <c r="SJV755" s="123"/>
      <c r="SJW755" s="123"/>
      <c r="SJX755" s="123"/>
      <c r="SJY755" s="123"/>
      <c r="SJZ755" s="123"/>
      <c r="SKA755" s="123"/>
      <c r="SKB755" s="123"/>
      <c r="SKC755" s="123"/>
      <c r="SKD755" s="123"/>
      <c r="SKE755" s="123"/>
      <c r="SKF755" s="123"/>
      <c r="SKG755" s="123"/>
      <c r="SKH755" s="123"/>
      <c r="SKI755" s="123"/>
      <c r="SKJ755" s="123"/>
      <c r="SKK755" s="123"/>
      <c r="SKL755" s="123"/>
      <c r="SKM755" s="123"/>
      <c r="SKN755" s="123"/>
      <c r="SKO755" s="123"/>
      <c r="SKP755" s="123"/>
      <c r="SKQ755" s="123"/>
      <c r="SKR755" s="123"/>
      <c r="SKS755" s="123"/>
      <c r="SKT755" s="123"/>
      <c r="SKU755" s="123"/>
      <c r="SKV755" s="123"/>
      <c r="SKW755" s="123"/>
      <c r="SKX755" s="123"/>
      <c r="SKY755" s="123"/>
      <c r="SKZ755" s="123"/>
      <c r="SLA755" s="123"/>
      <c r="SLB755" s="123"/>
      <c r="SLC755" s="123"/>
      <c r="SLD755" s="123"/>
      <c r="SLE755" s="123"/>
      <c r="SLF755" s="123"/>
      <c r="SLG755" s="123"/>
      <c r="SLH755" s="123"/>
      <c r="SLI755" s="123"/>
      <c r="SLJ755" s="123"/>
      <c r="SLK755" s="123"/>
      <c r="SLL755" s="123"/>
      <c r="SLM755" s="123"/>
      <c r="SLN755" s="123"/>
      <c r="SLO755" s="123"/>
      <c r="SLP755" s="123"/>
      <c r="SLQ755" s="123"/>
      <c r="SLR755" s="123"/>
      <c r="SLS755" s="123"/>
      <c r="SLT755" s="123"/>
      <c r="SLU755" s="123"/>
      <c r="SLV755" s="123"/>
      <c r="SLW755" s="123"/>
      <c r="SLX755" s="123"/>
      <c r="SLY755" s="123"/>
      <c r="SLZ755" s="123"/>
      <c r="SMA755" s="123"/>
      <c r="SMB755" s="123"/>
      <c r="SMC755" s="123"/>
      <c r="SMD755" s="123"/>
      <c r="SME755" s="123"/>
      <c r="SMF755" s="123"/>
      <c r="SMG755" s="123"/>
      <c r="SMH755" s="123"/>
      <c r="SMI755" s="123"/>
      <c r="SMJ755" s="123"/>
      <c r="SMK755" s="123"/>
      <c r="SML755" s="123"/>
      <c r="SMM755" s="123"/>
      <c r="SMN755" s="123"/>
      <c r="SMO755" s="123"/>
      <c r="SMP755" s="123"/>
      <c r="SMQ755" s="123"/>
      <c r="SMR755" s="123"/>
      <c r="SMS755" s="123"/>
      <c r="SMT755" s="123"/>
      <c r="SMU755" s="123"/>
      <c r="SMV755" s="123"/>
      <c r="SMW755" s="123"/>
      <c r="SMX755" s="123"/>
      <c r="SMY755" s="123"/>
      <c r="SMZ755" s="123"/>
      <c r="SNA755" s="123"/>
      <c r="SNB755" s="123"/>
      <c r="SNC755" s="123"/>
      <c r="SND755" s="123"/>
      <c r="SNE755" s="123"/>
      <c r="SNF755" s="123"/>
      <c r="SNG755" s="123"/>
      <c r="SNH755" s="123"/>
      <c r="SNI755" s="123"/>
      <c r="SNJ755" s="123"/>
      <c r="SNK755" s="123"/>
      <c r="SNL755" s="123"/>
      <c r="SNM755" s="123"/>
      <c r="SNN755" s="123"/>
      <c r="SNO755" s="123"/>
      <c r="SNP755" s="123"/>
      <c r="SNQ755" s="123"/>
      <c r="SNR755" s="123"/>
      <c r="SNS755" s="123"/>
      <c r="SNT755" s="123"/>
      <c r="SNU755" s="123"/>
      <c r="SNV755" s="123"/>
      <c r="SNW755" s="123"/>
      <c r="SNX755" s="123"/>
      <c r="SNY755" s="123"/>
      <c r="SNZ755" s="123"/>
      <c r="SOA755" s="123"/>
      <c r="SOB755" s="123"/>
      <c r="SOC755" s="123"/>
      <c r="SOD755" s="123"/>
      <c r="SOE755" s="123"/>
      <c r="SOF755" s="123"/>
      <c r="SOG755" s="123"/>
      <c r="SOH755" s="123"/>
      <c r="SOI755" s="123"/>
      <c r="SOJ755" s="123"/>
      <c r="SOK755" s="123"/>
      <c r="SOL755" s="123"/>
      <c r="SOM755" s="123"/>
      <c r="SON755" s="123"/>
      <c r="SOO755" s="123"/>
      <c r="SOP755" s="123"/>
      <c r="SOQ755" s="123"/>
      <c r="SOR755" s="123"/>
      <c r="SOS755" s="123"/>
      <c r="SOT755" s="123"/>
      <c r="SOU755" s="123"/>
      <c r="SOV755" s="123"/>
      <c r="SOW755" s="123"/>
      <c r="SOX755" s="123"/>
      <c r="SOY755" s="123"/>
      <c r="SOZ755" s="123"/>
      <c r="SPA755" s="123"/>
      <c r="SPB755" s="123"/>
      <c r="SPC755" s="123"/>
      <c r="SPD755" s="123"/>
      <c r="SPE755" s="123"/>
      <c r="SPF755" s="123"/>
      <c r="SPG755" s="123"/>
      <c r="SPH755" s="123"/>
      <c r="SPI755" s="123"/>
      <c r="SPJ755" s="123"/>
      <c r="SPK755" s="123"/>
      <c r="SPL755" s="123"/>
      <c r="SPM755" s="123"/>
      <c r="SPN755" s="123"/>
      <c r="SPO755" s="123"/>
      <c r="SPP755" s="123"/>
      <c r="SPQ755" s="123"/>
      <c r="SPR755" s="123"/>
      <c r="SPS755" s="123"/>
      <c r="SPT755" s="123"/>
      <c r="SPU755" s="123"/>
      <c r="SPV755" s="123"/>
      <c r="SPW755" s="123"/>
      <c r="SPX755" s="123"/>
      <c r="SPY755" s="123"/>
      <c r="SPZ755" s="123"/>
      <c r="SQA755" s="123"/>
      <c r="SQB755" s="123"/>
      <c r="SQC755" s="123"/>
      <c r="SQD755" s="123"/>
      <c r="SQE755" s="123"/>
      <c r="SQF755" s="123"/>
      <c r="SQG755" s="123"/>
      <c r="SQH755" s="123"/>
      <c r="SQI755" s="123"/>
      <c r="SQJ755" s="123"/>
      <c r="SQK755" s="123"/>
      <c r="SQL755" s="123"/>
      <c r="SQM755" s="123"/>
      <c r="SQN755" s="123"/>
      <c r="SQO755" s="123"/>
      <c r="SQP755" s="123"/>
      <c r="SQQ755" s="123"/>
      <c r="SQR755" s="123"/>
      <c r="SQS755" s="123"/>
      <c r="SQT755" s="123"/>
      <c r="SQU755" s="123"/>
      <c r="SQV755" s="123"/>
      <c r="SQW755" s="123"/>
      <c r="SQX755" s="123"/>
      <c r="SQY755" s="123"/>
      <c r="SQZ755" s="123"/>
      <c r="SRA755" s="123"/>
      <c r="SRB755" s="123"/>
      <c r="SRC755" s="123"/>
      <c r="SRD755" s="123"/>
      <c r="SRE755" s="123"/>
      <c r="SRF755" s="123"/>
      <c r="SRG755" s="123"/>
      <c r="SRH755" s="123"/>
      <c r="SRI755" s="123"/>
      <c r="SRJ755" s="123"/>
      <c r="SRK755" s="123"/>
      <c r="SRL755" s="123"/>
      <c r="SRM755" s="123"/>
      <c r="SRN755" s="123"/>
      <c r="SRO755" s="123"/>
      <c r="SRP755" s="123"/>
      <c r="SRQ755" s="123"/>
      <c r="SRR755" s="123"/>
      <c r="SRS755" s="123"/>
      <c r="SRT755" s="123"/>
      <c r="SRU755" s="123"/>
      <c r="SRV755" s="123"/>
      <c r="SRW755" s="123"/>
      <c r="SRX755" s="123"/>
      <c r="SRY755" s="123"/>
      <c r="SRZ755" s="123"/>
      <c r="SSA755" s="123"/>
      <c r="SSB755" s="123"/>
      <c r="SSC755" s="123"/>
      <c r="SSD755" s="123"/>
      <c r="SSE755" s="123"/>
      <c r="SSF755" s="123"/>
      <c r="SSG755" s="123"/>
      <c r="SSH755" s="123"/>
      <c r="SSI755" s="123"/>
      <c r="SSJ755" s="123"/>
      <c r="SSK755" s="123"/>
      <c r="SSL755" s="123"/>
      <c r="SSM755" s="123"/>
      <c r="SSN755" s="123"/>
      <c r="SSO755" s="123"/>
      <c r="SSP755" s="123"/>
      <c r="SSQ755" s="123"/>
      <c r="SSR755" s="123"/>
      <c r="SSS755" s="123"/>
      <c r="SST755" s="123"/>
      <c r="SSU755" s="123"/>
      <c r="SSV755" s="123"/>
      <c r="SSW755" s="123"/>
      <c r="SSX755" s="123"/>
      <c r="SSY755" s="123"/>
      <c r="SSZ755" s="123"/>
      <c r="STA755" s="123"/>
      <c r="STB755" s="123"/>
      <c r="STC755" s="123"/>
      <c r="STD755" s="123"/>
      <c r="STE755" s="123"/>
      <c r="STF755" s="123"/>
      <c r="STG755" s="123"/>
      <c r="STH755" s="123"/>
      <c r="STI755" s="123"/>
      <c r="STJ755" s="123"/>
      <c r="STK755" s="123"/>
      <c r="STL755" s="123"/>
      <c r="STM755" s="123"/>
      <c r="STN755" s="123"/>
      <c r="STO755" s="123"/>
      <c r="STP755" s="123"/>
      <c r="STQ755" s="123"/>
      <c r="STR755" s="123"/>
      <c r="STS755" s="123"/>
      <c r="STT755" s="123"/>
      <c r="STU755" s="123"/>
      <c r="STV755" s="123"/>
      <c r="STW755" s="123"/>
      <c r="STX755" s="123"/>
      <c r="STY755" s="123"/>
      <c r="STZ755" s="123"/>
      <c r="SUA755" s="123"/>
      <c r="SUB755" s="123"/>
      <c r="SUC755" s="123"/>
      <c r="SUD755" s="123"/>
      <c r="SUE755" s="123"/>
      <c r="SUF755" s="123"/>
      <c r="SUG755" s="123"/>
      <c r="SUH755" s="123"/>
      <c r="SUI755" s="123"/>
      <c r="SUJ755" s="123"/>
      <c r="SUK755" s="123"/>
      <c r="SUL755" s="123"/>
      <c r="SUM755" s="123"/>
      <c r="SUN755" s="123"/>
      <c r="SUO755" s="123"/>
      <c r="SUP755" s="123"/>
      <c r="SUQ755" s="123"/>
      <c r="SUR755" s="123"/>
      <c r="SUS755" s="123"/>
      <c r="SUT755" s="123"/>
      <c r="SUU755" s="123"/>
      <c r="SUV755" s="123"/>
      <c r="SUW755" s="123"/>
      <c r="SUX755" s="123"/>
      <c r="SUY755" s="123"/>
      <c r="SUZ755" s="123"/>
      <c r="SVA755" s="123"/>
      <c r="SVB755" s="123"/>
      <c r="SVC755" s="123"/>
      <c r="SVD755" s="123"/>
      <c r="SVE755" s="123"/>
      <c r="SVF755" s="123"/>
      <c r="SVG755" s="123"/>
      <c r="SVH755" s="123"/>
      <c r="SVI755" s="123"/>
      <c r="SVJ755" s="123"/>
      <c r="SVK755" s="123"/>
      <c r="SVL755" s="123"/>
      <c r="SVM755" s="123"/>
      <c r="SVN755" s="123"/>
      <c r="SVO755" s="123"/>
      <c r="SVP755" s="123"/>
      <c r="SVQ755" s="123"/>
      <c r="SVR755" s="123"/>
      <c r="SVS755" s="123"/>
      <c r="SVT755" s="123"/>
      <c r="SVU755" s="123"/>
      <c r="SVV755" s="123"/>
      <c r="SVW755" s="123"/>
      <c r="SVX755" s="123"/>
      <c r="SVY755" s="123"/>
      <c r="SVZ755" s="123"/>
      <c r="SWA755" s="123"/>
      <c r="SWB755" s="123"/>
      <c r="SWC755" s="123"/>
      <c r="SWD755" s="123"/>
      <c r="SWE755" s="123"/>
      <c r="SWF755" s="123"/>
      <c r="SWG755" s="123"/>
      <c r="SWH755" s="123"/>
      <c r="SWI755" s="123"/>
      <c r="SWJ755" s="123"/>
      <c r="SWK755" s="123"/>
      <c r="SWL755" s="123"/>
      <c r="SWM755" s="123"/>
      <c r="SWN755" s="123"/>
      <c r="SWO755" s="123"/>
      <c r="SWP755" s="123"/>
      <c r="SWQ755" s="123"/>
      <c r="SWR755" s="123"/>
      <c r="SWS755" s="123"/>
      <c r="SWT755" s="123"/>
      <c r="SWU755" s="123"/>
      <c r="SWV755" s="123"/>
      <c r="SWW755" s="123"/>
      <c r="SWX755" s="123"/>
      <c r="SWY755" s="123"/>
      <c r="SWZ755" s="123"/>
      <c r="SXA755" s="123"/>
      <c r="SXB755" s="123"/>
      <c r="SXC755" s="123"/>
      <c r="SXD755" s="123"/>
      <c r="SXE755" s="123"/>
      <c r="SXF755" s="123"/>
      <c r="SXG755" s="123"/>
      <c r="SXH755" s="123"/>
      <c r="SXI755" s="123"/>
      <c r="SXJ755" s="123"/>
      <c r="SXK755" s="123"/>
      <c r="SXL755" s="123"/>
      <c r="SXM755" s="123"/>
      <c r="SXN755" s="123"/>
      <c r="SXO755" s="123"/>
      <c r="SXP755" s="123"/>
      <c r="SXQ755" s="123"/>
      <c r="SXR755" s="123"/>
      <c r="SXS755" s="123"/>
      <c r="SXT755" s="123"/>
      <c r="SXU755" s="123"/>
      <c r="SXV755" s="123"/>
      <c r="SXW755" s="123"/>
      <c r="SXX755" s="123"/>
      <c r="SXY755" s="123"/>
      <c r="SXZ755" s="123"/>
      <c r="SYA755" s="123"/>
      <c r="SYB755" s="123"/>
      <c r="SYC755" s="123"/>
      <c r="SYD755" s="123"/>
      <c r="SYE755" s="123"/>
      <c r="SYF755" s="123"/>
      <c r="SYG755" s="123"/>
      <c r="SYH755" s="123"/>
      <c r="SYI755" s="123"/>
      <c r="SYJ755" s="123"/>
      <c r="SYK755" s="123"/>
      <c r="SYL755" s="123"/>
      <c r="SYM755" s="123"/>
      <c r="SYN755" s="123"/>
      <c r="SYO755" s="123"/>
      <c r="SYP755" s="123"/>
      <c r="SYQ755" s="123"/>
      <c r="SYR755" s="123"/>
      <c r="SYS755" s="123"/>
      <c r="SYT755" s="123"/>
      <c r="SYU755" s="123"/>
      <c r="SYV755" s="123"/>
      <c r="SYW755" s="123"/>
      <c r="SYX755" s="123"/>
      <c r="SYY755" s="123"/>
      <c r="SYZ755" s="123"/>
      <c r="SZA755" s="123"/>
      <c r="SZB755" s="123"/>
      <c r="SZC755" s="123"/>
      <c r="SZD755" s="123"/>
      <c r="SZE755" s="123"/>
      <c r="SZF755" s="123"/>
      <c r="SZG755" s="123"/>
      <c r="SZH755" s="123"/>
      <c r="SZI755" s="123"/>
      <c r="SZJ755" s="123"/>
      <c r="SZK755" s="123"/>
      <c r="SZL755" s="123"/>
      <c r="SZM755" s="123"/>
      <c r="SZN755" s="123"/>
      <c r="SZO755" s="123"/>
      <c r="SZP755" s="123"/>
      <c r="SZQ755" s="123"/>
      <c r="SZR755" s="123"/>
      <c r="SZS755" s="123"/>
      <c r="SZT755" s="123"/>
      <c r="SZU755" s="123"/>
      <c r="SZV755" s="123"/>
      <c r="SZW755" s="123"/>
      <c r="SZX755" s="123"/>
      <c r="SZY755" s="123"/>
      <c r="SZZ755" s="123"/>
      <c r="TAA755" s="123"/>
      <c r="TAB755" s="123"/>
      <c r="TAC755" s="123"/>
      <c r="TAD755" s="123"/>
      <c r="TAE755" s="123"/>
      <c r="TAF755" s="123"/>
      <c r="TAG755" s="123"/>
      <c r="TAH755" s="123"/>
      <c r="TAI755" s="123"/>
      <c r="TAJ755" s="123"/>
      <c r="TAK755" s="123"/>
      <c r="TAL755" s="123"/>
      <c r="TAM755" s="123"/>
      <c r="TAN755" s="123"/>
      <c r="TAO755" s="123"/>
      <c r="TAP755" s="123"/>
      <c r="TAQ755" s="123"/>
      <c r="TAR755" s="123"/>
      <c r="TAS755" s="123"/>
      <c r="TAT755" s="123"/>
      <c r="TAU755" s="123"/>
      <c r="TAV755" s="123"/>
      <c r="TAW755" s="123"/>
      <c r="TAX755" s="123"/>
      <c r="TAY755" s="123"/>
      <c r="TAZ755" s="123"/>
      <c r="TBA755" s="123"/>
      <c r="TBB755" s="123"/>
      <c r="TBC755" s="123"/>
      <c r="TBD755" s="123"/>
      <c r="TBE755" s="123"/>
      <c r="TBF755" s="123"/>
      <c r="TBG755" s="123"/>
      <c r="TBH755" s="123"/>
      <c r="TBI755" s="123"/>
      <c r="TBJ755" s="123"/>
      <c r="TBK755" s="123"/>
      <c r="TBL755" s="123"/>
      <c r="TBM755" s="123"/>
      <c r="TBN755" s="123"/>
      <c r="TBO755" s="123"/>
      <c r="TBP755" s="123"/>
      <c r="TBQ755" s="123"/>
      <c r="TBR755" s="123"/>
      <c r="TBS755" s="123"/>
      <c r="TBT755" s="123"/>
      <c r="TBU755" s="123"/>
      <c r="TBV755" s="123"/>
      <c r="TBW755" s="123"/>
      <c r="TBX755" s="123"/>
      <c r="TBY755" s="123"/>
      <c r="TBZ755" s="123"/>
      <c r="TCA755" s="123"/>
      <c r="TCB755" s="123"/>
      <c r="TCC755" s="123"/>
      <c r="TCD755" s="123"/>
      <c r="TCE755" s="123"/>
      <c r="TCF755" s="123"/>
      <c r="TCG755" s="123"/>
      <c r="TCH755" s="123"/>
      <c r="TCI755" s="123"/>
      <c r="TCJ755" s="123"/>
      <c r="TCK755" s="123"/>
      <c r="TCL755" s="123"/>
      <c r="TCM755" s="123"/>
      <c r="TCN755" s="123"/>
      <c r="TCO755" s="123"/>
      <c r="TCP755" s="123"/>
      <c r="TCQ755" s="123"/>
      <c r="TCR755" s="123"/>
      <c r="TCS755" s="123"/>
      <c r="TCT755" s="123"/>
      <c r="TCU755" s="123"/>
      <c r="TCV755" s="123"/>
      <c r="TCW755" s="123"/>
      <c r="TCX755" s="123"/>
      <c r="TCY755" s="123"/>
      <c r="TCZ755" s="123"/>
      <c r="TDA755" s="123"/>
      <c r="TDB755" s="123"/>
      <c r="TDC755" s="123"/>
      <c r="TDD755" s="123"/>
      <c r="TDE755" s="123"/>
      <c r="TDF755" s="123"/>
      <c r="TDG755" s="123"/>
      <c r="TDH755" s="123"/>
      <c r="TDI755" s="123"/>
      <c r="TDJ755" s="123"/>
      <c r="TDK755" s="123"/>
      <c r="TDL755" s="123"/>
      <c r="TDM755" s="123"/>
      <c r="TDN755" s="123"/>
      <c r="TDO755" s="123"/>
      <c r="TDP755" s="123"/>
      <c r="TDQ755" s="123"/>
      <c r="TDR755" s="123"/>
      <c r="TDS755" s="123"/>
      <c r="TDT755" s="123"/>
      <c r="TDU755" s="123"/>
      <c r="TDV755" s="123"/>
      <c r="TDW755" s="123"/>
      <c r="TDX755" s="123"/>
      <c r="TDY755" s="123"/>
      <c r="TDZ755" s="123"/>
      <c r="TEA755" s="123"/>
      <c r="TEB755" s="123"/>
      <c r="TEC755" s="123"/>
      <c r="TED755" s="123"/>
      <c r="TEE755" s="123"/>
      <c r="TEF755" s="123"/>
      <c r="TEG755" s="123"/>
      <c r="TEH755" s="123"/>
      <c r="TEI755" s="123"/>
      <c r="TEJ755" s="123"/>
      <c r="TEK755" s="123"/>
      <c r="TEL755" s="123"/>
      <c r="TEM755" s="123"/>
      <c r="TEN755" s="123"/>
      <c r="TEO755" s="123"/>
      <c r="TEP755" s="123"/>
      <c r="TEQ755" s="123"/>
      <c r="TER755" s="123"/>
      <c r="TES755" s="123"/>
      <c r="TET755" s="123"/>
      <c r="TEU755" s="123"/>
      <c r="TEV755" s="123"/>
      <c r="TEW755" s="123"/>
      <c r="TEX755" s="123"/>
      <c r="TEY755" s="123"/>
      <c r="TEZ755" s="123"/>
      <c r="TFA755" s="123"/>
      <c r="TFB755" s="123"/>
      <c r="TFC755" s="123"/>
      <c r="TFD755" s="123"/>
      <c r="TFE755" s="123"/>
      <c r="TFF755" s="123"/>
      <c r="TFG755" s="123"/>
      <c r="TFH755" s="123"/>
      <c r="TFI755" s="123"/>
      <c r="TFJ755" s="123"/>
      <c r="TFK755" s="123"/>
      <c r="TFL755" s="123"/>
      <c r="TFM755" s="123"/>
      <c r="TFN755" s="123"/>
      <c r="TFO755" s="123"/>
      <c r="TFP755" s="123"/>
      <c r="TFQ755" s="123"/>
      <c r="TFR755" s="123"/>
      <c r="TFS755" s="123"/>
      <c r="TFT755" s="123"/>
      <c r="TFU755" s="123"/>
      <c r="TFV755" s="123"/>
      <c r="TFW755" s="123"/>
      <c r="TFX755" s="123"/>
      <c r="TFY755" s="123"/>
      <c r="TFZ755" s="123"/>
      <c r="TGA755" s="123"/>
      <c r="TGB755" s="123"/>
      <c r="TGC755" s="123"/>
      <c r="TGD755" s="123"/>
      <c r="TGE755" s="123"/>
      <c r="TGF755" s="123"/>
      <c r="TGG755" s="123"/>
      <c r="TGH755" s="123"/>
      <c r="TGI755" s="123"/>
      <c r="TGJ755" s="123"/>
      <c r="TGK755" s="123"/>
      <c r="TGL755" s="123"/>
      <c r="TGM755" s="123"/>
      <c r="TGN755" s="123"/>
      <c r="TGO755" s="123"/>
      <c r="TGP755" s="123"/>
      <c r="TGQ755" s="123"/>
      <c r="TGR755" s="123"/>
      <c r="TGS755" s="123"/>
      <c r="TGT755" s="123"/>
      <c r="TGU755" s="123"/>
      <c r="TGV755" s="123"/>
      <c r="TGW755" s="123"/>
      <c r="TGX755" s="123"/>
      <c r="TGY755" s="123"/>
      <c r="TGZ755" s="123"/>
      <c r="THA755" s="123"/>
      <c r="THB755" s="123"/>
      <c r="THC755" s="123"/>
      <c r="THD755" s="123"/>
      <c r="THE755" s="123"/>
      <c r="THF755" s="123"/>
      <c r="THG755" s="123"/>
      <c r="THH755" s="123"/>
      <c r="THI755" s="123"/>
      <c r="THJ755" s="123"/>
      <c r="THK755" s="123"/>
      <c r="THL755" s="123"/>
      <c r="THM755" s="123"/>
      <c r="THN755" s="123"/>
      <c r="THO755" s="123"/>
      <c r="THP755" s="123"/>
      <c r="THQ755" s="123"/>
      <c r="THR755" s="123"/>
      <c r="THS755" s="123"/>
      <c r="THT755" s="123"/>
      <c r="THU755" s="123"/>
      <c r="THV755" s="123"/>
      <c r="THW755" s="123"/>
      <c r="THX755" s="123"/>
      <c r="THY755" s="123"/>
      <c r="THZ755" s="123"/>
      <c r="TIA755" s="123"/>
      <c r="TIB755" s="123"/>
      <c r="TIC755" s="123"/>
      <c r="TID755" s="123"/>
      <c r="TIE755" s="123"/>
      <c r="TIF755" s="123"/>
      <c r="TIG755" s="123"/>
      <c r="TIH755" s="123"/>
      <c r="TII755" s="123"/>
      <c r="TIJ755" s="123"/>
      <c r="TIK755" s="123"/>
      <c r="TIL755" s="123"/>
      <c r="TIM755" s="123"/>
      <c r="TIN755" s="123"/>
      <c r="TIO755" s="123"/>
      <c r="TIP755" s="123"/>
      <c r="TIQ755" s="123"/>
      <c r="TIR755" s="123"/>
      <c r="TIS755" s="123"/>
      <c r="TIT755" s="123"/>
      <c r="TIU755" s="123"/>
      <c r="TIV755" s="123"/>
      <c r="TIW755" s="123"/>
      <c r="TIX755" s="123"/>
      <c r="TIY755" s="123"/>
      <c r="TIZ755" s="123"/>
      <c r="TJA755" s="123"/>
      <c r="TJB755" s="123"/>
      <c r="TJC755" s="123"/>
      <c r="TJD755" s="123"/>
      <c r="TJE755" s="123"/>
      <c r="TJF755" s="123"/>
      <c r="TJG755" s="123"/>
      <c r="TJH755" s="123"/>
      <c r="TJI755" s="123"/>
      <c r="TJJ755" s="123"/>
      <c r="TJK755" s="123"/>
      <c r="TJL755" s="123"/>
      <c r="TJM755" s="123"/>
      <c r="TJN755" s="123"/>
      <c r="TJO755" s="123"/>
      <c r="TJP755" s="123"/>
      <c r="TJQ755" s="123"/>
      <c r="TJR755" s="123"/>
      <c r="TJS755" s="123"/>
      <c r="TJT755" s="123"/>
      <c r="TJU755" s="123"/>
      <c r="TJV755" s="123"/>
      <c r="TJW755" s="123"/>
      <c r="TJX755" s="123"/>
      <c r="TJY755" s="123"/>
      <c r="TJZ755" s="123"/>
      <c r="TKA755" s="123"/>
      <c r="TKB755" s="123"/>
      <c r="TKC755" s="123"/>
      <c r="TKD755" s="123"/>
      <c r="TKE755" s="123"/>
      <c r="TKF755" s="123"/>
      <c r="TKG755" s="123"/>
      <c r="TKH755" s="123"/>
      <c r="TKI755" s="123"/>
      <c r="TKJ755" s="123"/>
      <c r="TKK755" s="123"/>
      <c r="TKL755" s="123"/>
      <c r="TKM755" s="123"/>
      <c r="TKN755" s="123"/>
      <c r="TKO755" s="123"/>
      <c r="TKP755" s="123"/>
      <c r="TKQ755" s="123"/>
      <c r="TKR755" s="123"/>
      <c r="TKS755" s="123"/>
      <c r="TKT755" s="123"/>
      <c r="TKU755" s="123"/>
      <c r="TKV755" s="123"/>
      <c r="TKW755" s="123"/>
      <c r="TKX755" s="123"/>
      <c r="TKY755" s="123"/>
      <c r="TKZ755" s="123"/>
      <c r="TLA755" s="123"/>
      <c r="TLB755" s="123"/>
      <c r="TLC755" s="123"/>
      <c r="TLD755" s="123"/>
      <c r="TLE755" s="123"/>
      <c r="TLF755" s="123"/>
      <c r="TLG755" s="123"/>
      <c r="TLH755" s="123"/>
      <c r="TLI755" s="123"/>
      <c r="TLJ755" s="123"/>
      <c r="TLK755" s="123"/>
      <c r="TLL755" s="123"/>
      <c r="TLM755" s="123"/>
      <c r="TLN755" s="123"/>
      <c r="TLO755" s="123"/>
      <c r="TLP755" s="123"/>
      <c r="TLQ755" s="123"/>
      <c r="TLR755" s="123"/>
      <c r="TLS755" s="123"/>
      <c r="TLT755" s="123"/>
      <c r="TLU755" s="123"/>
      <c r="TLV755" s="123"/>
      <c r="TLW755" s="123"/>
      <c r="TLX755" s="123"/>
      <c r="TLY755" s="123"/>
      <c r="TLZ755" s="123"/>
      <c r="TMA755" s="123"/>
      <c r="TMB755" s="123"/>
      <c r="TMC755" s="123"/>
      <c r="TMD755" s="123"/>
      <c r="TME755" s="123"/>
      <c r="TMF755" s="123"/>
      <c r="TMG755" s="123"/>
      <c r="TMH755" s="123"/>
      <c r="TMI755" s="123"/>
      <c r="TMJ755" s="123"/>
      <c r="TMK755" s="123"/>
      <c r="TML755" s="123"/>
      <c r="TMM755" s="123"/>
      <c r="TMN755" s="123"/>
      <c r="TMO755" s="123"/>
      <c r="TMP755" s="123"/>
      <c r="TMQ755" s="123"/>
      <c r="TMR755" s="123"/>
      <c r="TMS755" s="123"/>
      <c r="TMT755" s="123"/>
      <c r="TMU755" s="123"/>
      <c r="TMV755" s="123"/>
      <c r="TMW755" s="123"/>
      <c r="TMX755" s="123"/>
      <c r="TMY755" s="123"/>
      <c r="TMZ755" s="123"/>
      <c r="TNA755" s="123"/>
      <c r="TNB755" s="123"/>
      <c r="TNC755" s="123"/>
      <c r="TND755" s="123"/>
      <c r="TNE755" s="123"/>
      <c r="TNF755" s="123"/>
      <c r="TNG755" s="123"/>
      <c r="TNH755" s="123"/>
      <c r="TNI755" s="123"/>
      <c r="TNJ755" s="123"/>
      <c r="TNK755" s="123"/>
      <c r="TNL755" s="123"/>
      <c r="TNM755" s="123"/>
      <c r="TNN755" s="123"/>
      <c r="TNO755" s="123"/>
      <c r="TNP755" s="123"/>
      <c r="TNQ755" s="123"/>
      <c r="TNR755" s="123"/>
      <c r="TNS755" s="123"/>
      <c r="TNT755" s="123"/>
      <c r="TNU755" s="123"/>
      <c r="TNV755" s="123"/>
      <c r="TNW755" s="123"/>
      <c r="TNX755" s="123"/>
      <c r="TNY755" s="123"/>
      <c r="TNZ755" s="123"/>
      <c r="TOA755" s="123"/>
      <c r="TOB755" s="123"/>
      <c r="TOC755" s="123"/>
      <c r="TOD755" s="123"/>
      <c r="TOE755" s="123"/>
      <c r="TOF755" s="123"/>
      <c r="TOG755" s="123"/>
      <c r="TOH755" s="123"/>
      <c r="TOI755" s="123"/>
      <c r="TOJ755" s="123"/>
      <c r="TOK755" s="123"/>
      <c r="TOL755" s="123"/>
      <c r="TOM755" s="123"/>
      <c r="TON755" s="123"/>
      <c r="TOO755" s="123"/>
      <c r="TOP755" s="123"/>
      <c r="TOQ755" s="123"/>
      <c r="TOR755" s="123"/>
      <c r="TOS755" s="123"/>
      <c r="TOT755" s="123"/>
      <c r="TOU755" s="123"/>
      <c r="TOV755" s="123"/>
      <c r="TOW755" s="123"/>
      <c r="TOX755" s="123"/>
      <c r="TOY755" s="123"/>
      <c r="TOZ755" s="123"/>
      <c r="TPA755" s="123"/>
      <c r="TPB755" s="123"/>
      <c r="TPC755" s="123"/>
      <c r="TPD755" s="123"/>
      <c r="TPE755" s="123"/>
      <c r="TPF755" s="123"/>
      <c r="TPG755" s="123"/>
      <c r="TPH755" s="123"/>
      <c r="TPI755" s="123"/>
      <c r="TPJ755" s="123"/>
      <c r="TPK755" s="123"/>
      <c r="TPL755" s="123"/>
      <c r="TPM755" s="123"/>
      <c r="TPN755" s="123"/>
      <c r="TPO755" s="123"/>
      <c r="TPP755" s="123"/>
      <c r="TPQ755" s="123"/>
      <c r="TPR755" s="123"/>
      <c r="TPS755" s="123"/>
      <c r="TPT755" s="123"/>
      <c r="TPU755" s="123"/>
      <c r="TPV755" s="123"/>
      <c r="TPW755" s="123"/>
      <c r="TPX755" s="123"/>
      <c r="TPY755" s="123"/>
      <c r="TPZ755" s="123"/>
      <c r="TQA755" s="123"/>
      <c r="TQB755" s="123"/>
      <c r="TQC755" s="123"/>
      <c r="TQD755" s="123"/>
      <c r="TQE755" s="123"/>
      <c r="TQF755" s="123"/>
      <c r="TQG755" s="123"/>
      <c r="TQH755" s="123"/>
      <c r="TQI755" s="123"/>
      <c r="TQJ755" s="123"/>
      <c r="TQK755" s="123"/>
      <c r="TQL755" s="123"/>
      <c r="TQM755" s="123"/>
      <c r="TQN755" s="123"/>
      <c r="TQO755" s="123"/>
      <c r="TQP755" s="123"/>
      <c r="TQQ755" s="123"/>
      <c r="TQR755" s="123"/>
      <c r="TQS755" s="123"/>
      <c r="TQT755" s="123"/>
      <c r="TQU755" s="123"/>
      <c r="TQV755" s="123"/>
      <c r="TQW755" s="123"/>
      <c r="TQX755" s="123"/>
      <c r="TQY755" s="123"/>
      <c r="TQZ755" s="123"/>
      <c r="TRA755" s="123"/>
      <c r="TRB755" s="123"/>
      <c r="TRC755" s="123"/>
      <c r="TRD755" s="123"/>
      <c r="TRE755" s="123"/>
      <c r="TRF755" s="123"/>
      <c r="TRG755" s="123"/>
      <c r="TRH755" s="123"/>
      <c r="TRI755" s="123"/>
      <c r="TRJ755" s="123"/>
      <c r="TRK755" s="123"/>
      <c r="TRL755" s="123"/>
      <c r="TRM755" s="123"/>
      <c r="TRN755" s="123"/>
      <c r="TRO755" s="123"/>
      <c r="TRP755" s="123"/>
      <c r="TRQ755" s="123"/>
      <c r="TRR755" s="123"/>
      <c r="TRS755" s="123"/>
      <c r="TRT755" s="123"/>
      <c r="TRU755" s="123"/>
      <c r="TRV755" s="123"/>
      <c r="TRW755" s="123"/>
      <c r="TRX755" s="123"/>
      <c r="TRY755" s="123"/>
      <c r="TRZ755" s="123"/>
      <c r="TSA755" s="123"/>
      <c r="TSB755" s="123"/>
      <c r="TSC755" s="123"/>
      <c r="TSD755" s="123"/>
      <c r="TSE755" s="123"/>
      <c r="TSF755" s="123"/>
      <c r="TSG755" s="123"/>
      <c r="TSH755" s="123"/>
      <c r="TSI755" s="123"/>
      <c r="TSJ755" s="123"/>
      <c r="TSK755" s="123"/>
      <c r="TSL755" s="123"/>
      <c r="TSM755" s="123"/>
      <c r="TSN755" s="123"/>
      <c r="TSO755" s="123"/>
      <c r="TSP755" s="123"/>
      <c r="TSQ755" s="123"/>
      <c r="TSR755" s="123"/>
      <c r="TSS755" s="123"/>
      <c r="TST755" s="123"/>
      <c r="TSU755" s="123"/>
      <c r="TSV755" s="123"/>
      <c r="TSW755" s="123"/>
      <c r="TSX755" s="123"/>
      <c r="TSY755" s="123"/>
      <c r="TSZ755" s="123"/>
      <c r="TTA755" s="123"/>
      <c r="TTB755" s="123"/>
      <c r="TTC755" s="123"/>
      <c r="TTD755" s="123"/>
      <c r="TTE755" s="123"/>
      <c r="TTF755" s="123"/>
      <c r="TTG755" s="123"/>
      <c r="TTH755" s="123"/>
      <c r="TTI755" s="123"/>
      <c r="TTJ755" s="123"/>
      <c r="TTK755" s="123"/>
      <c r="TTL755" s="123"/>
      <c r="TTM755" s="123"/>
      <c r="TTN755" s="123"/>
      <c r="TTO755" s="123"/>
      <c r="TTP755" s="123"/>
      <c r="TTQ755" s="123"/>
      <c r="TTR755" s="123"/>
      <c r="TTS755" s="123"/>
      <c r="TTT755" s="123"/>
      <c r="TTU755" s="123"/>
      <c r="TTV755" s="123"/>
      <c r="TTW755" s="123"/>
      <c r="TTX755" s="123"/>
      <c r="TTY755" s="123"/>
      <c r="TTZ755" s="123"/>
      <c r="TUA755" s="123"/>
      <c r="TUB755" s="123"/>
      <c r="TUC755" s="123"/>
      <c r="TUD755" s="123"/>
      <c r="TUE755" s="123"/>
      <c r="TUF755" s="123"/>
      <c r="TUG755" s="123"/>
      <c r="TUH755" s="123"/>
      <c r="TUI755" s="123"/>
      <c r="TUJ755" s="123"/>
      <c r="TUK755" s="123"/>
      <c r="TUL755" s="123"/>
      <c r="TUM755" s="123"/>
      <c r="TUN755" s="123"/>
      <c r="TUO755" s="123"/>
      <c r="TUP755" s="123"/>
      <c r="TUQ755" s="123"/>
      <c r="TUR755" s="123"/>
      <c r="TUS755" s="123"/>
      <c r="TUT755" s="123"/>
      <c r="TUU755" s="123"/>
      <c r="TUV755" s="123"/>
      <c r="TUW755" s="123"/>
      <c r="TUX755" s="123"/>
      <c r="TUY755" s="123"/>
      <c r="TUZ755" s="123"/>
      <c r="TVA755" s="123"/>
      <c r="TVB755" s="123"/>
      <c r="TVC755" s="123"/>
      <c r="TVD755" s="123"/>
      <c r="TVE755" s="123"/>
      <c r="TVF755" s="123"/>
      <c r="TVG755" s="123"/>
      <c r="TVH755" s="123"/>
      <c r="TVI755" s="123"/>
      <c r="TVJ755" s="123"/>
      <c r="TVK755" s="123"/>
      <c r="TVL755" s="123"/>
      <c r="TVM755" s="123"/>
      <c r="TVN755" s="123"/>
      <c r="TVO755" s="123"/>
      <c r="TVP755" s="123"/>
      <c r="TVQ755" s="123"/>
      <c r="TVR755" s="123"/>
      <c r="TVS755" s="123"/>
      <c r="TVT755" s="123"/>
      <c r="TVU755" s="123"/>
      <c r="TVV755" s="123"/>
      <c r="TVW755" s="123"/>
      <c r="TVX755" s="123"/>
      <c r="TVY755" s="123"/>
      <c r="TVZ755" s="123"/>
      <c r="TWA755" s="123"/>
      <c r="TWB755" s="123"/>
      <c r="TWC755" s="123"/>
      <c r="TWD755" s="123"/>
      <c r="TWE755" s="123"/>
      <c r="TWF755" s="123"/>
      <c r="TWG755" s="123"/>
      <c r="TWH755" s="123"/>
      <c r="TWI755" s="123"/>
      <c r="TWJ755" s="123"/>
      <c r="TWK755" s="123"/>
      <c r="TWL755" s="123"/>
      <c r="TWM755" s="123"/>
      <c r="TWN755" s="123"/>
      <c r="TWO755" s="123"/>
      <c r="TWP755" s="123"/>
      <c r="TWQ755" s="123"/>
      <c r="TWR755" s="123"/>
      <c r="TWS755" s="123"/>
      <c r="TWT755" s="123"/>
      <c r="TWU755" s="123"/>
      <c r="TWV755" s="123"/>
      <c r="TWW755" s="123"/>
      <c r="TWX755" s="123"/>
      <c r="TWY755" s="123"/>
      <c r="TWZ755" s="123"/>
      <c r="TXA755" s="123"/>
      <c r="TXB755" s="123"/>
      <c r="TXC755" s="123"/>
      <c r="TXD755" s="123"/>
      <c r="TXE755" s="123"/>
      <c r="TXF755" s="123"/>
      <c r="TXG755" s="123"/>
      <c r="TXH755" s="123"/>
      <c r="TXI755" s="123"/>
      <c r="TXJ755" s="123"/>
      <c r="TXK755" s="123"/>
      <c r="TXL755" s="123"/>
      <c r="TXM755" s="123"/>
      <c r="TXN755" s="123"/>
      <c r="TXO755" s="123"/>
      <c r="TXP755" s="123"/>
      <c r="TXQ755" s="123"/>
      <c r="TXR755" s="123"/>
      <c r="TXS755" s="123"/>
      <c r="TXT755" s="123"/>
      <c r="TXU755" s="123"/>
      <c r="TXV755" s="123"/>
      <c r="TXW755" s="123"/>
      <c r="TXX755" s="123"/>
      <c r="TXY755" s="123"/>
      <c r="TXZ755" s="123"/>
      <c r="TYA755" s="123"/>
      <c r="TYB755" s="123"/>
      <c r="TYC755" s="123"/>
      <c r="TYD755" s="123"/>
      <c r="TYE755" s="123"/>
      <c r="TYF755" s="123"/>
      <c r="TYG755" s="123"/>
      <c r="TYH755" s="123"/>
      <c r="TYI755" s="123"/>
      <c r="TYJ755" s="123"/>
      <c r="TYK755" s="123"/>
      <c r="TYL755" s="123"/>
      <c r="TYM755" s="123"/>
      <c r="TYN755" s="123"/>
      <c r="TYO755" s="123"/>
      <c r="TYP755" s="123"/>
      <c r="TYQ755" s="123"/>
      <c r="TYR755" s="123"/>
      <c r="TYS755" s="123"/>
      <c r="TYT755" s="123"/>
      <c r="TYU755" s="123"/>
      <c r="TYV755" s="123"/>
      <c r="TYW755" s="123"/>
      <c r="TYX755" s="123"/>
      <c r="TYY755" s="123"/>
      <c r="TYZ755" s="123"/>
      <c r="TZA755" s="123"/>
      <c r="TZB755" s="123"/>
      <c r="TZC755" s="123"/>
      <c r="TZD755" s="123"/>
      <c r="TZE755" s="123"/>
      <c r="TZF755" s="123"/>
      <c r="TZG755" s="123"/>
      <c r="TZH755" s="123"/>
      <c r="TZI755" s="123"/>
      <c r="TZJ755" s="123"/>
      <c r="TZK755" s="123"/>
      <c r="TZL755" s="123"/>
      <c r="TZM755" s="123"/>
      <c r="TZN755" s="123"/>
      <c r="TZO755" s="123"/>
      <c r="TZP755" s="123"/>
      <c r="TZQ755" s="123"/>
      <c r="TZR755" s="123"/>
      <c r="TZS755" s="123"/>
      <c r="TZT755" s="123"/>
      <c r="TZU755" s="123"/>
      <c r="TZV755" s="123"/>
      <c r="TZW755" s="123"/>
      <c r="TZX755" s="123"/>
      <c r="TZY755" s="123"/>
      <c r="TZZ755" s="123"/>
      <c r="UAA755" s="123"/>
      <c r="UAB755" s="123"/>
      <c r="UAC755" s="123"/>
      <c r="UAD755" s="123"/>
      <c r="UAE755" s="123"/>
      <c r="UAF755" s="123"/>
      <c r="UAG755" s="123"/>
      <c r="UAH755" s="123"/>
      <c r="UAI755" s="123"/>
      <c r="UAJ755" s="123"/>
      <c r="UAK755" s="123"/>
      <c r="UAL755" s="123"/>
      <c r="UAM755" s="123"/>
      <c r="UAN755" s="123"/>
      <c r="UAO755" s="123"/>
      <c r="UAP755" s="123"/>
      <c r="UAQ755" s="123"/>
      <c r="UAR755" s="123"/>
      <c r="UAS755" s="123"/>
      <c r="UAT755" s="123"/>
      <c r="UAU755" s="123"/>
      <c r="UAV755" s="123"/>
      <c r="UAW755" s="123"/>
      <c r="UAX755" s="123"/>
      <c r="UAY755" s="123"/>
      <c r="UAZ755" s="123"/>
      <c r="UBA755" s="123"/>
      <c r="UBB755" s="123"/>
      <c r="UBC755" s="123"/>
      <c r="UBD755" s="123"/>
      <c r="UBE755" s="123"/>
      <c r="UBF755" s="123"/>
      <c r="UBG755" s="123"/>
      <c r="UBH755" s="123"/>
      <c r="UBI755" s="123"/>
      <c r="UBJ755" s="123"/>
      <c r="UBK755" s="123"/>
      <c r="UBL755" s="123"/>
      <c r="UBM755" s="123"/>
      <c r="UBN755" s="123"/>
      <c r="UBO755" s="123"/>
      <c r="UBP755" s="123"/>
      <c r="UBQ755" s="123"/>
      <c r="UBR755" s="123"/>
      <c r="UBS755" s="123"/>
      <c r="UBT755" s="123"/>
      <c r="UBU755" s="123"/>
      <c r="UBV755" s="123"/>
      <c r="UBW755" s="123"/>
      <c r="UBX755" s="123"/>
      <c r="UBY755" s="123"/>
      <c r="UBZ755" s="123"/>
      <c r="UCA755" s="123"/>
      <c r="UCB755" s="123"/>
      <c r="UCC755" s="123"/>
      <c r="UCD755" s="123"/>
      <c r="UCE755" s="123"/>
      <c r="UCF755" s="123"/>
      <c r="UCG755" s="123"/>
      <c r="UCH755" s="123"/>
      <c r="UCI755" s="123"/>
      <c r="UCJ755" s="123"/>
      <c r="UCK755" s="123"/>
      <c r="UCL755" s="123"/>
      <c r="UCM755" s="123"/>
      <c r="UCN755" s="123"/>
      <c r="UCO755" s="123"/>
      <c r="UCP755" s="123"/>
      <c r="UCQ755" s="123"/>
      <c r="UCR755" s="123"/>
      <c r="UCS755" s="123"/>
      <c r="UCT755" s="123"/>
      <c r="UCU755" s="123"/>
      <c r="UCV755" s="123"/>
      <c r="UCW755" s="123"/>
      <c r="UCX755" s="123"/>
      <c r="UCY755" s="123"/>
      <c r="UCZ755" s="123"/>
      <c r="UDA755" s="123"/>
      <c r="UDB755" s="123"/>
      <c r="UDC755" s="123"/>
      <c r="UDD755" s="123"/>
      <c r="UDE755" s="123"/>
      <c r="UDF755" s="123"/>
      <c r="UDG755" s="123"/>
      <c r="UDH755" s="123"/>
      <c r="UDI755" s="123"/>
      <c r="UDJ755" s="123"/>
      <c r="UDK755" s="123"/>
      <c r="UDL755" s="123"/>
      <c r="UDM755" s="123"/>
      <c r="UDN755" s="123"/>
      <c r="UDO755" s="123"/>
      <c r="UDP755" s="123"/>
      <c r="UDQ755" s="123"/>
      <c r="UDR755" s="123"/>
      <c r="UDS755" s="123"/>
      <c r="UDT755" s="123"/>
      <c r="UDU755" s="123"/>
      <c r="UDV755" s="123"/>
      <c r="UDW755" s="123"/>
      <c r="UDX755" s="123"/>
      <c r="UDY755" s="123"/>
      <c r="UDZ755" s="123"/>
      <c r="UEA755" s="123"/>
      <c r="UEB755" s="123"/>
      <c r="UEC755" s="123"/>
      <c r="UED755" s="123"/>
      <c r="UEE755" s="123"/>
      <c r="UEF755" s="123"/>
      <c r="UEG755" s="123"/>
      <c r="UEH755" s="123"/>
      <c r="UEI755" s="123"/>
      <c r="UEJ755" s="123"/>
      <c r="UEK755" s="123"/>
      <c r="UEL755" s="123"/>
      <c r="UEM755" s="123"/>
      <c r="UEN755" s="123"/>
      <c r="UEO755" s="123"/>
      <c r="UEP755" s="123"/>
      <c r="UEQ755" s="123"/>
      <c r="UER755" s="123"/>
      <c r="UES755" s="123"/>
      <c r="UET755" s="123"/>
      <c r="UEU755" s="123"/>
      <c r="UEV755" s="123"/>
      <c r="UEW755" s="123"/>
      <c r="UEX755" s="123"/>
      <c r="UEY755" s="123"/>
      <c r="UEZ755" s="123"/>
      <c r="UFA755" s="123"/>
      <c r="UFB755" s="123"/>
      <c r="UFC755" s="123"/>
      <c r="UFD755" s="123"/>
      <c r="UFE755" s="123"/>
      <c r="UFF755" s="123"/>
      <c r="UFG755" s="123"/>
      <c r="UFH755" s="123"/>
      <c r="UFI755" s="123"/>
      <c r="UFJ755" s="123"/>
      <c r="UFK755" s="123"/>
      <c r="UFL755" s="123"/>
      <c r="UFM755" s="123"/>
      <c r="UFN755" s="123"/>
      <c r="UFO755" s="123"/>
      <c r="UFP755" s="123"/>
      <c r="UFQ755" s="123"/>
      <c r="UFR755" s="123"/>
      <c r="UFS755" s="123"/>
      <c r="UFT755" s="123"/>
      <c r="UFU755" s="123"/>
      <c r="UFV755" s="123"/>
      <c r="UFW755" s="123"/>
      <c r="UFX755" s="123"/>
      <c r="UFY755" s="123"/>
      <c r="UFZ755" s="123"/>
      <c r="UGA755" s="123"/>
      <c r="UGB755" s="123"/>
      <c r="UGC755" s="123"/>
      <c r="UGD755" s="123"/>
      <c r="UGE755" s="123"/>
      <c r="UGF755" s="123"/>
      <c r="UGG755" s="123"/>
      <c r="UGH755" s="123"/>
      <c r="UGI755" s="123"/>
      <c r="UGJ755" s="123"/>
      <c r="UGK755" s="123"/>
      <c r="UGL755" s="123"/>
      <c r="UGM755" s="123"/>
      <c r="UGN755" s="123"/>
      <c r="UGO755" s="123"/>
      <c r="UGP755" s="123"/>
      <c r="UGQ755" s="123"/>
      <c r="UGR755" s="123"/>
      <c r="UGS755" s="123"/>
      <c r="UGT755" s="123"/>
      <c r="UGU755" s="123"/>
      <c r="UGV755" s="123"/>
      <c r="UGW755" s="123"/>
      <c r="UGX755" s="123"/>
      <c r="UGY755" s="123"/>
      <c r="UGZ755" s="123"/>
      <c r="UHA755" s="123"/>
      <c r="UHB755" s="123"/>
      <c r="UHC755" s="123"/>
      <c r="UHD755" s="123"/>
      <c r="UHE755" s="123"/>
      <c r="UHF755" s="123"/>
      <c r="UHG755" s="123"/>
      <c r="UHH755" s="123"/>
      <c r="UHI755" s="123"/>
      <c r="UHJ755" s="123"/>
      <c r="UHK755" s="123"/>
      <c r="UHL755" s="123"/>
      <c r="UHM755" s="123"/>
      <c r="UHN755" s="123"/>
      <c r="UHO755" s="123"/>
      <c r="UHP755" s="123"/>
      <c r="UHQ755" s="123"/>
      <c r="UHR755" s="123"/>
      <c r="UHS755" s="123"/>
      <c r="UHT755" s="123"/>
      <c r="UHU755" s="123"/>
      <c r="UHV755" s="123"/>
      <c r="UHW755" s="123"/>
      <c r="UHX755" s="123"/>
      <c r="UHY755" s="123"/>
      <c r="UHZ755" s="123"/>
      <c r="UIA755" s="123"/>
      <c r="UIB755" s="123"/>
      <c r="UIC755" s="123"/>
      <c r="UID755" s="123"/>
      <c r="UIE755" s="123"/>
      <c r="UIF755" s="123"/>
      <c r="UIG755" s="123"/>
      <c r="UIH755" s="123"/>
      <c r="UII755" s="123"/>
      <c r="UIJ755" s="123"/>
      <c r="UIK755" s="123"/>
      <c r="UIL755" s="123"/>
      <c r="UIM755" s="123"/>
      <c r="UIN755" s="123"/>
      <c r="UIO755" s="123"/>
      <c r="UIP755" s="123"/>
      <c r="UIQ755" s="123"/>
      <c r="UIR755" s="123"/>
      <c r="UIS755" s="123"/>
      <c r="UIT755" s="123"/>
      <c r="UIU755" s="123"/>
      <c r="UIV755" s="123"/>
      <c r="UIW755" s="123"/>
      <c r="UIX755" s="123"/>
      <c r="UIY755" s="123"/>
      <c r="UIZ755" s="123"/>
      <c r="UJA755" s="123"/>
      <c r="UJB755" s="123"/>
      <c r="UJC755" s="123"/>
      <c r="UJD755" s="123"/>
      <c r="UJE755" s="123"/>
      <c r="UJF755" s="123"/>
      <c r="UJG755" s="123"/>
      <c r="UJH755" s="123"/>
      <c r="UJI755" s="123"/>
      <c r="UJJ755" s="123"/>
      <c r="UJK755" s="123"/>
      <c r="UJL755" s="123"/>
      <c r="UJM755" s="123"/>
      <c r="UJN755" s="123"/>
      <c r="UJO755" s="123"/>
      <c r="UJP755" s="123"/>
      <c r="UJQ755" s="123"/>
      <c r="UJR755" s="123"/>
      <c r="UJS755" s="123"/>
      <c r="UJT755" s="123"/>
      <c r="UJU755" s="123"/>
      <c r="UJV755" s="123"/>
      <c r="UJW755" s="123"/>
      <c r="UJX755" s="123"/>
      <c r="UJY755" s="123"/>
      <c r="UJZ755" s="123"/>
      <c r="UKA755" s="123"/>
      <c r="UKB755" s="123"/>
      <c r="UKC755" s="123"/>
      <c r="UKD755" s="123"/>
      <c r="UKE755" s="123"/>
      <c r="UKF755" s="123"/>
      <c r="UKG755" s="123"/>
      <c r="UKH755" s="123"/>
      <c r="UKI755" s="123"/>
      <c r="UKJ755" s="123"/>
      <c r="UKK755" s="123"/>
      <c r="UKL755" s="123"/>
      <c r="UKM755" s="123"/>
      <c r="UKN755" s="123"/>
      <c r="UKO755" s="123"/>
      <c r="UKP755" s="123"/>
      <c r="UKQ755" s="123"/>
      <c r="UKR755" s="123"/>
      <c r="UKS755" s="123"/>
      <c r="UKT755" s="123"/>
      <c r="UKU755" s="123"/>
      <c r="UKV755" s="123"/>
      <c r="UKW755" s="123"/>
      <c r="UKX755" s="123"/>
      <c r="UKY755" s="123"/>
      <c r="UKZ755" s="123"/>
      <c r="ULA755" s="123"/>
      <c r="ULB755" s="123"/>
      <c r="ULC755" s="123"/>
      <c r="ULD755" s="123"/>
      <c r="ULE755" s="123"/>
      <c r="ULF755" s="123"/>
      <c r="ULG755" s="123"/>
      <c r="ULH755" s="123"/>
      <c r="ULI755" s="123"/>
      <c r="ULJ755" s="123"/>
      <c r="ULK755" s="123"/>
      <c r="ULL755" s="123"/>
      <c r="ULM755" s="123"/>
      <c r="ULN755" s="123"/>
      <c r="ULO755" s="123"/>
      <c r="ULP755" s="123"/>
      <c r="ULQ755" s="123"/>
      <c r="ULR755" s="123"/>
      <c r="ULS755" s="123"/>
      <c r="ULT755" s="123"/>
      <c r="ULU755" s="123"/>
      <c r="ULV755" s="123"/>
      <c r="ULW755" s="123"/>
      <c r="ULX755" s="123"/>
      <c r="ULY755" s="123"/>
      <c r="ULZ755" s="123"/>
      <c r="UMA755" s="123"/>
      <c r="UMB755" s="123"/>
      <c r="UMC755" s="123"/>
      <c r="UMD755" s="123"/>
      <c r="UME755" s="123"/>
      <c r="UMF755" s="123"/>
      <c r="UMG755" s="123"/>
      <c r="UMH755" s="123"/>
      <c r="UMI755" s="123"/>
      <c r="UMJ755" s="123"/>
      <c r="UMK755" s="123"/>
      <c r="UML755" s="123"/>
      <c r="UMM755" s="123"/>
      <c r="UMN755" s="123"/>
      <c r="UMO755" s="123"/>
      <c r="UMP755" s="123"/>
      <c r="UMQ755" s="123"/>
      <c r="UMR755" s="123"/>
      <c r="UMS755" s="123"/>
      <c r="UMT755" s="123"/>
      <c r="UMU755" s="123"/>
      <c r="UMV755" s="123"/>
      <c r="UMW755" s="123"/>
      <c r="UMX755" s="123"/>
      <c r="UMY755" s="123"/>
      <c r="UMZ755" s="123"/>
      <c r="UNA755" s="123"/>
      <c r="UNB755" s="123"/>
      <c r="UNC755" s="123"/>
      <c r="UND755" s="123"/>
      <c r="UNE755" s="123"/>
      <c r="UNF755" s="123"/>
      <c r="UNG755" s="123"/>
      <c r="UNH755" s="123"/>
      <c r="UNI755" s="123"/>
      <c r="UNJ755" s="123"/>
      <c r="UNK755" s="123"/>
      <c r="UNL755" s="123"/>
      <c r="UNM755" s="123"/>
      <c r="UNN755" s="123"/>
      <c r="UNO755" s="123"/>
      <c r="UNP755" s="123"/>
      <c r="UNQ755" s="123"/>
      <c r="UNR755" s="123"/>
      <c r="UNS755" s="123"/>
      <c r="UNT755" s="123"/>
      <c r="UNU755" s="123"/>
      <c r="UNV755" s="123"/>
      <c r="UNW755" s="123"/>
      <c r="UNX755" s="123"/>
      <c r="UNY755" s="123"/>
      <c r="UNZ755" s="123"/>
      <c r="UOA755" s="123"/>
      <c r="UOB755" s="123"/>
      <c r="UOC755" s="123"/>
      <c r="UOD755" s="123"/>
      <c r="UOE755" s="123"/>
      <c r="UOF755" s="123"/>
      <c r="UOG755" s="123"/>
      <c r="UOH755" s="123"/>
      <c r="UOI755" s="123"/>
      <c r="UOJ755" s="123"/>
      <c r="UOK755" s="123"/>
      <c r="UOL755" s="123"/>
      <c r="UOM755" s="123"/>
      <c r="UON755" s="123"/>
      <c r="UOO755" s="123"/>
      <c r="UOP755" s="123"/>
      <c r="UOQ755" s="123"/>
      <c r="UOR755" s="123"/>
      <c r="UOS755" s="123"/>
      <c r="UOT755" s="123"/>
      <c r="UOU755" s="123"/>
      <c r="UOV755" s="123"/>
      <c r="UOW755" s="123"/>
      <c r="UOX755" s="123"/>
      <c r="UOY755" s="123"/>
      <c r="UOZ755" s="123"/>
      <c r="UPA755" s="123"/>
      <c r="UPB755" s="123"/>
      <c r="UPC755" s="123"/>
      <c r="UPD755" s="123"/>
      <c r="UPE755" s="123"/>
      <c r="UPF755" s="123"/>
      <c r="UPG755" s="123"/>
      <c r="UPH755" s="123"/>
      <c r="UPI755" s="123"/>
      <c r="UPJ755" s="123"/>
      <c r="UPK755" s="123"/>
      <c r="UPL755" s="123"/>
      <c r="UPM755" s="123"/>
      <c r="UPN755" s="123"/>
      <c r="UPO755" s="123"/>
      <c r="UPP755" s="123"/>
      <c r="UPQ755" s="123"/>
      <c r="UPR755" s="123"/>
      <c r="UPS755" s="123"/>
      <c r="UPT755" s="123"/>
      <c r="UPU755" s="123"/>
      <c r="UPV755" s="123"/>
      <c r="UPW755" s="123"/>
      <c r="UPX755" s="123"/>
      <c r="UPY755" s="123"/>
      <c r="UPZ755" s="123"/>
      <c r="UQA755" s="123"/>
      <c r="UQB755" s="123"/>
      <c r="UQC755" s="123"/>
      <c r="UQD755" s="123"/>
      <c r="UQE755" s="123"/>
      <c r="UQF755" s="123"/>
      <c r="UQG755" s="123"/>
      <c r="UQH755" s="123"/>
      <c r="UQI755" s="123"/>
      <c r="UQJ755" s="123"/>
      <c r="UQK755" s="123"/>
      <c r="UQL755" s="123"/>
      <c r="UQM755" s="123"/>
      <c r="UQN755" s="123"/>
      <c r="UQO755" s="123"/>
      <c r="UQP755" s="123"/>
      <c r="UQQ755" s="123"/>
      <c r="UQR755" s="123"/>
      <c r="UQS755" s="123"/>
      <c r="UQT755" s="123"/>
      <c r="UQU755" s="123"/>
      <c r="UQV755" s="123"/>
      <c r="UQW755" s="123"/>
      <c r="UQX755" s="123"/>
      <c r="UQY755" s="123"/>
      <c r="UQZ755" s="123"/>
      <c r="URA755" s="123"/>
      <c r="URB755" s="123"/>
      <c r="URC755" s="123"/>
      <c r="URD755" s="123"/>
      <c r="URE755" s="123"/>
      <c r="URF755" s="123"/>
      <c r="URG755" s="123"/>
      <c r="URH755" s="123"/>
      <c r="URI755" s="123"/>
      <c r="URJ755" s="123"/>
      <c r="URK755" s="123"/>
      <c r="URL755" s="123"/>
      <c r="URM755" s="123"/>
      <c r="URN755" s="123"/>
      <c r="URO755" s="123"/>
      <c r="URP755" s="123"/>
      <c r="URQ755" s="123"/>
      <c r="URR755" s="123"/>
      <c r="URS755" s="123"/>
      <c r="URT755" s="123"/>
      <c r="URU755" s="123"/>
      <c r="URV755" s="123"/>
      <c r="URW755" s="123"/>
      <c r="URX755" s="123"/>
      <c r="URY755" s="123"/>
      <c r="URZ755" s="123"/>
      <c r="USA755" s="123"/>
      <c r="USB755" s="123"/>
      <c r="USC755" s="123"/>
      <c r="USD755" s="123"/>
      <c r="USE755" s="123"/>
      <c r="USF755" s="123"/>
      <c r="USG755" s="123"/>
      <c r="USH755" s="123"/>
      <c r="USI755" s="123"/>
      <c r="USJ755" s="123"/>
      <c r="USK755" s="123"/>
      <c r="USL755" s="123"/>
      <c r="USM755" s="123"/>
      <c r="USN755" s="123"/>
      <c r="USO755" s="123"/>
      <c r="USP755" s="123"/>
      <c r="USQ755" s="123"/>
      <c r="USR755" s="123"/>
      <c r="USS755" s="123"/>
      <c r="UST755" s="123"/>
      <c r="USU755" s="123"/>
      <c r="USV755" s="123"/>
      <c r="USW755" s="123"/>
      <c r="USX755" s="123"/>
      <c r="USY755" s="123"/>
      <c r="USZ755" s="123"/>
      <c r="UTA755" s="123"/>
      <c r="UTB755" s="123"/>
      <c r="UTC755" s="123"/>
      <c r="UTD755" s="123"/>
      <c r="UTE755" s="123"/>
      <c r="UTF755" s="123"/>
      <c r="UTG755" s="123"/>
      <c r="UTH755" s="123"/>
      <c r="UTI755" s="123"/>
      <c r="UTJ755" s="123"/>
      <c r="UTK755" s="123"/>
      <c r="UTL755" s="123"/>
      <c r="UTM755" s="123"/>
      <c r="UTN755" s="123"/>
      <c r="UTO755" s="123"/>
      <c r="UTP755" s="123"/>
      <c r="UTQ755" s="123"/>
      <c r="UTR755" s="123"/>
      <c r="UTS755" s="123"/>
      <c r="UTT755" s="123"/>
      <c r="UTU755" s="123"/>
      <c r="UTV755" s="123"/>
      <c r="UTW755" s="123"/>
      <c r="UTX755" s="123"/>
      <c r="UTY755" s="123"/>
      <c r="UTZ755" s="123"/>
      <c r="UUA755" s="123"/>
      <c r="UUB755" s="123"/>
      <c r="UUC755" s="123"/>
      <c r="UUD755" s="123"/>
      <c r="UUE755" s="123"/>
      <c r="UUF755" s="123"/>
      <c r="UUG755" s="123"/>
      <c r="UUH755" s="123"/>
      <c r="UUI755" s="123"/>
      <c r="UUJ755" s="123"/>
      <c r="UUK755" s="123"/>
      <c r="UUL755" s="123"/>
      <c r="UUM755" s="123"/>
      <c r="UUN755" s="123"/>
      <c r="UUO755" s="123"/>
      <c r="UUP755" s="123"/>
      <c r="UUQ755" s="123"/>
      <c r="UUR755" s="123"/>
      <c r="UUS755" s="123"/>
      <c r="UUT755" s="123"/>
      <c r="UUU755" s="123"/>
      <c r="UUV755" s="123"/>
      <c r="UUW755" s="123"/>
      <c r="UUX755" s="123"/>
      <c r="UUY755" s="123"/>
      <c r="UUZ755" s="123"/>
      <c r="UVA755" s="123"/>
      <c r="UVB755" s="123"/>
      <c r="UVC755" s="123"/>
      <c r="UVD755" s="123"/>
      <c r="UVE755" s="123"/>
      <c r="UVF755" s="123"/>
      <c r="UVG755" s="123"/>
      <c r="UVH755" s="123"/>
      <c r="UVI755" s="123"/>
      <c r="UVJ755" s="123"/>
      <c r="UVK755" s="123"/>
      <c r="UVL755" s="123"/>
      <c r="UVM755" s="123"/>
      <c r="UVN755" s="123"/>
      <c r="UVO755" s="123"/>
      <c r="UVP755" s="123"/>
      <c r="UVQ755" s="123"/>
      <c r="UVR755" s="123"/>
      <c r="UVS755" s="123"/>
      <c r="UVT755" s="123"/>
      <c r="UVU755" s="123"/>
      <c r="UVV755" s="123"/>
      <c r="UVW755" s="123"/>
      <c r="UVX755" s="123"/>
      <c r="UVY755" s="123"/>
      <c r="UVZ755" s="123"/>
      <c r="UWA755" s="123"/>
      <c r="UWB755" s="123"/>
      <c r="UWC755" s="123"/>
      <c r="UWD755" s="123"/>
      <c r="UWE755" s="123"/>
      <c r="UWF755" s="123"/>
      <c r="UWG755" s="123"/>
      <c r="UWH755" s="123"/>
      <c r="UWI755" s="123"/>
      <c r="UWJ755" s="123"/>
      <c r="UWK755" s="123"/>
      <c r="UWL755" s="123"/>
      <c r="UWM755" s="123"/>
      <c r="UWN755" s="123"/>
      <c r="UWO755" s="123"/>
      <c r="UWP755" s="123"/>
      <c r="UWQ755" s="123"/>
      <c r="UWR755" s="123"/>
      <c r="UWS755" s="123"/>
      <c r="UWT755" s="123"/>
      <c r="UWU755" s="123"/>
      <c r="UWV755" s="123"/>
      <c r="UWW755" s="123"/>
      <c r="UWX755" s="123"/>
      <c r="UWY755" s="123"/>
      <c r="UWZ755" s="123"/>
      <c r="UXA755" s="123"/>
      <c r="UXB755" s="123"/>
      <c r="UXC755" s="123"/>
      <c r="UXD755" s="123"/>
      <c r="UXE755" s="123"/>
      <c r="UXF755" s="123"/>
      <c r="UXG755" s="123"/>
      <c r="UXH755" s="123"/>
      <c r="UXI755" s="123"/>
      <c r="UXJ755" s="123"/>
      <c r="UXK755" s="123"/>
      <c r="UXL755" s="123"/>
      <c r="UXM755" s="123"/>
      <c r="UXN755" s="123"/>
      <c r="UXO755" s="123"/>
      <c r="UXP755" s="123"/>
      <c r="UXQ755" s="123"/>
      <c r="UXR755" s="123"/>
      <c r="UXS755" s="123"/>
      <c r="UXT755" s="123"/>
      <c r="UXU755" s="123"/>
      <c r="UXV755" s="123"/>
      <c r="UXW755" s="123"/>
      <c r="UXX755" s="123"/>
      <c r="UXY755" s="123"/>
      <c r="UXZ755" s="123"/>
      <c r="UYA755" s="123"/>
      <c r="UYB755" s="123"/>
      <c r="UYC755" s="123"/>
      <c r="UYD755" s="123"/>
      <c r="UYE755" s="123"/>
      <c r="UYF755" s="123"/>
      <c r="UYG755" s="123"/>
      <c r="UYH755" s="123"/>
      <c r="UYI755" s="123"/>
      <c r="UYJ755" s="123"/>
      <c r="UYK755" s="123"/>
      <c r="UYL755" s="123"/>
      <c r="UYM755" s="123"/>
      <c r="UYN755" s="123"/>
      <c r="UYO755" s="123"/>
      <c r="UYP755" s="123"/>
      <c r="UYQ755" s="123"/>
      <c r="UYR755" s="123"/>
      <c r="UYS755" s="123"/>
      <c r="UYT755" s="123"/>
      <c r="UYU755" s="123"/>
      <c r="UYV755" s="123"/>
      <c r="UYW755" s="123"/>
      <c r="UYX755" s="123"/>
      <c r="UYY755" s="123"/>
      <c r="UYZ755" s="123"/>
      <c r="UZA755" s="123"/>
      <c r="UZB755" s="123"/>
      <c r="UZC755" s="123"/>
      <c r="UZD755" s="123"/>
      <c r="UZE755" s="123"/>
      <c r="UZF755" s="123"/>
      <c r="UZG755" s="123"/>
      <c r="UZH755" s="123"/>
      <c r="UZI755" s="123"/>
      <c r="UZJ755" s="123"/>
      <c r="UZK755" s="123"/>
      <c r="UZL755" s="123"/>
      <c r="UZM755" s="123"/>
      <c r="UZN755" s="123"/>
      <c r="UZO755" s="123"/>
      <c r="UZP755" s="123"/>
      <c r="UZQ755" s="123"/>
      <c r="UZR755" s="123"/>
      <c r="UZS755" s="123"/>
      <c r="UZT755" s="123"/>
      <c r="UZU755" s="123"/>
      <c r="UZV755" s="123"/>
      <c r="UZW755" s="123"/>
      <c r="UZX755" s="123"/>
      <c r="UZY755" s="123"/>
      <c r="UZZ755" s="123"/>
      <c r="VAA755" s="123"/>
      <c r="VAB755" s="123"/>
      <c r="VAC755" s="123"/>
      <c r="VAD755" s="123"/>
      <c r="VAE755" s="123"/>
      <c r="VAF755" s="123"/>
      <c r="VAG755" s="123"/>
      <c r="VAH755" s="123"/>
      <c r="VAI755" s="123"/>
      <c r="VAJ755" s="123"/>
      <c r="VAK755" s="123"/>
      <c r="VAL755" s="123"/>
      <c r="VAM755" s="123"/>
      <c r="VAN755" s="123"/>
      <c r="VAO755" s="123"/>
      <c r="VAP755" s="123"/>
      <c r="VAQ755" s="123"/>
      <c r="VAR755" s="123"/>
      <c r="VAS755" s="123"/>
      <c r="VAT755" s="123"/>
      <c r="VAU755" s="123"/>
      <c r="VAV755" s="123"/>
      <c r="VAW755" s="123"/>
      <c r="VAX755" s="123"/>
      <c r="VAY755" s="123"/>
      <c r="VAZ755" s="123"/>
      <c r="VBA755" s="123"/>
      <c r="VBB755" s="123"/>
      <c r="VBC755" s="123"/>
      <c r="VBD755" s="123"/>
      <c r="VBE755" s="123"/>
      <c r="VBF755" s="123"/>
      <c r="VBG755" s="123"/>
      <c r="VBH755" s="123"/>
      <c r="VBI755" s="123"/>
      <c r="VBJ755" s="123"/>
      <c r="VBK755" s="123"/>
      <c r="VBL755" s="123"/>
      <c r="VBM755" s="123"/>
      <c r="VBN755" s="123"/>
      <c r="VBO755" s="123"/>
      <c r="VBP755" s="123"/>
      <c r="VBQ755" s="123"/>
      <c r="VBR755" s="123"/>
      <c r="VBS755" s="123"/>
      <c r="VBT755" s="123"/>
      <c r="VBU755" s="123"/>
      <c r="VBV755" s="123"/>
      <c r="VBW755" s="123"/>
      <c r="VBX755" s="123"/>
      <c r="VBY755" s="123"/>
      <c r="VBZ755" s="123"/>
      <c r="VCA755" s="123"/>
      <c r="VCB755" s="123"/>
      <c r="VCC755" s="123"/>
      <c r="VCD755" s="123"/>
      <c r="VCE755" s="123"/>
      <c r="VCF755" s="123"/>
      <c r="VCG755" s="123"/>
      <c r="VCH755" s="123"/>
      <c r="VCI755" s="123"/>
      <c r="VCJ755" s="123"/>
      <c r="VCK755" s="123"/>
      <c r="VCL755" s="123"/>
      <c r="VCM755" s="123"/>
      <c r="VCN755" s="123"/>
      <c r="VCO755" s="123"/>
      <c r="VCP755" s="123"/>
      <c r="VCQ755" s="123"/>
      <c r="VCR755" s="123"/>
      <c r="VCS755" s="123"/>
      <c r="VCT755" s="123"/>
      <c r="VCU755" s="123"/>
      <c r="VCV755" s="123"/>
      <c r="VCW755" s="123"/>
      <c r="VCX755" s="123"/>
      <c r="VCY755" s="123"/>
      <c r="VCZ755" s="123"/>
      <c r="VDA755" s="123"/>
      <c r="VDB755" s="123"/>
      <c r="VDC755" s="123"/>
      <c r="VDD755" s="123"/>
      <c r="VDE755" s="123"/>
      <c r="VDF755" s="123"/>
      <c r="VDG755" s="123"/>
      <c r="VDH755" s="123"/>
      <c r="VDI755" s="123"/>
      <c r="VDJ755" s="123"/>
      <c r="VDK755" s="123"/>
      <c r="VDL755" s="123"/>
      <c r="VDM755" s="123"/>
      <c r="VDN755" s="123"/>
      <c r="VDO755" s="123"/>
      <c r="VDP755" s="123"/>
      <c r="VDQ755" s="123"/>
      <c r="VDR755" s="123"/>
      <c r="VDS755" s="123"/>
      <c r="VDT755" s="123"/>
      <c r="VDU755" s="123"/>
      <c r="VDV755" s="123"/>
      <c r="VDW755" s="123"/>
      <c r="VDX755" s="123"/>
      <c r="VDY755" s="123"/>
      <c r="VDZ755" s="123"/>
      <c r="VEA755" s="123"/>
      <c r="VEB755" s="123"/>
      <c r="VEC755" s="123"/>
      <c r="VED755" s="123"/>
      <c r="VEE755" s="123"/>
      <c r="VEF755" s="123"/>
      <c r="VEG755" s="123"/>
      <c r="VEH755" s="123"/>
      <c r="VEI755" s="123"/>
      <c r="VEJ755" s="123"/>
      <c r="VEK755" s="123"/>
      <c r="VEL755" s="123"/>
      <c r="VEM755" s="123"/>
      <c r="VEN755" s="123"/>
      <c r="VEO755" s="123"/>
      <c r="VEP755" s="123"/>
      <c r="VEQ755" s="123"/>
      <c r="VER755" s="123"/>
      <c r="VES755" s="123"/>
      <c r="VET755" s="123"/>
      <c r="VEU755" s="123"/>
      <c r="VEV755" s="123"/>
      <c r="VEW755" s="123"/>
      <c r="VEX755" s="123"/>
      <c r="VEY755" s="123"/>
      <c r="VEZ755" s="123"/>
      <c r="VFA755" s="123"/>
      <c r="VFB755" s="123"/>
      <c r="VFC755" s="123"/>
      <c r="VFD755" s="123"/>
      <c r="VFE755" s="123"/>
      <c r="VFF755" s="123"/>
      <c r="VFG755" s="123"/>
      <c r="VFH755" s="123"/>
      <c r="VFI755" s="123"/>
      <c r="VFJ755" s="123"/>
      <c r="VFK755" s="123"/>
      <c r="VFL755" s="123"/>
      <c r="VFM755" s="123"/>
      <c r="VFN755" s="123"/>
      <c r="VFO755" s="123"/>
      <c r="VFP755" s="123"/>
      <c r="VFQ755" s="123"/>
      <c r="VFR755" s="123"/>
      <c r="VFS755" s="123"/>
      <c r="VFT755" s="123"/>
      <c r="VFU755" s="123"/>
      <c r="VFV755" s="123"/>
      <c r="VFW755" s="123"/>
      <c r="VFX755" s="123"/>
      <c r="VFY755" s="123"/>
      <c r="VFZ755" s="123"/>
      <c r="VGA755" s="123"/>
      <c r="VGB755" s="123"/>
      <c r="VGC755" s="123"/>
      <c r="VGD755" s="123"/>
      <c r="VGE755" s="123"/>
      <c r="VGF755" s="123"/>
      <c r="VGG755" s="123"/>
      <c r="VGH755" s="123"/>
      <c r="VGI755" s="123"/>
      <c r="VGJ755" s="123"/>
      <c r="VGK755" s="123"/>
      <c r="VGL755" s="123"/>
      <c r="VGM755" s="123"/>
      <c r="VGN755" s="123"/>
      <c r="VGO755" s="123"/>
      <c r="VGP755" s="123"/>
      <c r="VGQ755" s="123"/>
      <c r="VGR755" s="123"/>
      <c r="VGS755" s="123"/>
      <c r="VGT755" s="123"/>
      <c r="VGU755" s="123"/>
      <c r="VGV755" s="123"/>
      <c r="VGW755" s="123"/>
      <c r="VGX755" s="123"/>
      <c r="VGY755" s="123"/>
      <c r="VGZ755" s="123"/>
      <c r="VHA755" s="123"/>
      <c r="VHB755" s="123"/>
      <c r="VHC755" s="123"/>
      <c r="VHD755" s="123"/>
      <c r="VHE755" s="123"/>
      <c r="VHF755" s="123"/>
      <c r="VHG755" s="123"/>
      <c r="VHH755" s="123"/>
      <c r="VHI755" s="123"/>
      <c r="VHJ755" s="123"/>
      <c r="VHK755" s="123"/>
      <c r="VHL755" s="123"/>
      <c r="VHM755" s="123"/>
      <c r="VHN755" s="123"/>
      <c r="VHO755" s="123"/>
      <c r="VHP755" s="123"/>
      <c r="VHQ755" s="123"/>
      <c r="VHR755" s="123"/>
      <c r="VHS755" s="123"/>
      <c r="VHT755" s="123"/>
      <c r="VHU755" s="123"/>
      <c r="VHV755" s="123"/>
      <c r="VHW755" s="123"/>
      <c r="VHX755" s="123"/>
      <c r="VHY755" s="123"/>
      <c r="VHZ755" s="123"/>
      <c r="VIA755" s="123"/>
      <c r="VIB755" s="123"/>
      <c r="VIC755" s="123"/>
      <c r="VID755" s="123"/>
      <c r="VIE755" s="123"/>
      <c r="VIF755" s="123"/>
      <c r="VIG755" s="123"/>
      <c r="VIH755" s="123"/>
      <c r="VII755" s="123"/>
      <c r="VIJ755" s="123"/>
      <c r="VIK755" s="123"/>
      <c r="VIL755" s="123"/>
      <c r="VIM755" s="123"/>
      <c r="VIN755" s="123"/>
      <c r="VIO755" s="123"/>
      <c r="VIP755" s="123"/>
      <c r="VIQ755" s="123"/>
      <c r="VIR755" s="123"/>
      <c r="VIS755" s="123"/>
      <c r="VIT755" s="123"/>
      <c r="VIU755" s="123"/>
      <c r="VIV755" s="123"/>
      <c r="VIW755" s="123"/>
      <c r="VIX755" s="123"/>
      <c r="VIY755" s="123"/>
      <c r="VIZ755" s="123"/>
      <c r="VJA755" s="123"/>
      <c r="VJB755" s="123"/>
      <c r="VJC755" s="123"/>
      <c r="VJD755" s="123"/>
      <c r="VJE755" s="123"/>
      <c r="VJF755" s="123"/>
      <c r="VJG755" s="123"/>
      <c r="VJH755" s="123"/>
      <c r="VJI755" s="123"/>
      <c r="VJJ755" s="123"/>
      <c r="VJK755" s="123"/>
      <c r="VJL755" s="123"/>
      <c r="VJM755" s="123"/>
      <c r="VJN755" s="123"/>
      <c r="VJO755" s="123"/>
      <c r="VJP755" s="123"/>
      <c r="VJQ755" s="123"/>
      <c r="VJR755" s="123"/>
      <c r="VJS755" s="123"/>
      <c r="VJT755" s="123"/>
      <c r="VJU755" s="123"/>
      <c r="VJV755" s="123"/>
      <c r="VJW755" s="123"/>
      <c r="VJX755" s="123"/>
      <c r="VJY755" s="123"/>
      <c r="VJZ755" s="123"/>
      <c r="VKA755" s="123"/>
      <c r="VKB755" s="123"/>
      <c r="VKC755" s="123"/>
      <c r="VKD755" s="123"/>
      <c r="VKE755" s="123"/>
      <c r="VKF755" s="123"/>
      <c r="VKG755" s="123"/>
      <c r="VKH755" s="123"/>
      <c r="VKI755" s="123"/>
      <c r="VKJ755" s="123"/>
      <c r="VKK755" s="123"/>
      <c r="VKL755" s="123"/>
      <c r="VKM755" s="123"/>
      <c r="VKN755" s="123"/>
      <c r="VKO755" s="123"/>
      <c r="VKP755" s="123"/>
      <c r="VKQ755" s="123"/>
      <c r="VKR755" s="123"/>
      <c r="VKS755" s="123"/>
      <c r="VKT755" s="123"/>
      <c r="VKU755" s="123"/>
      <c r="VKV755" s="123"/>
      <c r="VKW755" s="123"/>
      <c r="VKX755" s="123"/>
      <c r="VKY755" s="123"/>
      <c r="VKZ755" s="123"/>
      <c r="VLA755" s="123"/>
      <c r="VLB755" s="123"/>
      <c r="VLC755" s="123"/>
      <c r="VLD755" s="123"/>
      <c r="VLE755" s="123"/>
      <c r="VLF755" s="123"/>
      <c r="VLG755" s="123"/>
      <c r="VLH755" s="123"/>
      <c r="VLI755" s="123"/>
      <c r="VLJ755" s="123"/>
      <c r="VLK755" s="123"/>
      <c r="VLL755" s="123"/>
      <c r="VLM755" s="123"/>
      <c r="VLN755" s="123"/>
      <c r="VLO755" s="123"/>
      <c r="VLP755" s="123"/>
      <c r="VLQ755" s="123"/>
      <c r="VLR755" s="123"/>
      <c r="VLS755" s="123"/>
      <c r="VLT755" s="123"/>
      <c r="VLU755" s="123"/>
      <c r="VLV755" s="123"/>
      <c r="VLW755" s="123"/>
      <c r="VLX755" s="123"/>
      <c r="VLY755" s="123"/>
      <c r="VLZ755" s="123"/>
      <c r="VMA755" s="123"/>
      <c r="VMB755" s="123"/>
      <c r="VMC755" s="123"/>
      <c r="VMD755" s="123"/>
      <c r="VME755" s="123"/>
      <c r="VMF755" s="123"/>
      <c r="VMG755" s="123"/>
      <c r="VMH755" s="123"/>
      <c r="VMI755" s="123"/>
      <c r="VMJ755" s="123"/>
      <c r="VMK755" s="123"/>
      <c r="VML755" s="123"/>
      <c r="VMM755" s="123"/>
      <c r="VMN755" s="123"/>
      <c r="VMO755" s="123"/>
      <c r="VMP755" s="123"/>
      <c r="VMQ755" s="123"/>
      <c r="VMR755" s="123"/>
      <c r="VMS755" s="123"/>
      <c r="VMT755" s="123"/>
      <c r="VMU755" s="123"/>
      <c r="VMV755" s="123"/>
      <c r="VMW755" s="123"/>
      <c r="VMX755" s="123"/>
      <c r="VMY755" s="123"/>
      <c r="VMZ755" s="123"/>
      <c r="VNA755" s="123"/>
      <c r="VNB755" s="123"/>
      <c r="VNC755" s="123"/>
      <c r="VND755" s="123"/>
      <c r="VNE755" s="123"/>
      <c r="VNF755" s="123"/>
      <c r="VNG755" s="123"/>
      <c r="VNH755" s="123"/>
      <c r="VNI755" s="123"/>
      <c r="VNJ755" s="123"/>
      <c r="VNK755" s="123"/>
      <c r="VNL755" s="123"/>
      <c r="VNM755" s="123"/>
      <c r="VNN755" s="123"/>
      <c r="VNO755" s="123"/>
      <c r="VNP755" s="123"/>
      <c r="VNQ755" s="123"/>
      <c r="VNR755" s="123"/>
      <c r="VNS755" s="123"/>
      <c r="VNT755" s="123"/>
      <c r="VNU755" s="123"/>
      <c r="VNV755" s="123"/>
      <c r="VNW755" s="123"/>
      <c r="VNX755" s="123"/>
      <c r="VNY755" s="123"/>
      <c r="VNZ755" s="123"/>
      <c r="VOA755" s="123"/>
      <c r="VOB755" s="123"/>
      <c r="VOC755" s="123"/>
      <c r="VOD755" s="123"/>
      <c r="VOE755" s="123"/>
      <c r="VOF755" s="123"/>
      <c r="VOG755" s="123"/>
      <c r="VOH755" s="123"/>
      <c r="VOI755" s="123"/>
      <c r="VOJ755" s="123"/>
      <c r="VOK755" s="123"/>
      <c r="VOL755" s="123"/>
      <c r="VOM755" s="123"/>
      <c r="VON755" s="123"/>
      <c r="VOO755" s="123"/>
      <c r="VOP755" s="123"/>
      <c r="VOQ755" s="123"/>
      <c r="VOR755" s="123"/>
      <c r="VOS755" s="123"/>
      <c r="VOT755" s="123"/>
      <c r="VOU755" s="123"/>
      <c r="VOV755" s="123"/>
      <c r="VOW755" s="123"/>
      <c r="VOX755" s="123"/>
      <c r="VOY755" s="123"/>
      <c r="VOZ755" s="123"/>
      <c r="VPA755" s="123"/>
      <c r="VPB755" s="123"/>
      <c r="VPC755" s="123"/>
      <c r="VPD755" s="123"/>
      <c r="VPE755" s="123"/>
      <c r="VPF755" s="123"/>
      <c r="VPG755" s="123"/>
      <c r="VPH755" s="123"/>
      <c r="VPI755" s="123"/>
      <c r="VPJ755" s="123"/>
      <c r="VPK755" s="123"/>
      <c r="VPL755" s="123"/>
      <c r="VPM755" s="123"/>
      <c r="VPN755" s="123"/>
      <c r="VPO755" s="123"/>
      <c r="VPP755" s="123"/>
      <c r="VPQ755" s="123"/>
      <c r="VPR755" s="123"/>
      <c r="VPS755" s="123"/>
      <c r="VPT755" s="123"/>
      <c r="VPU755" s="123"/>
      <c r="VPV755" s="123"/>
      <c r="VPW755" s="123"/>
      <c r="VPX755" s="123"/>
      <c r="VPY755" s="123"/>
      <c r="VPZ755" s="123"/>
      <c r="VQA755" s="123"/>
      <c r="VQB755" s="123"/>
      <c r="VQC755" s="123"/>
      <c r="VQD755" s="123"/>
      <c r="VQE755" s="123"/>
      <c r="VQF755" s="123"/>
      <c r="VQG755" s="123"/>
      <c r="VQH755" s="123"/>
      <c r="VQI755" s="123"/>
      <c r="VQJ755" s="123"/>
      <c r="VQK755" s="123"/>
      <c r="VQL755" s="123"/>
      <c r="VQM755" s="123"/>
      <c r="VQN755" s="123"/>
      <c r="VQO755" s="123"/>
      <c r="VQP755" s="123"/>
      <c r="VQQ755" s="123"/>
      <c r="VQR755" s="123"/>
      <c r="VQS755" s="123"/>
      <c r="VQT755" s="123"/>
      <c r="VQU755" s="123"/>
      <c r="VQV755" s="123"/>
      <c r="VQW755" s="123"/>
      <c r="VQX755" s="123"/>
      <c r="VQY755" s="123"/>
      <c r="VQZ755" s="123"/>
      <c r="VRA755" s="123"/>
      <c r="VRB755" s="123"/>
      <c r="VRC755" s="123"/>
      <c r="VRD755" s="123"/>
      <c r="VRE755" s="123"/>
      <c r="VRF755" s="123"/>
      <c r="VRG755" s="123"/>
      <c r="VRH755" s="123"/>
      <c r="VRI755" s="123"/>
      <c r="VRJ755" s="123"/>
      <c r="VRK755" s="123"/>
      <c r="VRL755" s="123"/>
      <c r="VRM755" s="123"/>
      <c r="VRN755" s="123"/>
      <c r="VRO755" s="123"/>
      <c r="VRP755" s="123"/>
      <c r="VRQ755" s="123"/>
      <c r="VRR755" s="123"/>
      <c r="VRS755" s="123"/>
      <c r="VRT755" s="123"/>
      <c r="VRU755" s="123"/>
      <c r="VRV755" s="123"/>
      <c r="VRW755" s="123"/>
      <c r="VRX755" s="123"/>
      <c r="VRY755" s="123"/>
      <c r="VRZ755" s="123"/>
      <c r="VSA755" s="123"/>
      <c r="VSB755" s="123"/>
      <c r="VSC755" s="123"/>
      <c r="VSD755" s="123"/>
      <c r="VSE755" s="123"/>
      <c r="VSF755" s="123"/>
      <c r="VSG755" s="123"/>
      <c r="VSH755" s="123"/>
      <c r="VSI755" s="123"/>
      <c r="VSJ755" s="123"/>
      <c r="VSK755" s="123"/>
      <c r="VSL755" s="123"/>
      <c r="VSM755" s="123"/>
      <c r="VSN755" s="123"/>
      <c r="VSO755" s="123"/>
      <c r="VSP755" s="123"/>
      <c r="VSQ755" s="123"/>
      <c r="VSR755" s="123"/>
      <c r="VSS755" s="123"/>
      <c r="VST755" s="123"/>
      <c r="VSU755" s="123"/>
      <c r="VSV755" s="123"/>
      <c r="VSW755" s="123"/>
      <c r="VSX755" s="123"/>
      <c r="VSY755" s="123"/>
      <c r="VSZ755" s="123"/>
      <c r="VTA755" s="123"/>
      <c r="VTB755" s="123"/>
      <c r="VTC755" s="123"/>
      <c r="VTD755" s="123"/>
      <c r="VTE755" s="123"/>
      <c r="VTF755" s="123"/>
      <c r="VTG755" s="123"/>
      <c r="VTH755" s="123"/>
      <c r="VTI755" s="123"/>
      <c r="VTJ755" s="123"/>
      <c r="VTK755" s="123"/>
      <c r="VTL755" s="123"/>
      <c r="VTM755" s="123"/>
      <c r="VTN755" s="123"/>
      <c r="VTO755" s="123"/>
      <c r="VTP755" s="123"/>
      <c r="VTQ755" s="123"/>
      <c r="VTR755" s="123"/>
      <c r="VTS755" s="123"/>
      <c r="VTT755" s="123"/>
      <c r="VTU755" s="123"/>
      <c r="VTV755" s="123"/>
      <c r="VTW755" s="123"/>
      <c r="VTX755" s="123"/>
      <c r="VTY755" s="123"/>
      <c r="VTZ755" s="123"/>
      <c r="VUA755" s="123"/>
      <c r="VUB755" s="123"/>
      <c r="VUC755" s="123"/>
      <c r="VUD755" s="123"/>
      <c r="VUE755" s="123"/>
      <c r="VUF755" s="123"/>
      <c r="VUG755" s="123"/>
      <c r="VUH755" s="123"/>
      <c r="VUI755" s="123"/>
      <c r="VUJ755" s="123"/>
      <c r="VUK755" s="123"/>
      <c r="VUL755" s="123"/>
      <c r="VUM755" s="123"/>
      <c r="VUN755" s="123"/>
      <c r="VUO755" s="123"/>
      <c r="VUP755" s="123"/>
      <c r="VUQ755" s="123"/>
      <c r="VUR755" s="123"/>
      <c r="VUS755" s="123"/>
      <c r="VUT755" s="123"/>
      <c r="VUU755" s="123"/>
      <c r="VUV755" s="123"/>
      <c r="VUW755" s="123"/>
      <c r="VUX755" s="123"/>
      <c r="VUY755" s="123"/>
      <c r="VUZ755" s="123"/>
      <c r="VVA755" s="123"/>
      <c r="VVB755" s="123"/>
      <c r="VVC755" s="123"/>
      <c r="VVD755" s="123"/>
      <c r="VVE755" s="123"/>
      <c r="VVF755" s="123"/>
      <c r="VVG755" s="123"/>
      <c r="VVH755" s="123"/>
      <c r="VVI755" s="123"/>
      <c r="VVJ755" s="123"/>
      <c r="VVK755" s="123"/>
      <c r="VVL755" s="123"/>
      <c r="VVM755" s="123"/>
      <c r="VVN755" s="123"/>
      <c r="VVO755" s="123"/>
      <c r="VVP755" s="123"/>
      <c r="VVQ755" s="123"/>
      <c r="VVR755" s="123"/>
      <c r="VVS755" s="123"/>
      <c r="VVT755" s="123"/>
      <c r="VVU755" s="123"/>
      <c r="VVV755" s="123"/>
      <c r="VVW755" s="123"/>
      <c r="VVX755" s="123"/>
      <c r="VVY755" s="123"/>
      <c r="VVZ755" s="123"/>
      <c r="VWA755" s="123"/>
      <c r="VWB755" s="123"/>
      <c r="VWC755" s="123"/>
      <c r="VWD755" s="123"/>
      <c r="VWE755" s="123"/>
      <c r="VWF755" s="123"/>
      <c r="VWG755" s="123"/>
      <c r="VWH755" s="123"/>
      <c r="VWI755" s="123"/>
      <c r="VWJ755" s="123"/>
      <c r="VWK755" s="123"/>
      <c r="VWL755" s="123"/>
      <c r="VWM755" s="123"/>
      <c r="VWN755" s="123"/>
      <c r="VWO755" s="123"/>
      <c r="VWP755" s="123"/>
      <c r="VWQ755" s="123"/>
      <c r="VWR755" s="123"/>
      <c r="VWS755" s="123"/>
      <c r="VWT755" s="123"/>
      <c r="VWU755" s="123"/>
      <c r="VWV755" s="123"/>
      <c r="VWW755" s="123"/>
      <c r="VWX755" s="123"/>
      <c r="VWY755" s="123"/>
      <c r="VWZ755" s="123"/>
      <c r="VXA755" s="123"/>
      <c r="VXB755" s="123"/>
      <c r="VXC755" s="123"/>
      <c r="VXD755" s="123"/>
      <c r="VXE755" s="123"/>
      <c r="VXF755" s="123"/>
      <c r="VXG755" s="123"/>
      <c r="VXH755" s="123"/>
      <c r="VXI755" s="123"/>
      <c r="VXJ755" s="123"/>
      <c r="VXK755" s="123"/>
      <c r="VXL755" s="123"/>
      <c r="VXM755" s="123"/>
      <c r="VXN755" s="123"/>
      <c r="VXO755" s="123"/>
      <c r="VXP755" s="123"/>
      <c r="VXQ755" s="123"/>
      <c r="VXR755" s="123"/>
      <c r="VXS755" s="123"/>
      <c r="VXT755" s="123"/>
      <c r="VXU755" s="123"/>
      <c r="VXV755" s="123"/>
      <c r="VXW755" s="123"/>
      <c r="VXX755" s="123"/>
      <c r="VXY755" s="123"/>
      <c r="VXZ755" s="123"/>
      <c r="VYA755" s="123"/>
      <c r="VYB755" s="123"/>
      <c r="VYC755" s="123"/>
      <c r="VYD755" s="123"/>
      <c r="VYE755" s="123"/>
      <c r="VYF755" s="123"/>
      <c r="VYG755" s="123"/>
      <c r="VYH755" s="123"/>
      <c r="VYI755" s="123"/>
      <c r="VYJ755" s="123"/>
      <c r="VYK755" s="123"/>
      <c r="VYL755" s="123"/>
      <c r="VYM755" s="123"/>
      <c r="VYN755" s="123"/>
      <c r="VYO755" s="123"/>
      <c r="VYP755" s="123"/>
      <c r="VYQ755" s="123"/>
      <c r="VYR755" s="123"/>
      <c r="VYS755" s="123"/>
      <c r="VYT755" s="123"/>
      <c r="VYU755" s="123"/>
      <c r="VYV755" s="123"/>
      <c r="VYW755" s="123"/>
      <c r="VYX755" s="123"/>
      <c r="VYY755" s="123"/>
      <c r="VYZ755" s="123"/>
      <c r="VZA755" s="123"/>
      <c r="VZB755" s="123"/>
      <c r="VZC755" s="123"/>
      <c r="VZD755" s="123"/>
      <c r="VZE755" s="123"/>
      <c r="VZF755" s="123"/>
      <c r="VZG755" s="123"/>
      <c r="VZH755" s="123"/>
      <c r="VZI755" s="123"/>
      <c r="VZJ755" s="123"/>
      <c r="VZK755" s="123"/>
      <c r="VZL755" s="123"/>
      <c r="VZM755" s="123"/>
      <c r="VZN755" s="123"/>
      <c r="VZO755" s="123"/>
      <c r="VZP755" s="123"/>
      <c r="VZQ755" s="123"/>
      <c r="VZR755" s="123"/>
      <c r="VZS755" s="123"/>
      <c r="VZT755" s="123"/>
      <c r="VZU755" s="123"/>
      <c r="VZV755" s="123"/>
      <c r="VZW755" s="123"/>
      <c r="VZX755" s="123"/>
      <c r="VZY755" s="123"/>
      <c r="VZZ755" s="123"/>
      <c r="WAA755" s="123"/>
      <c r="WAB755" s="123"/>
      <c r="WAC755" s="123"/>
      <c r="WAD755" s="123"/>
      <c r="WAE755" s="123"/>
      <c r="WAF755" s="123"/>
      <c r="WAG755" s="123"/>
      <c r="WAH755" s="123"/>
      <c r="WAI755" s="123"/>
      <c r="WAJ755" s="123"/>
      <c r="WAK755" s="123"/>
      <c r="WAL755" s="123"/>
      <c r="WAM755" s="123"/>
      <c r="WAN755" s="123"/>
      <c r="WAO755" s="123"/>
      <c r="WAP755" s="123"/>
      <c r="WAQ755" s="123"/>
      <c r="WAR755" s="123"/>
      <c r="WAS755" s="123"/>
      <c r="WAT755" s="123"/>
      <c r="WAU755" s="123"/>
      <c r="WAV755" s="123"/>
      <c r="WAW755" s="123"/>
      <c r="WAX755" s="123"/>
      <c r="WAY755" s="123"/>
      <c r="WAZ755" s="123"/>
      <c r="WBA755" s="123"/>
      <c r="WBB755" s="123"/>
      <c r="WBC755" s="123"/>
      <c r="WBD755" s="123"/>
      <c r="WBE755" s="123"/>
      <c r="WBF755" s="123"/>
      <c r="WBG755" s="123"/>
      <c r="WBH755" s="123"/>
      <c r="WBI755" s="123"/>
      <c r="WBJ755" s="123"/>
      <c r="WBK755" s="123"/>
      <c r="WBL755" s="123"/>
      <c r="WBM755" s="123"/>
      <c r="WBN755" s="123"/>
      <c r="WBO755" s="123"/>
      <c r="WBP755" s="123"/>
      <c r="WBQ755" s="123"/>
      <c r="WBR755" s="123"/>
      <c r="WBS755" s="123"/>
      <c r="WBT755" s="123"/>
      <c r="WBU755" s="123"/>
      <c r="WBV755" s="123"/>
      <c r="WBW755" s="123"/>
      <c r="WBX755" s="123"/>
      <c r="WBY755" s="123"/>
      <c r="WBZ755" s="123"/>
      <c r="WCA755" s="123"/>
      <c r="WCB755" s="123"/>
      <c r="WCC755" s="123"/>
      <c r="WCD755" s="123"/>
      <c r="WCE755" s="123"/>
      <c r="WCF755" s="123"/>
      <c r="WCG755" s="123"/>
      <c r="WCH755" s="123"/>
      <c r="WCI755" s="123"/>
      <c r="WCJ755" s="123"/>
      <c r="WCK755" s="123"/>
      <c r="WCL755" s="123"/>
      <c r="WCM755" s="123"/>
      <c r="WCN755" s="123"/>
      <c r="WCO755" s="123"/>
      <c r="WCP755" s="123"/>
      <c r="WCQ755" s="123"/>
      <c r="WCR755" s="123"/>
      <c r="WCS755" s="123"/>
      <c r="WCT755" s="123"/>
      <c r="WCU755" s="123"/>
      <c r="WCV755" s="123"/>
      <c r="WCW755" s="123"/>
      <c r="WCX755" s="123"/>
      <c r="WCY755" s="123"/>
      <c r="WCZ755" s="123"/>
      <c r="WDA755" s="123"/>
      <c r="WDB755" s="123"/>
      <c r="WDC755" s="123"/>
      <c r="WDD755" s="123"/>
      <c r="WDE755" s="123"/>
      <c r="WDF755" s="123"/>
      <c r="WDG755" s="123"/>
      <c r="WDH755" s="123"/>
      <c r="WDI755" s="123"/>
      <c r="WDJ755" s="123"/>
      <c r="WDK755" s="123"/>
      <c r="WDL755" s="123"/>
      <c r="WDM755" s="123"/>
      <c r="WDN755" s="123"/>
      <c r="WDO755" s="123"/>
      <c r="WDP755" s="123"/>
      <c r="WDQ755" s="123"/>
      <c r="WDR755" s="123"/>
      <c r="WDS755" s="123"/>
      <c r="WDT755" s="123"/>
      <c r="WDU755" s="123"/>
      <c r="WDV755" s="123"/>
      <c r="WDW755" s="123"/>
      <c r="WDX755" s="123"/>
      <c r="WDY755" s="123"/>
      <c r="WDZ755" s="123"/>
      <c r="WEA755" s="123"/>
      <c r="WEB755" s="123"/>
      <c r="WEC755" s="123"/>
      <c r="WED755" s="123"/>
      <c r="WEE755" s="123"/>
      <c r="WEF755" s="123"/>
      <c r="WEG755" s="123"/>
      <c r="WEH755" s="123"/>
      <c r="WEI755" s="123"/>
      <c r="WEJ755" s="123"/>
      <c r="WEK755" s="123"/>
      <c r="WEL755" s="123"/>
      <c r="WEM755" s="123"/>
      <c r="WEN755" s="123"/>
      <c r="WEO755" s="123"/>
      <c r="WEP755" s="123"/>
      <c r="WEQ755" s="123"/>
      <c r="WER755" s="123"/>
      <c r="WES755" s="123"/>
      <c r="WET755" s="123"/>
      <c r="WEU755" s="123"/>
      <c r="WEV755" s="123"/>
      <c r="WEW755" s="123"/>
      <c r="WEX755" s="123"/>
      <c r="WEY755" s="123"/>
      <c r="WEZ755" s="123"/>
      <c r="WFA755" s="123"/>
      <c r="WFB755" s="123"/>
      <c r="WFC755" s="123"/>
      <c r="WFD755" s="123"/>
      <c r="WFE755" s="123"/>
      <c r="WFF755" s="123"/>
      <c r="WFG755" s="123"/>
      <c r="WFH755" s="123"/>
      <c r="WFI755" s="123"/>
      <c r="WFJ755" s="123"/>
      <c r="WFK755" s="123"/>
      <c r="WFL755" s="123"/>
      <c r="WFM755" s="123"/>
      <c r="WFN755" s="123"/>
      <c r="WFO755" s="123"/>
      <c r="WFP755" s="123"/>
      <c r="WFQ755" s="123"/>
      <c r="WFR755" s="123"/>
      <c r="WFS755" s="123"/>
      <c r="WFT755" s="123"/>
      <c r="WFU755" s="123"/>
      <c r="WFV755" s="123"/>
      <c r="WFW755" s="123"/>
      <c r="WFX755" s="123"/>
      <c r="WFY755" s="123"/>
      <c r="WFZ755" s="123"/>
      <c r="WGA755" s="123"/>
      <c r="WGB755" s="123"/>
      <c r="WGC755" s="123"/>
      <c r="WGD755" s="123"/>
      <c r="WGE755" s="123"/>
      <c r="WGF755" s="123"/>
      <c r="WGG755" s="123"/>
      <c r="WGH755" s="123"/>
      <c r="WGI755" s="123"/>
      <c r="WGJ755" s="123"/>
      <c r="WGK755" s="123"/>
      <c r="WGL755" s="123"/>
      <c r="WGM755" s="123"/>
      <c r="WGN755" s="123"/>
      <c r="WGO755" s="123"/>
      <c r="WGP755" s="123"/>
      <c r="WGQ755" s="123"/>
      <c r="WGR755" s="123"/>
      <c r="WGS755" s="123"/>
      <c r="WGT755" s="123"/>
      <c r="WGU755" s="123"/>
      <c r="WGV755" s="123"/>
      <c r="WGW755" s="123"/>
      <c r="WGX755" s="123"/>
      <c r="WGY755" s="123"/>
      <c r="WGZ755" s="123"/>
      <c r="WHA755" s="123"/>
      <c r="WHB755" s="123"/>
      <c r="WHC755" s="123"/>
      <c r="WHD755" s="123"/>
      <c r="WHE755" s="123"/>
      <c r="WHF755" s="123"/>
      <c r="WHG755" s="123"/>
      <c r="WHH755" s="123"/>
      <c r="WHI755" s="123"/>
      <c r="WHJ755" s="123"/>
      <c r="WHK755" s="123"/>
      <c r="WHL755" s="123"/>
      <c r="WHM755" s="123"/>
      <c r="WHN755" s="123"/>
      <c r="WHO755" s="123"/>
      <c r="WHP755" s="123"/>
      <c r="WHQ755" s="123"/>
      <c r="WHR755" s="123"/>
      <c r="WHS755" s="123"/>
      <c r="WHT755" s="123"/>
      <c r="WHU755" s="123"/>
      <c r="WHV755" s="123"/>
      <c r="WHW755" s="123"/>
      <c r="WHX755" s="123"/>
      <c r="WHY755" s="123"/>
      <c r="WHZ755" s="123"/>
      <c r="WIA755" s="123"/>
      <c r="WIB755" s="123"/>
      <c r="WIC755" s="123"/>
      <c r="WID755" s="123"/>
      <c r="WIE755" s="123"/>
      <c r="WIF755" s="123"/>
      <c r="WIG755" s="123"/>
      <c r="WIH755" s="123"/>
      <c r="WII755" s="123"/>
      <c r="WIJ755" s="123"/>
      <c r="WIK755" s="123"/>
      <c r="WIL755" s="123"/>
      <c r="WIM755" s="123"/>
      <c r="WIN755" s="123"/>
      <c r="WIO755" s="123"/>
      <c r="WIP755" s="123"/>
      <c r="WIQ755" s="123"/>
      <c r="WIR755" s="123"/>
      <c r="WIS755" s="123"/>
      <c r="WIT755" s="123"/>
      <c r="WIU755" s="123"/>
      <c r="WIV755" s="123"/>
      <c r="WIW755" s="123"/>
      <c r="WIX755" s="123"/>
      <c r="WIY755" s="123"/>
      <c r="WIZ755" s="123"/>
      <c r="WJA755" s="123"/>
      <c r="WJB755" s="123"/>
      <c r="WJC755" s="123"/>
      <c r="WJD755" s="123"/>
      <c r="WJE755" s="123"/>
      <c r="WJF755" s="123"/>
      <c r="WJG755" s="123"/>
      <c r="WJH755" s="123"/>
      <c r="WJI755" s="123"/>
      <c r="WJJ755" s="123"/>
      <c r="WJK755" s="123"/>
      <c r="WJL755" s="123"/>
      <c r="WJM755" s="123"/>
      <c r="WJN755" s="123"/>
      <c r="WJO755" s="123"/>
      <c r="WJP755" s="123"/>
      <c r="WJQ755" s="123"/>
      <c r="WJR755" s="123"/>
      <c r="WJS755" s="123"/>
      <c r="WJT755" s="123"/>
      <c r="WJU755" s="123"/>
      <c r="WJV755" s="123"/>
      <c r="WJW755" s="123"/>
      <c r="WJX755" s="123"/>
      <c r="WJY755" s="123"/>
      <c r="WJZ755" s="123"/>
      <c r="WKA755" s="123"/>
      <c r="WKB755" s="123"/>
      <c r="WKC755" s="123"/>
      <c r="WKD755" s="123"/>
      <c r="WKE755" s="123"/>
      <c r="WKF755" s="123"/>
      <c r="WKG755" s="123"/>
      <c r="WKH755" s="123"/>
      <c r="WKI755" s="123"/>
      <c r="WKJ755" s="123"/>
      <c r="WKK755" s="123"/>
      <c r="WKL755" s="123"/>
      <c r="WKM755" s="123"/>
      <c r="WKN755" s="123"/>
      <c r="WKO755" s="123"/>
      <c r="WKP755" s="123"/>
      <c r="WKQ755" s="123"/>
      <c r="WKR755" s="123"/>
      <c r="WKS755" s="123"/>
      <c r="WKT755" s="123"/>
      <c r="WKU755" s="123"/>
      <c r="WKV755" s="123"/>
      <c r="WKW755" s="123"/>
      <c r="WKX755" s="123"/>
      <c r="WKY755" s="123"/>
      <c r="WKZ755" s="123"/>
      <c r="WLA755" s="123"/>
      <c r="WLB755" s="123"/>
      <c r="WLC755" s="123"/>
      <c r="WLD755" s="123"/>
      <c r="WLE755" s="123"/>
      <c r="WLF755" s="123"/>
      <c r="WLG755" s="123"/>
      <c r="WLH755" s="123"/>
      <c r="WLI755" s="123"/>
      <c r="WLJ755" s="123"/>
      <c r="WLK755" s="123"/>
      <c r="WLL755" s="123"/>
      <c r="WLM755" s="123"/>
      <c r="WLN755" s="123"/>
      <c r="WLO755" s="123"/>
      <c r="WLP755" s="123"/>
      <c r="WLQ755" s="123"/>
      <c r="WLR755" s="123"/>
      <c r="WLS755" s="123"/>
      <c r="WLT755" s="123"/>
      <c r="WLU755" s="123"/>
      <c r="WLV755" s="123"/>
      <c r="WLW755" s="123"/>
      <c r="WLX755" s="123"/>
      <c r="WLY755" s="123"/>
      <c r="WLZ755" s="123"/>
      <c r="WMA755" s="123"/>
      <c r="WMB755" s="123"/>
      <c r="WMC755" s="123"/>
      <c r="WMD755" s="123"/>
      <c r="WME755" s="123"/>
      <c r="WMF755" s="123"/>
      <c r="WMG755" s="123"/>
      <c r="WMH755" s="123"/>
      <c r="WMI755" s="123"/>
      <c r="WMJ755" s="123"/>
      <c r="WMK755" s="123"/>
      <c r="WML755" s="123"/>
      <c r="WMM755" s="123"/>
      <c r="WMN755" s="123"/>
      <c r="WMO755" s="123"/>
      <c r="WMP755" s="123"/>
      <c r="WMQ755" s="123"/>
      <c r="WMR755" s="123"/>
      <c r="WMS755" s="123"/>
      <c r="WMT755" s="123"/>
      <c r="WMU755" s="123"/>
      <c r="WMV755" s="123"/>
      <c r="WMW755" s="123"/>
      <c r="WMX755" s="123"/>
      <c r="WMY755" s="123"/>
      <c r="WMZ755" s="123"/>
      <c r="WNA755" s="123"/>
      <c r="WNB755" s="123"/>
      <c r="WNC755" s="123"/>
      <c r="WND755" s="123"/>
      <c r="WNE755" s="123"/>
      <c r="WNF755" s="123"/>
      <c r="WNG755" s="123"/>
      <c r="WNH755" s="123"/>
      <c r="WNI755" s="123"/>
      <c r="WNJ755" s="123"/>
      <c r="WNK755" s="123"/>
      <c r="WNL755" s="123"/>
      <c r="WNM755" s="123"/>
      <c r="WNN755" s="123"/>
      <c r="WNO755" s="123"/>
      <c r="WNP755" s="123"/>
      <c r="WNQ755" s="123"/>
      <c r="WNR755" s="123"/>
      <c r="WNS755" s="123"/>
      <c r="WNT755" s="123"/>
      <c r="WNU755" s="123"/>
      <c r="WNV755" s="123"/>
      <c r="WNW755" s="123"/>
      <c r="WNX755" s="123"/>
      <c r="WNY755" s="123"/>
      <c r="WNZ755" s="123"/>
      <c r="WOA755" s="123"/>
      <c r="WOB755" s="123"/>
      <c r="WOC755" s="123"/>
      <c r="WOD755" s="123"/>
      <c r="WOE755" s="123"/>
      <c r="WOF755" s="123"/>
      <c r="WOG755" s="123"/>
      <c r="WOH755" s="123"/>
      <c r="WOI755" s="123"/>
      <c r="WOJ755" s="123"/>
      <c r="WOK755" s="123"/>
      <c r="WOL755" s="123"/>
      <c r="WOM755" s="123"/>
      <c r="WON755" s="123"/>
      <c r="WOO755" s="123"/>
      <c r="WOP755" s="123"/>
      <c r="WOQ755" s="123"/>
      <c r="WOR755" s="123"/>
      <c r="WOS755" s="123"/>
      <c r="WOT755" s="123"/>
      <c r="WOU755" s="123"/>
      <c r="WOV755" s="123"/>
      <c r="WOW755" s="123"/>
      <c r="WOX755" s="123"/>
      <c r="WOY755" s="123"/>
      <c r="WOZ755" s="123"/>
      <c r="WPA755" s="123"/>
      <c r="WPB755" s="123"/>
      <c r="WPC755" s="123"/>
      <c r="WPD755" s="123"/>
      <c r="WPE755" s="123"/>
      <c r="WPF755" s="123"/>
      <c r="WPG755" s="123"/>
      <c r="WPH755" s="123"/>
      <c r="WPI755" s="123"/>
      <c r="WPJ755" s="123"/>
      <c r="WPK755" s="123"/>
      <c r="WPL755" s="123"/>
      <c r="WPM755" s="123"/>
      <c r="WPN755" s="123"/>
      <c r="WPO755" s="123"/>
      <c r="WPP755" s="123"/>
      <c r="WPQ755" s="123"/>
      <c r="WPR755" s="123"/>
      <c r="WPS755" s="123"/>
      <c r="WPT755" s="123"/>
      <c r="WPU755" s="123"/>
      <c r="WPV755" s="123"/>
      <c r="WPW755" s="123"/>
      <c r="WPX755" s="123"/>
      <c r="WPY755" s="123"/>
      <c r="WPZ755" s="123"/>
      <c r="WQA755" s="123"/>
      <c r="WQB755" s="123"/>
      <c r="WQC755" s="123"/>
      <c r="WQD755" s="123"/>
      <c r="WQE755" s="123"/>
      <c r="WQF755" s="123"/>
      <c r="WQG755" s="123"/>
      <c r="WQH755" s="123"/>
      <c r="WQI755" s="123"/>
      <c r="WQJ755" s="123"/>
      <c r="WQK755" s="123"/>
      <c r="WQL755" s="123"/>
      <c r="WQM755" s="123"/>
      <c r="WQN755" s="123"/>
      <c r="WQO755" s="123"/>
      <c r="WQP755" s="123"/>
      <c r="WQQ755" s="123"/>
      <c r="WQR755" s="123"/>
      <c r="WQS755" s="123"/>
      <c r="WQT755" s="123"/>
      <c r="WQU755" s="123"/>
      <c r="WQV755" s="123"/>
      <c r="WQW755" s="123"/>
      <c r="WQX755" s="123"/>
      <c r="WQY755" s="123"/>
      <c r="WQZ755" s="123"/>
      <c r="WRA755" s="123"/>
      <c r="WRB755" s="123"/>
      <c r="WRC755" s="123"/>
      <c r="WRD755" s="123"/>
      <c r="WRE755" s="123"/>
      <c r="WRF755" s="123"/>
      <c r="WRG755" s="123"/>
      <c r="WRH755" s="123"/>
      <c r="WRI755" s="123"/>
      <c r="WRJ755" s="123"/>
      <c r="WRK755" s="123"/>
      <c r="WRL755" s="123"/>
      <c r="WRM755" s="123"/>
      <c r="WRN755" s="123"/>
      <c r="WRO755" s="123"/>
      <c r="WRP755" s="123"/>
      <c r="WRQ755" s="123"/>
      <c r="WRR755" s="123"/>
      <c r="WRS755" s="123"/>
      <c r="WRT755" s="123"/>
      <c r="WRU755" s="123"/>
      <c r="WRV755" s="123"/>
      <c r="WRW755" s="123"/>
      <c r="WRX755" s="123"/>
      <c r="WRY755" s="123"/>
      <c r="WRZ755" s="123"/>
      <c r="WSA755" s="123"/>
      <c r="WSB755" s="123"/>
      <c r="WSC755" s="123"/>
      <c r="WSD755" s="123"/>
      <c r="WSE755" s="123"/>
      <c r="WSF755" s="123"/>
      <c r="WSG755" s="123"/>
      <c r="WSH755" s="123"/>
      <c r="WSI755" s="123"/>
      <c r="WSJ755" s="123"/>
      <c r="WSK755" s="123"/>
      <c r="WSL755" s="123"/>
      <c r="WSM755" s="123"/>
      <c r="WSN755" s="123"/>
      <c r="WSO755" s="123"/>
      <c r="WSP755" s="123"/>
      <c r="WSQ755" s="123"/>
      <c r="WSR755" s="123"/>
      <c r="WSS755" s="123"/>
      <c r="WST755" s="123"/>
      <c r="WSU755" s="123"/>
      <c r="WSV755" s="123"/>
      <c r="WSW755" s="123"/>
      <c r="WSX755" s="123"/>
      <c r="WSY755" s="123"/>
      <c r="WSZ755" s="123"/>
      <c r="WTA755" s="123"/>
      <c r="WTB755" s="123"/>
      <c r="WTC755" s="123"/>
      <c r="WTD755" s="123"/>
      <c r="WTE755" s="123"/>
      <c r="WTF755" s="123"/>
      <c r="WTG755" s="123"/>
      <c r="WTH755" s="123"/>
      <c r="WTI755" s="123"/>
      <c r="WTJ755" s="123"/>
      <c r="WTK755" s="123"/>
      <c r="WTL755" s="123"/>
      <c r="WTM755" s="123"/>
      <c r="WTN755" s="123"/>
      <c r="WTO755" s="123"/>
      <c r="WTP755" s="123"/>
      <c r="WTQ755" s="123"/>
      <c r="WTR755" s="123"/>
      <c r="WTS755" s="123"/>
      <c r="WTT755" s="123"/>
      <c r="WTU755" s="123"/>
      <c r="WTV755" s="123"/>
      <c r="WTW755" s="123"/>
      <c r="WTX755" s="123"/>
      <c r="WTY755" s="123"/>
      <c r="WTZ755" s="123"/>
      <c r="WUA755" s="123"/>
      <c r="WUB755" s="123"/>
      <c r="WUC755" s="123"/>
      <c r="WUD755" s="123"/>
      <c r="WUE755" s="123"/>
      <c r="WUF755" s="123"/>
      <c r="WUG755" s="123"/>
      <c r="WUH755" s="123"/>
      <c r="WUI755" s="123"/>
      <c r="WUJ755" s="123"/>
      <c r="WUK755" s="123"/>
      <c r="WUL755" s="123"/>
      <c r="WUM755" s="123"/>
      <c r="WUN755" s="123"/>
      <c r="WUO755" s="123"/>
      <c r="WUP755" s="123"/>
      <c r="WUQ755" s="123"/>
      <c r="WUR755" s="123"/>
      <c r="WUS755" s="123"/>
      <c r="WUT755" s="123"/>
      <c r="WUU755" s="123"/>
      <c r="WUV755" s="123"/>
      <c r="WUW755" s="123"/>
      <c r="WUX755" s="123"/>
      <c r="WUY755" s="123"/>
      <c r="WUZ755" s="123"/>
      <c r="WVA755" s="123"/>
      <c r="WVB755" s="123"/>
      <c r="WVC755" s="123"/>
      <c r="WVD755" s="123"/>
      <c r="WVE755" s="123"/>
      <c r="WVF755" s="123"/>
      <c r="WVG755" s="123"/>
      <c r="WVH755" s="123"/>
      <c r="WVI755" s="123"/>
      <c r="WVJ755" s="123"/>
      <c r="WVK755" s="123"/>
      <c r="WVL755" s="123"/>
      <c r="WVM755" s="123"/>
      <c r="WVN755" s="123"/>
      <c r="WVO755" s="123"/>
      <c r="WVP755" s="123"/>
      <c r="WVQ755" s="123"/>
      <c r="WVR755" s="123"/>
      <c r="WVS755" s="123"/>
      <c r="WVT755" s="123"/>
      <c r="WVU755" s="123"/>
      <c r="WVV755" s="123"/>
      <c r="WVW755" s="123"/>
      <c r="WVX755" s="123"/>
      <c r="WVY755" s="123"/>
      <c r="WVZ755" s="123"/>
      <c r="WWA755" s="123"/>
      <c r="WWB755" s="123"/>
      <c r="WWC755" s="123"/>
      <c r="WWD755" s="123"/>
      <c r="WWE755" s="123"/>
      <c r="WWF755" s="123"/>
      <c r="WWG755" s="123"/>
      <c r="WWH755" s="123"/>
      <c r="WWI755" s="123"/>
      <c r="WWJ755" s="123"/>
      <c r="WWK755" s="123"/>
      <c r="WWL755" s="123"/>
      <c r="WWM755" s="123"/>
      <c r="WWN755" s="123"/>
      <c r="WWO755" s="123"/>
      <c r="WWP755" s="123"/>
      <c r="WWQ755" s="123"/>
      <c r="WWR755" s="123"/>
      <c r="WWS755" s="123"/>
      <c r="WWT755" s="123"/>
      <c r="WWU755" s="123"/>
      <c r="WWV755" s="123"/>
      <c r="WWW755" s="123"/>
      <c r="WWX755" s="123"/>
      <c r="WWY755" s="123"/>
      <c r="WWZ755" s="123"/>
      <c r="WXA755" s="123"/>
      <c r="WXB755" s="123"/>
      <c r="WXC755" s="123"/>
      <c r="WXD755" s="123"/>
      <c r="WXE755" s="123"/>
      <c r="WXF755" s="123"/>
      <c r="WXG755" s="123"/>
      <c r="WXH755" s="123"/>
      <c r="WXI755" s="123"/>
      <c r="WXJ755" s="123"/>
      <c r="WXK755" s="123"/>
      <c r="WXL755" s="123"/>
      <c r="WXM755" s="123"/>
      <c r="WXN755" s="123"/>
      <c r="WXO755" s="123"/>
      <c r="WXP755" s="123"/>
      <c r="WXQ755" s="123"/>
      <c r="WXR755" s="123"/>
      <c r="WXS755" s="123"/>
      <c r="WXT755" s="123"/>
      <c r="WXU755" s="123"/>
      <c r="WXV755" s="123"/>
      <c r="WXW755" s="123"/>
      <c r="WXX755" s="123"/>
      <c r="WXY755" s="123"/>
      <c r="WXZ755" s="123"/>
      <c r="WYA755" s="123"/>
      <c r="WYB755" s="123"/>
      <c r="WYC755" s="123"/>
      <c r="WYD755" s="123"/>
      <c r="WYE755" s="123"/>
      <c r="WYF755" s="123"/>
      <c r="WYG755" s="123"/>
      <c r="WYH755" s="123"/>
      <c r="WYI755" s="123"/>
      <c r="WYJ755" s="123"/>
      <c r="WYK755" s="123"/>
      <c r="WYL755" s="123"/>
      <c r="WYM755" s="123"/>
      <c r="WYN755" s="123"/>
      <c r="WYO755" s="123"/>
      <c r="WYP755" s="123"/>
      <c r="WYQ755" s="123"/>
      <c r="WYR755" s="123"/>
      <c r="WYS755" s="123"/>
      <c r="WYT755" s="123"/>
      <c r="WYU755" s="123"/>
      <c r="WYV755" s="123"/>
      <c r="WYW755" s="123"/>
      <c r="WYX755" s="123"/>
      <c r="WYY755" s="123"/>
      <c r="WYZ755" s="123"/>
      <c r="WZA755" s="123"/>
      <c r="WZB755" s="123"/>
      <c r="WZC755" s="123"/>
      <c r="WZD755" s="123"/>
      <c r="WZE755" s="123"/>
      <c r="WZF755" s="123"/>
      <c r="WZG755" s="123"/>
      <c r="WZH755" s="123"/>
      <c r="WZI755" s="123"/>
      <c r="WZJ755" s="123"/>
      <c r="WZK755" s="123"/>
      <c r="WZL755" s="123"/>
      <c r="WZM755" s="123"/>
      <c r="WZN755" s="123"/>
      <c r="WZO755" s="123"/>
      <c r="WZP755" s="123"/>
      <c r="WZQ755" s="123"/>
      <c r="WZR755" s="123"/>
      <c r="WZS755" s="123"/>
      <c r="WZT755" s="123"/>
      <c r="WZU755" s="123"/>
      <c r="WZV755" s="123"/>
      <c r="WZW755" s="123"/>
      <c r="WZX755" s="123"/>
      <c r="WZY755" s="123"/>
      <c r="WZZ755" s="123"/>
      <c r="XAA755" s="123"/>
      <c r="XAB755" s="123"/>
      <c r="XAC755" s="123"/>
      <c r="XAD755" s="123"/>
      <c r="XAE755" s="123"/>
      <c r="XAF755" s="123"/>
      <c r="XAG755" s="123"/>
      <c r="XAH755" s="123"/>
      <c r="XAI755" s="123"/>
      <c r="XAJ755" s="123"/>
      <c r="XAK755" s="123"/>
      <c r="XAL755" s="123"/>
      <c r="XAM755" s="123"/>
      <c r="XAN755" s="123"/>
      <c r="XAO755" s="123"/>
      <c r="XAP755" s="123"/>
      <c r="XAQ755" s="123"/>
      <c r="XAR755" s="123"/>
      <c r="XAS755" s="123"/>
      <c r="XAT755" s="123"/>
      <c r="XAU755" s="123"/>
      <c r="XAV755" s="123"/>
      <c r="XAW755" s="123"/>
      <c r="XAX755" s="123"/>
      <c r="XAY755" s="123"/>
      <c r="XAZ755" s="123"/>
      <c r="XBA755" s="123"/>
      <c r="XBB755" s="123"/>
      <c r="XBC755" s="123"/>
      <c r="XBD755" s="123"/>
      <c r="XBE755" s="123"/>
      <c r="XBF755" s="123"/>
      <c r="XBG755" s="123"/>
      <c r="XBH755" s="123"/>
      <c r="XBI755" s="123"/>
      <c r="XBJ755" s="123"/>
      <c r="XBK755" s="123"/>
      <c r="XBL755" s="123"/>
      <c r="XBM755" s="123"/>
      <c r="XBN755" s="123"/>
      <c r="XBO755" s="123"/>
      <c r="XBP755" s="123"/>
      <c r="XBQ755" s="123"/>
      <c r="XBR755" s="123"/>
      <c r="XBS755" s="123"/>
      <c r="XBT755" s="123"/>
      <c r="XBU755" s="123"/>
      <c r="XBV755" s="123"/>
      <c r="XBW755" s="123"/>
      <c r="XBX755" s="123"/>
      <c r="XBY755" s="123"/>
      <c r="XBZ755" s="123"/>
      <c r="XCA755" s="123"/>
      <c r="XCB755" s="123"/>
      <c r="XCC755" s="123"/>
      <c r="XCD755" s="123"/>
      <c r="XCE755" s="123"/>
      <c r="XCF755" s="123"/>
      <c r="XCG755" s="123"/>
      <c r="XCH755" s="123"/>
      <c r="XCI755" s="123"/>
      <c r="XCJ755" s="123"/>
      <c r="XCK755" s="123"/>
      <c r="XCL755" s="123"/>
      <c r="XCM755" s="123"/>
      <c r="XCN755" s="123"/>
      <c r="XCO755" s="123"/>
      <c r="XCP755" s="123"/>
      <c r="XCQ755" s="123"/>
      <c r="XCR755" s="123"/>
      <c r="XCS755" s="123"/>
      <c r="XCT755" s="123"/>
      <c r="XCU755" s="123"/>
      <c r="XCV755" s="123"/>
      <c r="XCW755" s="123"/>
      <c r="XCX755" s="123"/>
      <c r="XCY755" s="123"/>
      <c r="XCZ755" s="123"/>
      <c r="XDA755" s="123"/>
      <c r="XDB755" s="123"/>
      <c r="XDC755" s="123"/>
      <c r="XDD755" s="123"/>
      <c r="XDE755" s="123"/>
      <c r="XDF755" s="123"/>
      <c r="XDG755" s="123"/>
      <c r="XDH755" s="123"/>
      <c r="XDI755" s="123"/>
      <c r="XDJ755" s="123"/>
      <c r="XDK755" s="123"/>
      <c r="XDL755" s="123"/>
      <c r="XDM755" s="123"/>
      <c r="XDN755" s="123"/>
      <c r="XDO755" s="123"/>
      <c r="XDP755" s="123"/>
      <c r="XDQ755" s="123"/>
      <c r="XDR755" s="123"/>
      <c r="XDS755" s="123"/>
      <c r="XDT755" s="123"/>
      <c r="XDU755" s="123"/>
      <c r="XDV755" s="123"/>
      <c r="XDW755" s="123"/>
      <c r="XDX755" s="123"/>
      <c r="XDY755" s="123"/>
      <c r="XDZ755" s="123"/>
      <c r="XEA755" s="123"/>
      <c r="XEB755" s="123"/>
      <c r="XEC755" s="123"/>
      <c r="XED755" s="123"/>
      <c r="XEE755" s="123"/>
      <c r="XEF755" s="123"/>
      <c r="XEG755" s="123"/>
      <c r="XEH755" s="123"/>
      <c r="XEI755" s="123"/>
      <c r="XEJ755" s="123"/>
      <c r="XEK755" s="123"/>
      <c r="XEL755" s="123"/>
      <c r="XEM755" s="123"/>
      <c r="XEN755" s="123"/>
      <c r="XEO755" s="123"/>
      <c r="XEP755" s="123"/>
      <c r="XEQ755" s="123"/>
      <c r="XER755" s="123"/>
      <c r="XES755" s="123"/>
      <c r="XET755" s="123"/>
      <c r="XEU755" s="123"/>
      <c r="XEV755" s="123"/>
      <c r="XEW755" s="123"/>
      <c r="XEX755" s="123"/>
      <c r="XEY755" s="123"/>
      <c r="XEZ755" s="123"/>
      <c r="XFA755" s="123"/>
      <c r="XFB755" s="123"/>
      <c r="XFC755" s="123"/>
    </row>
    <row r="756" spans="1:16383" s="126" customFormat="1">
      <c r="A756" s="99"/>
      <c r="B756" s="34" t="s">
        <v>893</v>
      </c>
      <c r="C756" s="34"/>
      <c r="D756" s="34" t="s">
        <v>947</v>
      </c>
      <c r="E756" s="34" t="s">
        <v>929</v>
      </c>
      <c r="F756" s="34" t="s">
        <v>381</v>
      </c>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c r="AW756" s="34"/>
      <c r="AX756" s="34"/>
      <c r="AY756" s="34"/>
      <c r="AZ756" s="34"/>
      <c r="BA756" s="34"/>
      <c r="BB756" s="34"/>
      <c r="BC756" s="34"/>
      <c r="BD756" s="34"/>
      <c r="BE756" s="34"/>
      <c r="BF756" s="34"/>
      <c r="BG756" s="34"/>
      <c r="BH756" s="34"/>
      <c r="BI756" s="34"/>
      <c r="BJ756" s="34"/>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c r="CP756" s="34"/>
      <c r="CQ756" s="34"/>
      <c r="CR756" s="34"/>
      <c r="CS756" s="125"/>
      <c r="CT756" s="125"/>
      <c r="CU756" s="125"/>
      <c r="CV756" s="125"/>
      <c r="CW756" s="125"/>
      <c r="CX756" s="125"/>
      <c r="CY756" s="125"/>
      <c r="CZ756" s="125"/>
      <c r="DA756" s="125"/>
      <c r="DB756" s="125"/>
      <c r="DC756" s="125"/>
      <c r="DD756" s="125"/>
      <c r="DE756" s="125"/>
      <c r="DF756" s="125"/>
      <c r="DG756" s="125"/>
      <c r="DH756" s="125"/>
      <c r="DI756" s="125"/>
      <c r="DJ756" s="125"/>
      <c r="DK756" s="125"/>
      <c r="DL756" s="125"/>
      <c r="DM756" s="125"/>
      <c r="DN756" s="125"/>
      <c r="DO756" s="125"/>
      <c r="DP756" s="125"/>
      <c r="DQ756" s="125"/>
      <c r="DR756" s="125"/>
      <c r="DS756" s="125"/>
      <c r="DT756" s="125"/>
      <c r="DU756" s="125"/>
      <c r="DV756" s="125"/>
      <c r="DW756" s="125"/>
      <c r="DX756" s="125"/>
      <c r="DY756" s="125"/>
      <c r="DZ756" s="125"/>
      <c r="EA756" s="125"/>
      <c r="EB756" s="125"/>
      <c r="EC756" s="125"/>
      <c r="ED756" s="125"/>
      <c r="EE756" s="125"/>
      <c r="EF756" s="125"/>
      <c r="EG756" s="125"/>
      <c r="EH756" s="125"/>
      <c r="EI756" s="125"/>
      <c r="EJ756" s="125"/>
      <c r="EK756" s="125"/>
      <c r="EL756" s="125"/>
      <c r="EM756" s="125"/>
      <c r="EN756" s="125"/>
      <c r="EO756" s="125"/>
      <c r="EP756" s="125"/>
      <c r="EQ756" s="125"/>
      <c r="ER756" s="125"/>
      <c r="ES756" s="125"/>
      <c r="ET756" s="125"/>
      <c r="EU756" s="125"/>
      <c r="EV756" s="125"/>
      <c r="EW756" s="125"/>
      <c r="EX756" s="125"/>
      <c r="EY756" s="125"/>
      <c r="EZ756" s="125"/>
      <c r="FA756" s="125"/>
      <c r="FB756" s="125"/>
      <c r="FC756" s="125"/>
      <c r="FD756" s="125"/>
      <c r="FE756" s="125"/>
      <c r="FF756" s="125"/>
      <c r="FG756" s="125"/>
      <c r="FH756" s="125"/>
      <c r="FI756" s="125"/>
      <c r="FJ756" s="125"/>
      <c r="FK756" s="125"/>
      <c r="FL756" s="125"/>
      <c r="FM756" s="125"/>
      <c r="FN756" s="125"/>
      <c r="FO756" s="125"/>
      <c r="FP756" s="125"/>
      <c r="FQ756" s="125"/>
      <c r="FR756" s="125"/>
      <c r="FS756" s="125"/>
      <c r="FT756" s="125"/>
      <c r="FU756" s="125"/>
      <c r="FV756" s="125"/>
      <c r="FW756" s="125"/>
      <c r="FX756" s="125"/>
      <c r="FY756" s="125"/>
      <c r="FZ756" s="125"/>
      <c r="GA756" s="125"/>
      <c r="GB756" s="125"/>
      <c r="GC756" s="125"/>
      <c r="GD756" s="125"/>
      <c r="GE756" s="125"/>
      <c r="GF756" s="125"/>
      <c r="GG756" s="125"/>
      <c r="GH756" s="125"/>
      <c r="GI756" s="125"/>
      <c r="GJ756" s="125"/>
      <c r="GK756" s="125"/>
      <c r="GL756" s="125"/>
      <c r="GM756" s="125"/>
      <c r="GN756" s="125"/>
      <c r="GO756" s="125"/>
      <c r="GP756" s="125"/>
      <c r="GQ756" s="125"/>
      <c r="GR756" s="125"/>
      <c r="GS756" s="125"/>
      <c r="GT756" s="125"/>
      <c r="GU756" s="125"/>
      <c r="GV756" s="125"/>
      <c r="GW756" s="125"/>
      <c r="GX756" s="125"/>
      <c r="GY756" s="125"/>
      <c r="GZ756" s="125"/>
      <c r="HA756" s="125"/>
      <c r="HB756" s="125"/>
      <c r="HC756" s="125"/>
      <c r="HD756" s="125"/>
      <c r="HE756" s="125"/>
      <c r="HF756" s="125"/>
      <c r="HG756" s="125"/>
      <c r="HH756" s="125"/>
      <c r="HI756" s="125"/>
      <c r="HJ756" s="125"/>
      <c r="HK756" s="125"/>
      <c r="HL756" s="125"/>
      <c r="HM756" s="125"/>
      <c r="HN756" s="125"/>
      <c r="HO756" s="125"/>
      <c r="HP756" s="125"/>
      <c r="HQ756" s="125"/>
      <c r="HR756" s="125"/>
      <c r="HS756" s="125"/>
      <c r="HT756" s="125"/>
      <c r="HU756" s="125"/>
      <c r="HV756" s="125"/>
      <c r="HW756" s="125"/>
      <c r="HX756" s="125"/>
      <c r="HY756" s="125"/>
      <c r="HZ756" s="125"/>
      <c r="IA756" s="125"/>
      <c r="IB756" s="125"/>
      <c r="IC756" s="125"/>
      <c r="ID756" s="125"/>
      <c r="IE756" s="125"/>
      <c r="IF756" s="125"/>
      <c r="IG756" s="125"/>
      <c r="IH756" s="125"/>
      <c r="II756" s="125"/>
      <c r="IJ756" s="125"/>
      <c r="IK756" s="125"/>
      <c r="IL756" s="125"/>
      <c r="IM756" s="125"/>
      <c r="IN756" s="125"/>
      <c r="IO756" s="125"/>
      <c r="IP756" s="125"/>
      <c r="IQ756" s="125"/>
      <c r="IR756" s="125"/>
      <c r="IS756" s="125"/>
      <c r="IT756" s="125"/>
      <c r="IU756" s="125"/>
      <c r="IV756" s="125"/>
      <c r="IW756" s="125"/>
      <c r="IX756" s="125"/>
      <c r="IY756" s="125"/>
      <c r="IZ756" s="125"/>
      <c r="JA756" s="125"/>
      <c r="JB756" s="125"/>
      <c r="JC756" s="125"/>
      <c r="JD756" s="125"/>
      <c r="JE756" s="125"/>
      <c r="JF756" s="125"/>
      <c r="JG756" s="125"/>
      <c r="JH756" s="125"/>
      <c r="JI756" s="125"/>
      <c r="JJ756" s="125"/>
      <c r="JK756" s="125"/>
      <c r="JL756" s="125"/>
      <c r="JM756" s="125"/>
      <c r="JN756" s="125"/>
      <c r="JO756" s="125"/>
      <c r="JP756" s="125"/>
      <c r="JQ756" s="125"/>
      <c r="JR756" s="125"/>
      <c r="JS756" s="125"/>
      <c r="JT756" s="125"/>
      <c r="JU756" s="125"/>
      <c r="JV756" s="125"/>
      <c r="JW756" s="125"/>
      <c r="JX756" s="125"/>
      <c r="JY756" s="125"/>
      <c r="JZ756" s="125"/>
      <c r="KA756" s="125"/>
      <c r="KB756" s="125"/>
      <c r="KC756" s="125"/>
      <c r="KD756" s="125"/>
      <c r="KE756" s="125"/>
      <c r="KF756" s="125"/>
      <c r="KG756" s="125"/>
      <c r="KH756" s="125"/>
      <c r="KI756" s="125"/>
      <c r="KJ756" s="125"/>
      <c r="KK756" s="125"/>
      <c r="KL756" s="125"/>
      <c r="KM756" s="125"/>
      <c r="KN756" s="125"/>
      <c r="KO756" s="125"/>
      <c r="KP756" s="125"/>
      <c r="KQ756" s="125"/>
      <c r="KR756" s="125"/>
      <c r="KS756" s="125"/>
      <c r="KT756" s="125"/>
      <c r="KU756" s="125"/>
      <c r="KV756" s="125"/>
      <c r="KW756" s="125"/>
      <c r="KX756" s="125"/>
      <c r="KY756" s="125"/>
      <c r="KZ756" s="125"/>
      <c r="LA756" s="125"/>
      <c r="LB756" s="125"/>
      <c r="LC756" s="125"/>
      <c r="LD756" s="125"/>
      <c r="LE756" s="125"/>
      <c r="LF756" s="125"/>
      <c r="LG756" s="125"/>
      <c r="LH756" s="125"/>
      <c r="LI756" s="125"/>
      <c r="LJ756" s="125"/>
      <c r="LK756" s="125"/>
      <c r="LL756" s="125"/>
      <c r="LM756" s="125"/>
      <c r="LN756" s="125"/>
      <c r="LO756" s="125"/>
      <c r="LP756" s="125"/>
      <c r="LQ756" s="125"/>
      <c r="LR756" s="125"/>
      <c r="LS756" s="125"/>
      <c r="LT756" s="125"/>
      <c r="LU756" s="125"/>
      <c r="LV756" s="125"/>
      <c r="LW756" s="125"/>
      <c r="LX756" s="125"/>
      <c r="LY756" s="125"/>
      <c r="LZ756" s="125"/>
      <c r="MA756" s="125"/>
      <c r="MB756" s="125"/>
      <c r="MC756" s="125"/>
      <c r="MD756" s="125"/>
      <c r="ME756" s="125"/>
      <c r="MF756" s="125"/>
      <c r="MG756" s="125"/>
      <c r="MH756" s="125"/>
      <c r="MI756" s="125"/>
      <c r="MJ756" s="125"/>
      <c r="MK756" s="125"/>
      <c r="ML756" s="125"/>
      <c r="MM756" s="125"/>
      <c r="MN756" s="125"/>
      <c r="MO756" s="125"/>
      <c r="MP756" s="125"/>
      <c r="MQ756" s="125"/>
      <c r="MR756" s="125"/>
      <c r="MS756" s="125"/>
      <c r="MT756" s="125"/>
      <c r="MU756" s="125"/>
      <c r="MV756" s="125"/>
      <c r="MW756" s="125"/>
      <c r="MX756" s="125"/>
      <c r="MY756" s="125"/>
      <c r="MZ756" s="125"/>
      <c r="NA756" s="125"/>
      <c r="NB756" s="125"/>
      <c r="NC756" s="125"/>
      <c r="ND756" s="125"/>
      <c r="NE756" s="125"/>
      <c r="NF756" s="125"/>
      <c r="NG756" s="125"/>
      <c r="NH756" s="125"/>
      <c r="NI756" s="125"/>
      <c r="NJ756" s="125"/>
      <c r="NK756" s="125"/>
      <c r="NL756" s="125"/>
      <c r="NM756" s="125"/>
      <c r="NN756" s="125"/>
      <c r="NO756" s="125"/>
      <c r="NP756" s="125"/>
      <c r="NQ756" s="125"/>
      <c r="NR756" s="125"/>
      <c r="NS756" s="125"/>
      <c r="NT756" s="125"/>
      <c r="NU756" s="125"/>
      <c r="NV756" s="125"/>
      <c r="NW756" s="125"/>
      <c r="NX756" s="125"/>
      <c r="NY756" s="125"/>
      <c r="NZ756" s="125"/>
      <c r="OA756" s="125"/>
      <c r="OB756" s="125"/>
      <c r="OC756" s="125"/>
      <c r="OD756" s="125"/>
      <c r="OE756" s="125"/>
      <c r="OF756" s="125"/>
      <c r="OG756" s="125"/>
      <c r="OH756" s="125"/>
      <c r="OI756" s="125"/>
      <c r="OJ756" s="125"/>
      <c r="OK756" s="125"/>
      <c r="OL756" s="125"/>
      <c r="OM756" s="125"/>
      <c r="ON756" s="125"/>
      <c r="OO756" s="125"/>
      <c r="OP756" s="125"/>
      <c r="OQ756" s="125"/>
      <c r="OR756" s="125"/>
      <c r="OS756" s="125"/>
      <c r="OT756" s="125"/>
      <c r="OU756" s="125"/>
      <c r="OV756" s="125"/>
      <c r="OW756" s="125"/>
      <c r="OX756" s="125"/>
      <c r="OY756" s="125"/>
      <c r="OZ756" s="125"/>
      <c r="PA756" s="125"/>
      <c r="PB756" s="125"/>
      <c r="PC756" s="125"/>
      <c r="PD756" s="125"/>
      <c r="PE756" s="125"/>
      <c r="PF756" s="125"/>
      <c r="PG756" s="125"/>
      <c r="PH756" s="125"/>
      <c r="PI756" s="125"/>
      <c r="PJ756" s="125"/>
      <c r="PK756" s="125"/>
      <c r="PL756" s="125"/>
      <c r="PM756" s="125"/>
      <c r="PN756" s="125"/>
      <c r="PO756" s="125"/>
      <c r="PP756" s="125"/>
      <c r="PQ756" s="125"/>
      <c r="PR756" s="125"/>
      <c r="PS756" s="125"/>
      <c r="PT756" s="125"/>
      <c r="PU756" s="125"/>
      <c r="PV756" s="125"/>
      <c r="PW756" s="125"/>
      <c r="PX756" s="125"/>
      <c r="PY756" s="125"/>
      <c r="PZ756" s="125"/>
      <c r="QA756" s="125"/>
      <c r="QB756" s="125"/>
      <c r="QC756" s="125"/>
      <c r="QD756" s="125"/>
      <c r="QE756" s="125"/>
      <c r="QF756" s="125"/>
      <c r="QG756" s="125"/>
      <c r="QH756" s="125"/>
      <c r="QI756" s="125"/>
      <c r="QJ756" s="125"/>
      <c r="QK756" s="125"/>
      <c r="QL756" s="125"/>
      <c r="QM756" s="125"/>
      <c r="QN756" s="125"/>
      <c r="QO756" s="125"/>
      <c r="QP756" s="125"/>
      <c r="QQ756" s="125"/>
      <c r="QR756" s="125"/>
      <c r="QS756" s="125"/>
      <c r="QT756" s="125"/>
      <c r="QU756" s="125"/>
      <c r="QV756" s="125"/>
      <c r="QW756" s="125"/>
      <c r="QX756" s="125"/>
      <c r="QY756" s="125"/>
      <c r="QZ756" s="125"/>
      <c r="RA756" s="125"/>
      <c r="RB756" s="125"/>
      <c r="RC756" s="125"/>
      <c r="RD756" s="125"/>
      <c r="RE756" s="125"/>
      <c r="RF756" s="125"/>
      <c r="RG756" s="125"/>
      <c r="RH756" s="125"/>
      <c r="RI756" s="125"/>
      <c r="RJ756" s="125"/>
      <c r="RK756" s="125"/>
      <c r="RL756" s="125"/>
      <c r="RM756" s="125"/>
      <c r="RN756" s="125"/>
      <c r="RO756" s="125"/>
      <c r="RP756" s="125"/>
      <c r="RQ756" s="125"/>
      <c r="RR756" s="125"/>
      <c r="RS756" s="125"/>
      <c r="RT756" s="125"/>
      <c r="RU756" s="125"/>
      <c r="RV756" s="125"/>
      <c r="RW756" s="125"/>
      <c r="RX756" s="125"/>
      <c r="RY756" s="125"/>
      <c r="RZ756" s="125"/>
      <c r="SA756" s="125"/>
      <c r="SB756" s="125"/>
      <c r="SC756" s="125"/>
      <c r="SD756" s="125"/>
      <c r="SE756" s="125"/>
      <c r="SF756" s="125"/>
      <c r="SG756" s="125"/>
      <c r="SH756" s="125"/>
      <c r="SI756" s="125"/>
      <c r="SJ756" s="125"/>
      <c r="SK756" s="125"/>
      <c r="SL756" s="125"/>
      <c r="SM756" s="125"/>
      <c r="SN756" s="125"/>
      <c r="SO756" s="125"/>
      <c r="SP756" s="125"/>
      <c r="SQ756" s="125"/>
      <c r="SR756" s="125"/>
      <c r="SS756" s="125"/>
      <c r="ST756" s="125"/>
      <c r="SU756" s="125"/>
      <c r="SV756" s="125"/>
      <c r="SW756" s="125"/>
      <c r="SX756" s="125"/>
      <c r="SY756" s="125"/>
      <c r="SZ756" s="125"/>
      <c r="TA756" s="125"/>
      <c r="TB756" s="125"/>
      <c r="TC756" s="125"/>
      <c r="TD756" s="125"/>
      <c r="TE756" s="125"/>
      <c r="TF756" s="125"/>
      <c r="TG756" s="125"/>
      <c r="TH756" s="125"/>
      <c r="TI756" s="125"/>
      <c r="TJ756" s="125"/>
      <c r="TK756" s="125"/>
      <c r="TL756" s="125"/>
      <c r="TM756" s="125"/>
      <c r="TN756" s="125"/>
      <c r="TO756" s="125"/>
      <c r="TP756" s="125"/>
      <c r="TQ756" s="125"/>
      <c r="TR756" s="125"/>
      <c r="TS756" s="125"/>
      <c r="TT756" s="125"/>
      <c r="TU756" s="125"/>
      <c r="TV756" s="125"/>
      <c r="TW756" s="125"/>
      <c r="TX756" s="125"/>
      <c r="TY756" s="125"/>
      <c r="TZ756" s="125"/>
      <c r="UA756" s="125"/>
      <c r="UB756" s="125"/>
      <c r="UC756" s="125"/>
      <c r="UD756" s="125"/>
      <c r="UE756" s="125"/>
      <c r="UF756" s="125"/>
      <c r="UG756" s="125"/>
      <c r="UH756" s="125"/>
      <c r="UI756" s="125"/>
      <c r="UJ756" s="125"/>
      <c r="UK756" s="125"/>
      <c r="UL756" s="125"/>
      <c r="UM756" s="125"/>
      <c r="UN756" s="125"/>
      <c r="UO756" s="125"/>
      <c r="UP756" s="125"/>
      <c r="UQ756" s="125"/>
      <c r="UR756" s="125"/>
      <c r="US756" s="125"/>
      <c r="UT756" s="125"/>
      <c r="UU756" s="125"/>
      <c r="UV756" s="125"/>
      <c r="UW756" s="125"/>
      <c r="UX756" s="125"/>
      <c r="UY756" s="125"/>
      <c r="UZ756" s="125"/>
      <c r="VA756" s="125"/>
      <c r="VB756" s="125"/>
      <c r="VC756" s="125"/>
      <c r="VD756" s="125"/>
      <c r="VE756" s="125"/>
      <c r="VF756" s="125"/>
      <c r="VG756" s="125"/>
      <c r="VH756" s="125"/>
      <c r="VI756" s="125"/>
      <c r="VJ756" s="125"/>
      <c r="VK756" s="125"/>
      <c r="VL756" s="125"/>
      <c r="VM756" s="125"/>
      <c r="VN756" s="125"/>
      <c r="VO756" s="125"/>
      <c r="VP756" s="125"/>
      <c r="VQ756" s="125"/>
      <c r="VR756" s="125"/>
      <c r="VS756" s="125"/>
      <c r="VT756" s="125"/>
      <c r="VU756" s="125"/>
      <c r="VV756" s="125"/>
      <c r="VW756" s="125"/>
      <c r="VX756" s="125"/>
      <c r="VY756" s="125"/>
      <c r="VZ756" s="125"/>
      <c r="WA756" s="125"/>
      <c r="WB756" s="125"/>
      <c r="WC756" s="125"/>
      <c r="WD756" s="125"/>
      <c r="WE756" s="125"/>
      <c r="WF756" s="125"/>
      <c r="WG756" s="125"/>
      <c r="WH756" s="125"/>
      <c r="WI756" s="125"/>
      <c r="WJ756" s="125"/>
      <c r="WK756" s="125"/>
      <c r="WL756" s="125"/>
      <c r="WM756" s="125"/>
      <c r="WN756" s="125"/>
      <c r="WO756" s="125"/>
      <c r="WP756" s="125"/>
      <c r="WQ756" s="125"/>
      <c r="WR756" s="125"/>
      <c r="WS756" s="125"/>
      <c r="WT756" s="125"/>
      <c r="WU756" s="125"/>
      <c r="WV756" s="125"/>
      <c r="WW756" s="125"/>
      <c r="WX756" s="125"/>
      <c r="WY756" s="125"/>
      <c r="WZ756" s="125"/>
      <c r="XA756" s="125"/>
      <c r="XB756" s="125"/>
      <c r="XC756" s="125"/>
      <c r="XD756" s="125"/>
      <c r="XE756" s="125"/>
      <c r="XF756" s="125"/>
      <c r="XG756" s="125"/>
      <c r="XH756" s="125"/>
      <c r="XI756" s="125"/>
      <c r="XJ756" s="125"/>
      <c r="XK756" s="125"/>
      <c r="XL756" s="125"/>
      <c r="XM756" s="125"/>
      <c r="XN756" s="125"/>
      <c r="XO756" s="125"/>
      <c r="XP756" s="125"/>
      <c r="XQ756" s="125"/>
      <c r="XR756" s="125"/>
      <c r="XS756" s="125"/>
      <c r="XT756" s="125"/>
      <c r="XU756" s="125"/>
      <c r="XV756" s="125"/>
      <c r="XW756" s="125"/>
      <c r="XX756" s="125"/>
      <c r="XY756" s="125"/>
      <c r="XZ756" s="125"/>
      <c r="YA756" s="125"/>
      <c r="YB756" s="125"/>
      <c r="YC756" s="125"/>
      <c r="YD756" s="125"/>
      <c r="YE756" s="125"/>
      <c r="YF756" s="125"/>
      <c r="YG756" s="125"/>
      <c r="YH756" s="125"/>
      <c r="YI756" s="125"/>
      <c r="YJ756" s="125"/>
      <c r="YK756" s="125"/>
      <c r="YL756" s="125"/>
      <c r="YM756" s="125"/>
      <c r="YN756" s="125"/>
      <c r="YO756" s="125"/>
      <c r="YP756" s="125"/>
      <c r="YQ756" s="125"/>
      <c r="YR756" s="125"/>
      <c r="YS756" s="125"/>
      <c r="YT756" s="125"/>
      <c r="YU756" s="125"/>
      <c r="YV756" s="125"/>
      <c r="YW756" s="125"/>
      <c r="YX756" s="125"/>
      <c r="YY756" s="125"/>
      <c r="YZ756" s="125"/>
      <c r="ZA756" s="125"/>
      <c r="ZB756" s="125"/>
      <c r="ZC756" s="125"/>
      <c r="ZD756" s="125"/>
      <c r="ZE756" s="125"/>
      <c r="ZF756" s="125"/>
      <c r="ZG756" s="125"/>
      <c r="ZH756" s="125"/>
      <c r="ZI756" s="125"/>
      <c r="ZJ756" s="125"/>
      <c r="ZK756" s="125"/>
      <c r="ZL756" s="125"/>
      <c r="ZM756" s="125"/>
      <c r="ZN756" s="125"/>
      <c r="ZO756" s="125"/>
      <c r="ZP756" s="125"/>
      <c r="ZQ756" s="125"/>
      <c r="ZR756" s="125"/>
      <c r="ZS756" s="125"/>
      <c r="ZT756" s="125"/>
      <c r="ZU756" s="125"/>
      <c r="ZV756" s="125"/>
      <c r="ZW756" s="125"/>
      <c r="ZX756" s="125"/>
      <c r="ZY756" s="125"/>
      <c r="ZZ756" s="125"/>
      <c r="AAA756" s="125"/>
      <c r="AAB756" s="125"/>
      <c r="AAC756" s="125"/>
      <c r="AAD756" s="125"/>
      <c r="AAE756" s="125"/>
      <c r="AAF756" s="125"/>
      <c r="AAG756" s="125"/>
      <c r="AAH756" s="125"/>
      <c r="AAI756" s="125"/>
      <c r="AAJ756" s="125"/>
      <c r="AAK756" s="125"/>
      <c r="AAL756" s="125"/>
      <c r="AAM756" s="125"/>
      <c r="AAN756" s="125"/>
      <c r="AAO756" s="125"/>
      <c r="AAP756" s="125"/>
      <c r="AAQ756" s="125"/>
      <c r="AAR756" s="125"/>
      <c r="AAS756" s="125"/>
      <c r="AAT756" s="125"/>
      <c r="AAU756" s="125"/>
      <c r="AAV756" s="125"/>
      <c r="AAW756" s="125"/>
      <c r="AAX756" s="125"/>
      <c r="AAY756" s="125"/>
      <c r="AAZ756" s="125"/>
      <c r="ABA756" s="125"/>
      <c r="ABB756" s="125"/>
      <c r="ABC756" s="125"/>
      <c r="ABD756" s="125"/>
      <c r="ABE756" s="125"/>
      <c r="ABF756" s="125"/>
      <c r="ABG756" s="125"/>
      <c r="ABH756" s="125"/>
      <c r="ABI756" s="125"/>
      <c r="ABJ756" s="125"/>
      <c r="ABK756" s="125"/>
      <c r="ABL756" s="125"/>
      <c r="ABM756" s="125"/>
      <c r="ABN756" s="125"/>
      <c r="ABO756" s="125"/>
      <c r="ABP756" s="125"/>
      <c r="ABQ756" s="125"/>
      <c r="ABR756" s="125"/>
      <c r="ABS756" s="125"/>
      <c r="ABT756" s="125"/>
      <c r="ABU756" s="125"/>
      <c r="ABV756" s="125"/>
      <c r="ABW756" s="125"/>
      <c r="ABX756" s="125"/>
      <c r="ABY756" s="125"/>
      <c r="ABZ756" s="125"/>
      <c r="ACA756" s="125"/>
      <c r="ACB756" s="125"/>
      <c r="ACC756" s="125"/>
      <c r="ACD756" s="125"/>
      <c r="ACE756" s="125"/>
      <c r="ACF756" s="125"/>
      <c r="ACG756" s="125"/>
      <c r="ACH756" s="125"/>
      <c r="ACI756" s="125"/>
      <c r="ACJ756" s="125"/>
      <c r="ACK756" s="125"/>
      <c r="ACL756" s="125"/>
      <c r="ACM756" s="125"/>
      <c r="ACN756" s="125"/>
      <c r="ACO756" s="125"/>
      <c r="ACP756" s="125"/>
      <c r="ACQ756" s="125"/>
      <c r="ACR756" s="125"/>
      <c r="ACS756" s="125"/>
      <c r="ACT756" s="125"/>
      <c r="ACU756" s="125"/>
      <c r="ACV756" s="125"/>
      <c r="ACW756" s="125"/>
      <c r="ACX756" s="125"/>
      <c r="ACY756" s="125"/>
      <c r="ACZ756" s="125"/>
      <c r="ADA756" s="125"/>
      <c r="ADB756" s="125"/>
      <c r="ADC756" s="125"/>
      <c r="ADD756" s="125"/>
      <c r="ADE756" s="125"/>
      <c r="ADF756" s="125"/>
      <c r="ADG756" s="125"/>
      <c r="ADH756" s="125"/>
      <c r="ADI756" s="125"/>
      <c r="ADJ756" s="125"/>
      <c r="ADK756" s="125"/>
      <c r="ADL756" s="125"/>
      <c r="ADM756" s="125"/>
      <c r="ADN756" s="125"/>
      <c r="ADO756" s="125"/>
      <c r="ADP756" s="125"/>
      <c r="ADQ756" s="125"/>
      <c r="ADR756" s="125"/>
      <c r="ADS756" s="125"/>
      <c r="ADT756" s="125"/>
      <c r="ADU756" s="125"/>
      <c r="ADV756" s="125"/>
      <c r="ADW756" s="125"/>
      <c r="ADX756" s="125"/>
      <c r="ADY756" s="125"/>
      <c r="ADZ756" s="125"/>
      <c r="AEA756" s="125"/>
      <c r="AEB756" s="125"/>
      <c r="AEC756" s="125"/>
      <c r="AED756" s="125"/>
      <c r="AEE756" s="125"/>
      <c r="AEF756" s="125"/>
      <c r="AEG756" s="125"/>
      <c r="AEH756" s="125"/>
      <c r="AEI756" s="125"/>
      <c r="AEJ756" s="125"/>
      <c r="AEK756" s="125"/>
      <c r="AEL756" s="125"/>
      <c r="AEM756" s="125"/>
      <c r="AEN756" s="125"/>
      <c r="AEO756" s="125"/>
      <c r="AEP756" s="125"/>
      <c r="AEQ756" s="125"/>
      <c r="AER756" s="125"/>
      <c r="AES756" s="125"/>
      <c r="AET756" s="125"/>
      <c r="AEU756" s="125"/>
      <c r="AEV756" s="125"/>
      <c r="AEW756" s="125"/>
      <c r="AEX756" s="125"/>
      <c r="AEY756" s="125"/>
      <c r="AEZ756" s="125"/>
      <c r="AFA756" s="125"/>
      <c r="AFB756" s="125"/>
      <c r="AFC756" s="125"/>
      <c r="AFD756" s="125"/>
      <c r="AFE756" s="125"/>
      <c r="AFF756" s="125"/>
      <c r="AFG756" s="125"/>
      <c r="AFH756" s="125"/>
      <c r="AFI756" s="125"/>
      <c r="AFJ756" s="125"/>
      <c r="AFK756" s="125"/>
      <c r="AFL756" s="125"/>
      <c r="AFM756" s="125"/>
      <c r="AFN756" s="125"/>
      <c r="AFO756" s="125"/>
      <c r="AFP756" s="125"/>
      <c r="AFQ756" s="125"/>
      <c r="AFR756" s="125"/>
      <c r="AFS756" s="125"/>
      <c r="AFT756" s="125"/>
      <c r="AFU756" s="125"/>
      <c r="AFV756" s="125"/>
      <c r="AFW756" s="125"/>
      <c r="AFX756" s="125"/>
      <c r="AFY756" s="125"/>
      <c r="AFZ756" s="125"/>
      <c r="AGA756" s="125"/>
      <c r="AGB756" s="125"/>
      <c r="AGC756" s="125"/>
      <c r="AGD756" s="125"/>
      <c r="AGE756" s="125"/>
      <c r="AGF756" s="125"/>
      <c r="AGG756" s="125"/>
      <c r="AGH756" s="125"/>
      <c r="AGI756" s="125"/>
      <c r="AGJ756" s="125"/>
      <c r="AGK756" s="125"/>
      <c r="AGL756" s="125"/>
      <c r="AGM756" s="125"/>
      <c r="AGN756" s="125"/>
      <c r="AGO756" s="125"/>
      <c r="AGP756" s="125"/>
      <c r="AGQ756" s="125"/>
      <c r="AGR756" s="125"/>
      <c r="AGS756" s="125"/>
      <c r="AGT756" s="125"/>
      <c r="AGU756" s="125"/>
      <c r="AGV756" s="125"/>
      <c r="AGW756" s="125"/>
      <c r="AGX756" s="125"/>
      <c r="AGY756" s="125"/>
      <c r="AGZ756" s="125"/>
      <c r="AHA756" s="125"/>
      <c r="AHB756" s="125"/>
      <c r="AHC756" s="125"/>
      <c r="AHD756" s="125"/>
      <c r="AHE756" s="125"/>
      <c r="AHF756" s="125"/>
      <c r="AHG756" s="125"/>
      <c r="AHH756" s="125"/>
      <c r="AHI756" s="125"/>
      <c r="AHJ756" s="125"/>
      <c r="AHK756" s="125"/>
      <c r="AHL756" s="125"/>
      <c r="AHM756" s="125"/>
      <c r="AHN756" s="125"/>
      <c r="AHO756" s="125"/>
      <c r="AHP756" s="125"/>
      <c r="AHQ756" s="125"/>
      <c r="AHR756" s="125"/>
      <c r="AHS756" s="125"/>
      <c r="AHT756" s="125"/>
      <c r="AHU756" s="125"/>
      <c r="AHV756" s="125"/>
      <c r="AHW756" s="125"/>
      <c r="AHX756" s="125"/>
      <c r="AHY756" s="125"/>
      <c r="AHZ756" s="125"/>
      <c r="AIA756" s="125"/>
      <c r="AIB756" s="125"/>
      <c r="AIC756" s="125"/>
      <c r="AID756" s="125"/>
      <c r="AIE756" s="125"/>
      <c r="AIF756" s="125"/>
      <c r="AIG756" s="125"/>
      <c r="AIH756" s="125"/>
      <c r="AII756" s="125"/>
      <c r="AIJ756" s="125"/>
      <c r="AIK756" s="125"/>
      <c r="AIL756" s="125"/>
      <c r="AIM756" s="125"/>
      <c r="AIN756" s="125"/>
      <c r="AIO756" s="125"/>
      <c r="AIP756" s="125"/>
      <c r="AIQ756" s="125"/>
      <c r="AIR756" s="125"/>
      <c r="AIS756" s="125"/>
      <c r="AIT756" s="125"/>
      <c r="AIU756" s="125"/>
      <c r="AIV756" s="125"/>
      <c r="AIW756" s="125"/>
      <c r="AIX756" s="125"/>
      <c r="AIY756" s="125"/>
      <c r="AIZ756" s="125"/>
      <c r="AJA756" s="125"/>
      <c r="AJB756" s="125"/>
      <c r="AJC756" s="125"/>
      <c r="AJD756" s="125"/>
      <c r="AJE756" s="125"/>
      <c r="AJF756" s="125"/>
      <c r="AJG756" s="125"/>
      <c r="AJH756" s="125"/>
      <c r="AJI756" s="125"/>
      <c r="AJJ756" s="125"/>
      <c r="AJK756" s="125"/>
      <c r="AJL756" s="125"/>
      <c r="AJM756" s="125"/>
      <c r="AJN756" s="125"/>
      <c r="AJO756" s="125"/>
      <c r="AJP756" s="125"/>
      <c r="AJQ756" s="125"/>
      <c r="AJR756" s="125"/>
      <c r="AJS756" s="125"/>
      <c r="AJT756" s="125"/>
      <c r="AJU756" s="125"/>
      <c r="AJV756" s="125"/>
      <c r="AJW756" s="125"/>
      <c r="AJX756" s="125"/>
      <c r="AJY756" s="125"/>
      <c r="AJZ756" s="125"/>
      <c r="AKA756" s="125"/>
      <c r="AKB756" s="125"/>
      <c r="AKC756" s="125"/>
      <c r="AKD756" s="125"/>
      <c r="AKE756" s="125"/>
      <c r="AKF756" s="125"/>
      <c r="AKG756" s="125"/>
      <c r="AKH756" s="125"/>
      <c r="AKI756" s="125"/>
      <c r="AKJ756" s="125"/>
      <c r="AKK756" s="125"/>
      <c r="AKL756" s="125"/>
      <c r="AKM756" s="125"/>
      <c r="AKN756" s="125"/>
      <c r="AKO756" s="125"/>
      <c r="AKP756" s="125"/>
      <c r="AKQ756" s="125"/>
      <c r="AKR756" s="125"/>
      <c r="AKS756" s="125"/>
      <c r="AKT756" s="125"/>
      <c r="AKU756" s="125"/>
      <c r="AKV756" s="125"/>
      <c r="AKW756" s="125"/>
      <c r="AKX756" s="125"/>
      <c r="AKY756" s="125"/>
      <c r="AKZ756" s="125"/>
      <c r="ALA756" s="125"/>
      <c r="ALB756" s="125"/>
      <c r="ALC756" s="125"/>
      <c r="ALD756" s="125"/>
      <c r="ALE756" s="125"/>
      <c r="ALF756" s="125"/>
      <c r="ALG756" s="125"/>
      <c r="ALH756" s="125"/>
      <c r="ALI756" s="125"/>
      <c r="ALJ756" s="125"/>
      <c r="ALK756" s="125"/>
      <c r="ALL756" s="125"/>
      <c r="ALM756" s="125"/>
      <c r="ALN756" s="125"/>
      <c r="ALO756" s="125"/>
      <c r="ALP756" s="125"/>
      <c r="ALQ756" s="125"/>
      <c r="ALR756" s="125"/>
      <c r="ALS756" s="125"/>
      <c r="ALT756" s="125"/>
      <c r="ALU756" s="125"/>
      <c r="ALV756" s="125"/>
      <c r="ALW756" s="125"/>
      <c r="ALX756" s="125"/>
      <c r="ALY756" s="125"/>
      <c r="ALZ756" s="125"/>
      <c r="AMA756" s="125"/>
      <c r="AMB756" s="125"/>
      <c r="AMC756" s="125"/>
      <c r="AMD756" s="125"/>
      <c r="AME756" s="125"/>
      <c r="AMF756" s="125"/>
      <c r="AMG756" s="125"/>
      <c r="AMH756" s="125"/>
      <c r="AMI756" s="125"/>
      <c r="AMJ756" s="125"/>
      <c r="AMK756" s="125"/>
      <c r="AML756" s="125"/>
      <c r="AMM756" s="125"/>
      <c r="AMN756" s="125"/>
      <c r="AMO756" s="125"/>
      <c r="AMP756" s="125"/>
      <c r="AMQ756" s="125"/>
      <c r="AMR756" s="125"/>
      <c r="AMS756" s="125"/>
      <c r="AMT756" s="125"/>
      <c r="AMU756" s="125"/>
      <c r="AMV756" s="125"/>
      <c r="AMW756" s="125"/>
      <c r="AMX756" s="125"/>
      <c r="AMY756" s="125"/>
      <c r="AMZ756" s="125"/>
      <c r="ANA756" s="125"/>
      <c r="ANB756" s="125"/>
      <c r="ANC756" s="125"/>
      <c r="AND756" s="125"/>
      <c r="ANE756" s="125"/>
      <c r="ANF756" s="125"/>
      <c r="ANG756" s="125"/>
      <c r="ANH756" s="125"/>
      <c r="ANI756" s="125"/>
      <c r="ANJ756" s="125"/>
      <c r="ANK756" s="125"/>
      <c r="ANL756" s="125"/>
      <c r="ANM756" s="125"/>
      <c r="ANN756" s="125"/>
      <c r="ANO756" s="125"/>
      <c r="ANP756" s="125"/>
      <c r="ANQ756" s="125"/>
      <c r="ANR756" s="125"/>
      <c r="ANS756" s="125"/>
      <c r="ANT756" s="125"/>
      <c r="ANU756" s="125"/>
      <c r="ANV756" s="125"/>
      <c r="ANW756" s="125"/>
      <c r="ANX756" s="125"/>
      <c r="ANY756" s="125"/>
      <c r="ANZ756" s="125"/>
      <c r="AOA756" s="125"/>
      <c r="AOB756" s="125"/>
      <c r="AOC756" s="125"/>
      <c r="AOD756" s="125"/>
      <c r="AOE756" s="125"/>
      <c r="AOF756" s="125"/>
      <c r="AOG756" s="125"/>
      <c r="AOH756" s="125"/>
      <c r="AOI756" s="125"/>
      <c r="AOJ756" s="125"/>
      <c r="AOK756" s="125"/>
      <c r="AOL756" s="125"/>
      <c r="AOM756" s="125"/>
      <c r="AON756" s="125"/>
      <c r="AOO756" s="125"/>
      <c r="AOP756" s="125"/>
      <c r="AOQ756" s="125"/>
      <c r="AOR756" s="125"/>
      <c r="AOS756" s="125"/>
      <c r="AOT756" s="125"/>
      <c r="AOU756" s="125"/>
      <c r="AOV756" s="125"/>
      <c r="AOW756" s="125"/>
      <c r="AOX756" s="125"/>
      <c r="AOY756" s="125"/>
      <c r="AOZ756" s="125"/>
      <c r="APA756" s="125"/>
      <c r="APB756" s="125"/>
      <c r="APC756" s="125"/>
      <c r="APD756" s="125"/>
      <c r="APE756" s="125"/>
      <c r="APF756" s="125"/>
      <c r="APG756" s="125"/>
      <c r="APH756" s="125"/>
      <c r="API756" s="125"/>
      <c r="APJ756" s="125"/>
      <c r="APK756" s="125"/>
      <c r="APL756" s="125"/>
      <c r="APM756" s="125"/>
      <c r="APN756" s="125"/>
      <c r="APO756" s="125"/>
      <c r="APP756" s="125"/>
      <c r="APQ756" s="125"/>
      <c r="APR756" s="125"/>
      <c r="APS756" s="125"/>
      <c r="APT756" s="125"/>
      <c r="APU756" s="125"/>
      <c r="APV756" s="125"/>
      <c r="APW756" s="125"/>
      <c r="APX756" s="125"/>
      <c r="APY756" s="125"/>
      <c r="APZ756" s="125"/>
      <c r="AQA756" s="125"/>
      <c r="AQB756" s="125"/>
      <c r="AQC756" s="125"/>
      <c r="AQD756" s="125"/>
      <c r="AQE756" s="125"/>
      <c r="AQF756" s="125"/>
      <c r="AQG756" s="125"/>
      <c r="AQH756" s="125"/>
      <c r="AQI756" s="125"/>
      <c r="AQJ756" s="125"/>
      <c r="AQK756" s="125"/>
      <c r="AQL756" s="125"/>
      <c r="AQM756" s="125"/>
      <c r="AQN756" s="125"/>
      <c r="AQO756" s="125"/>
      <c r="AQP756" s="125"/>
      <c r="AQQ756" s="125"/>
      <c r="AQR756" s="125"/>
      <c r="AQS756" s="125"/>
      <c r="AQT756" s="125"/>
      <c r="AQU756" s="125"/>
      <c r="AQV756" s="125"/>
      <c r="AQW756" s="125"/>
      <c r="AQX756" s="125"/>
      <c r="AQY756" s="125"/>
      <c r="AQZ756" s="125"/>
      <c r="ARA756" s="125"/>
      <c r="ARB756" s="125"/>
      <c r="ARC756" s="125"/>
      <c r="ARD756" s="125"/>
      <c r="ARE756" s="125"/>
      <c r="ARF756" s="125"/>
      <c r="ARG756" s="125"/>
      <c r="ARH756" s="125"/>
      <c r="ARI756" s="125"/>
      <c r="ARJ756" s="125"/>
      <c r="ARK756" s="125"/>
      <c r="ARL756" s="125"/>
      <c r="ARM756" s="125"/>
      <c r="ARN756" s="125"/>
      <c r="ARO756" s="125"/>
      <c r="ARP756" s="125"/>
      <c r="ARQ756" s="125"/>
      <c r="ARR756" s="125"/>
      <c r="ARS756" s="125"/>
      <c r="ART756" s="125"/>
      <c r="ARU756" s="125"/>
      <c r="ARV756" s="125"/>
      <c r="ARW756" s="125"/>
      <c r="ARX756" s="125"/>
      <c r="ARY756" s="125"/>
      <c r="ARZ756" s="125"/>
      <c r="ASA756" s="125"/>
      <c r="ASB756" s="125"/>
      <c r="ASC756" s="125"/>
      <c r="ASD756" s="125"/>
      <c r="ASE756" s="125"/>
      <c r="ASF756" s="125"/>
      <c r="ASG756" s="125"/>
      <c r="ASH756" s="125"/>
      <c r="ASI756" s="125"/>
      <c r="ASJ756" s="125"/>
      <c r="ASK756" s="125"/>
      <c r="ASL756" s="125"/>
      <c r="ASM756" s="125"/>
      <c r="ASN756" s="125"/>
      <c r="ASO756" s="125"/>
      <c r="ASP756" s="125"/>
      <c r="ASQ756" s="125"/>
      <c r="ASR756" s="125"/>
      <c r="ASS756" s="125"/>
      <c r="AST756" s="125"/>
      <c r="ASU756" s="125"/>
      <c r="ASV756" s="125"/>
      <c r="ASW756" s="125"/>
      <c r="ASX756" s="125"/>
      <c r="ASY756" s="125"/>
      <c r="ASZ756" s="125"/>
      <c r="ATA756" s="125"/>
      <c r="ATB756" s="125"/>
      <c r="ATC756" s="125"/>
      <c r="ATD756" s="125"/>
      <c r="ATE756" s="125"/>
      <c r="ATF756" s="125"/>
      <c r="ATG756" s="125"/>
      <c r="ATH756" s="125"/>
      <c r="ATI756" s="125"/>
      <c r="ATJ756" s="125"/>
      <c r="ATK756" s="125"/>
      <c r="ATL756" s="125"/>
      <c r="ATM756" s="125"/>
      <c r="ATN756" s="125"/>
      <c r="ATO756" s="125"/>
      <c r="ATP756" s="125"/>
      <c r="ATQ756" s="125"/>
      <c r="ATR756" s="125"/>
      <c r="ATS756" s="125"/>
      <c r="ATT756" s="125"/>
      <c r="ATU756" s="125"/>
      <c r="ATV756" s="125"/>
      <c r="ATW756" s="125"/>
      <c r="ATX756" s="125"/>
      <c r="ATY756" s="125"/>
      <c r="ATZ756" s="125"/>
      <c r="AUA756" s="125"/>
      <c r="AUB756" s="125"/>
      <c r="AUC756" s="125"/>
      <c r="AUD756" s="125"/>
      <c r="AUE756" s="125"/>
      <c r="AUF756" s="125"/>
      <c r="AUG756" s="125"/>
      <c r="AUH756" s="125"/>
      <c r="AUI756" s="125"/>
      <c r="AUJ756" s="125"/>
      <c r="AUK756" s="125"/>
      <c r="AUL756" s="125"/>
      <c r="AUM756" s="125"/>
      <c r="AUN756" s="125"/>
      <c r="AUO756" s="125"/>
      <c r="AUP756" s="125"/>
      <c r="AUQ756" s="125"/>
      <c r="AUR756" s="125"/>
      <c r="AUS756" s="125"/>
      <c r="AUT756" s="125"/>
      <c r="AUU756" s="125"/>
      <c r="AUV756" s="125"/>
      <c r="AUW756" s="125"/>
      <c r="AUX756" s="125"/>
      <c r="AUY756" s="125"/>
      <c r="AUZ756" s="125"/>
      <c r="AVA756" s="125"/>
      <c r="AVB756" s="125"/>
      <c r="AVC756" s="125"/>
      <c r="AVD756" s="125"/>
      <c r="AVE756" s="125"/>
      <c r="AVF756" s="125"/>
      <c r="AVG756" s="125"/>
      <c r="AVH756" s="125"/>
      <c r="AVI756" s="125"/>
      <c r="AVJ756" s="125"/>
      <c r="AVK756" s="125"/>
      <c r="AVL756" s="125"/>
      <c r="AVM756" s="125"/>
      <c r="AVN756" s="125"/>
      <c r="AVO756" s="125"/>
      <c r="AVP756" s="125"/>
      <c r="AVQ756" s="125"/>
      <c r="AVR756" s="125"/>
      <c r="AVS756" s="125"/>
      <c r="AVT756" s="125"/>
      <c r="AVU756" s="125"/>
      <c r="AVV756" s="125"/>
      <c r="AVW756" s="125"/>
      <c r="AVX756" s="125"/>
      <c r="AVY756" s="125"/>
      <c r="AVZ756" s="125"/>
      <c r="AWA756" s="125"/>
      <c r="AWB756" s="125"/>
      <c r="AWC756" s="125"/>
      <c r="AWD756" s="125"/>
      <c r="AWE756" s="125"/>
      <c r="AWF756" s="125"/>
      <c r="AWG756" s="125"/>
      <c r="AWH756" s="125"/>
      <c r="AWI756" s="125"/>
      <c r="AWJ756" s="125"/>
      <c r="AWK756" s="125"/>
      <c r="AWL756" s="125"/>
      <c r="AWM756" s="125"/>
      <c r="AWN756" s="125"/>
      <c r="AWO756" s="125"/>
      <c r="AWP756" s="125"/>
      <c r="AWQ756" s="125"/>
      <c r="AWR756" s="125"/>
      <c r="AWS756" s="125"/>
      <c r="AWT756" s="125"/>
      <c r="AWU756" s="125"/>
      <c r="AWV756" s="125"/>
      <c r="AWW756" s="125"/>
      <c r="AWX756" s="125"/>
      <c r="AWY756" s="125"/>
      <c r="AWZ756" s="125"/>
      <c r="AXA756" s="125"/>
      <c r="AXB756" s="125"/>
      <c r="AXC756" s="125"/>
      <c r="AXD756" s="125"/>
      <c r="AXE756" s="125"/>
      <c r="AXF756" s="125"/>
      <c r="AXG756" s="125"/>
      <c r="AXH756" s="125"/>
      <c r="AXI756" s="125"/>
      <c r="AXJ756" s="125"/>
      <c r="AXK756" s="125"/>
      <c r="AXL756" s="125"/>
      <c r="AXM756" s="125"/>
      <c r="AXN756" s="125"/>
      <c r="AXO756" s="125"/>
      <c r="AXP756" s="125"/>
      <c r="AXQ756" s="125"/>
      <c r="AXR756" s="125"/>
      <c r="AXS756" s="125"/>
      <c r="AXT756" s="125"/>
      <c r="AXU756" s="125"/>
      <c r="AXV756" s="125"/>
      <c r="AXW756" s="125"/>
      <c r="AXX756" s="125"/>
      <c r="AXY756" s="125"/>
      <c r="AXZ756" s="125"/>
      <c r="AYA756" s="125"/>
      <c r="AYB756" s="125"/>
      <c r="AYC756" s="125"/>
      <c r="AYD756" s="125"/>
      <c r="AYE756" s="125"/>
      <c r="AYF756" s="125"/>
      <c r="AYG756" s="125"/>
      <c r="AYH756" s="125"/>
      <c r="AYI756" s="125"/>
      <c r="AYJ756" s="125"/>
      <c r="AYK756" s="125"/>
      <c r="AYL756" s="125"/>
      <c r="AYM756" s="125"/>
      <c r="AYN756" s="125"/>
      <c r="AYO756" s="125"/>
      <c r="AYP756" s="125"/>
      <c r="AYQ756" s="125"/>
      <c r="AYR756" s="125"/>
      <c r="AYS756" s="125"/>
      <c r="AYT756" s="125"/>
      <c r="AYU756" s="125"/>
      <c r="AYV756" s="125"/>
      <c r="AYW756" s="125"/>
      <c r="AYX756" s="125"/>
      <c r="AYY756" s="125"/>
      <c r="AYZ756" s="125"/>
      <c r="AZA756" s="125"/>
      <c r="AZB756" s="125"/>
      <c r="AZC756" s="125"/>
      <c r="AZD756" s="125"/>
      <c r="AZE756" s="125"/>
      <c r="AZF756" s="125"/>
      <c r="AZG756" s="125"/>
      <c r="AZH756" s="125"/>
      <c r="AZI756" s="125"/>
      <c r="AZJ756" s="125"/>
      <c r="AZK756" s="125"/>
      <c r="AZL756" s="125"/>
      <c r="AZM756" s="125"/>
      <c r="AZN756" s="125"/>
      <c r="AZO756" s="125"/>
      <c r="AZP756" s="125"/>
      <c r="AZQ756" s="125"/>
      <c r="AZR756" s="125"/>
      <c r="AZS756" s="125"/>
      <c r="AZT756" s="125"/>
      <c r="AZU756" s="125"/>
      <c r="AZV756" s="125"/>
      <c r="AZW756" s="125"/>
      <c r="AZX756" s="125"/>
      <c r="AZY756" s="125"/>
      <c r="AZZ756" s="125"/>
      <c r="BAA756" s="125"/>
      <c r="BAB756" s="125"/>
      <c r="BAC756" s="125"/>
      <c r="BAD756" s="125"/>
      <c r="BAE756" s="125"/>
      <c r="BAF756" s="125"/>
      <c r="BAG756" s="125"/>
      <c r="BAH756" s="125"/>
      <c r="BAI756" s="125"/>
      <c r="BAJ756" s="125"/>
      <c r="BAK756" s="125"/>
      <c r="BAL756" s="125"/>
      <c r="BAM756" s="125"/>
      <c r="BAN756" s="125"/>
      <c r="BAO756" s="125"/>
      <c r="BAP756" s="125"/>
      <c r="BAQ756" s="125"/>
      <c r="BAR756" s="125"/>
      <c r="BAS756" s="125"/>
      <c r="BAT756" s="125"/>
      <c r="BAU756" s="125"/>
      <c r="BAV756" s="125"/>
      <c r="BAW756" s="125"/>
      <c r="BAX756" s="125"/>
      <c r="BAY756" s="125"/>
      <c r="BAZ756" s="125"/>
      <c r="BBA756" s="125"/>
      <c r="BBB756" s="125"/>
      <c r="BBC756" s="125"/>
      <c r="BBD756" s="125"/>
      <c r="BBE756" s="125"/>
      <c r="BBF756" s="125"/>
      <c r="BBG756" s="125"/>
      <c r="BBH756" s="125"/>
      <c r="BBI756" s="125"/>
      <c r="BBJ756" s="125"/>
      <c r="BBK756" s="125"/>
      <c r="BBL756" s="125"/>
      <c r="BBM756" s="125"/>
      <c r="BBN756" s="125"/>
      <c r="BBO756" s="125"/>
      <c r="BBP756" s="125"/>
      <c r="BBQ756" s="125"/>
      <c r="BBR756" s="125"/>
      <c r="BBS756" s="125"/>
      <c r="BBT756" s="125"/>
      <c r="BBU756" s="125"/>
      <c r="BBV756" s="125"/>
      <c r="BBW756" s="125"/>
      <c r="BBX756" s="125"/>
      <c r="BBY756" s="125"/>
      <c r="BBZ756" s="125"/>
      <c r="BCA756" s="125"/>
      <c r="BCB756" s="125"/>
      <c r="BCC756" s="125"/>
      <c r="BCD756" s="125"/>
      <c r="BCE756" s="125"/>
      <c r="BCF756" s="125"/>
      <c r="BCG756" s="125"/>
      <c r="BCH756" s="125"/>
      <c r="BCI756" s="125"/>
      <c r="BCJ756" s="125"/>
      <c r="BCK756" s="125"/>
      <c r="BCL756" s="125"/>
      <c r="BCM756" s="125"/>
      <c r="BCN756" s="125"/>
      <c r="BCO756" s="125"/>
      <c r="BCP756" s="125"/>
      <c r="BCQ756" s="125"/>
      <c r="BCR756" s="125"/>
      <c r="BCS756" s="125"/>
      <c r="BCT756" s="125"/>
      <c r="BCU756" s="125"/>
      <c r="BCV756" s="125"/>
      <c r="BCW756" s="125"/>
      <c r="BCX756" s="125"/>
      <c r="BCY756" s="125"/>
      <c r="BCZ756" s="125"/>
      <c r="BDA756" s="125"/>
      <c r="BDB756" s="125"/>
      <c r="BDC756" s="125"/>
      <c r="BDD756" s="125"/>
      <c r="BDE756" s="125"/>
      <c r="BDF756" s="125"/>
      <c r="BDG756" s="125"/>
      <c r="BDH756" s="125"/>
      <c r="BDI756" s="125"/>
      <c r="BDJ756" s="125"/>
      <c r="BDK756" s="125"/>
      <c r="BDL756" s="125"/>
      <c r="BDM756" s="125"/>
      <c r="BDN756" s="125"/>
      <c r="BDO756" s="125"/>
      <c r="BDP756" s="125"/>
      <c r="BDQ756" s="125"/>
      <c r="BDR756" s="125"/>
      <c r="BDS756" s="125"/>
      <c r="BDT756" s="125"/>
      <c r="BDU756" s="125"/>
      <c r="BDV756" s="125"/>
      <c r="BDW756" s="125"/>
      <c r="BDX756" s="125"/>
      <c r="BDY756" s="125"/>
      <c r="BDZ756" s="125"/>
      <c r="BEA756" s="125"/>
      <c r="BEB756" s="125"/>
      <c r="BEC756" s="125"/>
      <c r="BED756" s="125"/>
      <c r="BEE756" s="125"/>
      <c r="BEF756" s="125"/>
      <c r="BEG756" s="125"/>
      <c r="BEH756" s="125"/>
      <c r="BEI756" s="125"/>
      <c r="BEJ756" s="125"/>
      <c r="BEK756" s="125"/>
      <c r="BEL756" s="125"/>
      <c r="BEM756" s="125"/>
      <c r="BEN756" s="125"/>
      <c r="BEO756" s="125"/>
      <c r="BEP756" s="125"/>
      <c r="BEQ756" s="125"/>
      <c r="BER756" s="125"/>
      <c r="BES756" s="125"/>
      <c r="BET756" s="125"/>
      <c r="BEU756" s="125"/>
      <c r="BEV756" s="125"/>
      <c r="BEW756" s="125"/>
      <c r="BEX756" s="125"/>
      <c r="BEY756" s="125"/>
      <c r="BEZ756" s="125"/>
      <c r="BFA756" s="125"/>
      <c r="BFB756" s="125"/>
      <c r="BFC756" s="125"/>
      <c r="BFD756" s="125"/>
      <c r="BFE756" s="125"/>
      <c r="BFF756" s="125"/>
      <c r="BFG756" s="125"/>
      <c r="BFH756" s="125"/>
      <c r="BFI756" s="125"/>
      <c r="BFJ756" s="125"/>
      <c r="BFK756" s="125"/>
      <c r="BFL756" s="125"/>
      <c r="BFM756" s="125"/>
      <c r="BFN756" s="125"/>
      <c r="BFO756" s="125"/>
      <c r="BFP756" s="125"/>
      <c r="BFQ756" s="125"/>
      <c r="BFR756" s="125"/>
      <c r="BFS756" s="125"/>
      <c r="BFT756" s="125"/>
      <c r="BFU756" s="125"/>
      <c r="BFV756" s="125"/>
      <c r="BFW756" s="125"/>
      <c r="BFX756" s="125"/>
      <c r="BFY756" s="125"/>
      <c r="BFZ756" s="125"/>
      <c r="BGA756" s="125"/>
      <c r="BGB756" s="125"/>
      <c r="BGC756" s="125"/>
      <c r="BGD756" s="125"/>
      <c r="BGE756" s="125"/>
      <c r="BGF756" s="125"/>
      <c r="BGG756" s="125"/>
      <c r="BGH756" s="125"/>
      <c r="BGI756" s="125"/>
      <c r="BGJ756" s="125"/>
      <c r="BGK756" s="125"/>
      <c r="BGL756" s="125"/>
      <c r="BGM756" s="125"/>
      <c r="BGN756" s="125"/>
      <c r="BGO756" s="125"/>
      <c r="BGP756" s="125"/>
      <c r="BGQ756" s="125"/>
      <c r="BGR756" s="125"/>
      <c r="BGS756" s="125"/>
      <c r="BGT756" s="125"/>
      <c r="BGU756" s="125"/>
      <c r="BGV756" s="125"/>
      <c r="BGW756" s="125"/>
      <c r="BGX756" s="125"/>
      <c r="BGY756" s="125"/>
      <c r="BGZ756" s="125"/>
      <c r="BHA756" s="125"/>
      <c r="BHB756" s="125"/>
      <c r="BHC756" s="125"/>
      <c r="BHD756" s="125"/>
      <c r="BHE756" s="125"/>
      <c r="BHF756" s="125"/>
      <c r="BHG756" s="125"/>
      <c r="BHH756" s="125"/>
      <c r="BHI756" s="125"/>
      <c r="BHJ756" s="125"/>
      <c r="BHK756" s="125"/>
      <c r="BHL756" s="125"/>
      <c r="BHM756" s="125"/>
      <c r="BHN756" s="125"/>
      <c r="BHO756" s="125"/>
      <c r="BHP756" s="125"/>
      <c r="BHQ756" s="125"/>
      <c r="BHR756" s="125"/>
      <c r="BHS756" s="125"/>
      <c r="BHT756" s="125"/>
      <c r="BHU756" s="125"/>
      <c r="BHV756" s="125"/>
      <c r="BHW756" s="125"/>
      <c r="BHX756" s="125"/>
      <c r="BHY756" s="125"/>
      <c r="BHZ756" s="125"/>
      <c r="BIA756" s="125"/>
      <c r="BIB756" s="125"/>
      <c r="BIC756" s="125"/>
      <c r="BID756" s="125"/>
      <c r="BIE756" s="125"/>
      <c r="BIF756" s="125"/>
      <c r="BIG756" s="125"/>
      <c r="BIH756" s="125"/>
      <c r="BII756" s="125"/>
      <c r="BIJ756" s="125"/>
      <c r="BIK756" s="125"/>
      <c r="BIL756" s="125"/>
      <c r="BIM756" s="125"/>
      <c r="BIN756" s="125"/>
      <c r="BIO756" s="125"/>
      <c r="BIP756" s="125"/>
      <c r="BIQ756" s="125"/>
      <c r="BIR756" s="125"/>
      <c r="BIS756" s="125"/>
      <c r="BIT756" s="125"/>
      <c r="BIU756" s="125"/>
      <c r="BIV756" s="125"/>
      <c r="BIW756" s="125"/>
      <c r="BIX756" s="125"/>
      <c r="BIY756" s="125"/>
      <c r="BIZ756" s="125"/>
      <c r="BJA756" s="125"/>
      <c r="BJB756" s="125"/>
      <c r="BJC756" s="125"/>
      <c r="BJD756" s="125"/>
      <c r="BJE756" s="125"/>
      <c r="BJF756" s="125"/>
      <c r="BJG756" s="125"/>
      <c r="BJH756" s="125"/>
      <c r="BJI756" s="125"/>
      <c r="BJJ756" s="125"/>
      <c r="BJK756" s="125"/>
      <c r="BJL756" s="125"/>
      <c r="BJM756" s="125"/>
      <c r="BJN756" s="125"/>
      <c r="BJO756" s="125"/>
      <c r="BJP756" s="125"/>
      <c r="BJQ756" s="125"/>
      <c r="BJR756" s="125"/>
      <c r="BJS756" s="125"/>
      <c r="BJT756" s="125"/>
      <c r="BJU756" s="125"/>
      <c r="BJV756" s="125"/>
      <c r="BJW756" s="125"/>
      <c r="BJX756" s="125"/>
      <c r="BJY756" s="125"/>
      <c r="BJZ756" s="125"/>
      <c r="BKA756" s="125"/>
      <c r="BKB756" s="125"/>
      <c r="BKC756" s="125"/>
      <c r="BKD756" s="125"/>
      <c r="BKE756" s="125"/>
      <c r="BKF756" s="125"/>
      <c r="BKG756" s="125"/>
      <c r="BKH756" s="125"/>
      <c r="BKI756" s="125"/>
      <c r="BKJ756" s="125"/>
      <c r="BKK756" s="125"/>
      <c r="BKL756" s="125"/>
      <c r="BKM756" s="125"/>
      <c r="BKN756" s="125"/>
      <c r="BKO756" s="125"/>
      <c r="BKP756" s="125"/>
      <c r="BKQ756" s="125"/>
      <c r="BKR756" s="125"/>
      <c r="BKS756" s="125"/>
      <c r="BKT756" s="125"/>
      <c r="BKU756" s="125"/>
      <c r="BKV756" s="125"/>
      <c r="BKW756" s="125"/>
      <c r="BKX756" s="125"/>
      <c r="BKY756" s="125"/>
      <c r="BKZ756" s="125"/>
      <c r="BLA756" s="125"/>
      <c r="BLB756" s="125"/>
      <c r="BLC756" s="125"/>
      <c r="BLD756" s="125"/>
      <c r="BLE756" s="125"/>
      <c r="BLF756" s="125"/>
      <c r="BLG756" s="125"/>
      <c r="BLH756" s="125"/>
      <c r="BLI756" s="125"/>
      <c r="BLJ756" s="125"/>
      <c r="BLK756" s="125"/>
      <c r="BLL756" s="125"/>
      <c r="BLM756" s="125"/>
      <c r="BLN756" s="125"/>
      <c r="BLO756" s="125"/>
      <c r="BLP756" s="125"/>
      <c r="BLQ756" s="125"/>
      <c r="BLR756" s="125"/>
      <c r="BLS756" s="125"/>
      <c r="BLT756" s="125"/>
      <c r="BLU756" s="125"/>
      <c r="BLV756" s="125"/>
      <c r="BLW756" s="125"/>
      <c r="BLX756" s="125"/>
      <c r="BLY756" s="125"/>
      <c r="BLZ756" s="125"/>
      <c r="BMA756" s="125"/>
      <c r="BMB756" s="125"/>
      <c r="BMC756" s="125"/>
      <c r="BMD756" s="125"/>
      <c r="BME756" s="125"/>
      <c r="BMF756" s="125"/>
      <c r="BMG756" s="125"/>
      <c r="BMH756" s="125"/>
      <c r="BMI756" s="125"/>
      <c r="BMJ756" s="125"/>
      <c r="BMK756" s="125"/>
      <c r="BML756" s="125"/>
      <c r="BMM756" s="125"/>
      <c r="BMN756" s="125"/>
      <c r="BMO756" s="125"/>
      <c r="BMP756" s="125"/>
      <c r="BMQ756" s="125"/>
      <c r="BMR756" s="125"/>
      <c r="BMS756" s="125"/>
      <c r="BMT756" s="125"/>
      <c r="BMU756" s="125"/>
      <c r="BMV756" s="125"/>
      <c r="BMW756" s="125"/>
      <c r="BMX756" s="125"/>
      <c r="BMY756" s="125"/>
      <c r="BMZ756" s="125"/>
      <c r="BNA756" s="125"/>
      <c r="BNB756" s="125"/>
      <c r="BNC756" s="125"/>
      <c r="BND756" s="125"/>
      <c r="BNE756" s="125"/>
      <c r="BNF756" s="125"/>
      <c r="BNG756" s="125"/>
      <c r="BNH756" s="125"/>
      <c r="BNI756" s="125"/>
      <c r="BNJ756" s="125"/>
      <c r="BNK756" s="125"/>
      <c r="BNL756" s="125"/>
      <c r="BNM756" s="125"/>
      <c r="BNN756" s="125"/>
      <c r="BNO756" s="125"/>
      <c r="BNP756" s="125"/>
      <c r="BNQ756" s="125"/>
      <c r="BNR756" s="125"/>
      <c r="BNS756" s="125"/>
      <c r="BNT756" s="125"/>
      <c r="BNU756" s="125"/>
      <c r="BNV756" s="125"/>
      <c r="BNW756" s="125"/>
      <c r="BNX756" s="125"/>
      <c r="BNY756" s="125"/>
      <c r="BNZ756" s="125"/>
      <c r="BOA756" s="125"/>
      <c r="BOB756" s="125"/>
      <c r="BOC756" s="125"/>
      <c r="BOD756" s="125"/>
      <c r="BOE756" s="125"/>
      <c r="BOF756" s="125"/>
      <c r="BOG756" s="125"/>
      <c r="BOH756" s="125"/>
      <c r="BOI756" s="125"/>
      <c r="BOJ756" s="125"/>
      <c r="BOK756" s="125"/>
      <c r="BOL756" s="125"/>
      <c r="BOM756" s="125"/>
      <c r="BON756" s="125"/>
      <c r="BOO756" s="125"/>
      <c r="BOP756" s="125"/>
      <c r="BOQ756" s="125"/>
      <c r="BOR756" s="125"/>
      <c r="BOS756" s="125"/>
      <c r="BOT756" s="125"/>
      <c r="BOU756" s="125"/>
      <c r="BOV756" s="125"/>
      <c r="BOW756" s="125"/>
      <c r="BOX756" s="125"/>
      <c r="BOY756" s="125"/>
      <c r="BOZ756" s="125"/>
      <c r="BPA756" s="125"/>
      <c r="BPB756" s="125"/>
      <c r="BPC756" s="125"/>
      <c r="BPD756" s="125"/>
      <c r="BPE756" s="125"/>
      <c r="BPF756" s="125"/>
      <c r="BPG756" s="125"/>
      <c r="BPH756" s="125"/>
      <c r="BPI756" s="125"/>
      <c r="BPJ756" s="125"/>
      <c r="BPK756" s="125"/>
      <c r="BPL756" s="125"/>
      <c r="BPM756" s="125"/>
      <c r="BPN756" s="125"/>
      <c r="BPO756" s="125"/>
      <c r="BPP756" s="125"/>
      <c r="BPQ756" s="125"/>
      <c r="BPR756" s="125"/>
      <c r="BPS756" s="125"/>
      <c r="BPT756" s="125"/>
      <c r="BPU756" s="125"/>
      <c r="BPV756" s="125"/>
      <c r="BPW756" s="125"/>
      <c r="BPX756" s="125"/>
      <c r="BPY756" s="125"/>
      <c r="BPZ756" s="125"/>
      <c r="BQA756" s="125"/>
      <c r="BQB756" s="125"/>
      <c r="BQC756" s="125"/>
      <c r="BQD756" s="125"/>
      <c r="BQE756" s="125"/>
      <c r="BQF756" s="125"/>
      <c r="BQG756" s="125"/>
      <c r="BQH756" s="125"/>
      <c r="BQI756" s="125"/>
      <c r="BQJ756" s="125"/>
      <c r="BQK756" s="125"/>
      <c r="BQL756" s="125"/>
      <c r="BQM756" s="125"/>
      <c r="BQN756" s="125"/>
      <c r="BQO756" s="125"/>
      <c r="BQP756" s="125"/>
      <c r="BQQ756" s="125"/>
      <c r="BQR756" s="125"/>
      <c r="BQS756" s="125"/>
      <c r="BQT756" s="125"/>
      <c r="BQU756" s="125"/>
      <c r="BQV756" s="125"/>
      <c r="BQW756" s="125"/>
      <c r="BQX756" s="125"/>
      <c r="BQY756" s="125"/>
      <c r="BQZ756" s="125"/>
      <c r="BRA756" s="125"/>
      <c r="BRB756" s="125"/>
      <c r="BRC756" s="125"/>
      <c r="BRD756" s="125"/>
      <c r="BRE756" s="125"/>
      <c r="BRF756" s="125"/>
      <c r="BRG756" s="125"/>
      <c r="BRH756" s="125"/>
      <c r="BRI756" s="125"/>
      <c r="BRJ756" s="125"/>
      <c r="BRK756" s="125"/>
      <c r="BRL756" s="125"/>
      <c r="BRM756" s="125"/>
      <c r="BRN756" s="125"/>
      <c r="BRO756" s="125"/>
      <c r="BRP756" s="125"/>
      <c r="BRQ756" s="125"/>
      <c r="BRR756" s="125"/>
      <c r="BRS756" s="125"/>
      <c r="BRT756" s="125"/>
      <c r="BRU756" s="125"/>
      <c r="BRV756" s="125"/>
      <c r="BRW756" s="125"/>
      <c r="BRX756" s="125"/>
      <c r="BRY756" s="125"/>
      <c r="BRZ756" s="125"/>
      <c r="BSA756" s="125"/>
      <c r="BSB756" s="125"/>
      <c r="BSC756" s="125"/>
      <c r="BSD756" s="125"/>
      <c r="BSE756" s="125"/>
      <c r="BSF756" s="125"/>
      <c r="BSG756" s="125"/>
      <c r="BSH756" s="125"/>
      <c r="BSI756" s="125"/>
      <c r="BSJ756" s="125"/>
      <c r="BSK756" s="125"/>
      <c r="BSL756" s="125"/>
      <c r="BSM756" s="125"/>
      <c r="BSN756" s="125"/>
      <c r="BSO756" s="125"/>
      <c r="BSP756" s="125"/>
      <c r="BSQ756" s="125"/>
      <c r="BSR756" s="125"/>
      <c r="BSS756" s="125"/>
      <c r="BST756" s="125"/>
      <c r="BSU756" s="125"/>
      <c r="BSV756" s="125"/>
      <c r="BSW756" s="125"/>
      <c r="BSX756" s="125"/>
      <c r="BSY756" s="125"/>
      <c r="BSZ756" s="125"/>
      <c r="BTA756" s="125"/>
      <c r="BTB756" s="125"/>
      <c r="BTC756" s="125"/>
      <c r="BTD756" s="125"/>
      <c r="BTE756" s="125"/>
      <c r="BTF756" s="125"/>
      <c r="BTG756" s="125"/>
      <c r="BTH756" s="125"/>
      <c r="BTI756" s="125"/>
      <c r="BTJ756" s="125"/>
      <c r="BTK756" s="125"/>
      <c r="BTL756" s="125"/>
      <c r="BTM756" s="125"/>
      <c r="BTN756" s="125"/>
      <c r="BTO756" s="125"/>
      <c r="BTP756" s="125"/>
      <c r="BTQ756" s="125"/>
      <c r="BTR756" s="125"/>
      <c r="BTS756" s="125"/>
      <c r="BTT756" s="125"/>
      <c r="BTU756" s="125"/>
      <c r="BTV756" s="125"/>
      <c r="BTW756" s="125"/>
      <c r="BTX756" s="125"/>
      <c r="BTY756" s="125"/>
      <c r="BTZ756" s="125"/>
      <c r="BUA756" s="125"/>
      <c r="BUB756" s="125"/>
      <c r="BUC756" s="125"/>
      <c r="BUD756" s="125"/>
      <c r="BUE756" s="125"/>
      <c r="BUF756" s="125"/>
      <c r="BUG756" s="125"/>
      <c r="BUH756" s="125"/>
      <c r="BUI756" s="125"/>
      <c r="BUJ756" s="125"/>
      <c r="BUK756" s="125"/>
      <c r="BUL756" s="125"/>
      <c r="BUM756" s="125"/>
      <c r="BUN756" s="125"/>
      <c r="BUO756" s="125"/>
      <c r="BUP756" s="125"/>
      <c r="BUQ756" s="125"/>
      <c r="BUR756" s="125"/>
      <c r="BUS756" s="125"/>
      <c r="BUT756" s="125"/>
      <c r="BUU756" s="125"/>
      <c r="BUV756" s="125"/>
      <c r="BUW756" s="125"/>
      <c r="BUX756" s="125"/>
      <c r="BUY756" s="125"/>
      <c r="BUZ756" s="125"/>
      <c r="BVA756" s="125"/>
      <c r="BVB756" s="125"/>
      <c r="BVC756" s="125"/>
      <c r="BVD756" s="125"/>
      <c r="BVE756" s="125"/>
      <c r="BVF756" s="125"/>
      <c r="BVG756" s="125"/>
      <c r="BVH756" s="125"/>
      <c r="BVI756" s="125"/>
      <c r="BVJ756" s="125"/>
      <c r="BVK756" s="125"/>
      <c r="BVL756" s="125"/>
      <c r="BVM756" s="125"/>
      <c r="BVN756" s="125"/>
      <c r="BVO756" s="125"/>
      <c r="BVP756" s="125"/>
      <c r="BVQ756" s="125"/>
      <c r="BVR756" s="125"/>
      <c r="BVS756" s="125"/>
      <c r="BVT756" s="125"/>
      <c r="BVU756" s="125"/>
      <c r="BVV756" s="125"/>
      <c r="BVW756" s="125"/>
      <c r="BVX756" s="125"/>
      <c r="BVY756" s="125"/>
      <c r="BVZ756" s="125"/>
      <c r="BWA756" s="125"/>
      <c r="BWB756" s="125"/>
      <c r="BWC756" s="125"/>
      <c r="BWD756" s="125"/>
      <c r="BWE756" s="125"/>
      <c r="BWF756" s="125"/>
      <c r="BWG756" s="125"/>
      <c r="BWH756" s="125"/>
      <c r="BWI756" s="125"/>
      <c r="BWJ756" s="125"/>
      <c r="BWK756" s="125"/>
      <c r="BWL756" s="125"/>
      <c r="BWM756" s="125"/>
      <c r="BWN756" s="125"/>
      <c r="BWO756" s="125"/>
      <c r="BWP756" s="125"/>
      <c r="BWQ756" s="125"/>
      <c r="BWR756" s="125"/>
      <c r="BWS756" s="125"/>
      <c r="BWT756" s="125"/>
      <c r="BWU756" s="125"/>
      <c r="BWV756" s="125"/>
      <c r="BWW756" s="125"/>
      <c r="BWX756" s="125"/>
      <c r="BWY756" s="125"/>
      <c r="BWZ756" s="125"/>
      <c r="BXA756" s="125"/>
      <c r="BXB756" s="125"/>
      <c r="BXC756" s="125"/>
      <c r="BXD756" s="125"/>
      <c r="BXE756" s="125"/>
      <c r="BXF756" s="125"/>
      <c r="BXG756" s="125"/>
      <c r="BXH756" s="125"/>
      <c r="BXI756" s="125"/>
      <c r="BXJ756" s="125"/>
      <c r="BXK756" s="125"/>
      <c r="BXL756" s="125"/>
      <c r="BXM756" s="125"/>
      <c r="BXN756" s="125"/>
      <c r="BXO756" s="125"/>
      <c r="BXP756" s="125"/>
      <c r="BXQ756" s="125"/>
      <c r="BXR756" s="125"/>
      <c r="BXS756" s="125"/>
      <c r="BXT756" s="125"/>
      <c r="BXU756" s="125"/>
      <c r="BXV756" s="125"/>
      <c r="BXW756" s="125"/>
      <c r="BXX756" s="125"/>
      <c r="BXY756" s="125"/>
      <c r="BXZ756" s="125"/>
      <c r="BYA756" s="125"/>
      <c r="BYB756" s="125"/>
      <c r="BYC756" s="125"/>
      <c r="BYD756" s="125"/>
      <c r="BYE756" s="125"/>
      <c r="BYF756" s="125"/>
      <c r="BYG756" s="125"/>
      <c r="BYH756" s="125"/>
      <c r="BYI756" s="125"/>
      <c r="BYJ756" s="125"/>
      <c r="BYK756" s="125"/>
      <c r="BYL756" s="125"/>
      <c r="BYM756" s="125"/>
      <c r="BYN756" s="125"/>
      <c r="BYO756" s="125"/>
      <c r="BYP756" s="125"/>
      <c r="BYQ756" s="125"/>
      <c r="BYR756" s="125"/>
      <c r="BYS756" s="125"/>
      <c r="BYT756" s="125"/>
      <c r="BYU756" s="125"/>
      <c r="BYV756" s="125"/>
      <c r="BYW756" s="125"/>
      <c r="BYX756" s="125"/>
      <c r="BYY756" s="125"/>
      <c r="BYZ756" s="125"/>
      <c r="BZA756" s="125"/>
      <c r="BZB756" s="125"/>
      <c r="BZC756" s="125"/>
      <c r="BZD756" s="125"/>
      <c r="BZE756" s="125"/>
      <c r="BZF756" s="125"/>
      <c r="BZG756" s="125"/>
      <c r="BZH756" s="125"/>
      <c r="BZI756" s="125"/>
      <c r="BZJ756" s="125"/>
      <c r="BZK756" s="125"/>
      <c r="BZL756" s="125"/>
      <c r="BZM756" s="125"/>
      <c r="BZN756" s="125"/>
      <c r="BZO756" s="125"/>
      <c r="BZP756" s="125"/>
      <c r="BZQ756" s="125"/>
      <c r="BZR756" s="125"/>
      <c r="BZS756" s="125"/>
      <c r="BZT756" s="125"/>
      <c r="BZU756" s="125"/>
      <c r="BZV756" s="125"/>
      <c r="BZW756" s="125"/>
      <c r="BZX756" s="125"/>
      <c r="BZY756" s="125"/>
      <c r="BZZ756" s="125"/>
      <c r="CAA756" s="125"/>
      <c r="CAB756" s="125"/>
      <c r="CAC756" s="125"/>
      <c r="CAD756" s="125"/>
      <c r="CAE756" s="125"/>
      <c r="CAF756" s="125"/>
      <c r="CAG756" s="125"/>
      <c r="CAH756" s="125"/>
      <c r="CAI756" s="125"/>
      <c r="CAJ756" s="125"/>
      <c r="CAK756" s="125"/>
      <c r="CAL756" s="125"/>
      <c r="CAM756" s="125"/>
      <c r="CAN756" s="125"/>
      <c r="CAO756" s="125"/>
      <c r="CAP756" s="125"/>
      <c r="CAQ756" s="125"/>
      <c r="CAR756" s="125"/>
      <c r="CAS756" s="125"/>
      <c r="CAT756" s="125"/>
      <c r="CAU756" s="125"/>
      <c r="CAV756" s="125"/>
      <c r="CAW756" s="125"/>
      <c r="CAX756" s="125"/>
      <c r="CAY756" s="125"/>
      <c r="CAZ756" s="125"/>
      <c r="CBA756" s="125"/>
      <c r="CBB756" s="125"/>
      <c r="CBC756" s="125"/>
      <c r="CBD756" s="125"/>
      <c r="CBE756" s="125"/>
      <c r="CBF756" s="125"/>
      <c r="CBG756" s="125"/>
      <c r="CBH756" s="125"/>
      <c r="CBI756" s="125"/>
      <c r="CBJ756" s="125"/>
      <c r="CBK756" s="125"/>
      <c r="CBL756" s="125"/>
      <c r="CBM756" s="125"/>
      <c r="CBN756" s="125"/>
      <c r="CBO756" s="125"/>
      <c r="CBP756" s="125"/>
      <c r="CBQ756" s="125"/>
      <c r="CBR756" s="125"/>
      <c r="CBS756" s="125"/>
      <c r="CBT756" s="125"/>
      <c r="CBU756" s="125"/>
      <c r="CBV756" s="125"/>
      <c r="CBW756" s="125"/>
      <c r="CBX756" s="125"/>
      <c r="CBY756" s="125"/>
      <c r="CBZ756" s="125"/>
      <c r="CCA756" s="125"/>
      <c r="CCB756" s="125"/>
      <c r="CCC756" s="125"/>
      <c r="CCD756" s="125"/>
      <c r="CCE756" s="125"/>
      <c r="CCF756" s="125"/>
      <c r="CCG756" s="125"/>
      <c r="CCH756" s="125"/>
      <c r="CCI756" s="125"/>
      <c r="CCJ756" s="125"/>
      <c r="CCK756" s="125"/>
      <c r="CCL756" s="125"/>
      <c r="CCM756" s="125"/>
      <c r="CCN756" s="125"/>
      <c r="CCO756" s="125"/>
      <c r="CCP756" s="125"/>
      <c r="CCQ756" s="125"/>
      <c r="CCR756" s="125"/>
      <c r="CCS756" s="125"/>
      <c r="CCT756" s="125"/>
      <c r="CCU756" s="125"/>
      <c r="CCV756" s="125"/>
      <c r="CCW756" s="125"/>
      <c r="CCX756" s="125"/>
      <c r="CCY756" s="125"/>
      <c r="CCZ756" s="125"/>
      <c r="CDA756" s="125"/>
      <c r="CDB756" s="125"/>
      <c r="CDC756" s="125"/>
      <c r="CDD756" s="125"/>
      <c r="CDE756" s="125"/>
      <c r="CDF756" s="125"/>
      <c r="CDG756" s="125"/>
      <c r="CDH756" s="125"/>
      <c r="CDI756" s="125"/>
      <c r="CDJ756" s="125"/>
      <c r="CDK756" s="125"/>
      <c r="CDL756" s="125"/>
      <c r="CDM756" s="125"/>
      <c r="CDN756" s="125"/>
      <c r="CDO756" s="125"/>
      <c r="CDP756" s="125"/>
      <c r="CDQ756" s="125"/>
      <c r="CDR756" s="125"/>
      <c r="CDS756" s="125"/>
      <c r="CDT756" s="125"/>
      <c r="CDU756" s="125"/>
      <c r="CDV756" s="125"/>
      <c r="CDW756" s="125"/>
      <c r="CDX756" s="125"/>
      <c r="CDY756" s="125"/>
      <c r="CDZ756" s="125"/>
      <c r="CEA756" s="125"/>
      <c r="CEB756" s="125"/>
      <c r="CEC756" s="125"/>
      <c r="CED756" s="125"/>
      <c r="CEE756" s="125"/>
      <c r="CEF756" s="125"/>
      <c r="CEG756" s="125"/>
      <c r="CEH756" s="125"/>
      <c r="CEI756" s="125"/>
      <c r="CEJ756" s="125"/>
      <c r="CEK756" s="125"/>
      <c r="CEL756" s="125"/>
      <c r="CEM756" s="125"/>
      <c r="CEN756" s="125"/>
      <c r="CEO756" s="125"/>
      <c r="CEP756" s="125"/>
      <c r="CEQ756" s="125"/>
      <c r="CER756" s="125"/>
      <c r="CES756" s="125"/>
      <c r="CET756" s="125"/>
      <c r="CEU756" s="125"/>
      <c r="CEV756" s="125"/>
      <c r="CEW756" s="125"/>
      <c r="CEX756" s="125"/>
      <c r="CEY756" s="125"/>
      <c r="CEZ756" s="125"/>
      <c r="CFA756" s="125"/>
      <c r="CFB756" s="125"/>
      <c r="CFC756" s="125"/>
      <c r="CFD756" s="125"/>
      <c r="CFE756" s="125"/>
      <c r="CFF756" s="125"/>
      <c r="CFG756" s="125"/>
      <c r="CFH756" s="125"/>
      <c r="CFI756" s="125"/>
      <c r="CFJ756" s="125"/>
      <c r="CFK756" s="125"/>
      <c r="CFL756" s="125"/>
      <c r="CFM756" s="125"/>
      <c r="CFN756" s="125"/>
      <c r="CFO756" s="125"/>
      <c r="CFP756" s="125"/>
      <c r="CFQ756" s="125"/>
      <c r="CFR756" s="125"/>
      <c r="CFS756" s="125"/>
      <c r="CFT756" s="125"/>
      <c r="CFU756" s="125"/>
      <c r="CFV756" s="125"/>
      <c r="CFW756" s="125"/>
      <c r="CFX756" s="125"/>
      <c r="CFY756" s="125"/>
      <c r="CFZ756" s="125"/>
      <c r="CGA756" s="125"/>
      <c r="CGB756" s="125"/>
      <c r="CGC756" s="125"/>
      <c r="CGD756" s="125"/>
      <c r="CGE756" s="125"/>
      <c r="CGF756" s="125"/>
      <c r="CGG756" s="125"/>
      <c r="CGH756" s="125"/>
      <c r="CGI756" s="125"/>
      <c r="CGJ756" s="125"/>
      <c r="CGK756" s="125"/>
      <c r="CGL756" s="125"/>
      <c r="CGM756" s="125"/>
      <c r="CGN756" s="125"/>
      <c r="CGO756" s="125"/>
      <c r="CGP756" s="125"/>
      <c r="CGQ756" s="125"/>
      <c r="CGR756" s="125"/>
      <c r="CGS756" s="125"/>
      <c r="CGT756" s="125"/>
      <c r="CGU756" s="125"/>
      <c r="CGV756" s="125"/>
      <c r="CGW756" s="125"/>
      <c r="CGX756" s="125"/>
      <c r="CGY756" s="125"/>
      <c r="CGZ756" s="125"/>
      <c r="CHA756" s="125"/>
      <c r="CHB756" s="125"/>
      <c r="CHC756" s="125"/>
      <c r="CHD756" s="125"/>
      <c r="CHE756" s="125"/>
      <c r="CHF756" s="125"/>
      <c r="CHG756" s="125"/>
      <c r="CHH756" s="125"/>
      <c r="CHI756" s="125"/>
      <c r="CHJ756" s="125"/>
      <c r="CHK756" s="125"/>
      <c r="CHL756" s="125"/>
      <c r="CHM756" s="125"/>
      <c r="CHN756" s="125"/>
      <c r="CHO756" s="125"/>
      <c r="CHP756" s="125"/>
      <c r="CHQ756" s="125"/>
      <c r="CHR756" s="125"/>
      <c r="CHS756" s="125"/>
      <c r="CHT756" s="125"/>
      <c r="CHU756" s="125"/>
      <c r="CHV756" s="125"/>
      <c r="CHW756" s="125"/>
      <c r="CHX756" s="125"/>
      <c r="CHY756" s="125"/>
      <c r="CHZ756" s="125"/>
      <c r="CIA756" s="125"/>
      <c r="CIB756" s="125"/>
      <c r="CIC756" s="125"/>
      <c r="CID756" s="125"/>
      <c r="CIE756" s="125"/>
      <c r="CIF756" s="125"/>
      <c r="CIG756" s="125"/>
      <c r="CIH756" s="125"/>
      <c r="CII756" s="125"/>
      <c r="CIJ756" s="125"/>
      <c r="CIK756" s="125"/>
      <c r="CIL756" s="125"/>
      <c r="CIM756" s="125"/>
      <c r="CIN756" s="125"/>
      <c r="CIO756" s="125"/>
      <c r="CIP756" s="125"/>
      <c r="CIQ756" s="125"/>
      <c r="CIR756" s="125"/>
      <c r="CIS756" s="125"/>
      <c r="CIT756" s="125"/>
      <c r="CIU756" s="125"/>
      <c r="CIV756" s="125"/>
      <c r="CIW756" s="125"/>
      <c r="CIX756" s="125"/>
      <c r="CIY756" s="125"/>
      <c r="CIZ756" s="125"/>
      <c r="CJA756" s="125"/>
      <c r="CJB756" s="125"/>
      <c r="CJC756" s="125"/>
      <c r="CJD756" s="125"/>
      <c r="CJE756" s="125"/>
      <c r="CJF756" s="125"/>
      <c r="CJG756" s="125"/>
      <c r="CJH756" s="125"/>
      <c r="CJI756" s="125"/>
      <c r="CJJ756" s="125"/>
      <c r="CJK756" s="125"/>
      <c r="CJL756" s="125"/>
      <c r="CJM756" s="125"/>
      <c r="CJN756" s="125"/>
      <c r="CJO756" s="125"/>
      <c r="CJP756" s="125"/>
      <c r="CJQ756" s="125"/>
      <c r="CJR756" s="125"/>
      <c r="CJS756" s="125"/>
      <c r="CJT756" s="125"/>
      <c r="CJU756" s="125"/>
      <c r="CJV756" s="125"/>
      <c r="CJW756" s="125"/>
      <c r="CJX756" s="125"/>
      <c r="CJY756" s="125"/>
      <c r="CJZ756" s="125"/>
      <c r="CKA756" s="125"/>
      <c r="CKB756" s="125"/>
      <c r="CKC756" s="125"/>
      <c r="CKD756" s="125"/>
      <c r="CKE756" s="125"/>
      <c r="CKF756" s="125"/>
      <c r="CKG756" s="125"/>
      <c r="CKH756" s="125"/>
      <c r="CKI756" s="125"/>
      <c r="CKJ756" s="125"/>
      <c r="CKK756" s="125"/>
      <c r="CKL756" s="125"/>
      <c r="CKM756" s="125"/>
      <c r="CKN756" s="125"/>
      <c r="CKO756" s="125"/>
      <c r="CKP756" s="125"/>
      <c r="CKQ756" s="125"/>
      <c r="CKR756" s="125"/>
      <c r="CKS756" s="125"/>
      <c r="CKT756" s="125"/>
      <c r="CKU756" s="125"/>
      <c r="CKV756" s="125"/>
      <c r="CKW756" s="125"/>
      <c r="CKX756" s="125"/>
      <c r="CKY756" s="125"/>
      <c r="CKZ756" s="125"/>
      <c r="CLA756" s="125"/>
      <c r="CLB756" s="125"/>
      <c r="CLC756" s="125"/>
      <c r="CLD756" s="125"/>
      <c r="CLE756" s="125"/>
      <c r="CLF756" s="125"/>
      <c r="CLG756" s="125"/>
      <c r="CLH756" s="125"/>
      <c r="CLI756" s="125"/>
      <c r="CLJ756" s="125"/>
      <c r="CLK756" s="125"/>
      <c r="CLL756" s="125"/>
      <c r="CLM756" s="125"/>
      <c r="CLN756" s="125"/>
      <c r="CLO756" s="125"/>
      <c r="CLP756" s="125"/>
      <c r="CLQ756" s="125"/>
      <c r="CLR756" s="125"/>
      <c r="CLS756" s="125"/>
      <c r="CLT756" s="125"/>
      <c r="CLU756" s="125"/>
      <c r="CLV756" s="125"/>
      <c r="CLW756" s="125"/>
      <c r="CLX756" s="125"/>
      <c r="CLY756" s="125"/>
      <c r="CLZ756" s="125"/>
      <c r="CMA756" s="125"/>
      <c r="CMB756" s="125"/>
      <c r="CMC756" s="125"/>
      <c r="CMD756" s="125"/>
      <c r="CME756" s="125"/>
      <c r="CMF756" s="125"/>
      <c r="CMG756" s="125"/>
      <c r="CMH756" s="125"/>
      <c r="CMI756" s="125"/>
      <c r="CMJ756" s="125"/>
      <c r="CMK756" s="125"/>
      <c r="CML756" s="125"/>
      <c r="CMM756" s="125"/>
      <c r="CMN756" s="125"/>
      <c r="CMO756" s="125"/>
      <c r="CMP756" s="125"/>
      <c r="CMQ756" s="125"/>
      <c r="CMR756" s="125"/>
      <c r="CMS756" s="125"/>
      <c r="CMT756" s="125"/>
      <c r="CMU756" s="125"/>
      <c r="CMV756" s="125"/>
      <c r="CMW756" s="125"/>
      <c r="CMX756" s="125"/>
      <c r="CMY756" s="125"/>
      <c r="CMZ756" s="125"/>
      <c r="CNA756" s="125"/>
      <c r="CNB756" s="125"/>
      <c r="CNC756" s="125"/>
      <c r="CND756" s="125"/>
      <c r="CNE756" s="125"/>
      <c r="CNF756" s="125"/>
      <c r="CNG756" s="125"/>
      <c r="CNH756" s="125"/>
      <c r="CNI756" s="125"/>
      <c r="CNJ756" s="125"/>
      <c r="CNK756" s="125"/>
      <c r="CNL756" s="125"/>
      <c r="CNM756" s="125"/>
      <c r="CNN756" s="125"/>
      <c r="CNO756" s="125"/>
      <c r="CNP756" s="125"/>
      <c r="CNQ756" s="125"/>
      <c r="CNR756" s="125"/>
      <c r="CNS756" s="125"/>
      <c r="CNT756" s="125"/>
      <c r="CNU756" s="125"/>
      <c r="CNV756" s="125"/>
      <c r="CNW756" s="125"/>
      <c r="CNX756" s="125"/>
      <c r="CNY756" s="125"/>
      <c r="CNZ756" s="125"/>
      <c r="COA756" s="125"/>
      <c r="COB756" s="125"/>
      <c r="COC756" s="125"/>
      <c r="COD756" s="125"/>
      <c r="COE756" s="125"/>
      <c r="COF756" s="125"/>
      <c r="COG756" s="125"/>
      <c r="COH756" s="125"/>
      <c r="COI756" s="125"/>
      <c r="COJ756" s="125"/>
      <c r="COK756" s="125"/>
      <c r="COL756" s="125"/>
      <c r="COM756" s="125"/>
      <c r="CON756" s="125"/>
      <c r="COO756" s="125"/>
      <c r="COP756" s="125"/>
      <c r="COQ756" s="125"/>
      <c r="COR756" s="125"/>
      <c r="COS756" s="125"/>
      <c r="COT756" s="125"/>
      <c r="COU756" s="125"/>
      <c r="COV756" s="125"/>
      <c r="COW756" s="125"/>
      <c r="COX756" s="125"/>
      <c r="COY756" s="125"/>
      <c r="COZ756" s="125"/>
      <c r="CPA756" s="125"/>
      <c r="CPB756" s="125"/>
      <c r="CPC756" s="125"/>
      <c r="CPD756" s="125"/>
      <c r="CPE756" s="125"/>
      <c r="CPF756" s="125"/>
      <c r="CPG756" s="125"/>
      <c r="CPH756" s="125"/>
      <c r="CPI756" s="125"/>
      <c r="CPJ756" s="125"/>
      <c r="CPK756" s="125"/>
      <c r="CPL756" s="125"/>
      <c r="CPM756" s="125"/>
      <c r="CPN756" s="125"/>
      <c r="CPO756" s="125"/>
      <c r="CPP756" s="125"/>
      <c r="CPQ756" s="125"/>
      <c r="CPR756" s="125"/>
      <c r="CPS756" s="125"/>
      <c r="CPT756" s="125"/>
      <c r="CPU756" s="125"/>
      <c r="CPV756" s="125"/>
      <c r="CPW756" s="125"/>
      <c r="CPX756" s="125"/>
      <c r="CPY756" s="125"/>
      <c r="CPZ756" s="125"/>
      <c r="CQA756" s="125"/>
      <c r="CQB756" s="125"/>
      <c r="CQC756" s="125"/>
      <c r="CQD756" s="125"/>
      <c r="CQE756" s="125"/>
      <c r="CQF756" s="125"/>
      <c r="CQG756" s="125"/>
      <c r="CQH756" s="125"/>
      <c r="CQI756" s="125"/>
      <c r="CQJ756" s="125"/>
      <c r="CQK756" s="125"/>
      <c r="CQL756" s="125"/>
      <c r="CQM756" s="125"/>
      <c r="CQN756" s="125"/>
      <c r="CQO756" s="125"/>
      <c r="CQP756" s="125"/>
      <c r="CQQ756" s="125"/>
      <c r="CQR756" s="125"/>
      <c r="CQS756" s="125"/>
      <c r="CQT756" s="125"/>
      <c r="CQU756" s="125"/>
      <c r="CQV756" s="125"/>
      <c r="CQW756" s="125"/>
      <c r="CQX756" s="125"/>
      <c r="CQY756" s="125"/>
      <c r="CQZ756" s="125"/>
      <c r="CRA756" s="125"/>
      <c r="CRB756" s="125"/>
      <c r="CRC756" s="125"/>
      <c r="CRD756" s="125"/>
      <c r="CRE756" s="125"/>
      <c r="CRF756" s="125"/>
      <c r="CRG756" s="125"/>
      <c r="CRH756" s="125"/>
      <c r="CRI756" s="125"/>
      <c r="CRJ756" s="125"/>
      <c r="CRK756" s="125"/>
      <c r="CRL756" s="125"/>
      <c r="CRM756" s="125"/>
      <c r="CRN756" s="125"/>
      <c r="CRO756" s="125"/>
      <c r="CRP756" s="125"/>
      <c r="CRQ756" s="125"/>
      <c r="CRR756" s="125"/>
      <c r="CRS756" s="125"/>
      <c r="CRT756" s="125"/>
      <c r="CRU756" s="125"/>
      <c r="CRV756" s="125"/>
      <c r="CRW756" s="125"/>
      <c r="CRX756" s="125"/>
      <c r="CRY756" s="125"/>
      <c r="CRZ756" s="125"/>
      <c r="CSA756" s="125"/>
      <c r="CSB756" s="125"/>
      <c r="CSC756" s="125"/>
      <c r="CSD756" s="125"/>
      <c r="CSE756" s="125"/>
      <c r="CSF756" s="125"/>
      <c r="CSG756" s="125"/>
      <c r="CSH756" s="125"/>
      <c r="CSI756" s="125"/>
      <c r="CSJ756" s="125"/>
      <c r="CSK756" s="125"/>
      <c r="CSL756" s="125"/>
      <c r="CSM756" s="125"/>
      <c r="CSN756" s="125"/>
      <c r="CSO756" s="125"/>
      <c r="CSP756" s="125"/>
      <c r="CSQ756" s="125"/>
      <c r="CSR756" s="125"/>
      <c r="CSS756" s="125"/>
      <c r="CST756" s="125"/>
      <c r="CSU756" s="125"/>
      <c r="CSV756" s="125"/>
      <c r="CSW756" s="125"/>
      <c r="CSX756" s="125"/>
      <c r="CSY756" s="125"/>
      <c r="CSZ756" s="125"/>
      <c r="CTA756" s="125"/>
      <c r="CTB756" s="125"/>
      <c r="CTC756" s="125"/>
      <c r="CTD756" s="125"/>
      <c r="CTE756" s="125"/>
      <c r="CTF756" s="125"/>
      <c r="CTG756" s="125"/>
      <c r="CTH756" s="125"/>
      <c r="CTI756" s="125"/>
      <c r="CTJ756" s="125"/>
      <c r="CTK756" s="125"/>
      <c r="CTL756" s="125"/>
      <c r="CTM756" s="125"/>
      <c r="CTN756" s="125"/>
      <c r="CTO756" s="125"/>
      <c r="CTP756" s="125"/>
      <c r="CTQ756" s="125"/>
      <c r="CTR756" s="125"/>
      <c r="CTS756" s="125"/>
      <c r="CTT756" s="125"/>
      <c r="CTU756" s="125"/>
      <c r="CTV756" s="125"/>
      <c r="CTW756" s="125"/>
      <c r="CTX756" s="125"/>
      <c r="CTY756" s="125"/>
      <c r="CTZ756" s="125"/>
      <c r="CUA756" s="125"/>
      <c r="CUB756" s="125"/>
      <c r="CUC756" s="125"/>
      <c r="CUD756" s="125"/>
      <c r="CUE756" s="125"/>
      <c r="CUF756" s="125"/>
      <c r="CUG756" s="125"/>
      <c r="CUH756" s="125"/>
      <c r="CUI756" s="125"/>
      <c r="CUJ756" s="125"/>
      <c r="CUK756" s="125"/>
      <c r="CUL756" s="125"/>
      <c r="CUM756" s="125"/>
      <c r="CUN756" s="125"/>
      <c r="CUO756" s="125"/>
      <c r="CUP756" s="125"/>
      <c r="CUQ756" s="125"/>
      <c r="CUR756" s="125"/>
      <c r="CUS756" s="125"/>
      <c r="CUT756" s="125"/>
      <c r="CUU756" s="125"/>
      <c r="CUV756" s="125"/>
      <c r="CUW756" s="125"/>
      <c r="CUX756" s="125"/>
      <c r="CUY756" s="125"/>
      <c r="CUZ756" s="125"/>
      <c r="CVA756" s="125"/>
      <c r="CVB756" s="125"/>
      <c r="CVC756" s="125"/>
      <c r="CVD756" s="125"/>
      <c r="CVE756" s="125"/>
      <c r="CVF756" s="125"/>
      <c r="CVG756" s="125"/>
      <c r="CVH756" s="125"/>
      <c r="CVI756" s="125"/>
      <c r="CVJ756" s="125"/>
      <c r="CVK756" s="125"/>
      <c r="CVL756" s="125"/>
      <c r="CVM756" s="125"/>
      <c r="CVN756" s="125"/>
      <c r="CVO756" s="125"/>
      <c r="CVP756" s="125"/>
      <c r="CVQ756" s="125"/>
      <c r="CVR756" s="125"/>
      <c r="CVS756" s="125"/>
      <c r="CVT756" s="125"/>
      <c r="CVU756" s="125"/>
      <c r="CVV756" s="125"/>
      <c r="CVW756" s="125"/>
      <c r="CVX756" s="125"/>
      <c r="CVY756" s="125"/>
      <c r="CVZ756" s="125"/>
      <c r="CWA756" s="125"/>
      <c r="CWB756" s="125"/>
      <c r="CWC756" s="125"/>
      <c r="CWD756" s="125"/>
      <c r="CWE756" s="125"/>
      <c r="CWF756" s="125"/>
      <c r="CWG756" s="125"/>
      <c r="CWH756" s="125"/>
      <c r="CWI756" s="125"/>
      <c r="CWJ756" s="125"/>
      <c r="CWK756" s="125"/>
      <c r="CWL756" s="125"/>
      <c r="CWM756" s="125"/>
      <c r="CWN756" s="125"/>
      <c r="CWO756" s="125"/>
      <c r="CWP756" s="125"/>
      <c r="CWQ756" s="125"/>
      <c r="CWR756" s="125"/>
      <c r="CWS756" s="125"/>
      <c r="CWT756" s="125"/>
      <c r="CWU756" s="125"/>
      <c r="CWV756" s="125"/>
      <c r="CWW756" s="125"/>
      <c r="CWX756" s="125"/>
      <c r="CWY756" s="125"/>
      <c r="CWZ756" s="125"/>
      <c r="CXA756" s="125"/>
      <c r="CXB756" s="125"/>
      <c r="CXC756" s="125"/>
      <c r="CXD756" s="125"/>
      <c r="CXE756" s="125"/>
      <c r="CXF756" s="125"/>
      <c r="CXG756" s="125"/>
      <c r="CXH756" s="125"/>
      <c r="CXI756" s="125"/>
      <c r="CXJ756" s="125"/>
      <c r="CXK756" s="125"/>
      <c r="CXL756" s="125"/>
      <c r="CXM756" s="125"/>
      <c r="CXN756" s="125"/>
      <c r="CXO756" s="125"/>
      <c r="CXP756" s="125"/>
      <c r="CXQ756" s="125"/>
      <c r="CXR756" s="125"/>
      <c r="CXS756" s="125"/>
      <c r="CXT756" s="125"/>
      <c r="CXU756" s="125"/>
      <c r="CXV756" s="125"/>
      <c r="CXW756" s="125"/>
      <c r="CXX756" s="125"/>
      <c r="CXY756" s="125"/>
      <c r="CXZ756" s="125"/>
      <c r="CYA756" s="125"/>
      <c r="CYB756" s="125"/>
      <c r="CYC756" s="125"/>
      <c r="CYD756" s="125"/>
      <c r="CYE756" s="125"/>
      <c r="CYF756" s="125"/>
      <c r="CYG756" s="125"/>
      <c r="CYH756" s="125"/>
      <c r="CYI756" s="125"/>
      <c r="CYJ756" s="125"/>
      <c r="CYK756" s="125"/>
      <c r="CYL756" s="125"/>
      <c r="CYM756" s="125"/>
      <c r="CYN756" s="125"/>
      <c r="CYO756" s="125"/>
      <c r="CYP756" s="125"/>
      <c r="CYQ756" s="125"/>
      <c r="CYR756" s="125"/>
      <c r="CYS756" s="125"/>
      <c r="CYT756" s="125"/>
      <c r="CYU756" s="125"/>
      <c r="CYV756" s="125"/>
      <c r="CYW756" s="125"/>
      <c r="CYX756" s="125"/>
      <c r="CYY756" s="125"/>
      <c r="CYZ756" s="125"/>
      <c r="CZA756" s="125"/>
      <c r="CZB756" s="125"/>
      <c r="CZC756" s="125"/>
      <c r="CZD756" s="125"/>
      <c r="CZE756" s="125"/>
      <c r="CZF756" s="125"/>
      <c r="CZG756" s="125"/>
      <c r="CZH756" s="125"/>
      <c r="CZI756" s="125"/>
      <c r="CZJ756" s="125"/>
      <c r="CZK756" s="125"/>
      <c r="CZL756" s="125"/>
      <c r="CZM756" s="125"/>
      <c r="CZN756" s="125"/>
      <c r="CZO756" s="125"/>
      <c r="CZP756" s="125"/>
      <c r="CZQ756" s="125"/>
      <c r="CZR756" s="125"/>
      <c r="CZS756" s="125"/>
      <c r="CZT756" s="125"/>
      <c r="CZU756" s="125"/>
      <c r="CZV756" s="125"/>
      <c r="CZW756" s="125"/>
      <c r="CZX756" s="125"/>
      <c r="CZY756" s="125"/>
      <c r="CZZ756" s="125"/>
      <c r="DAA756" s="125"/>
      <c r="DAB756" s="125"/>
      <c r="DAC756" s="125"/>
      <c r="DAD756" s="125"/>
      <c r="DAE756" s="125"/>
      <c r="DAF756" s="125"/>
      <c r="DAG756" s="125"/>
      <c r="DAH756" s="125"/>
      <c r="DAI756" s="125"/>
      <c r="DAJ756" s="125"/>
      <c r="DAK756" s="125"/>
      <c r="DAL756" s="125"/>
      <c r="DAM756" s="125"/>
      <c r="DAN756" s="125"/>
      <c r="DAO756" s="125"/>
      <c r="DAP756" s="125"/>
      <c r="DAQ756" s="125"/>
      <c r="DAR756" s="125"/>
      <c r="DAS756" s="125"/>
      <c r="DAT756" s="125"/>
      <c r="DAU756" s="125"/>
      <c r="DAV756" s="125"/>
      <c r="DAW756" s="125"/>
      <c r="DAX756" s="125"/>
      <c r="DAY756" s="125"/>
      <c r="DAZ756" s="125"/>
      <c r="DBA756" s="125"/>
      <c r="DBB756" s="125"/>
      <c r="DBC756" s="125"/>
      <c r="DBD756" s="125"/>
      <c r="DBE756" s="125"/>
      <c r="DBF756" s="125"/>
      <c r="DBG756" s="125"/>
      <c r="DBH756" s="125"/>
      <c r="DBI756" s="125"/>
      <c r="DBJ756" s="125"/>
      <c r="DBK756" s="125"/>
      <c r="DBL756" s="125"/>
      <c r="DBM756" s="125"/>
      <c r="DBN756" s="125"/>
      <c r="DBO756" s="125"/>
      <c r="DBP756" s="125"/>
      <c r="DBQ756" s="125"/>
      <c r="DBR756" s="125"/>
      <c r="DBS756" s="125"/>
      <c r="DBT756" s="125"/>
      <c r="DBU756" s="125"/>
      <c r="DBV756" s="125"/>
      <c r="DBW756" s="125"/>
      <c r="DBX756" s="125"/>
      <c r="DBY756" s="125"/>
      <c r="DBZ756" s="125"/>
      <c r="DCA756" s="125"/>
      <c r="DCB756" s="125"/>
      <c r="DCC756" s="125"/>
      <c r="DCD756" s="125"/>
      <c r="DCE756" s="125"/>
      <c r="DCF756" s="125"/>
      <c r="DCG756" s="125"/>
      <c r="DCH756" s="125"/>
      <c r="DCI756" s="125"/>
      <c r="DCJ756" s="125"/>
      <c r="DCK756" s="125"/>
      <c r="DCL756" s="125"/>
      <c r="DCM756" s="125"/>
      <c r="DCN756" s="125"/>
      <c r="DCO756" s="125"/>
      <c r="DCP756" s="125"/>
      <c r="DCQ756" s="125"/>
      <c r="DCR756" s="125"/>
      <c r="DCS756" s="125"/>
      <c r="DCT756" s="125"/>
      <c r="DCU756" s="125"/>
      <c r="DCV756" s="125"/>
      <c r="DCW756" s="125"/>
      <c r="DCX756" s="125"/>
      <c r="DCY756" s="125"/>
      <c r="DCZ756" s="125"/>
      <c r="DDA756" s="125"/>
      <c r="DDB756" s="125"/>
      <c r="DDC756" s="125"/>
      <c r="DDD756" s="125"/>
      <c r="DDE756" s="125"/>
      <c r="DDF756" s="125"/>
      <c r="DDG756" s="125"/>
      <c r="DDH756" s="125"/>
      <c r="DDI756" s="125"/>
      <c r="DDJ756" s="125"/>
      <c r="DDK756" s="125"/>
      <c r="DDL756" s="125"/>
      <c r="DDM756" s="125"/>
      <c r="DDN756" s="125"/>
      <c r="DDO756" s="125"/>
      <c r="DDP756" s="125"/>
      <c r="DDQ756" s="125"/>
      <c r="DDR756" s="125"/>
      <c r="DDS756" s="125"/>
      <c r="DDT756" s="125"/>
      <c r="DDU756" s="125"/>
      <c r="DDV756" s="125"/>
      <c r="DDW756" s="125"/>
      <c r="DDX756" s="125"/>
      <c r="DDY756" s="125"/>
      <c r="DDZ756" s="125"/>
      <c r="DEA756" s="125"/>
      <c r="DEB756" s="125"/>
      <c r="DEC756" s="125"/>
      <c r="DED756" s="125"/>
      <c r="DEE756" s="125"/>
      <c r="DEF756" s="125"/>
      <c r="DEG756" s="125"/>
      <c r="DEH756" s="125"/>
      <c r="DEI756" s="125"/>
      <c r="DEJ756" s="125"/>
      <c r="DEK756" s="125"/>
      <c r="DEL756" s="125"/>
      <c r="DEM756" s="125"/>
      <c r="DEN756" s="125"/>
      <c r="DEO756" s="125"/>
      <c r="DEP756" s="125"/>
      <c r="DEQ756" s="125"/>
      <c r="DER756" s="125"/>
      <c r="DES756" s="125"/>
      <c r="DET756" s="125"/>
      <c r="DEU756" s="125"/>
      <c r="DEV756" s="125"/>
      <c r="DEW756" s="125"/>
      <c r="DEX756" s="125"/>
      <c r="DEY756" s="125"/>
      <c r="DEZ756" s="125"/>
      <c r="DFA756" s="125"/>
      <c r="DFB756" s="125"/>
      <c r="DFC756" s="125"/>
      <c r="DFD756" s="125"/>
      <c r="DFE756" s="125"/>
      <c r="DFF756" s="125"/>
      <c r="DFG756" s="125"/>
      <c r="DFH756" s="125"/>
      <c r="DFI756" s="125"/>
      <c r="DFJ756" s="125"/>
      <c r="DFK756" s="125"/>
      <c r="DFL756" s="125"/>
      <c r="DFM756" s="125"/>
      <c r="DFN756" s="125"/>
      <c r="DFO756" s="125"/>
      <c r="DFP756" s="125"/>
      <c r="DFQ756" s="125"/>
      <c r="DFR756" s="125"/>
      <c r="DFS756" s="125"/>
      <c r="DFT756" s="125"/>
      <c r="DFU756" s="125"/>
      <c r="DFV756" s="125"/>
      <c r="DFW756" s="125"/>
      <c r="DFX756" s="125"/>
      <c r="DFY756" s="125"/>
      <c r="DFZ756" s="125"/>
      <c r="DGA756" s="125"/>
      <c r="DGB756" s="125"/>
      <c r="DGC756" s="125"/>
      <c r="DGD756" s="125"/>
      <c r="DGE756" s="125"/>
      <c r="DGF756" s="125"/>
      <c r="DGG756" s="125"/>
      <c r="DGH756" s="125"/>
      <c r="DGI756" s="125"/>
      <c r="DGJ756" s="125"/>
      <c r="DGK756" s="125"/>
      <c r="DGL756" s="125"/>
      <c r="DGM756" s="125"/>
      <c r="DGN756" s="125"/>
      <c r="DGO756" s="125"/>
      <c r="DGP756" s="125"/>
      <c r="DGQ756" s="125"/>
      <c r="DGR756" s="125"/>
      <c r="DGS756" s="125"/>
      <c r="DGT756" s="125"/>
      <c r="DGU756" s="125"/>
      <c r="DGV756" s="125"/>
      <c r="DGW756" s="125"/>
      <c r="DGX756" s="125"/>
      <c r="DGY756" s="125"/>
      <c r="DGZ756" s="125"/>
      <c r="DHA756" s="125"/>
      <c r="DHB756" s="125"/>
      <c r="DHC756" s="125"/>
      <c r="DHD756" s="125"/>
      <c r="DHE756" s="125"/>
      <c r="DHF756" s="125"/>
      <c r="DHG756" s="125"/>
      <c r="DHH756" s="125"/>
      <c r="DHI756" s="125"/>
      <c r="DHJ756" s="125"/>
      <c r="DHK756" s="125"/>
      <c r="DHL756" s="125"/>
      <c r="DHM756" s="125"/>
      <c r="DHN756" s="125"/>
      <c r="DHO756" s="125"/>
      <c r="DHP756" s="125"/>
      <c r="DHQ756" s="125"/>
      <c r="DHR756" s="125"/>
      <c r="DHS756" s="125"/>
      <c r="DHT756" s="125"/>
      <c r="DHU756" s="125"/>
      <c r="DHV756" s="125"/>
      <c r="DHW756" s="125"/>
      <c r="DHX756" s="125"/>
      <c r="DHY756" s="125"/>
      <c r="DHZ756" s="125"/>
      <c r="DIA756" s="125"/>
      <c r="DIB756" s="125"/>
      <c r="DIC756" s="125"/>
      <c r="DID756" s="125"/>
      <c r="DIE756" s="125"/>
      <c r="DIF756" s="125"/>
      <c r="DIG756" s="125"/>
      <c r="DIH756" s="125"/>
      <c r="DII756" s="125"/>
      <c r="DIJ756" s="125"/>
      <c r="DIK756" s="125"/>
      <c r="DIL756" s="125"/>
      <c r="DIM756" s="125"/>
      <c r="DIN756" s="125"/>
      <c r="DIO756" s="125"/>
      <c r="DIP756" s="125"/>
      <c r="DIQ756" s="125"/>
      <c r="DIR756" s="125"/>
      <c r="DIS756" s="125"/>
      <c r="DIT756" s="125"/>
      <c r="DIU756" s="125"/>
      <c r="DIV756" s="125"/>
      <c r="DIW756" s="125"/>
      <c r="DIX756" s="125"/>
      <c r="DIY756" s="125"/>
      <c r="DIZ756" s="125"/>
      <c r="DJA756" s="125"/>
      <c r="DJB756" s="125"/>
      <c r="DJC756" s="125"/>
      <c r="DJD756" s="125"/>
      <c r="DJE756" s="125"/>
      <c r="DJF756" s="125"/>
      <c r="DJG756" s="125"/>
      <c r="DJH756" s="125"/>
      <c r="DJI756" s="125"/>
      <c r="DJJ756" s="125"/>
      <c r="DJK756" s="125"/>
      <c r="DJL756" s="125"/>
      <c r="DJM756" s="125"/>
      <c r="DJN756" s="125"/>
      <c r="DJO756" s="125"/>
      <c r="DJP756" s="125"/>
      <c r="DJQ756" s="125"/>
      <c r="DJR756" s="125"/>
      <c r="DJS756" s="125"/>
      <c r="DJT756" s="125"/>
      <c r="DJU756" s="125"/>
      <c r="DJV756" s="125"/>
      <c r="DJW756" s="125"/>
      <c r="DJX756" s="125"/>
      <c r="DJY756" s="125"/>
      <c r="DJZ756" s="125"/>
      <c r="DKA756" s="125"/>
      <c r="DKB756" s="125"/>
      <c r="DKC756" s="125"/>
      <c r="DKD756" s="125"/>
      <c r="DKE756" s="125"/>
      <c r="DKF756" s="125"/>
      <c r="DKG756" s="125"/>
      <c r="DKH756" s="125"/>
      <c r="DKI756" s="125"/>
      <c r="DKJ756" s="125"/>
      <c r="DKK756" s="125"/>
      <c r="DKL756" s="125"/>
      <c r="DKM756" s="125"/>
      <c r="DKN756" s="125"/>
      <c r="DKO756" s="125"/>
      <c r="DKP756" s="125"/>
      <c r="DKQ756" s="125"/>
      <c r="DKR756" s="125"/>
      <c r="DKS756" s="125"/>
      <c r="DKT756" s="125"/>
      <c r="DKU756" s="125"/>
      <c r="DKV756" s="125"/>
      <c r="DKW756" s="125"/>
      <c r="DKX756" s="125"/>
      <c r="DKY756" s="125"/>
      <c r="DKZ756" s="125"/>
      <c r="DLA756" s="125"/>
      <c r="DLB756" s="125"/>
      <c r="DLC756" s="125"/>
      <c r="DLD756" s="125"/>
      <c r="DLE756" s="125"/>
      <c r="DLF756" s="125"/>
      <c r="DLG756" s="125"/>
      <c r="DLH756" s="125"/>
      <c r="DLI756" s="125"/>
      <c r="DLJ756" s="125"/>
      <c r="DLK756" s="125"/>
      <c r="DLL756" s="125"/>
      <c r="DLM756" s="125"/>
      <c r="DLN756" s="125"/>
      <c r="DLO756" s="125"/>
      <c r="DLP756" s="125"/>
      <c r="DLQ756" s="125"/>
      <c r="DLR756" s="125"/>
      <c r="DLS756" s="125"/>
      <c r="DLT756" s="125"/>
      <c r="DLU756" s="125"/>
      <c r="DLV756" s="125"/>
      <c r="DLW756" s="125"/>
      <c r="DLX756" s="125"/>
      <c r="DLY756" s="125"/>
      <c r="DLZ756" s="125"/>
      <c r="DMA756" s="125"/>
      <c r="DMB756" s="125"/>
      <c r="DMC756" s="125"/>
      <c r="DMD756" s="125"/>
      <c r="DME756" s="125"/>
      <c r="DMF756" s="125"/>
      <c r="DMG756" s="125"/>
      <c r="DMH756" s="125"/>
      <c r="DMI756" s="125"/>
      <c r="DMJ756" s="125"/>
      <c r="DMK756" s="125"/>
      <c r="DML756" s="125"/>
      <c r="DMM756" s="125"/>
      <c r="DMN756" s="125"/>
      <c r="DMO756" s="125"/>
      <c r="DMP756" s="125"/>
      <c r="DMQ756" s="125"/>
      <c r="DMR756" s="125"/>
      <c r="DMS756" s="125"/>
      <c r="DMT756" s="125"/>
      <c r="DMU756" s="125"/>
      <c r="DMV756" s="125"/>
      <c r="DMW756" s="125"/>
      <c r="DMX756" s="125"/>
      <c r="DMY756" s="125"/>
      <c r="DMZ756" s="125"/>
      <c r="DNA756" s="125"/>
      <c r="DNB756" s="125"/>
      <c r="DNC756" s="125"/>
      <c r="DND756" s="125"/>
      <c r="DNE756" s="125"/>
      <c r="DNF756" s="125"/>
      <c r="DNG756" s="125"/>
      <c r="DNH756" s="125"/>
      <c r="DNI756" s="125"/>
      <c r="DNJ756" s="125"/>
      <c r="DNK756" s="125"/>
      <c r="DNL756" s="125"/>
      <c r="DNM756" s="125"/>
      <c r="DNN756" s="125"/>
      <c r="DNO756" s="125"/>
      <c r="DNP756" s="125"/>
      <c r="DNQ756" s="125"/>
      <c r="DNR756" s="125"/>
      <c r="DNS756" s="125"/>
      <c r="DNT756" s="125"/>
      <c r="DNU756" s="125"/>
      <c r="DNV756" s="125"/>
      <c r="DNW756" s="125"/>
      <c r="DNX756" s="125"/>
      <c r="DNY756" s="125"/>
      <c r="DNZ756" s="125"/>
      <c r="DOA756" s="125"/>
      <c r="DOB756" s="125"/>
      <c r="DOC756" s="125"/>
      <c r="DOD756" s="125"/>
      <c r="DOE756" s="125"/>
      <c r="DOF756" s="125"/>
      <c r="DOG756" s="125"/>
      <c r="DOH756" s="125"/>
      <c r="DOI756" s="125"/>
      <c r="DOJ756" s="125"/>
      <c r="DOK756" s="125"/>
      <c r="DOL756" s="125"/>
      <c r="DOM756" s="125"/>
      <c r="DON756" s="125"/>
      <c r="DOO756" s="125"/>
      <c r="DOP756" s="125"/>
      <c r="DOQ756" s="125"/>
      <c r="DOR756" s="125"/>
      <c r="DOS756" s="125"/>
      <c r="DOT756" s="125"/>
      <c r="DOU756" s="125"/>
      <c r="DOV756" s="125"/>
      <c r="DOW756" s="125"/>
      <c r="DOX756" s="125"/>
      <c r="DOY756" s="125"/>
      <c r="DOZ756" s="125"/>
      <c r="DPA756" s="125"/>
      <c r="DPB756" s="125"/>
      <c r="DPC756" s="125"/>
      <c r="DPD756" s="125"/>
      <c r="DPE756" s="125"/>
      <c r="DPF756" s="125"/>
      <c r="DPG756" s="125"/>
      <c r="DPH756" s="125"/>
      <c r="DPI756" s="125"/>
      <c r="DPJ756" s="125"/>
      <c r="DPK756" s="125"/>
      <c r="DPL756" s="125"/>
      <c r="DPM756" s="125"/>
      <c r="DPN756" s="125"/>
      <c r="DPO756" s="125"/>
      <c r="DPP756" s="125"/>
      <c r="DPQ756" s="125"/>
      <c r="DPR756" s="125"/>
      <c r="DPS756" s="125"/>
      <c r="DPT756" s="125"/>
      <c r="DPU756" s="125"/>
      <c r="DPV756" s="125"/>
      <c r="DPW756" s="125"/>
      <c r="DPX756" s="125"/>
      <c r="DPY756" s="125"/>
      <c r="DPZ756" s="125"/>
      <c r="DQA756" s="125"/>
      <c r="DQB756" s="125"/>
      <c r="DQC756" s="125"/>
      <c r="DQD756" s="125"/>
      <c r="DQE756" s="125"/>
      <c r="DQF756" s="125"/>
      <c r="DQG756" s="125"/>
      <c r="DQH756" s="125"/>
      <c r="DQI756" s="125"/>
      <c r="DQJ756" s="125"/>
      <c r="DQK756" s="125"/>
      <c r="DQL756" s="125"/>
      <c r="DQM756" s="125"/>
      <c r="DQN756" s="125"/>
      <c r="DQO756" s="125"/>
      <c r="DQP756" s="125"/>
      <c r="DQQ756" s="125"/>
      <c r="DQR756" s="125"/>
      <c r="DQS756" s="125"/>
      <c r="DQT756" s="125"/>
      <c r="DQU756" s="125"/>
      <c r="DQV756" s="125"/>
      <c r="DQW756" s="125"/>
      <c r="DQX756" s="125"/>
      <c r="DQY756" s="125"/>
      <c r="DQZ756" s="125"/>
      <c r="DRA756" s="125"/>
      <c r="DRB756" s="125"/>
      <c r="DRC756" s="125"/>
      <c r="DRD756" s="125"/>
      <c r="DRE756" s="125"/>
      <c r="DRF756" s="125"/>
      <c r="DRG756" s="125"/>
      <c r="DRH756" s="125"/>
      <c r="DRI756" s="125"/>
      <c r="DRJ756" s="125"/>
      <c r="DRK756" s="125"/>
      <c r="DRL756" s="125"/>
      <c r="DRM756" s="125"/>
      <c r="DRN756" s="125"/>
      <c r="DRO756" s="125"/>
      <c r="DRP756" s="125"/>
      <c r="DRQ756" s="125"/>
      <c r="DRR756" s="125"/>
      <c r="DRS756" s="125"/>
      <c r="DRT756" s="125"/>
      <c r="DRU756" s="125"/>
      <c r="DRV756" s="125"/>
      <c r="DRW756" s="125"/>
      <c r="DRX756" s="125"/>
      <c r="DRY756" s="125"/>
      <c r="DRZ756" s="125"/>
      <c r="DSA756" s="125"/>
      <c r="DSB756" s="125"/>
      <c r="DSC756" s="125"/>
      <c r="DSD756" s="125"/>
      <c r="DSE756" s="125"/>
      <c r="DSF756" s="125"/>
      <c r="DSG756" s="125"/>
      <c r="DSH756" s="125"/>
      <c r="DSI756" s="125"/>
      <c r="DSJ756" s="125"/>
      <c r="DSK756" s="125"/>
      <c r="DSL756" s="125"/>
      <c r="DSM756" s="125"/>
      <c r="DSN756" s="125"/>
      <c r="DSO756" s="125"/>
      <c r="DSP756" s="125"/>
      <c r="DSQ756" s="125"/>
      <c r="DSR756" s="125"/>
      <c r="DSS756" s="125"/>
      <c r="DST756" s="125"/>
      <c r="DSU756" s="125"/>
      <c r="DSV756" s="125"/>
      <c r="DSW756" s="125"/>
      <c r="DSX756" s="125"/>
      <c r="DSY756" s="125"/>
      <c r="DSZ756" s="125"/>
      <c r="DTA756" s="125"/>
      <c r="DTB756" s="125"/>
      <c r="DTC756" s="125"/>
      <c r="DTD756" s="125"/>
      <c r="DTE756" s="125"/>
      <c r="DTF756" s="125"/>
      <c r="DTG756" s="125"/>
      <c r="DTH756" s="125"/>
      <c r="DTI756" s="125"/>
      <c r="DTJ756" s="125"/>
      <c r="DTK756" s="125"/>
      <c r="DTL756" s="125"/>
      <c r="DTM756" s="125"/>
      <c r="DTN756" s="125"/>
      <c r="DTO756" s="125"/>
      <c r="DTP756" s="125"/>
      <c r="DTQ756" s="125"/>
      <c r="DTR756" s="125"/>
      <c r="DTS756" s="125"/>
      <c r="DTT756" s="125"/>
      <c r="DTU756" s="125"/>
      <c r="DTV756" s="125"/>
      <c r="DTW756" s="125"/>
      <c r="DTX756" s="125"/>
      <c r="DTY756" s="125"/>
      <c r="DTZ756" s="125"/>
      <c r="DUA756" s="125"/>
      <c r="DUB756" s="125"/>
      <c r="DUC756" s="125"/>
      <c r="DUD756" s="125"/>
      <c r="DUE756" s="125"/>
      <c r="DUF756" s="125"/>
      <c r="DUG756" s="125"/>
      <c r="DUH756" s="125"/>
      <c r="DUI756" s="125"/>
      <c r="DUJ756" s="125"/>
      <c r="DUK756" s="125"/>
      <c r="DUL756" s="125"/>
      <c r="DUM756" s="125"/>
      <c r="DUN756" s="125"/>
      <c r="DUO756" s="125"/>
      <c r="DUP756" s="125"/>
      <c r="DUQ756" s="125"/>
      <c r="DUR756" s="125"/>
      <c r="DUS756" s="125"/>
      <c r="DUT756" s="125"/>
      <c r="DUU756" s="125"/>
      <c r="DUV756" s="125"/>
      <c r="DUW756" s="125"/>
      <c r="DUX756" s="125"/>
      <c r="DUY756" s="125"/>
      <c r="DUZ756" s="125"/>
      <c r="DVA756" s="125"/>
      <c r="DVB756" s="125"/>
      <c r="DVC756" s="125"/>
      <c r="DVD756" s="125"/>
      <c r="DVE756" s="125"/>
      <c r="DVF756" s="125"/>
      <c r="DVG756" s="125"/>
      <c r="DVH756" s="125"/>
      <c r="DVI756" s="125"/>
      <c r="DVJ756" s="125"/>
      <c r="DVK756" s="125"/>
      <c r="DVL756" s="125"/>
      <c r="DVM756" s="125"/>
      <c r="DVN756" s="125"/>
      <c r="DVO756" s="125"/>
      <c r="DVP756" s="125"/>
      <c r="DVQ756" s="125"/>
      <c r="DVR756" s="125"/>
      <c r="DVS756" s="125"/>
      <c r="DVT756" s="125"/>
      <c r="DVU756" s="125"/>
      <c r="DVV756" s="125"/>
      <c r="DVW756" s="125"/>
      <c r="DVX756" s="125"/>
      <c r="DVY756" s="125"/>
      <c r="DVZ756" s="125"/>
      <c r="DWA756" s="125"/>
      <c r="DWB756" s="125"/>
      <c r="DWC756" s="125"/>
      <c r="DWD756" s="125"/>
      <c r="DWE756" s="125"/>
      <c r="DWF756" s="125"/>
      <c r="DWG756" s="125"/>
      <c r="DWH756" s="125"/>
      <c r="DWI756" s="125"/>
      <c r="DWJ756" s="125"/>
      <c r="DWK756" s="125"/>
      <c r="DWL756" s="125"/>
      <c r="DWM756" s="125"/>
      <c r="DWN756" s="125"/>
      <c r="DWO756" s="125"/>
      <c r="DWP756" s="125"/>
      <c r="DWQ756" s="125"/>
      <c r="DWR756" s="125"/>
      <c r="DWS756" s="125"/>
      <c r="DWT756" s="125"/>
      <c r="DWU756" s="125"/>
      <c r="DWV756" s="125"/>
      <c r="DWW756" s="125"/>
      <c r="DWX756" s="125"/>
      <c r="DWY756" s="125"/>
      <c r="DWZ756" s="125"/>
      <c r="DXA756" s="125"/>
      <c r="DXB756" s="125"/>
      <c r="DXC756" s="125"/>
      <c r="DXD756" s="125"/>
      <c r="DXE756" s="125"/>
      <c r="DXF756" s="125"/>
      <c r="DXG756" s="125"/>
      <c r="DXH756" s="125"/>
      <c r="DXI756" s="125"/>
      <c r="DXJ756" s="125"/>
      <c r="DXK756" s="125"/>
      <c r="DXL756" s="125"/>
      <c r="DXM756" s="125"/>
      <c r="DXN756" s="125"/>
      <c r="DXO756" s="125"/>
      <c r="DXP756" s="125"/>
      <c r="DXQ756" s="125"/>
      <c r="DXR756" s="125"/>
      <c r="DXS756" s="125"/>
      <c r="DXT756" s="125"/>
      <c r="DXU756" s="125"/>
      <c r="DXV756" s="125"/>
      <c r="DXW756" s="125"/>
      <c r="DXX756" s="125"/>
      <c r="DXY756" s="125"/>
      <c r="DXZ756" s="125"/>
      <c r="DYA756" s="125"/>
      <c r="DYB756" s="125"/>
      <c r="DYC756" s="125"/>
      <c r="DYD756" s="125"/>
      <c r="DYE756" s="125"/>
      <c r="DYF756" s="125"/>
      <c r="DYG756" s="125"/>
      <c r="DYH756" s="125"/>
      <c r="DYI756" s="125"/>
      <c r="DYJ756" s="125"/>
      <c r="DYK756" s="125"/>
      <c r="DYL756" s="125"/>
      <c r="DYM756" s="125"/>
      <c r="DYN756" s="125"/>
      <c r="DYO756" s="125"/>
      <c r="DYP756" s="125"/>
      <c r="DYQ756" s="125"/>
      <c r="DYR756" s="125"/>
      <c r="DYS756" s="125"/>
      <c r="DYT756" s="125"/>
      <c r="DYU756" s="125"/>
      <c r="DYV756" s="125"/>
      <c r="DYW756" s="125"/>
      <c r="DYX756" s="125"/>
      <c r="DYY756" s="125"/>
      <c r="DYZ756" s="125"/>
      <c r="DZA756" s="125"/>
      <c r="DZB756" s="125"/>
      <c r="DZC756" s="125"/>
      <c r="DZD756" s="125"/>
      <c r="DZE756" s="125"/>
      <c r="DZF756" s="125"/>
      <c r="DZG756" s="125"/>
      <c r="DZH756" s="125"/>
      <c r="DZI756" s="125"/>
      <c r="DZJ756" s="125"/>
      <c r="DZK756" s="125"/>
      <c r="DZL756" s="125"/>
      <c r="DZM756" s="125"/>
      <c r="DZN756" s="125"/>
      <c r="DZO756" s="125"/>
      <c r="DZP756" s="125"/>
      <c r="DZQ756" s="125"/>
      <c r="DZR756" s="125"/>
      <c r="DZS756" s="125"/>
      <c r="DZT756" s="125"/>
      <c r="DZU756" s="125"/>
      <c r="DZV756" s="125"/>
      <c r="DZW756" s="125"/>
      <c r="DZX756" s="125"/>
      <c r="DZY756" s="125"/>
      <c r="DZZ756" s="125"/>
      <c r="EAA756" s="125"/>
      <c r="EAB756" s="125"/>
      <c r="EAC756" s="125"/>
      <c r="EAD756" s="125"/>
      <c r="EAE756" s="125"/>
      <c r="EAF756" s="125"/>
      <c r="EAG756" s="125"/>
      <c r="EAH756" s="125"/>
      <c r="EAI756" s="125"/>
      <c r="EAJ756" s="125"/>
      <c r="EAK756" s="125"/>
      <c r="EAL756" s="125"/>
      <c r="EAM756" s="125"/>
      <c r="EAN756" s="125"/>
      <c r="EAO756" s="125"/>
      <c r="EAP756" s="125"/>
      <c r="EAQ756" s="125"/>
      <c r="EAR756" s="125"/>
      <c r="EAS756" s="125"/>
      <c r="EAT756" s="125"/>
      <c r="EAU756" s="125"/>
      <c r="EAV756" s="125"/>
      <c r="EAW756" s="125"/>
      <c r="EAX756" s="125"/>
      <c r="EAY756" s="125"/>
      <c r="EAZ756" s="125"/>
      <c r="EBA756" s="125"/>
      <c r="EBB756" s="125"/>
      <c r="EBC756" s="125"/>
      <c r="EBD756" s="125"/>
      <c r="EBE756" s="125"/>
      <c r="EBF756" s="125"/>
      <c r="EBG756" s="125"/>
      <c r="EBH756" s="125"/>
      <c r="EBI756" s="125"/>
      <c r="EBJ756" s="125"/>
      <c r="EBK756" s="125"/>
      <c r="EBL756" s="125"/>
      <c r="EBM756" s="125"/>
      <c r="EBN756" s="125"/>
      <c r="EBO756" s="125"/>
      <c r="EBP756" s="125"/>
      <c r="EBQ756" s="125"/>
      <c r="EBR756" s="125"/>
      <c r="EBS756" s="125"/>
      <c r="EBT756" s="125"/>
      <c r="EBU756" s="125"/>
      <c r="EBV756" s="125"/>
      <c r="EBW756" s="125"/>
      <c r="EBX756" s="125"/>
      <c r="EBY756" s="125"/>
      <c r="EBZ756" s="125"/>
      <c r="ECA756" s="125"/>
      <c r="ECB756" s="125"/>
      <c r="ECC756" s="125"/>
      <c r="ECD756" s="125"/>
      <c r="ECE756" s="125"/>
      <c r="ECF756" s="125"/>
      <c r="ECG756" s="125"/>
      <c r="ECH756" s="125"/>
      <c r="ECI756" s="125"/>
      <c r="ECJ756" s="125"/>
      <c r="ECK756" s="125"/>
      <c r="ECL756" s="125"/>
      <c r="ECM756" s="125"/>
      <c r="ECN756" s="125"/>
      <c r="ECO756" s="125"/>
      <c r="ECP756" s="125"/>
      <c r="ECQ756" s="125"/>
      <c r="ECR756" s="125"/>
      <c r="ECS756" s="125"/>
      <c r="ECT756" s="125"/>
      <c r="ECU756" s="125"/>
      <c r="ECV756" s="125"/>
      <c r="ECW756" s="125"/>
      <c r="ECX756" s="125"/>
      <c r="ECY756" s="125"/>
      <c r="ECZ756" s="125"/>
      <c r="EDA756" s="125"/>
      <c r="EDB756" s="125"/>
      <c r="EDC756" s="125"/>
      <c r="EDD756" s="125"/>
      <c r="EDE756" s="125"/>
      <c r="EDF756" s="125"/>
      <c r="EDG756" s="125"/>
      <c r="EDH756" s="125"/>
      <c r="EDI756" s="125"/>
      <c r="EDJ756" s="125"/>
      <c r="EDK756" s="125"/>
      <c r="EDL756" s="125"/>
      <c r="EDM756" s="125"/>
      <c r="EDN756" s="125"/>
      <c r="EDO756" s="125"/>
      <c r="EDP756" s="125"/>
      <c r="EDQ756" s="125"/>
      <c r="EDR756" s="125"/>
      <c r="EDS756" s="125"/>
      <c r="EDT756" s="125"/>
      <c r="EDU756" s="125"/>
      <c r="EDV756" s="125"/>
      <c r="EDW756" s="125"/>
      <c r="EDX756" s="125"/>
      <c r="EDY756" s="125"/>
      <c r="EDZ756" s="125"/>
      <c r="EEA756" s="125"/>
      <c r="EEB756" s="125"/>
      <c r="EEC756" s="125"/>
      <c r="EED756" s="125"/>
      <c r="EEE756" s="125"/>
      <c r="EEF756" s="125"/>
      <c r="EEG756" s="125"/>
      <c r="EEH756" s="125"/>
      <c r="EEI756" s="125"/>
      <c r="EEJ756" s="125"/>
      <c r="EEK756" s="125"/>
      <c r="EEL756" s="125"/>
      <c r="EEM756" s="125"/>
      <c r="EEN756" s="125"/>
      <c r="EEO756" s="125"/>
      <c r="EEP756" s="125"/>
      <c r="EEQ756" s="125"/>
      <c r="EER756" s="125"/>
      <c r="EES756" s="125"/>
      <c r="EET756" s="125"/>
      <c r="EEU756" s="125"/>
      <c r="EEV756" s="125"/>
      <c r="EEW756" s="125"/>
      <c r="EEX756" s="125"/>
      <c r="EEY756" s="125"/>
      <c r="EEZ756" s="125"/>
      <c r="EFA756" s="125"/>
      <c r="EFB756" s="125"/>
      <c r="EFC756" s="125"/>
      <c r="EFD756" s="125"/>
      <c r="EFE756" s="125"/>
      <c r="EFF756" s="125"/>
      <c r="EFG756" s="125"/>
      <c r="EFH756" s="125"/>
      <c r="EFI756" s="125"/>
      <c r="EFJ756" s="125"/>
      <c r="EFK756" s="125"/>
      <c r="EFL756" s="125"/>
      <c r="EFM756" s="125"/>
      <c r="EFN756" s="125"/>
      <c r="EFO756" s="125"/>
      <c r="EFP756" s="125"/>
      <c r="EFQ756" s="125"/>
      <c r="EFR756" s="125"/>
      <c r="EFS756" s="125"/>
      <c r="EFT756" s="125"/>
      <c r="EFU756" s="125"/>
      <c r="EFV756" s="125"/>
      <c r="EFW756" s="125"/>
      <c r="EFX756" s="125"/>
      <c r="EFY756" s="125"/>
      <c r="EFZ756" s="125"/>
      <c r="EGA756" s="125"/>
      <c r="EGB756" s="125"/>
      <c r="EGC756" s="125"/>
      <c r="EGD756" s="125"/>
      <c r="EGE756" s="125"/>
      <c r="EGF756" s="125"/>
      <c r="EGG756" s="125"/>
      <c r="EGH756" s="125"/>
      <c r="EGI756" s="125"/>
      <c r="EGJ756" s="125"/>
      <c r="EGK756" s="125"/>
      <c r="EGL756" s="125"/>
      <c r="EGM756" s="125"/>
      <c r="EGN756" s="125"/>
      <c r="EGO756" s="125"/>
      <c r="EGP756" s="125"/>
      <c r="EGQ756" s="125"/>
      <c r="EGR756" s="125"/>
      <c r="EGS756" s="125"/>
      <c r="EGT756" s="125"/>
      <c r="EGU756" s="125"/>
      <c r="EGV756" s="125"/>
      <c r="EGW756" s="125"/>
      <c r="EGX756" s="125"/>
      <c r="EGY756" s="125"/>
      <c r="EGZ756" s="125"/>
      <c r="EHA756" s="125"/>
      <c r="EHB756" s="125"/>
      <c r="EHC756" s="125"/>
      <c r="EHD756" s="125"/>
      <c r="EHE756" s="125"/>
      <c r="EHF756" s="125"/>
      <c r="EHG756" s="125"/>
      <c r="EHH756" s="125"/>
      <c r="EHI756" s="125"/>
      <c r="EHJ756" s="125"/>
      <c r="EHK756" s="125"/>
      <c r="EHL756" s="125"/>
      <c r="EHM756" s="125"/>
      <c r="EHN756" s="125"/>
      <c r="EHO756" s="125"/>
      <c r="EHP756" s="125"/>
      <c r="EHQ756" s="125"/>
      <c r="EHR756" s="125"/>
      <c r="EHS756" s="125"/>
      <c r="EHT756" s="125"/>
      <c r="EHU756" s="125"/>
      <c r="EHV756" s="125"/>
      <c r="EHW756" s="125"/>
      <c r="EHX756" s="125"/>
      <c r="EHY756" s="125"/>
      <c r="EHZ756" s="125"/>
      <c r="EIA756" s="125"/>
      <c r="EIB756" s="125"/>
      <c r="EIC756" s="125"/>
      <c r="EID756" s="125"/>
      <c r="EIE756" s="125"/>
      <c r="EIF756" s="125"/>
      <c r="EIG756" s="125"/>
      <c r="EIH756" s="125"/>
      <c r="EII756" s="125"/>
      <c r="EIJ756" s="125"/>
      <c r="EIK756" s="125"/>
      <c r="EIL756" s="125"/>
      <c r="EIM756" s="125"/>
      <c r="EIN756" s="125"/>
      <c r="EIO756" s="125"/>
      <c r="EIP756" s="125"/>
      <c r="EIQ756" s="125"/>
      <c r="EIR756" s="125"/>
      <c r="EIS756" s="125"/>
      <c r="EIT756" s="125"/>
      <c r="EIU756" s="125"/>
      <c r="EIV756" s="125"/>
      <c r="EIW756" s="125"/>
      <c r="EIX756" s="125"/>
      <c r="EIY756" s="125"/>
      <c r="EIZ756" s="125"/>
      <c r="EJA756" s="125"/>
      <c r="EJB756" s="125"/>
      <c r="EJC756" s="125"/>
      <c r="EJD756" s="125"/>
      <c r="EJE756" s="125"/>
      <c r="EJF756" s="125"/>
      <c r="EJG756" s="125"/>
      <c r="EJH756" s="125"/>
      <c r="EJI756" s="125"/>
      <c r="EJJ756" s="125"/>
      <c r="EJK756" s="125"/>
      <c r="EJL756" s="125"/>
      <c r="EJM756" s="125"/>
      <c r="EJN756" s="125"/>
      <c r="EJO756" s="125"/>
      <c r="EJP756" s="125"/>
      <c r="EJQ756" s="125"/>
      <c r="EJR756" s="125"/>
      <c r="EJS756" s="125"/>
      <c r="EJT756" s="125"/>
      <c r="EJU756" s="125"/>
      <c r="EJV756" s="125"/>
      <c r="EJW756" s="125"/>
      <c r="EJX756" s="125"/>
      <c r="EJY756" s="125"/>
      <c r="EJZ756" s="125"/>
      <c r="EKA756" s="125"/>
      <c r="EKB756" s="125"/>
      <c r="EKC756" s="125"/>
      <c r="EKD756" s="125"/>
      <c r="EKE756" s="125"/>
      <c r="EKF756" s="125"/>
      <c r="EKG756" s="125"/>
      <c r="EKH756" s="125"/>
      <c r="EKI756" s="125"/>
      <c r="EKJ756" s="125"/>
      <c r="EKK756" s="125"/>
      <c r="EKL756" s="125"/>
      <c r="EKM756" s="125"/>
      <c r="EKN756" s="125"/>
      <c r="EKO756" s="125"/>
      <c r="EKP756" s="125"/>
      <c r="EKQ756" s="125"/>
      <c r="EKR756" s="125"/>
      <c r="EKS756" s="125"/>
      <c r="EKT756" s="125"/>
      <c r="EKU756" s="125"/>
      <c r="EKV756" s="125"/>
      <c r="EKW756" s="125"/>
      <c r="EKX756" s="125"/>
      <c r="EKY756" s="125"/>
      <c r="EKZ756" s="125"/>
      <c r="ELA756" s="125"/>
      <c r="ELB756" s="125"/>
      <c r="ELC756" s="125"/>
      <c r="ELD756" s="125"/>
      <c r="ELE756" s="125"/>
      <c r="ELF756" s="125"/>
      <c r="ELG756" s="125"/>
      <c r="ELH756" s="125"/>
      <c r="ELI756" s="125"/>
      <c r="ELJ756" s="125"/>
      <c r="ELK756" s="125"/>
      <c r="ELL756" s="125"/>
      <c r="ELM756" s="125"/>
      <c r="ELN756" s="125"/>
      <c r="ELO756" s="125"/>
      <c r="ELP756" s="125"/>
      <c r="ELQ756" s="125"/>
      <c r="ELR756" s="125"/>
      <c r="ELS756" s="125"/>
      <c r="ELT756" s="125"/>
      <c r="ELU756" s="125"/>
      <c r="ELV756" s="125"/>
      <c r="ELW756" s="125"/>
      <c r="ELX756" s="125"/>
      <c r="ELY756" s="125"/>
      <c r="ELZ756" s="125"/>
      <c r="EMA756" s="125"/>
      <c r="EMB756" s="125"/>
      <c r="EMC756" s="125"/>
      <c r="EMD756" s="125"/>
      <c r="EME756" s="125"/>
      <c r="EMF756" s="125"/>
      <c r="EMG756" s="125"/>
      <c r="EMH756" s="125"/>
      <c r="EMI756" s="125"/>
      <c r="EMJ756" s="125"/>
      <c r="EMK756" s="125"/>
      <c r="EML756" s="125"/>
      <c r="EMM756" s="125"/>
      <c r="EMN756" s="125"/>
      <c r="EMO756" s="125"/>
      <c r="EMP756" s="125"/>
      <c r="EMQ756" s="125"/>
      <c r="EMR756" s="125"/>
      <c r="EMS756" s="125"/>
      <c r="EMT756" s="125"/>
      <c r="EMU756" s="125"/>
      <c r="EMV756" s="125"/>
      <c r="EMW756" s="125"/>
      <c r="EMX756" s="125"/>
      <c r="EMY756" s="125"/>
      <c r="EMZ756" s="125"/>
      <c r="ENA756" s="125"/>
      <c r="ENB756" s="125"/>
      <c r="ENC756" s="125"/>
      <c r="END756" s="125"/>
      <c r="ENE756" s="125"/>
      <c r="ENF756" s="125"/>
      <c r="ENG756" s="125"/>
      <c r="ENH756" s="125"/>
      <c r="ENI756" s="125"/>
      <c r="ENJ756" s="125"/>
      <c r="ENK756" s="125"/>
      <c r="ENL756" s="125"/>
      <c r="ENM756" s="125"/>
      <c r="ENN756" s="125"/>
      <c r="ENO756" s="125"/>
      <c r="ENP756" s="125"/>
      <c r="ENQ756" s="125"/>
      <c r="ENR756" s="125"/>
      <c r="ENS756" s="125"/>
      <c r="ENT756" s="125"/>
      <c r="ENU756" s="125"/>
      <c r="ENV756" s="125"/>
      <c r="ENW756" s="125"/>
      <c r="ENX756" s="125"/>
      <c r="ENY756" s="125"/>
      <c r="ENZ756" s="125"/>
      <c r="EOA756" s="125"/>
      <c r="EOB756" s="125"/>
      <c r="EOC756" s="125"/>
      <c r="EOD756" s="125"/>
      <c r="EOE756" s="125"/>
      <c r="EOF756" s="125"/>
      <c r="EOG756" s="125"/>
      <c r="EOH756" s="125"/>
      <c r="EOI756" s="125"/>
      <c r="EOJ756" s="125"/>
      <c r="EOK756" s="125"/>
      <c r="EOL756" s="125"/>
      <c r="EOM756" s="125"/>
      <c r="EON756" s="125"/>
      <c r="EOO756" s="125"/>
      <c r="EOP756" s="125"/>
      <c r="EOQ756" s="125"/>
      <c r="EOR756" s="125"/>
      <c r="EOS756" s="125"/>
      <c r="EOT756" s="125"/>
      <c r="EOU756" s="125"/>
      <c r="EOV756" s="125"/>
      <c r="EOW756" s="125"/>
      <c r="EOX756" s="125"/>
      <c r="EOY756" s="125"/>
      <c r="EOZ756" s="125"/>
      <c r="EPA756" s="125"/>
      <c r="EPB756" s="125"/>
      <c r="EPC756" s="125"/>
      <c r="EPD756" s="125"/>
      <c r="EPE756" s="125"/>
      <c r="EPF756" s="125"/>
      <c r="EPG756" s="125"/>
      <c r="EPH756" s="125"/>
      <c r="EPI756" s="125"/>
      <c r="EPJ756" s="125"/>
      <c r="EPK756" s="125"/>
      <c r="EPL756" s="125"/>
      <c r="EPM756" s="125"/>
      <c r="EPN756" s="125"/>
      <c r="EPO756" s="125"/>
      <c r="EPP756" s="125"/>
      <c r="EPQ756" s="125"/>
      <c r="EPR756" s="125"/>
      <c r="EPS756" s="125"/>
      <c r="EPT756" s="125"/>
      <c r="EPU756" s="125"/>
      <c r="EPV756" s="125"/>
      <c r="EPW756" s="125"/>
      <c r="EPX756" s="125"/>
      <c r="EPY756" s="125"/>
      <c r="EPZ756" s="125"/>
      <c r="EQA756" s="125"/>
      <c r="EQB756" s="125"/>
      <c r="EQC756" s="125"/>
      <c r="EQD756" s="125"/>
      <c r="EQE756" s="125"/>
      <c r="EQF756" s="125"/>
      <c r="EQG756" s="125"/>
      <c r="EQH756" s="125"/>
      <c r="EQI756" s="125"/>
      <c r="EQJ756" s="125"/>
      <c r="EQK756" s="125"/>
      <c r="EQL756" s="125"/>
      <c r="EQM756" s="125"/>
      <c r="EQN756" s="125"/>
      <c r="EQO756" s="125"/>
      <c r="EQP756" s="125"/>
      <c r="EQQ756" s="125"/>
      <c r="EQR756" s="125"/>
      <c r="EQS756" s="125"/>
      <c r="EQT756" s="125"/>
      <c r="EQU756" s="125"/>
      <c r="EQV756" s="125"/>
      <c r="EQW756" s="125"/>
      <c r="EQX756" s="125"/>
      <c r="EQY756" s="125"/>
      <c r="EQZ756" s="125"/>
      <c r="ERA756" s="125"/>
      <c r="ERB756" s="125"/>
      <c r="ERC756" s="125"/>
      <c r="ERD756" s="125"/>
      <c r="ERE756" s="125"/>
      <c r="ERF756" s="125"/>
      <c r="ERG756" s="125"/>
      <c r="ERH756" s="125"/>
      <c r="ERI756" s="125"/>
      <c r="ERJ756" s="125"/>
      <c r="ERK756" s="125"/>
      <c r="ERL756" s="125"/>
      <c r="ERM756" s="125"/>
      <c r="ERN756" s="125"/>
      <c r="ERO756" s="125"/>
      <c r="ERP756" s="125"/>
      <c r="ERQ756" s="125"/>
      <c r="ERR756" s="125"/>
      <c r="ERS756" s="125"/>
      <c r="ERT756" s="125"/>
      <c r="ERU756" s="125"/>
      <c r="ERV756" s="125"/>
      <c r="ERW756" s="125"/>
      <c r="ERX756" s="125"/>
      <c r="ERY756" s="125"/>
      <c r="ERZ756" s="125"/>
      <c r="ESA756" s="125"/>
      <c r="ESB756" s="125"/>
      <c r="ESC756" s="125"/>
      <c r="ESD756" s="125"/>
      <c r="ESE756" s="125"/>
      <c r="ESF756" s="125"/>
      <c r="ESG756" s="125"/>
      <c r="ESH756" s="125"/>
      <c r="ESI756" s="125"/>
      <c r="ESJ756" s="125"/>
      <c r="ESK756" s="125"/>
      <c r="ESL756" s="125"/>
      <c r="ESM756" s="125"/>
      <c r="ESN756" s="125"/>
      <c r="ESO756" s="125"/>
      <c r="ESP756" s="125"/>
      <c r="ESQ756" s="125"/>
      <c r="ESR756" s="125"/>
      <c r="ESS756" s="125"/>
      <c r="EST756" s="125"/>
      <c r="ESU756" s="125"/>
      <c r="ESV756" s="125"/>
      <c r="ESW756" s="125"/>
      <c r="ESX756" s="125"/>
      <c r="ESY756" s="125"/>
      <c r="ESZ756" s="125"/>
      <c r="ETA756" s="125"/>
      <c r="ETB756" s="125"/>
      <c r="ETC756" s="125"/>
      <c r="ETD756" s="125"/>
      <c r="ETE756" s="125"/>
      <c r="ETF756" s="125"/>
      <c r="ETG756" s="125"/>
      <c r="ETH756" s="125"/>
      <c r="ETI756" s="125"/>
      <c r="ETJ756" s="125"/>
      <c r="ETK756" s="125"/>
      <c r="ETL756" s="125"/>
      <c r="ETM756" s="125"/>
      <c r="ETN756" s="125"/>
      <c r="ETO756" s="125"/>
      <c r="ETP756" s="125"/>
      <c r="ETQ756" s="125"/>
      <c r="ETR756" s="125"/>
      <c r="ETS756" s="125"/>
      <c r="ETT756" s="125"/>
      <c r="ETU756" s="125"/>
      <c r="ETV756" s="125"/>
      <c r="ETW756" s="125"/>
      <c r="ETX756" s="125"/>
      <c r="ETY756" s="125"/>
      <c r="ETZ756" s="125"/>
      <c r="EUA756" s="125"/>
      <c r="EUB756" s="125"/>
      <c r="EUC756" s="125"/>
      <c r="EUD756" s="125"/>
      <c r="EUE756" s="125"/>
      <c r="EUF756" s="125"/>
      <c r="EUG756" s="125"/>
      <c r="EUH756" s="125"/>
      <c r="EUI756" s="125"/>
      <c r="EUJ756" s="125"/>
      <c r="EUK756" s="125"/>
      <c r="EUL756" s="125"/>
      <c r="EUM756" s="125"/>
      <c r="EUN756" s="125"/>
      <c r="EUO756" s="125"/>
      <c r="EUP756" s="125"/>
      <c r="EUQ756" s="125"/>
      <c r="EUR756" s="125"/>
      <c r="EUS756" s="125"/>
      <c r="EUT756" s="125"/>
      <c r="EUU756" s="125"/>
      <c r="EUV756" s="125"/>
      <c r="EUW756" s="125"/>
      <c r="EUX756" s="125"/>
      <c r="EUY756" s="125"/>
      <c r="EUZ756" s="125"/>
      <c r="EVA756" s="125"/>
      <c r="EVB756" s="125"/>
      <c r="EVC756" s="125"/>
      <c r="EVD756" s="125"/>
      <c r="EVE756" s="125"/>
      <c r="EVF756" s="125"/>
      <c r="EVG756" s="125"/>
      <c r="EVH756" s="125"/>
      <c r="EVI756" s="125"/>
      <c r="EVJ756" s="125"/>
      <c r="EVK756" s="125"/>
      <c r="EVL756" s="125"/>
      <c r="EVM756" s="125"/>
      <c r="EVN756" s="125"/>
      <c r="EVO756" s="125"/>
      <c r="EVP756" s="125"/>
      <c r="EVQ756" s="125"/>
      <c r="EVR756" s="125"/>
      <c r="EVS756" s="125"/>
      <c r="EVT756" s="125"/>
      <c r="EVU756" s="125"/>
      <c r="EVV756" s="125"/>
      <c r="EVW756" s="125"/>
      <c r="EVX756" s="125"/>
      <c r="EVY756" s="125"/>
      <c r="EVZ756" s="125"/>
      <c r="EWA756" s="125"/>
      <c r="EWB756" s="125"/>
      <c r="EWC756" s="125"/>
      <c r="EWD756" s="125"/>
      <c r="EWE756" s="125"/>
      <c r="EWF756" s="125"/>
      <c r="EWG756" s="125"/>
      <c r="EWH756" s="125"/>
      <c r="EWI756" s="125"/>
      <c r="EWJ756" s="125"/>
      <c r="EWK756" s="125"/>
      <c r="EWL756" s="125"/>
      <c r="EWM756" s="125"/>
      <c r="EWN756" s="125"/>
      <c r="EWO756" s="125"/>
      <c r="EWP756" s="125"/>
      <c r="EWQ756" s="125"/>
      <c r="EWR756" s="125"/>
      <c r="EWS756" s="125"/>
      <c r="EWT756" s="125"/>
      <c r="EWU756" s="125"/>
      <c r="EWV756" s="125"/>
      <c r="EWW756" s="125"/>
      <c r="EWX756" s="125"/>
      <c r="EWY756" s="125"/>
      <c r="EWZ756" s="125"/>
      <c r="EXA756" s="125"/>
      <c r="EXB756" s="125"/>
      <c r="EXC756" s="125"/>
      <c r="EXD756" s="125"/>
      <c r="EXE756" s="125"/>
      <c r="EXF756" s="125"/>
      <c r="EXG756" s="125"/>
      <c r="EXH756" s="125"/>
      <c r="EXI756" s="125"/>
      <c r="EXJ756" s="125"/>
      <c r="EXK756" s="125"/>
      <c r="EXL756" s="125"/>
      <c r="EXM756" s="125"/>
      <c r="EXN756" s="125"/>
      <c r="EXO756" s="125"/>
      <c r="EXP756" s="125"/>
      <c r="EXQ756" s="125"/>
      <c r="EXR756" s="125"/>
      <c r="EXS756" s="125"/>
      <c r="EXT756" s="125"/>
      <c r="EXU756" s="125"/>
      <c r="EXV756" s="125"/>
      <c r="EXW756" s="125"/>
      <c r="EXX756" s="125"/>
      <c r="EXY756" s="125"/>
      <c r="EXZ756" s="125"/>
      <c r="EYA756" s="125"/>
      <c r="EYB756" s="125"/>
      <c r="EYC756" s="125"/>
      <c r="EYD756" s="125"/>
      <c r="EYE756" s="125"/>
      <c r="EYF756" s="125"/>
      <c r="EYG756" s="125"/>
      <c r="EYH756" s="125"/>
      <c r="EYI756" s="125"/>
      <c r="EYJ756" s="125"/>
      <c r="EYK756" s="125"/>
      <c r="EYL756" s="125"/>
      <c r="EYM756" s="125"/>
      <c r="EYN756" s="125"/>
      <c r="EYO756" s="125"/>
      <c r="EYP756" s="125"/>
      <c r="EYQ756" s="125"/>
      <c r="EYR756" s="125"/>
      <c r="EYS756" s="125"/>
      <c r="EYT756" s="125"/>
      <c r="EYU756" s="125"/>
      <c r="EYV756" s="125"/>
      <c r="EYW756" s="125"/>
      <c r="EYX756" s="125"/>
      <c r="EYY756" s="125"/>
      <c r="EYZ756" s="125"/>
      <c r="EZA756" s="125"/>
      <c r="EZB756" s="125"/>
      <c r="EZC756" s="125"/>
      <c r="EZD756" s="125"/>
      <c r="EZE756" s="125"/>
      <c r="EZF756" s="125"/>
      <c r="EZG756" s="125"/>
      <c r="EZH756" s="125"/>
      <c r="EZI756" s="125"/>
      <c r="EZJ756" s="125"/>
      <c r="EZK756" s="125"/>
      <c r="EZL756" s="125"/>
      <c r="EZM756" s="125"/>
      <c r="EZN756" s="125"/>
      <c r="EZO756" s="125"/>
      <c r="EZP756" s="125"/>
      <c r="EZQ756" s="125"/>
      <c r="EZR756" s="125"/>
      <c r="EZS756" s="125"/>
      <c r="EZT756" s="125"/>
      <c r="EZU756" s="125"/>
      <c r="EZV756" s="125"/>
      <c r="EZW756" s="125"/>
      <c r="EZX756" s="125"/>
      <c r="EZY756" s="125"/>
      <c r="EZZ756" s="125"/>
      <c r="FAA756" s="125"/>
      <c r="FAB756" s="125"/>
      <c r="FAC756" s="125"/>
      <c r="FAD756" s="125"/>
      <c r="FAE756" s="125"/>
      <c r="FAF756" s="125"/>
      <c r="FAG756" s="125"/>
      <c r="FAH756" s="125"/>
      <c r="FAI756" s="125"/>
      <c r="FAJ756" s="125"/>
      <c r="FAK756" s="125"/>
      <c r="FAL756" s="125"/>
      <c r="FAM756" s="125"/>
      <c r="FAN756" s="125"/>
      <c r="FAO756" s="125"/>
      <c r="FAP756" s="125"/>
      <c r="FAQ756" s="125"/>
      <c r="FAR756" s="125"/>
      <c r="FAS756" s="125"/>
      <c r="FAT756" s="125"/>
      <c r="FAU756" s="125"/>
      <c r="FAV756" s="125"/>
      <c r="FAW756" s="125"/>
      <c r="FAX756" s="125"/>
      <c r="FAY756" s="125"/>
      <c r="FAZ756" s="125"/>
      <c r="FBA756" s="125"/>
      <c r="FBB756" s="125"/>
      <c r="FBC756" s="125"/>
      <c r="FBD756" s="125"/>
      <c r="FBE756" s="125"/>
      <c r="FBF756" s="125"/>
      <c r="FBG756" s="125"/>
      <c r="FBH756" s="125"/>
      <c r="FBI756" s="125"/>
      <c r="FBJ756" s="125"/>
      <c r="FBK756" s="125"/>
      <c r="FBL756" s="125"/>
      <c r="FBM756" s="125"/>
      <c r="FBN756" s="125"/>
      <c r="FBO756" s="125"/>
      <c r="FBP756" s="125"/>
      <c r="FBQ756" s="125"/>
      <c r="FBR756" s="125"/>
      <c r="FBS756" s="125"/>
      <c r="FBT756" s="125"/>
      <c r="FBU756" s="125"/>
      <c r="FBV756" s="125"/>
      <c r="FBW756" s="125"/>
      <c r="FBX756" s="125"/>
      <c r="FBY756" s="125"/>
      <c r="FBZ756" s="125"/>
      <c r="FCA756" s="125"/>
      <c r="FCB756" s="125"/>
      <c r="FCC756" s="125"/>
      <c r="FCD756" s="125"/>
      <c r="FCE756" s="125"/>
      <c r="FCF756" s="125"/>
      <c r="FCG756" s="125"/>
      <c r="FCH756" s="125"/>
      <c r="FCI756" s="125"/>
      <c r="FCJ756" s="125"/>
      <c r="FCK756" s="125"/>
      <c r="FCL756" s="125"/>
      <c r="FCM756" s="125"/>
      <c r="FCN756" s="125"/>
      <c r="FCO756" s="125"/>
      <c r="FCP756" s="125"/>
      <c r="FCQ756" s="125"/>
      <c r="FCR756" s="125"/>
      <c r="FCS756" s="125"/>
      <c r="FCT756" s="125"/>
      <c r="FCU756" s="125"/>
      <c r="FCV756" s="125"/>
      <c r="FCW756" s="125"/>
      <c r="FCX756" s="125"/>
      <c r="FCY756" s="125"/>
      <c r="FCZ756" s="125"/>
      <c r="FDA756" s="125"/>
      <c r="FDB756" s="125"/>
      <c r="FDC756" s="125"/>
      <c r="FDD756" s="125"/>
      <c r="FDE756" s="125"/>
      <c r="FDF756" s="125"/>
      <c r="FDG756" s="125"/>
      <c r="FDH756" s="125"/>
      <c r="FDI756" s="125"/>
      <c r="FDJ756" s="125"/>
      <c r="FDK756" s="125"/>
      <c r="FDL756" s="125"/>
      <c r="FDM756" s="125"/>
      <c r="FDN756" s="125"/>
      <c r="FDO756" s="125"/>
      <c r="FDP756" s="125"/>
      <c r="FDQ756" s="125"/>
      <c r="FDR756" s="125"/>
      <c r="FDS756" s="125"/>
      <c r="FDT756" s="125"/>
      <c r="FDU756" s="125"/>
      <c r="FDV756" s="125"/>
      <c r="FDW756" s="125"/>
      <c r="FDX756" s="125"/>
      <c r="FDY756" s="125"/>
      <c r="FDZ756" s="125"/>
      <c r="FEA756" s="125"/>
      <c r="FEB756" s="125"/>
      <c r="FEC756" s="125"/>
      <c r="FED756" s="125"/>
      <c r="FEE756" s="125"/>
      <c r="FEF756" s="125"/>
      <c r="FEG756" s="125"/>
      <c r="FEH756" s="125"/>
      <c r="FEI756" s="125"/>
      <c r="FEJ756" s="125"/>
      <c r="FEK756" s="125"/>
      <c r="FEL756" s="125"/>
      <c r="FEM756" s="125"/>
      <c r="FEN756" s="125"/>
      <c r="FEO756" s="125"/>
      <c r="FEP756" s="125"/>
      <c r="FEQ756" s="125"/>
      <c r="FER756" s="125"/>
      <c r="FES756" s="125"/>
      <c r="FET756" s="125"/>
      <c r="FEU756" s="125"/>
      <c r="FEV756" s="125"/>
      <c r="FEW756" s="125"/>
      <c r="FEX756" s="125"/>
      <c r="FEY756" s="125"/>
      <c r="FEZ756" s="125"/>
      <c r="FFA756" s="125"/>
      <c r="FFB756" s="125"/>
      <c r="FFC756" s="125"/>
      <c r="FFD756" s="125"/>
      <c r="FFE756" s="125"/>
      <c r="FFF756" s="125"/>
      <c r="FFG756" s="125"/>
      <c r="FFH756" s="125"/>
      <c r="FFI756" s="125"/>
      <c r="FFJ756" s="125"/>
      <c r="FFK756" s="125"/>
      <c r="FFL756" s="125"/>
      <c r="FFM756" s="125"/>
      <c r="FFN756" s="125"/>
      <c r="FFO756" s="125"/>
      <c r="FFP756" s="125"/>
      <c r="FFQ756" s="125"/>
      <c r="FFR756" s="125"/>
      <c r="FFS756" s="125"/>
      <c r="FFT756" s="125"/>
      <c r="FFU756" s="125"/>
      <c r="FFV756" s="125"/>
      <c r="FFW756" s="125"/>
      <c r="FFX756" s="125"/>
      <c r="FFY756" s="125"/>
      <c r="FFZ756" s="125"/>
      <c r="FGA756" s="125"/>
      <c r="FGB756" s="125"/>
      <c r="FGC756" s="125"/>
      <c r="FGD756" s="125"/>
      <c r="FGE756" s="125"/>
      <c r="FGF756" s="125"/>
      <c r="FGG756" s="125"/>
      <c r="FGH756" s="125"/>
      <c r="FGI756" s="125"/>
      <c r="FGJ756" s="125"/>
      <c r="FGK756" s="125"/>
      <c r="FGL756" s="125"/>
      <c r="FGM756" s="125"/>
      <c r="FGN756" s="125"/>
      <c r="FGO756" s="125"/>
      <c r="FGP756" s="125"/>
      <c r="FGQ756" s="125"/>
      <c r="FGR756" s="125"/>
      <c r="FGS756" s="125"/>
      <c r="FGT756" s="125"/>
      <c r="FGU756" s="125"/>
      <c r="FGV756" s="125"/>
      <c r="FGW756" s="125"/>
      <c r="FGX756" s="125"/>
      <c r="FGY756" s="125"/>
      <c r="FGZ756" s="125"/>
      <c r="FHA756" s="125"/>
      <c r="FHB756" s="125"/>
      <c r="FHC756" s="125"/>
      <c r="FHD756" s="125"/>
      <c r="FHE756" s="125"/>
      <c r="FHF756" s="125"/>
      <c r="FHG756" s="125"/>
      <c r="FHH756" s="125"/>
      <c r="FHI756" s="125"/>
      <c r="FHJ756" s="125"/>
      <c r="FHK756" s="125"/>
      <c r="FHL756" s="125"/>
      <c r="FHM756" s="125"/>
      <c r="FHN756" s="125"/>
      <c r="FHO756" s="125"/>
      <c r="FHP756" s="125"/>
      <c r="FHQ756" s="125"/>
      <c r="FHR756" s="125"/>
      <c r="FHS756" s="125"/>
      <c r="FHT756" s="125"/>
      <c r="FHU756" s="125"/>
      <c r="FHV756" s="125"/>
      <c r="FHW756" s="125"/>
      <c r="FHX756" s="125"/>
      <c r="FHY756" s="125"/>
      <c r="FHZ756" s="125"/>
      <c r="FIA756" s="125"/>
      <c r="FIB756" s="125"/>
      <c r="FIC756" s="125"/>
      <c r="FID756" s="125"/>
      <c r="FIE756" s="125"/>
      <c r="FIF756" s="125"/>
      <c r="FIG756" s="125"/>
      <c r="FIH756" s="125"/>
      <c r="FII756" s="125"/>
      <c r="FIJ756" s="125"/>
      <c r="FIK756" s="125"/>
      <c r="FIL756" s="125"/>
      <c r="FIM756" s="125"/>
      <c r="FIN756" s="125"/>
      <c r="FIO756" s="125"/>
      <c r="FIP756" s="125"/>
      <c r="FIQ756" s="125"/>
      <c r="FIR756" s="125"/>
      <c r="FIS756" s="125"/>
      <c r="FIT756" s="125"/>
      <c r="FIU756" s="125"/>
      <c r="FIV756" s="125"/>
      <c r="FIW756" s="125"/>
      <c r="FIX756" s="125"/>
      <c r="FIY756" s="125"/>
      <c r="FIZ756" s="125"/>
      <c r="FJA756" s="125"/>
      <c r="FJB756" s="125"/>
      <c r="FJC756" s="125"/>
      <c r="FJD756" s="125"/>
      <c r="FJE756" s="125"/>
      <c r="FJF756" s="125"/>
      <c r="FJG756" s="125"/>
      <c r="FJH756" s="125"/>
      <c r="FJI756" s="125"/>
      <c r="FJJ756" s="125"/>
      <c r="FJK756" s="125"/>
      <c r="FJL756" s="125"/>
      <c r="FJM756" s="125"/>
      <c r="FJN756" s="125"/>
      <c r="FJO756" s="125"/>
      <c r="FJP756" s="125"/>
      <c r="FJQ756" s="125"/>
      <c r="FJR756" s="125"/>
      <c r="FJS756" s="125"/>
      <c r="FJT756" s="125"/>
      <c r="FJU756" s="125"/>
      <c r="FJV756" s="125"/>
      <c r="FJW756" s="125"/>
      <c r="FJX756" s="125"/>
      <c r="FJY756" s="125"/>
      <c r="FJZ756" s="125"/>
      <c r="FKA756" s="125"/>
      <c r="FKB756" s="125"/>
      <c r="FKC756" s="125"/>
      <c r="FKD756" s="125"/>
      <c r="FKE756" s="125"/>
      <c r="FKF756" s="125"/>
      <c r="FKG756" s="125"/>
      <c r="FKH756" s="125"/>
      <c r="FKI756" s="125"/>
      <c r="FKJ756" s="125"/>
      <c r="FKK756" s="125"/>
      <c r="FKL756" s="125"/>
      <c r="FKM756" s="125"/>
      <c r="FKN756" s="125"/>
      <c r="FKO756" s="125"/>
      <c r="FKP756" s="125"/>
      <c r="FKQ756" s="125"/>
      <c r="FKR756" s="125"/>
      <c r="FKS756" s="125"/>
      <c r="FKT756" s="125"/>
      <c r="FKU756" s="125"/>
      <c r="FKV756" s="125"/>
      <c r="FKW756" s="125"/>
      <c r="FKX756" s="125"/>
      <c r="FKY756" s="125"/>
      <c r="FKZ756" s="125"/>
      <c r="FLA756" s="125"/>
      <c r="FLB756" s="125"/>
      <c r="FLC756" s="125"/>
      <c r="FLD756" s="125"/>
      <c r="FLE756" s="125"/>
      <c r="FLF756" s="125"/>
      <c r="FLG756" s="125"/>
      <c r="FLH756" s="125"/>
      <c r="FLI756" s="125"/>
      <c r="FLJ756" s="125"/>
      <c r="FLK756" s="125"/>
      <c r="FLL756" s="125"/>
      <c r="FLM756" s="125"/>
      <c r="FLN756" s="125"/>
      <c r="FLO756" s="125"/>
      <c r="FLP756" s="125"/>
      <c r="FLQ756" s="125"/>
      <c r="FLR756" s="125"/>
      <c r="FLS756" s="125"/>
      <c r="FLT756" s="125"/>
      <c r="FLU756" s="125"/>
      <c r="FLV756" s="125"/>
      <c r="FLW756" s="125"/>
      <c r="FLX756" s="125"/>
      <c r="FLY756" s="125"/>
      <c r="FLZ756" s="125"/>
      <c r="FMA756" s="125"/>
      <c r="FMB756" s="125"/>
      <c r="FMC756" s="125"/>
      <c r="FMD756" s="125"/>
      <c r="FME756" s="125"/>
      <c r="FMF756" s="125"/>
      <c r="FMG756" s="125"/>
      <c r="FMH756" s="125"/>
      <c r="FMI756" s="125"/>
      <c r="FMJ756" s="125"/>
      <c r="FMK756" s="125"/>
      <c r="FML756" s="125"/>
      <c r="FMM756" s="125"/>
      <c r="FMN756" s="125"/>
      <c r="FMO756" s="125"/>
      <c r="FMP756" s="125"/>
      <c r="FMQ756" s="125"/>
      <c r="FMR756" s="125"/>
      <c r="FMS756" s="125"/>
      <c r="FMT756" s="125"/>
      <c r="FMU756" s="125"/>
      <c r="FMV756" s="125"/>
      <c r="FMW756" s="125"/>
      <c r="FMX756" s="125"/>
      <c r="FMY756" s="125"/>
      <c r="FMZ756" s="125"/>
      <c r="FNA756" s="125"/>
      <c r="FNB756" s="125"/>
      <c r="FNC756" s="125"/>
      <c r="FND756" s="125"/>
      <c r="FNE756" s="125"/>
      <c r="FNF756" s="125"/>
      <c r="FNG756" s="125"/>
      <c r="FNH756" s="125"/>
      <c r="FNI756" s="125"/>
      <c r="FNJ756" s="125"/>
      <c r="FNK756" s="125"/>
      <c r="FNL756" s="125"/>
      <c r="FNM756" s="125"/>
      <c r="FNN756" s="125"/>
      <c r="FNO756" s="125"/>
      <c r="FNP756" s="125"/>
      <c r="FNQ756" s="125"/>
      <c r="FNR756" s="125"/>
      <c r="FNS756" s="125"/>
      <c r="FNT756" s="125"/>
      <c r="FNU756" s="125"/>
      <c r="FNV756" s="125"/>
      <c r="FNW756" s="125"/>
      <c r="FNX756" s="125"/>
      <c r="FNY756" s="125"/>
      <c r="FNZ756" s="125"/>
      <c r="FOA756" s="125"/>
      <c r="FOB756" s="125"/>
      <c r="FOC756" s="125"/>
      <c r="FOD756" s="125"/>
      <c r="FOE756" s="125"/>
      <c r="FOF756" s="125"/>
      <c r="FOG756" s="125"/>
      <c r="FOH756" s="125"/>
      <c r="FOI756" s="125"/>
      <c r="FOJ756" s="125"/>
      <c r="FOK756" s="125"/>
      <c r="FOL756" s="125"/>
      <c r="FOM756" s="125"/>
      <c r="FON756" s="125"/>
      <c r="FOO756" s="125"/>
      <c r="FOP756" s="125"/>
      <c r="FOQ756" s="125"/>
      <c r="FOR756" s="125"/>
      <c r="FOS756" s="125"/>
      <c r="FOT756" s="125"/>
      <c r="FOU756" s="125"/>
      <c r="FOV756" s="125"/>
      <c r="FOW756" s="125"/>
      <c r="FOX756" s="125"/>
      <c r="FOY756" s="125"/>
      <c r="FOZ756" s="125"/>
      <c r="FPA756" s="125"/>
      <c r="FPB756" s="125"/>
      <c r="FPC756" s="125"/>
      <c r="FPD756" s="125"/>
      <c r="FPE756" s="125"/>
      <c r="FPF756" s="125"/>
      <c r="FPG756" s="125"/>
      <c r="FPH756" s="125"/>
      <c r="FPI756" s="125"/>
      <c r="FPJ756" s="125"/>
      <c r="FPK756" s="125"/>
      <c r="FPL756" s="125"/>
      <c r="FPM756" s="125"/>
      <c r="FPN756" s="125"/>
      <c r="FPO756" s="125"/>
      <c r="FPP756" s="125"/>
      <c r="FPQ756" s="125"/>
      <c r="FPR756" s="125"/>
      <c r="FPS756" s="125"/>
      <c r="FPT756" s="125"/>
      <c r="FPU756" s="125"/>
      <c r="FPV756" s="125"/>
      <c r="FPW756" s="125"/>
      <c r="FPX756" s="125"/>
      <c r="FPY756" s="125"/>
      <c r="FPZ756" s="125"/>
      <c r="FQA756" s="125"/>
      <c r="FQB756" s="125"/>
      <c r="FQC756" s="125"/>
      <c r="FQD756" s="125"/>
      <c r="FQE756" s="125"/>
      <c r="FQF756" s="125"/>
      <c r="FQG756" s="125"/>
      <c r="FQH756" s="125"/>
      <c r="FQI756" s="125"/>
      <c r="FQJ756" s="125"/>
      <c r="FQK756" s="125"/>
      <c r="FQL756" s="125"/>
      <c r="FQM756" s="125"/>
      <c r="FQN756" s="125"/>
      <c r="FQO756" s="125"/>
      <c r="FQP756" s="125"/>
      <c r="FQQ756" s="125"/>
      <c r="FQR756" s="125"/>
      <c r="FQS756" s="125"/>
      <c r="FQT756" s="125"/>
      <c r="FQU756" s="125"/>
      <c r="FQV756" s="125"/>
      <c r="FQW756" s="125"/>
      <c r="FQX756" s="125"/>
      <c r="FQY756" s="125"/>
      <c r="FQZ756" s="125"/>
      <c r="FRA756" s="125"/>
      <c r="FRB756" s="125"/>
      <c r="FRC756" s="125"/>
      <c r="FRD756" s="125"/>
      <c r="FRE756" s="125"/>
      <c r="FRF756" s="125"/>
      <c r="FRG756" s="125"/>
      <c r="FRH756" s="125"/>
      <c r="FRI756" s="125"/>
      <c r="FRJ756" s="125"/>
      <c r="FRK756" s="125"/>
      <c r="FRL756" s="125"/>
      <c r="FRM756" s="125"/>
      <c r="FRN756" s="125"/>
      <c r="FRO756" s="125"/>
      <c r="FRP756" s="125"/>
      <c r="FRQ756" s="125"/>
      <c r="FRR756" s="125"/>
      <c r="FRS756" s="125"/>
      <c r="FRT756" s="125"/>
      <c r="FRU756" s="125"/>
      <c r="FRV756" s="125"/>
      <c r="FRW756" s="125"/>
      <c r="FRX756" s="125"/>
      <c r="FRY756" s="125"/>
      <c r="FRZ756" s="125"/>
      <c r="FSA756" s="125"/>
      <c r="FSB756" s="125"/>
      <c r="FSC756" s="125"/>
      <c r="FSD756" s="125"/>
      <c r="FSE756" s="125"/>
      <c r="FSF756" s="125"/>
      <c r="FSG756" s="125"/>
      <c r="FSH756" s="125"/>
      <c r="FSI756" s="125"/>
      <c r="FSJ756" s="125"/>
      <c r="FSK756" s="125"/>
      <c r="FSL756" s="125"/>
      <c r="FSM756" s="125"/>
      <c r="FSN756" s="125"/>
      <c r="FSO756" s="125"/>
      <c r="FSP756" s="125"/>
      <c r="FSQ756" s="125"/>
      <c r="FSR756" s="125"/>
      <c r="FSS756" s="125"/>
      <c r="FST756" s="125"/>
      <c r="FSU756" s="125"/>
      <c r="FSV756" s="125"/>
      <c r="FSW756" s="125"/>
      <c r="FSX756" s="125"/>
      <c r="FSY756" s="125"/>
      <c r="FSZ756" s="125"/>
      <c r="FTA756" s="125"/>
      <c r="FTB756" s="125"/>
      <c r="FTC756" s="125"/>
      <c r="FTD756" s="125"/>
      <c r="FTE756" s="125"/>
      <c r="FTF756" s="125"/>
      <c r="FTG756" s="125"/>
      <c r="FTH756" s="125"/>
      <c r="FTI756" s="125"/>
      <c r="FTJ756" s="125"/>
      <c r="FTK756" s="125"/>
      <c r="FTL756" s="125"/>
      <c r="FTM756" s="125"/>
      <c r="FTN756" s="125"/>
      <c r="FTO756" s="125"/>
      <c r="FTP756" s="125"/>
      <c r="FTQ756" s="125"/>
      <c r="FTR756" s="125"/>
      <c r="FTS756" s="125"/>
      <c r="FTT756" s="125"/>
      <c r="FTU756" s="125"/>
      <c r="FTV756" s="125"/>
      <c r="FTW756" s="125"/>
      <c r="FTX756" s="125"/>
      <c r="FTY756" s="125"/>
      <c r="FTZ756" s="125"/>
      <c r="FUA756" s="125"/>
      <c r="FUB756" s="125"/>
      <c r="FUC756" s="125"/>
      <c r="FUD756" s="125"/>
      <c r="FUE756" s="125"/>
      <c r="FUF756" s="125"/>
      <c r="FUG756" s="125"/>
      <c r="FUH756" s="125"/>
      <c r="FUI756" s="125"/>
      <c r="FUJ756" s="125"/>
      <c r="FUK756" s="125"/>
      <c r="FUL756" s="125"/>
      <c r="FUM756" s="125"/>
      <c r="FUN756" s="125"/>
      <c r="FUO756" s="125"/>
      <c r="FUP756" s="125"/>
      <c r="FUQ756" s="125"/>
      <c r="FUR756" s="125"/>
      <c r="FUS756" s="125"/>
      <c r="FUT756" s="125"/>
      <c r="FUU756" s="125"/>
      <c r="FUV756" s="125"/>
      <c r="FUW756" s="125"/>
      <c r="FUX756" s="125"/>
      <c r="FUY756" s="125"/>
      <c r="FUZ756" s="125"/>
      <c r="FVA756" s="125"/>
      <c r="FVB756" s="125"/>
      <c r="FVC756" s="125"/>
      <c r="FVD756" s="125"/>
      <c r="FVE756" s="125"/>
      <c r="FVF756" s="125"/>
      <c r="FVG756" s="125"/>
      <c r="FVH756" s="125"/>
      <c r="FVI756" s="125"/>
      <c r="FVJ756" s="125"/>
      <c r="FVK756" s="125"/>
      <c r="FVL756" s="125"/>
      <c r="FVM756" s="125"/>
      <c r="FVN756" s="125"/>
      <c r="FVO756" s="125"/>
      <c r="FVP756" s="125"/>
      <c r="FVQ756" s="125"/>
      <c r="FVR756" s="125"/>
      <c r="FVS756" s="125"/>
      <c r="FVT756" s="125"/>
      <c r="FVU756" s="125"/>
      <c r="FVV756" s="125"/>
      <c r="FVW756" s="125"/>
      <c r="FVX756" s="125"/>
      <c r="FVY756" s="125"/>
      <c r="FVZ756" s="125"/>
      <c r="FWA756" s="125"/>
      <c r="FWB756" s="125"/>
      <c r="FWC756" s="125"/>
      <c r="FWD756" s="125"/>
      <c r="FWE756" s="125"/>
      <c r="FWF756" s="125"/>
      <c r="FWG756" s="125"/>
      <c r="FWH756" s="125"/>
      <c r="FWI756" s="125"/>
      <c r="FWJ756" s="125"/>
      <c r="FWK756" s="125"/>
      <c r="FWL756" s="125"/>
      <c r="FWM756" s="125"/>
      <c r="FWN756" s="125"/>
      <c r="FWO756" s="125"/>
      <c r="FWP756" s="125"/>
      <c r="FWQ756" s="125"/>
      <c r="FWR756" s="125"/>
      <c r="FWS756" s="125"/>
      <c r="FWT756" s="125"/>
      <c r="FWU756" s="125"/>
      <c r="FWV756" s="125"/>
      <c r="FWW756" s="125"/>
      <c r="FWX756" s="125"/>
      <c r="FWY756" s="125"/>
      <c r="FWZ756" s="125"/>
      <c r="FXA756" s="125"/>
      <c r="FXB756" s="125"/>
      <c r="FXC756" s="125"/>
      <c r="FXD756" s="125"/>
      <c r="FXE756" s="125"/>
      <c r="FXF756" s="125"/>
      <c r="FXG756" s="125"/>
      <c r="FXH756" s="125"/>
      <c r="FXI756" s="125"/>
      <c r="FXJ756" s="125"/>
      <c r="FXK756" s="125"/>
      <c r="FXL756" s="125"/>
      <c r="FXM756" s="125"/>
      <c r="FXN756" s="125"/>
      <c r="FXO756" s="125"/>
      <c r="FXP756" s="125"/>
      <c r="FXQ756" s="125"/>
      <c r="FXR756" s="125"/>
      <c r="FXS756" s="125"/>
      <c r="FXT756" s="125"/>
      <c r="FXU756" s="125"/>
      <c r="FXV756" s="125"/>
      <c r="FXW756" s="125"/>
      <c r="FXX756" s="125"/>
      <c r="FXY756" s="125"/>
      <c r="FXZ756" s="125"/>
      <c r="FYA756" s="125"/>
      <c r="FYB756" s="125"/>
      <c r="FYC756" s="125"/>
      <c r="FYD756" s="125"/>
      <c r="FYE756" s="125"/>
      <c r="FYF756" s="125"/>
      <c r="FYG756" s="125"/>
      <c r="FYH756" s="125"/>
      <c r="FYI756" s="125"/>
      <c r="FYJ756" s="125"/>
      <c r="FYK756" s="125"/>
      <c r="FYL756" s="125"/>
      <c r="FYM756" s="125"/>
      <c r="FYN756" s="125"/>
      <c r="FYO756" s="125"/>
      <c r="FYP756" s="125"/>
      <c r="FYQ756" s="125"/>
      <c r="FYR756" s="125"/>
      <c r="FYS756" s="125"/>
      <c r="FYT756" s="125"/>
      <c r="FYU756" s="125"/>
      <c r="FYV756" s="125"/>
      <c r="FYW756" s="125"/>
      <c r="FYX756" s="125"/>
      <c r="FYY756" s="125"/>
      <c r="FYZ756" s="125"/>
      <c r="FZA756" s="125"/>
      <c r="FZB756" s="125"/>
      <c r="FZC756" s="125"/>
      <c r="FZD756" s="125"/>
      <c r="FZE756" s="125"/>
      <c r="FZF756" s="125"/>
      <c r="FZG756" s="125"/>
      <c r="FZH756" s="125"/>
      <c r="FZI756" s="125"/>
      <c r="FZJ756" s="125"/>
      <c r="FZK756" s="125"/>
      <c r="FZL756" s="125"/>
      <c r="FZM756" s="125"/>
      <c r="FZN756" s="125"/>
      <c r="FZO756" s="125"/>
      <c r="FZP756" s="125"/>
      <c r="FZQ756" s="125"/>
      <c r="FZR756" s="125"/>
      <c r="FZS756" s="125"/>
      <c r="FZT756" s="125"/>
      <c r="FZU756" s="125"/>
      <c r="FZV756" s="125"/>
      <c r="FZW756" s="125"/>
      <c r="FZX756" s="125"/>
      <c r="FZY756" s="125"/>
      <c r="FZZ756" s="125"/>
      <c r="GAA756" s="125"/>
      <c r="GAB756" s="125"/>
      <c r="GAC756" s="125"/>
      <c r="GAD756" s="125"/>
      <c r="GAE756" s="125"/>
      <c r="GAF756" s="125"/>
      <c r="GAG756" s="125"/>
      <c r="GAH756" s="125"/>
      <c r="GAI756" s="125"/>
      <c r="GAJ756" s="125"/>
      <c r="GAK756" s="125"/>
      <c r="GAL756" s="125"/>
      <c r="GAM756" s="125"/>
      <c r="GAN756" s="125"/>
      <c r="GAO756" s="125"/>
      <c r="GAP756" s="125"/>
      <c r="GAQ756" s="125"/>
      <c r="GAR756" s="125"/>
      <c r="GAS756" s="125"/>
      <c r="GAT756" s="125"/>
      <c r="GAU756" s="125"/>
      <c r="GAV756" s="125"/>
      <c r="GAW756" s="125"/>
      <c r="GAX756" s="125"/>
      <c r="GAY756" s="125"/>
      <c r="GAZ756" s="125"/>
      <c r="GBA756" s="125"/>
      <c r="GBB756" s="125"/>
      <c r="GBC756" s="125"/>
      <c r="GBD756" s="125"/>
      <c r="GBE756" s="125"/>
      <c r="GBF756" s="125"/>
      <c r="GBG756" s="125"/>
      <c r="GBH756" s="125"/>
      <c r="GBI756" s="125"/>
      <c r="GBJ756" s="125"/>
      <c r="GBK756" s="125"/>
      <c r="GBL756" s="125"/>
      <c r="GBM756" s="125"/>
      <c r="GBN756" s="125"/>
      <c r="GBO756" s="125"/>
      <c r="GBP756" s="125"/>
      <c r="GBQ756" s="125"/>
      <c r="GBR756" s="125"/>
      <c r="GBS756" s="125"/>
      <c r="GBT756" s="125"/>
      <c r="GBU756" s="125"/>
      <c r="GBV756" s="125"/>
      <c r="GBW756" s="125"/>
      <c r="GBX756" s="125"/>
      <c r="GBY756" s="125"/>
      <c r="GBZ756" s="125"/>
      <c r="GCA756" s="125"/>
      <c r="GCB756" s="125"/>
      <c r="GCC756" s="125"/>
      <c r="GCD756" s="125"/>
      <c r="GCE756" s="125"/>
      <c r="GCF756" s="125"/>
      <c r="GCG756" s="125"/>
      <c r="GCH756" s="125"/>
      <c r="GCI756" s="125"/>
      <c r="GCJ756" s="125"/>
      <c r="GCK756" s="125"/>
      <c r="GCL756" s="125"/>
      <c r="GCM756" s="125"/>
      <c r="GCN756" s="125"/>
      <c r="GCO756" s="125"/>
      <c r="GCP756" s="125"/>
      <c r="GCQ756" s="125"/>
      <c r="GCR756" s="125"/>
      <c r="GCS756" s="125"/>
      <c r="GCT756" s="125"/>
      <c r="GCU756" s="125"/>
      <c r="GCV756" s="125"/>
      <c r="GCW756" s="125"/>
      <c r="GCX756" s="125"/>
      <c r="GCY756" s="125"/>
      <c r="GCZ756" s="125"/>
      <c r="GDA756" s="125"/>
      <c r="GDB756" s="125"/>
      <c r="GDC756" s="125"/>
      <c r="GDD756" s="125"/>
      <c r="GDE756" s="125"/>
      <c r="GDF756" s="125"/>
      <c r="GDG756" s="125"/>
      <c r="GDH756" s="125"/>
      <c r="GDI756" s="125"/>
      <c r="GDJ756" s="125"/>
      <c r="GDK756" s="125"/>
      <c r="GDL756" s="125"/>
      <c r="GDM756" s="125"/>
      <c r="GDN756" s="125"/>
      <c r="GDO756" s="125"/>
      <c r="GDP756" s="125"/>
      <c r="GDQ756" s="125"/>
      <c r="GDR756" s="125"/>
      <c r="GDS756" s="125"/>
      <c r="GDT756" s="125"/>
      <c r="GDU756" s="125"/>
      <c r="GDV756" s="125"/>
      <c r="GDW756" s="125"/>
      <c r="GDX756" s="125"/>
      <c r="GDY756" s="125"/>
      <c r="GDZ756" s="125"/>
      <c r="GEA756" s="125"/>
      <c r="GEB756" s="125"/>
      <c r="GEC756" s="125"/>
      <c r="GED756" s="125"/>
      <c r="GEE756" s="125"/>
      <c r="GEF756" s="125"/>
      <c r="GEG756" s="125"/>
      <c r="GEH756" s="125"/>
      <c r="GEI756" s="125"/>
      <c r="GEJ756" s="125"/>
      <c r="GEK756" s="125"/>
      <c r="GEL756" s="125"/>
      <c r="GEM756" s="125"/>
      <c r="GEN756" s="125"/>
      <c r="GEO756" s="125"/>
      <c r="GEP756" s="125"/>
      <c r="GEQ756" s="125"/>
      <c r="GER756" s="125"/>
      <c r="GES756" s="125"/>
      <c r="GET756" s="125"/>
      <c r="GEU756" s="125"/>
      <c r="GEV756" s="125"/>
      <c r="GEW756" s="125"/>
      <c r="GEX756" s="125"/>
      <c r="GEY756" s="125"/>
      <c r="GEZ756" s="125"/>
      <c r="GFA756" s="125"/>
      <c r="GFB756" s="125"/>
      <c r="GFC756" s="125"/>
      <c r="GFD756" s="125"/>
      <c r="GFE756" s="125"/>
      <c r="GFF756" s="125"/>
      <c r="GFG756" s="125"/>
      <c r="GFH756" s="125"/>
      <c r="GFI756" s="125"/>
      <c r="GFJ756" s="125"/>
      <c r="GFK756" s="125"/>
      <c r="GFL756" s="125"/>
      <c r="GFM756" s="125"/>
      <c r="GFN756" s="125"/>
      <c r="GFO756" s="125"/>
      <c r="GFP756" s="125"/>
      <c r="GFQ756" s="125"/>
      <c r="GFR756" s="125"/>
      <c r="GFS756" s="125"/>
      <c r="GFT756" s="125"/>
      <c r="GFU756" s="125"/>
      <c r="GFV756" s="125"/>
      <c r="GFW756" s="125"/>
      <c r="GFX756" s="125"/>
      <c r="GFY756" s="125"/>
      <c r="GFZ756" s="125"/>
      <c r="GGA756" s="125"/>
      <c r="GGB756" s="125"/>
      <c r="GGC756" s="125"/>
      <c r="GGD756" s="125"/>
      <c r="GGE756" s="125"/>
      <c r="GGF756" s="125"/>
      <c r="GGG756" s="125"/>
      <c r="GGH756" s="125"/>
      <c r="GGI756" s="125"/>
      <c r="GGJ756" s="125"/>
      <c r="GGK756" s="125"/>
      <c r="GGL756" s="125"/>
      <c r="GGM756" s="125"/>
      <c r="GGN756" s="125"/>
      <c r="GGO756" s="125"/>
      <c r="GGP756" s="125"/>
      <c r="GGQ756" s="125"/>
      <c r="GGR756" s="125"/>
      <c r="GGS756" s="125"/>
      <c r="GGT756" s="125"/>
      <c r="GGU756" s="125"/>
      <c r="GGV756" s="125"/>
      <c r="GGW756" s="125"/>
      <c r="GGX756" s="125"/>
      <c r="GGY756" s="125"/>
      <c r="GGZ756" s="125"/>
      <c r="GHA756" s="125"/>
      <c r="GHB756" s="125"/>
      <c r="GHC756" s="125"/>
      <c r="GHD756" s="125"/>
      <c r="GHE756" s="125"/>
      <c r="GHF756" s="125"/>
      <c r="GHG756" s="125"/>
      <c r="GHH756" s="125"/>
      <c r="GHI756" s="125"/>
      <c r="GHJ756" s="125"/>
      <c r="GHK756" s="125"/>
      <c r="GHL756" s="125"/>
      <c r="GHM756" s="125"/>
      <c r="GHN756" s="125"/>
      <c r="GHO756" s="125"/>
      <c r="GHP756" s="125"/>
      <c r="GHQ756" s="125"/>
      <c r="GHR756" s="125"/>
      <c r="GHS756" s="125"/>
      <c r="GHT756" s="125"/>
      <c r="GHU756" s="125"/>
      <c r="GHV756" s="125"/>
      <c r="GHW756" s="125"/>
      <c r="GHX756" s="125"/>
      <c r="GHY756" s="125"/>
      <c r="GHZ756" s="125"/>
      <c r="GIA756" s="125"/>
      <c r="GIB756" s="125"/>
      <c r="GIC756" s="125"/>
      <c r="GID756" s="125"/>
      <c r="GIE756" s="125"/>
      <c r="GIF756" s="125"/>
      <c r="GIG756" s="125"/>
      <c r="GIH756" s="125"/>
      <c r="GII756" s="125"/>
      <c r="GIJ756" s="125"/>
      <c r="GIK756" s="125"/>
      <c r="GIL756" s="125"/>
      <c r="GIM756" s="125"/>
      <c r="GIN756" s="125"/>
      <c r="GIO756" s="125"/>
      <c r="GIP756" s="125"/>
      <c r="GIQ756" s="125"/>
      <c r="GIR756" s="125"/>
      <c r="GIS756" s="125"/>
      <c r="GIT756" s="125"/>
      <c r="GIU756" s="125"/>
      <c r="GIV756" s="125"/>
      <c r="GIW756" s="125"/>
      <c r="GIX756" s="125"/>
      <c r="GIY756" s="125"/>
      <c r="GIZ756" s="125"/>
      <c r="GJA756" s="125"/>
      <c r="GJB756" s="125"/>
      <c r="GJC756" s="125"/>
      <c r="GJD756" s="125"/>
      <c r="GJE756" s="125"/>
      <c r="GJF756" s="125"/>
      <c r="GJG756" s="125"/>
      <c r="GJH756" s="125"/>
      <c r="GJI756" s="125"/>
      <c r="GJJ756" s="125"/>
      <c r="GJK756" s="125"/>
      <c r="GJL756" s="125"/>
      <c r="GJM756" s="125"/>
      <c r="GJN756" s="125"/>
      <c r="GJO756" s="125"/>
      <c r="GJP756" s="125"/>
      <c r="GJQ756" s="125"/>
      <c r="GJR756" s="125"/>
      <c r="GJS756" s="125"/>
      <c r="GJT756" s="125"/>
      <c r="GJU756" s="125"/>
      <c r="GJV756" s="125"/>
      <c r="GJW756" s="125"/>
      <c r="GJX756" s="125"/>
      <c r="GJY756" s="125"/>
      <c r="GJZ756" s="125"/>
      <c r="GKA756" s="125"/>
      <c r="GKB756" s="125"/>
      <c r="GKC756" s="125"/>
      <c r="GKD756" s="125"/>
      <c r="GKE756" s="125"/>
      <c r="GKF756" s="125"/>
      <c r="GKG756" s="125"/>
      <c r="GKH756" s="125"/>
      <c r="GKI756" s="125"/>
      <c r="GKJ756" s="125"/>
      <c r="GKK756" s="125"/>
      <c r="GKL756" s="125"/>
      <c r="GKM756" s="125"/>
      <c r="GKN756" s="125"/>
      <c r="GKO756" s="125"/>
      <c r="GKP756" s="125"/>
      <c r="GKQ756" s="125"/>
      <c r="GKR756" s="125"/>
      <c r="GKS756" s="125"/>
      <c r="GKT756" s="125"/>
      <c r="GKU756" s="125"/>
      <c r="GKV756" s="125"/>
      <c r="GKW756" s="125"/>
      <c r="GKX756" s="125"/>
      <c r="GKY756" s="125"/>
      <c r="GKZ756" s="125"/>
      <c r="GLA756" s="125"/>
      <c r="GLB756" s="125"/>
      <c r="GLC756" s="125"/>
      <c r="GLD756" s="125"/>
      <c r="GLE756" s="125"/>
      <c r="GLF756" s="125"/>
      <c r="GLG756" s="125"/>
      <c r="GLH756" s="125"/>
      <c r="GLI756" s="125"/>
      <c r="GLJ756" s="125"/>
      <c r="GLK756" s="125"/>
      <c r="GLL756" s="125"/>
      <c r="GLM756" s="125"/>
      <c r="GLN756" s="125"/>
      <c r="GLO756" s="125"/>
      <c r="GLP756" s="125"/>
      <c r="GLQ756" s="125"/>
      <c r="GLR756" s="125"/>
      <c r="GLS756" s="125"/>
      <c r="GLT756" s="125"/>
      <c r="GLU756" s="125"/>
      <c r="GLV756" s="125"/>
      <c r="GLW756" s="125"/>
      <c r="GLX756" s="125"/>
      <c r="GLY756" s="125"/>
      <c r="GLZ756" s="125"/>
      <c r="GMA756" s="125"/>
      <c r="GMB756" s="125"/>
      <c r="GMC756" s="125"/>
      <c r="GMD756" s="125"/>
      <c r="GME756" s="125"/>
      <c r="GMF756" s="125"/>
      <c r="GMG756" s="125"/>
      <c r="GMH756" s="125"/>
      <c r="GMI756" s="125"/>
      <c r="GMJ756" s="125"/>
      <c r="GMK756" s="125"/>
      <c r="GML756" s="125"/>
      <c r="GMM756" s="125"/>
      <c r="GMN756" s="125"/>
      <c r="GMO756" s="125"/>
      <c r="GMP756" s="125"/>
      <c r="GMQ756" s="125"/>
      <c r="GMR756" s="125"/>
      <c r="GMS756" s="125"/>
      <c r="GMT756" s="125"/>
      <c r="GMU756" s="125"/>
      <c r="GMV756" s="125"/>
      <c r="GMW756" s="125"/>
      <c r="GMX756" s="125"/>
      <c r="GMY756" s="125"/>
      <c r="GMZ756" s="125"/>
      <c r="GNA756" s="125"/>
      <c r="GNB756" s="125"/>
      <c r="GNC756" s="125"/>
      <c r="GND756" s="125"/>
      <c r="GNE756" s="125"/>
      <c r="GNF756" s="125"/>
      <c r="GNG756" s="125"/>
      <c r="GNH756" s="125"/>
      <c r="GNI756" s="125"/>
      <c r="GNJ756" s="125"/>
      <c r="GNK756" s="125"/>
      <c r="GNL756" s="125"/>
      <c r="GNM756" s="125"/>
      <c r="GNN756" s="125"/>
      <c r="GNO756" s="125"/>
      <c r="GNP756" s="125"/>
      <c r="GNQ756" s="125"/>
      <c r="GNR756" s="125"/>
      <c r="GNS756" s="125"/>
      <c r="GNT756" s="125"/>
      <c r="GNU756" s="125"/>
      <c r="GNV756" s="125"/>
      <c r="GNW756" s="125"/>
      <c r="GNX756" s="125"/>
      <c r="GNY756" s="125"/>
      <c r="GNZ756" s="125"/>
      <c r="GOA756" s="125"/>
      <c r="GOB756" s="125"/>
      <c r="GOC756" s="125"/>
      <c r="GOD756" s="125"/>
      <c r="GOE756" s="125"/>
      <c r="GOF756" s="125"/>
      <c r="GOG756" s="125"/>
      <c r="GOH756" s="125"/>
      <c r="GOI756" s="125"/>
      <c r="GOJ756" s="125"/>
      <c r="GOK756" s="125"/>
      <c r="GOL756" s="125"/>
      <c r="GOM756" s="125"/>
      <c r="GON756" s="125"/>
      <c r="GOO756" s="125"/>
      <c r="GOP756" s="125"/>
      <c r="GOQ756" s="125"/>
      <c r="GOR756" s="125"/>
      <c r="GOS756" s="125"/>
      <c r="GOT756" s="125"/>
      <c r="GOU756" s="125"/>
      <c r="GOV756" s="125"/>
      <c r="GOW756" s="125"/>
      <c r="GOX756" s="125"/>
      <c r="GOY756" s="125"/>
      <c r="GOZ756" s="125"/>
      <c r="GPA756" s="125"/>
      <c r="GPB756" s="125"/>
      <c r="GPC756" s="125"/>
      <c r="GPD756" s="125"/>
      <c r="GPE756" s="125"/>
      <c r="GPF756" s="125"/>
      <c r="GPG756" s="125"/>
      <c r="GPH756" s="125"/>
      <c r="GPI756" s="125"/>
      <c r="GPJ756" s="125"/>
      <c r="GPK756" s="125"/>
      <c r="GPL756" s="125"/>
      <c r="GPM756" s="125"/>
      <c r="GPN756" s="125"/>
      <c r="GPO756" s="125"/>
      <c r="GPP756" s="125"/>
      <c r="GPQ756" s="125"/>
      <c r="GPR756" s="125"/>
      <c r="GPS756" s="125"/>
      <c r="GPT756" s="125"/>
      <c r="GPU756" s="125"/>
      <c r="GPV756" s="125"/>
      <c r="GPW756" s="125"/>
      <c r="GPX756" s="125"/>
      <c r="GPY756" s="125"/>
      <c r="GPZ756" s="125"/>
      <c r="GQA756" s="125"/>
      <c r="GQB756" s="125"/>
      <c r="GQC756" s="125"/>
      <c r="GQD756" s="125"/>
      <c r="GQE756" s="125"/>
      <c r="GQF756" s="125"/>
      <c r="GQG756" s="125"/>
      <c r="GQH756" s="125"/>
      <c r="GQI756" s="125"/>
      <c r="GQJ756" s="125"/>
      <c r="GQK756" s="125"/>
      <c r="GQL756" s="125"/>
      <c r="GQM756" s="125"/>
      <c r="GQN756" s="125"/>
      <c r="GQO756" s="125"/>
      <c r="GQP756" s="125"/>
      <c r="GQQ756" s="125"/>
      <c r="GQR756" s="125"/>
      <c r="GQS756" s="125"/>
      <c r="GQT756" s="125"/>
      <c r="GQU756" s="125"/>
      <c r="GQV756" s="125"/>
      <c r="GQW756" s="125"/>
      <c r="GQX756" s="125"/>
      <c r="GQY756" s="125"/>
      <c r="GQZ756" s="125"/>
      <c r="GRA756" s="125"/>
      <c r="GRB756" s="125"/>
      <c r="GRC756" s="125"/>
      <c r="GRD756" s="125"/>
      <c r="GRE756" s="125"/>
      <c r="GRF756" s="125"/>
      <c r="GRG756" s="125"/>
      <c r="GRH756" s="125"/>
      <c r="GRI756" s="125"/>
      <c r="GRJ756" s="125"/>
      <c r="GRK756" s="125"/>
      <c r="GRL756" s="125"/>
      <c r="GRM756" s="125"/>
      <c r="GRN756" s="125"/>
      <c r="GRO756" s="125"/>
      <c r="GRP756" s="125"/>
      <c r="GRQ756" s="125"/>
      <c r="GRR756" s="125"/>
      <c r="GRS756" s="125"/>
      <c r="GRT756" s="125"/>
      <c r="GRU756" s="125"/>
      <c r="GRV756" s="125"/>
      <c r="GRW756" s="125"/>
      <c r="GRX756" s="125"/>
      <c r="GRY756" s="125"/>
      <c r="GRZ756" s="125"/>
      <c r="GSA756" s="125"/>
      <c r="GSB756" s="125"/>
      <c r="GSC756" s="125"/>
      <c r="GSD756" s="125"/>
      <c r="GSE756" s="125"/>
      <c r="GSF756" s="125"/>
      <c r="GSG756" s="125"/>
      <c r="GSH756" s="125"/>
      <c r="GSI756" s="125"/>
      <c r="GSJ756" s="125"/>
      <c r="GSK756" s="125"/>
      <c r="GSL756" s="125"/>
      <c r="GSM756" s="125"/>
      <c r="GSN756" s="125"/>
      <c r="GSO756" s="125"/>
      <c r="GSP756" s="125"/>
      <c r="GSQ756" s="125"/>
      <c r="GSR756" s="125"/>
      <c r="GSS756" s="125"/>
      <c r="GST756" s="125"/>
      <c r="GSU756" s="125"/>
      <c r="GSV756" s="125"/>
      <c r="GSW756" s="125"/>
      <c r="GSX756" s="125"/>
      <c r="GSY756" s="125"/>
      <c r="GSZ756" s="125"/>
      <c r="GTA756" s="125"/>
      <c r="GTB756" s="125"/>
      <c r="GTC756" s="125"/>
      <c r="GTD756" s="125"/>
      <c r="GTE756" s="125"/>
      <c r="GTF756" s="125"/>
      <c r="GTG756" s="125"/>
      <c r="GTH756" s="125"/>
      <c r="GTI756" s="125"/>
      <c r="GTJ756" s="125"/>
      <c r="GTK756" s="125"/>
      <c r="GTL756" s="125"/>
      <c r="GTM756" s="125"/>
      <c r="GTN756" s="125"/>
      <c r="GTO756" s="125"/>
      <c r="GTP756" s="125"/>
      <c r="GTQ756" s="125"/>
      <c r="GTR756" s="125"/>
      <c r="GTS756" s="125"/>
      <c r="GTT756" s="125"/>
      <c r="GTU756" s="125"/>
      <c r="GTV756" s="125"/>
      <c r="GTW756" s="125"/>
      <c r="GTX756" s="125"/>
      <c r="GTY756" s="125"/>
      <c r="GTZ756" s="125"/>
      <c r="GUA756" s="125"/>
      <c r="GUB756" s="125"/>
      <c r="GUC756" s="125"/>
      <c r="GUD756" s="125"/>
      <c r="GUE756" s="125"/>
      <c r="GUF756" s="125"/>
      <c r="GUG756" s="125"/>
      <c r="GUH756" s="125"/>
      <c r="GUI756" s="125"/>
      <c r="GUJ756" s="125"/>
      <c r="GUK756" s="125"/>
      <c r="GUL756" s="125"/>
      <c r="GUM756" s="125"/>
      <c r="GUN756" s="125"/>
      <c r="GUO756" s="125"/>
      <c r="GUP756" s="125"/>
      <c r="GUQ756" s="125"/>
      <c r="GUR756" s="125"/>
      <c r="GUS756" s="125"/>
      <c r="GUT756" s="125"/>
      <c r="GUU756" s="125"/>
      <c r="GUV756" s="125"/>
      <c r="GUW756" s="125"/>
      <c r="GUX756" s="125"/>
      <c r="GUY756" s="125"/>
      <c r="GUZ756" s="125"/>
      <c r="GVA756" s="125"/>
      <c r="GVB756" s="125"/>
      <c r="GVC756" s="125"/>
      <c r="GVD756" s="125"/>
      <c r="GVE756" s="125"/>
      <c r="GVF756" s="125"/>
      <c r="GVG756" s="125"/>
      <c r="GVH756" s="125"/>
      <c r="GVI756" s="125"/>
      <c r="GVJ756" s="125"/>
      <c r="GVK756" s="125"/>
      <c r="GVL756" s="125"/>
      <c r="GVM756" s="125"/>
      <c r="GVN756" s="125"/>
      <c r="GVO756" s="125"/>
      <c r="GVP756" s="125"/>
      <c r="GVQ756" s="125"/>
      <c r="GVR756" s="125"/>
      <c r="GVS756" s="125"/>
      <c r="GVT756" s="125"/>
      <c r="GVU756" s="125"/>
      <c r="GVV756" s="125"/>
      <c r="GVW756" s="125"/>
      <c r="GVX756" s="125"/>
      <c r="GVY756" s="125"/>
      <c r="GVZ756" s="125"/>
      <c r="GWA756" s="125"/>
      <c r="GWB756" s="125"/>
      <c r="GWC756" s="125"/>
      <c r="GWD756" s="125"/>
      <c r="GWE756" s="125"/>
      <c r="GWF756" s="125"/>
      <c r="GWG756" s="125"/>
      <c r="GWH756" s="125"/>
      <c r="GWI756" s="125"/>
      <c r="GWJ756" s="125"/>
      <c r="GWK756" s="125"/>
      <c r="GWL756" s="125"/>
      <c r="GWM756" s="125"/>
      <c r="GWN756" s="125"/>
      <c r="GWO756" s="125"/>
      <c r="GWP756" s="125"/>
      <c r="GWQ756" s="125"/>
      <c r="GWR756" s="125"/>
      <c r="GWS756" s="125"/>
      <c r="GWT756" s="125"/>
      <c r="GWU756" s="125"/>
      <c r="GWV756" s="125"/>
      <c r="GWW756" s="125"/>
      <c r="GWX756" s="125"/>
      <c r="GWY756" s="125"/>
      <c r="GWZ756" s="125"/>
      <c r="GXA756" s="125"/>
      <c r="GXB756" s="125"/>
      <c r="GXC756" s="125"/>
      <c r="GXD756" s="125"/>
      <c r="GXE756" s="125"/>
      <c r="GXF756" s="125"/>
      <c r="GXG756" s="125"/>
      <c r="GXH756" s="125"/>
      <c r="GXI756" s="125"/>
      <c r="GXJ756" s="125"/>
      <c r="GXK756" s="125"/>
      <c r="GXL756" s="125"/>
      <c r="GXM756" s="125"/>
      <c r="GXN756" s="125"/>
      <c r="GXO756" s="125"/>
      <c r="GXP756" s="125"/>
      <c r="GXQ756" s="125"/>
      <c r="GXR756" s="125"/>
      <c r="GXS756" s="125"/>
      <c r="GXT756" s="125"/>
      <c r="GXU756" s="125"/>
      <c r="GXV756" s="125"/>
      <c r="GXW756" s="125"/>
      <c r="GXX756" s="125"/>
      <c r="GXY756" s="125"/>
      <c r="GXZ756" s="125"/>
      <c r="GYA756" s="125"/>
      <c r="GYB756" s="125"/>
      <c r="GYC756" s="125"/>
      <c r="GYD756" s="125"/>
      <c r="GYE756" s="125"/>
      <c r="GYF756" s="125"/>
      <c r="GYG756" s="125"/>
      <c r="GYH756" s="125"/>
      <c r="GYI756" s="125"/>
      <c r="GYJ756" s="125"/>
      <c r="GYK756" s="125"/>
      <c r="GYL756" s="125"/>
      <c r="GYM756" s="125"/>
      <c r="GYN756" s="125"/>
      <c r="GYO756" s="125"/>
      <c r="GYP756" s="125"/>
      <c r="GYQ756" s="125"/>
      <c r="GYR756" s="125"/>
      <c r="GYS756" s="125"/>
      <c r="GYT756" s="125"/>
      <c r="GYU756" s="125"/>
      <c r="GYV756" s="125"/>
      <c r="GYW756" s="125"/>
      <c r="GYX756" s="125"/>
      <c r="GYY756" s="125"/>
      <c r="GYZ756" s="125"/>
      <c r="GZA756" s="125"/>
      <c r="GZB756" s="125"/>
      <c r="GZC756" s="125"/>
      <c r="GZD756" s="125"/>
      <c r="GZE756" s="125"/>
      <c r="GZF756" s="125"/>
      <c r="GZG756" s="125"/>
      <c r="GZH756" s="125"/>
      <c r="GZI756" s="125"/>
      <c r="GZJ756" s="125"/>
      <c r="GZK756" s="125"/>
      <c r="GZL756" s="125"/>
      <c r="GZM756" s="125"/>
      <c r="GZN756" s="125"/>
      <c r="GZO756" s="125"/>
      <c r="GZP756" s="125"/>
      <c r="GZQ756" s="125"/>
      <c r="GZR756" s="125"/>
      <c r="GZS756" s="125"/>
      <c r="GZT756" s="125"/>
      <c r="GZU756" s="125"/>
      <c r="GZV756" s="125"/>
      <c r="GZW756" s="125"/>
      <c r="GZX756" s="125"/>
      <c r="GZY756" s="125"/>
      <c r="GZZ756" s="125"/>
      <c r="HAA756" s="125"/>
      <c r="HAB756" s="125"/>
      <c r="HAC756" s="125"/>
      <c r="HAD756" s="125"/>
      <c r="HAE756" s="125"/>
      <c r="HAF756" s="125"/>
      <c r="HAG756" s="125"/>
      <c r="HAH756" s="125"/>
      <c r="HAI756" s="125"/>
      <c r="HAJ756" s="125"/>
      <c r="HAK756" s="125"/>
      <c r="HAL756" s="125"/>
      <c r="HAM756" s="125"/>
      <c r="HAN756" s="125"/>
      <c r="HAO756" s="125"/>
      <c r="HAP756" s="125"/>
      <c r="HAQ756" s="125"/>
      <c r="HAR756" s="125"/>
      <c r="HAS756" s="125"/>
      <c r="HAT756" s="125"/>
      <c r="HAU756" s="125"/>
      <c r="HAV756" s="125"/>
      <c r="HAW756" s="125"/>
      <c r="HAX756" s="125"/>
      <c r="HAY756" s="125"/>
      <c r="HAZ756" s="125"/>
      <c r="HBA756" s="125"/>
      <c r="HBB756" s="125"/>
      <c r="HBC756" s="125"/>
      <c r="HBD756" s="125"/>
      <c r="HBE756" s="125"/>
      <c r="HBF756" s="125"/>
      <c r="HBG756" s="125"/>
      <c r="HBH756" s="125"/>
      <c r="HBI756" s="125"/>
      <c r="HBJ756" s="125"/>
      <c r="HBK756" s="125"/>
      <c r="HBL756" s="125"/>
      <c r="HBM756" s="125"/>
      <c r="HBN756" s="125"/>
      <c r="HBO756" s="125"/>
      <c r="HBP756" s="125"/>
      <c r="HBQ756" s="125"/>
      <c r="HBR756" s="125"/>
      <c r="HBS756" s="125"/>
      <c r="HBT756" s="125"/>
      <c r="HBU756" s="125"/>
      <c r="HBV756" s="125"/>
      <c r="HBW756" s="125"/>
      <c r="HBX756" s="125"/>
      <c r="HBY756" s="125"/>
      <c r="HBZ756" s="125"/>
      <c r="HCA756" s="125"/>
      <c r="HCB756" s="125"/>
      <c r="HCC756" s="125"/>
      <c r="HCD756" s="125"/>
      <c r="HCE756" s="125"/>
      <c r="HCF756" s="125"/>
      <c r="HCG756" s="125"/>
      <c r="HCH756" s="125"/>
      <c r="HCI756" s="125"/>
      <c r="HCJ756" s="125"/>
      <c r="HCK756" s="125"/>
      <c r="HCL756" s="125"/>
      <c r="HCM756" s="125"/>
      <c r="HCN756" s="125"/>
      <c r="HCO756" s="125"/>
      <c r="HCP756" s="125"/>
      <c r="HCQ756" s="125"/>
      <c r="HCR756" s="125"/>
      <c r="HCS756" s="125"/>
      <c r="HCT756" s="125"/>
      <c r="HCU756" s="125"/>
      <c r="HCV756" s="125"/>
      <c r="HCW756" s="125"/>
      <c r="HCX756" s="125"/>
      <c r="HCY756" s="125"/>
      <c r="HCZ756" s="125"/>
      <c r="HDA756" s="125"/>
      <c r="HDB756" s="125"/>
      <c r="HDC756" s="125"/>
      <c r="HDD756" s="125"/>
      <c r="HDE756" s="125"/>
      <c r="HDF756" s="125"/>
      <c r="HDG756" s="125"/>
      <c r="HDH756" s="125"/>
      <c r="HDI756" s="125"/>
      <c r="HDJ756" s="125"/>
      <c r="HDK756" s="125"/>
      <c r="HDL756" s="125"/>
      <c r="HDM756" s="125"/>
      <c r="HDN756" s="125"/>
      <c r="HDO756" s="125"/>
      <c r="HDP756" s="125"/>
      <c r="HDQ756" s="125"/>
      <c r="HDR756" s="125"/>
      <c r="HDS756" s="125"/>
      <c r="HDT756" s="125"/>
      <c r="HDU756" s="125"/>
      <c r="HDV756" s="125"/>
      <c r="HDW756" s="125"/>
      <c r="HDX756" s="125"/>
      <c r="HDY756" s="125"/>
      <c r="HDZ756" s="125"/>
      <c r="HEA756" s="125"/>
      <c r="HEB756" s="125"/>
      <c r="HEC756" s="125"/>
      <c r="HED756" s="125"/>
      <c r="HEE756" s="125"/>
      <c r="HEF756" s="125"/>
      <c r="HEG756" s="125"/>
      <c r="HEH756" s="125"/>
      <c r="HEI756" s="125"/>
      <c r="HEJ756" s="125"/>
      <c r="HEK756" s="125"/>
      <c r="HEL756" s="125"/>
      <c r="HEM756" s="125"/>
      <c r="HEN756" s="125"/>
      <c r="HEO756" s="125"/>
      <c r="HEP756" s="125"/>
      <c r="HEQ756" s="125"/>
      <c r="HER756" s="125"/>
      <c r="HES756" s="125"/>
      <c r="HET756" s="125"/>
      <c r="HEU756" s="125"/>
      <c r="HEV756" s="125"/>
      <c r="HEW756" s="125"/>
      <c r="HEX756" s="125"/>
      <c r="HEY756" s="125"/>
      <c r="HEZ756" s="125"/>
      <c r="HFA756" s="125"/>
      <c r="HFB756" s="125"/>
      <c r="HFC756" s="125"/>
      <c r="HFD756" s="125"/>
      <c r="HFE756" s="125"/>
      <c r="HFF756" s="125"/>
      <c r="HFG756" s="125"/>
      <c r="HFH756" s="125"/>
      <c r="HFI756" s="125"/>
      <c r="HFJ756" s="125"/>
      <c r="HFK756" s="125"/>
      <c r="HFL756" s="125"/>
      <c r="HFM756" s="125"/>
      <c r="HFN756" s="125"/>
      <c r="HFO756" s="125"/>
      <c r="HFP756" s="125"/>
      <c r="HFQ756" s="125"/>
      <c r="HFR756" s="125"/>
      <c r="HFS756" s="125"/>
      <c r="HFT756" s="125"/>
      <c r="HFU756" s="125"/>
      <c r="HFV756" s="125"/>
      <c r="HFW756" s="125"/>
      <c r="HFX756" s="125"/>
      <c r="HFY756" s="125"/>
      <c r="HFZ756" s="125"/>
      <c r="HGA756" s="125"/>
      <c r="HGB756" s="125"/>
      <c r="HGC756" s="125"/>
      <c r="HGD756" s="125"/>
      <c r="HGE756" s="125"/>
      <c r="HGF756" s="125"/>
      <c r="HGG756" s="125"/>
      <c r="HGH756" s="125"/>
      <c r="HGI756" s="125"/>
      <c r="HGJ756" s="125"/>
      <c r="HGK756" s="125"/>
      <c r="HGL756" s="125"/>
      <c r="HGM756" s="125"/>
      <c r="HGN756" s="125"/>
      <c r="HGO756" s="125"/>
      <c r="HGP756" s="125"/>
      <c r="HGQ756" s="125"/>
      <c r="HGR756" s="125"/>
      <c r="HGS756" s="125"/>
      <c r="HGT756" s="125"/>
      <c r="HGU756" s="125"/>
      <c r="HGV756" s="125"/>
      <c r="HGW756" s="125"/>
      <c r="HGX756" s="125"/>
      <c r="HGY756" s="125"/>
      <c r="HGZ756" s="125"/>
      <c r="HHA756" s="125"/>
      <c r="HHB756" s="125"/>
      <c r="HHC756" s="125"/>
      <c r="HHD756" s="125"/>
      <c r="HHE756" s="125"/>
      <c r="HHF756" s="125"/>
      <c r="HHG756" s="125"/>
      <c r="HHH756" s="125"/>
      <c r="HHI756" s="125"/>
      <c r="HHJ756" s="125"/>
      <c r="HHK756" s="125"/>
      <c r="HHL756" s="125"/>
      <c r="HHM756" s="125"/>
      <c r="HHN756" s="125"/>
      <c r="HHO756" s="125"/>
      <c r="HHP756" s="125"/>
      <c r="HHQ756" s="125"/>
      <c r="HHR756" s="125"/>
      <c r="HHS756" s="125"/>
      <c r="HHT756" s="125"/>
      <c r="HHU756" s="125"/>
      <c r="HHV756" s="125"/>
      <c r="HHW756" s="125"/>
      <c r="HHX756" s="125"/>
      <c r="HHY756" s="125"/>
      <c r="HHZ756" s="125"/>
      <c r="HIA756" s="125"/>
      <c r="HIB756" s="125"/>
      <c r="HIC756" s="125"/>
      <c r="HID756" s="125"/>
      <c r="HIE756" s="125"/>
      <c r="HIF756" s="125"/>
      <c r="HIG756" s="125"/>
      <c r="HIH756" s="125"/>
      <c r="HII756" s="125"/>
      <c r="HIJ756" s="125"/>
      <c r="HIK756" s="125"/>
      <c r="HIL756" s="125"/>
      <c r="HIM756" s="125"/>
      <c r="HIN756" s="125"/>
      <c r="HIO756" s="125"/>
      <c r="HIP756" s="125"/>
      <c r="HIQ756" s="125"/>
      <c r="HIR756" s="125"/>
      <c r="HIS756" s="125"/>
      <c r="HIT756" s="125"/>
      <c r="HIU756" s="125"/>
      <c r="HIV756" s="125"/>
      <c r="HIW756" s="125"/>
      <c r="HIX756" s="125"/>
      <c r="HIY756" s="125"/>
      <c r="HIZ756" s="125"/>
      <c r="HJA756" s="125"/>
      <c r="HJB756" s="125"/>
      <c r="HJC756" s="125"/>
      <c r="HJD756" s="125"/>
      <c r="HJE756" s="125"/>
      <c r="HJF756" s="125"/>
      <c r="HJG756" s="125"/>
      <c r="HJH756" s="125"/>
      <c r="HJI756" s="125"/>
      <c r="HJJ756" s="125"/>
      <c r="HJK756" s="125"/>
      <c r="HJL756" s="125"/>
      <c r="HJM756" s="125"/>
      <c r="HJN756" s="125"/>
      <c r="HJO756" s="125"/>
      <c r="HJP756" s="125"/>
      <c r="HJQ756" s="125"/>
      <c r="HJR756" s="125"/>
      <c r="HJS756" s="125"/>
      <c r="HJT756" s="125"/>
      <c r="HJU756" s="125"/>
      <c r="HJV756" s="125"/>
      <c r="HJW756" s="125"/>
      <c r="HJX756" s="125"/>
      <c r="HJY756" s="125"/>
      <c r="HJZ756" s="125"/>
      <c r="HKA756" s="125"/>
      <c r="HKB756" s="125"/>
      <c r="HKC756" s="125"/>
      <c r="HKD756" s="125"/>
      <c r="HKE756" s="125"/>
      <c r="HKF756" s="125"/>
      <c r="HKG756" s="125"/>
      <c r="HKH756" s="125"/>
      <c r="HKI756" s="125"/>
      <c r="HKJ756" s="125"/>
      <c r="HKK756" s="125"/>
      <c r="HKL756" s="125"/>
      <c r="HKM756" s="125"/>
      <c r="HKN756" s="125"/>
      <c r="HKO756" s="125"/>
      <c r="HKP756" s="125"/>
      <c r="HKQ756" s="125"/>
      <c r="HKR756" s="125"/>
      <c r="HKS756" s="125"/>
      <c r="HKT756" s="125"/>
      <c r="HKU756" s="125"/>
      <c r="HKV756" s="125"/>
      <c r="HKW756" s="125"/>
      <c r="HKX756" s="125"/>
      <c r="HKY756" s="125"/>
      <c r="HKZ756" s="125"/>
      <c r="HLA756" s="125"/>
      <c r="HLB756" s="125"/>
      <c r="HLC756" s="125"/>
      <c r="HLD756" s="125"/>
      <c r="HLE756" s="125"/>
      <c r="HLF756" s="125"/>
      <c r="HLG756" s="125"/>
      <c r="HLH756" s="125"/>
      <c r="HLI756" s="125"/>
      <c r="HLJ756" s="125"/>
      <c r="HLK756" s="125"/>
      <c r="HLL756" s="125"/>
      <c r="HLM756" s="125"/>
      <c r="HLN756" s="125"/>
      <c r="HLO756" s="125"/>
      <c r="HLP756" s="125"/>
      <c r="HLQ756" s="125"/>
      <c r="HLR756" s="125"/>
      <c r="HLS756" s="125"/>
      <c r="HLT756" s="125"/>
      <c r="HLU756" s="125"/>
      <c r="HLV756" s="125"/>
      <c r="HLW756" s="125"/>
      <c r="HLX756" s="125"/>
      <c r="HLY756" s="125"/>
      <c r="HLZ756" s="125"/>
      <c r="HMA756" s="125"/>
      <c r="HMB756" s="125"/>
      <c r="HMC756" s="125"/>
      <c r="HMD756" s="125"/>
      <c r="HME756" s="125"/>
      <c r="HMF756" s="125"/>
      <c r="HMG756" s="125"/>
      <c r="HMH756" s="125"/>
      <c r="HMI756" s="125"/>
      <c r="HMJ756" s="125"/>
      <c r="HMK756" s="125"/>
      <c r="HML756" s="125"/>
      <c r="HMM756" s="125"/>
      <c r="HMN756" s="125"/>
      <c r="HMO756" s="125"/>
      <c r="HMP756" s="125"/>
      <c r="HMQ756" s="125"/>
      <c r="HMR756" s="125"/>
      <c r="HMS756" s="125"/>
      <c r="HMT756" s="125"/>
      <c r="HMU756" s="125"/>
      <c r="HMV756" s="125"/>
      <c r="HMW756" s="125"/>
      <c r="HMX756" s="125"/>
      <c r="HMY756" s="125"/>
      <c r="HMZ756" s="125"/>
      <c r="HNA756" s="125"/>
      <c r="HNB756" s="125"/>
      <c r="HNC756" s="125"/>
      <c r="HND756" s="125"/>
      <c r="HNE756" s="125"/>
      <c r="HNF756" s="125"/>
      <c r="HNG756" s="125"/>
      <c r="HNH756" s="125"/>
      <c r="HNI756" s="125"/>
      <c r="HNJ756" s="125"/>
      <c r="HNK756" s="125"/>
      <c r="HNL756" s="125"/>
      <c r="HNM756" s="125"/>
      <c r="HNN756" s="125"/>
      <c r="HNO756" s="125"/>
      <c r="HNP756" s="125"/>
      <c r="HNQ756" s="125"/>
      <c r="HNR756" s="125"/>
      <c r="HNS756" s="125"/>
      <c r="HNT756" s="125"/>
      <c r="HNU756" s="125"/>
      <c r="HNV756" s="125"/>
      <c r="HNW756" s="125"/>
      <c r="HNX756" s="125"/>
      <c r="HNY756" s="125"/>
      <c r="HNZ756" s="125"/>
      <c r="HOA756" s="125"/>
      <c r="HOB756" s="125"/>
      <c r="HOC756" s="125"/>
      <c r="HOD756" s="125"/>
      <c r="HOE756" s="125"/>
      <c r="HOF756" s="125"/>
      <c r="HOG756" s="125"/>
      <c r="HOH756" s="125"/>
      <c r="HOI756" s="125"/>
      <c r="HOJ756" s="125"/>
      <c r="HOK756" s="125"/>
      <c r="HOL756" s="125"/>
      <c r="HOM756" s="125"/>
      <c r="HON756" s="125"/>
      <c r="HOO756" s="125"/>
      <c r="HOP756" s="125"/>
      <c r="HOQ756" s="125"/>
      <c r="HOR756" s="125"/>
      <c r="HOS756" s="125"/>
      <c r="HOT756" s="125"/>
      <c r="HOU756" s="125"/>
      <c r="HOV756" s="125"/>
      <c r="HOW756" s="125"/>
      <c r="HOX756" s="125"/>
      <c r="HOY756" s="125"/>
      <c r="HOZ756" s="125"/>
      <c r="HPA756" s="125"/>
      <c r="HPB756" s="125"/>
      <c r="HPC756" s="125"/>
      <c r="HPD756" s="125"/>
      <c r="HPE756" s="125"/>
      <c r="HPF756" s="125"/>
      <c r="HPG756" s="125"/>
      <c r="HPH756" s="125"/>
      <c r="HPI756" s="125"/>
      <c r="HPJ756" s="125"/>
      <c r="HPK756" s="125"/>
      <c r="HPL756" s="125"/>
      <c r="HPM756" s="125"/>
      <c r="HPN756" s="125"/>
      <c r="HPO756" s="125"/>
      <c r="HPP756" s="125"/>
      <c r="HPQ756" s="125"/>
      <c r="HPR756" s="125"/>
      <c r="HPS756" s="125"/>
      <c r="HPT756" s="125"/>
      <c r="HPU756" s="125"/>
      <c r="HPV756" s="125"/>
      <c r="HPW756" s="125"/>
      <c r="HPX756" s="125"/>
      <c r="HPY756" s="125"/>
      <c r="HPZ756" s="125"/>
      <c r="HQA756" s="125"/>
      <c r="HQB756" s="125"/>
      <c r="HQC756" s="125"/>
      <c r="HQD756" s="125"/>
      <c r="HQE756" s="125"/>
      <c r="HQF756" s="125"/>
      <c r="HQG756" s="125"/>
      <c r="HQH756" s="125"/>
      <c r="HQI756" s="125"/>
      <c r="HQJ756" s="125"/>
      <c r="HQK756" s="125"/>
      <c r="HQL756" s="125"/>
      <c r="HQM756" s="125"/>
      <c r="HQN756" s="125"/>
      <c r="HQO756" s="125"/>
      <c r="HQP756" s="125"/>
      <c r="HQQ756" s="125"/>
      <c r="HQR756" s="125"/>
      <c r="HQS756" s="125"/>
      <c r="HQT756" s="125"/>
      <c r="HQU756" s="125"/>
      <c r="HQV756" s="125"/>
      <c r="HQW756" s="125"/>
      <c r="HQX756" s="125"/>
      <c r="HQY756" s="125"/>
      <c r="HQZ756" s="125"/>
      <c r="HRA756" s="125"/>
      <c r="HRB756" s="125"/>
      <c r="HRC756" s="125"/>
      <c r="HRD756" s="125"/>
      <c r="HRE756" s="125"/>
      <c r="HRF756" s="125"/>
      <c r="HRG756" s="125"/>
      <c r="HRH756" s="125"/>
      <c r="HRI756" s="125"/>
      <c r="HRJ756" s="125"/>
      <c r="HRK756" s="125"/>
      <c r="HRL756" s="125"/>
      <c r="HRM756" s="125"/>
      <c r="HRN756" s="125"/>
      <c r="HRO756" s="125"/>
      <c r="HRP756" s="125"/>
      <c r="HRQ756" s="125"/>
      <c r="HRR756" s="125"/>
      <c r="HRS756" s="125"/>
      <c r="HRT756" s="125"/>
      <c r="HRU756" s="125"/>
      <c r="HRV756" s="125"/>
      <c r="HRW756" s="125"/>
      <c r="HRX756" s="125"/>
      <c r="HRY756" s="125"/>
      <c r="HRZ756" s="125"/>
      <c r="HSA756" s="125"/>
      <c r="HSB756" s="125"/>
      <c r="HSC756" s="125"/>
      <c r="HSD756" s="125"/>
      <c r="HSE756" s="125"/>
      <c r="HSF756" s="125"/>
      <c r="HSG756" s="125"/>
      <c r="HSH756" s="125"/>
      <c r="HSI756" s="125"/>
      <c r="HSJ756" s="125"/>
      <c r="HSK756" s="125"/>
      <c r="HSL756" s="125"/>
      <c r="HSM756" s="125"/>
      <c r="HSN756" s="125"/>
      <c r="HSO756" s="125"/>
      <c r="HSP756" s="125"/>
      <c r="HSQ756" s="125"/>
      <c r="HSR756" s="125"/>
      <c r="HSS756" s="125"/>
      <c r="HST756" s="125"/>
      <c r="HSU756" s="125"/>
      <c r="HSV756" s="125"/>
      <c r="HSW756" s="125"/>
      <c r="HSX756" s="125"/>
      <c r="HSY756" s="125"/>
      <c r="HSZ756" s="125"/>
      <c r="HTA756" s="125"/>
      <c r="HTB756" s="125"/>
      <c r="HTC756" s="125"/>
      <c r="HTD756" s="125"/>
      <c r="HTE756" s="125"/>
      <c r="HTF756" s="125"/>
      <c r="HTG756" s="125"/>
      <c r="HTH756" s="125"/>
      <c r="HTI756" s="125"/>
      <c r="HTJ756" s="125"/>
      <c r="HTK756" s="125"/>
      <c r="HTL756" s="125"/>
      <c r="HTM756" s="125"/>
      <c r="HTN756" s="125"/>
      <c r="HTO756" s="125"/>
      <c r="HTP756" s="125"/>
      <c r="HTQ756" s="125"/>
      <c r="HTR756" s="125"/>
      <c r="HTS756" s="125"/>
      <c r="HTT756" s="125"/>
      <c r="HTU756" s="125"/>
      <c r="HTV756" s="125"/>
      <c r="HTW756" s="125"/>
      <c r="HTX756" s="125"/>
      <c r="HTY756" s="125"/>
      <c r="HTZ756" s="125"/>
      <c r="HUA756" s="125"/>
      <c r="HUB756" s="125"/>
      <c r="HUC756" s="125"/>
      <c r="HUD756" s="125"/>
      <c r="HUE756" s="125"/>
      <c r="HUF756" s="125"/>
      <c r="HUG756" s="125"/>
      <c r="HUH756" s="125"/>
      <c r="HUI756" s="125"/>
      <c r="HUJ756" s="125"/>
      <c r="HUK756" s="125"/>
      <c r="HUL756" s="125"/>
      <c r="HUM756" s="125"/>
      <c r="HUN756" s="125"/>
      <c r="HUO756" s="125"/>
      <c r="HUP756" s="125"/>
      <c r="HUQ756" s="125"/>
      <c r="HUR756" s="125"/>
      <c r="HUS756" s="125"/>
      <c r="HUT756" s="125"/>
      <c r="HUU756" s="125"/>
      <c r="HUV756" s="125"/>
      <c r="HUW756" s="125"/>
      <c r="HUX756" s="125"/>
      <c r="HUY756" s="125"/>
      <c r="HUZ756" s="125"/>
      <c r="HVA756" s="125"/>
      <c r="HVB756" s="125"/>
      <c r="HVC756" s="125"/>
      <c r="HVD756" s="125"/>
      <c r="HVE756" s="125"/>
      <c r="HVF756" s="125"/>
      <c r="HVG756" s="125"/>
      <c r="HVH756" s="125"/>
      <c r="HVI756" s="125"/>
      <c r="HVJ756" s="125"/>
      <c r="HVK756" s="125"/>
      <c r="HVL756" s="125"/>
      <c r="HVM756" s="125"/>
      <c r="HVN756" s="125"/>
      <c r="HVO756" s="125"/>
      <c r="HVP756" s="125"/>
      <c r="HVQ756" s="125"/>
      <c r="HVR756" s="125"/>
      <c r="HVS756" s="125"/>
      <c r="HVT756" s="125"/>
      <c r="HVU756" s="125"/>
      <c r="HVV756" s="125"/>
      <c r="HVW756" s="125"/>
      <c r="HVX756" s="125"/>
      <c r="HVY756" s="125"/>
      <c r="HVZ756" s="125"/>
      <c r="HWA756" s="125"/>
      <c r="HWB756" s="125"/>
      <c r="HWC756" s="125"/>
      <c r="HWD756" s="125"/>
      <c r="HWE756" s="125"/>
      <c r="HWF756" s="125"/>
      <c r="HWG756" s="125"/>
      <c r="HWH756" s="125"/>
      <c r="HWI756" s="125"/>
      <c r="HWJ756" s="125"/>
      <c r="HWK756" s="125"/>
      <c r="HWL756" s="125"/>
      <c r="HWM756" s="125"/>
      <c r="HWN756" s="125"/>
      <c r="HWO756" s="125"/>
      <c r="HWP756" s="125"/>
      <c r="HWQ756" s="125"/>
      <c r="HWR756" s="125"/>
      <c r="HWS756" s="125"/>
      <c r="HWT756" s="125"/>
      <c r="HWU756" s="125"/>
      <c r="HWV756" s="125"/>
      <c r="HWW756" s="125"/>
      <c r="HWX756" s="125"/>
      <c r="HWY756" s="125"/>
      <c r="HWZ756" s="125"/>
      <c r="HXA756" s="125"/>
      <c r="HXB756" s="125"/>
      <c r="HXC756" s="125"/>
      <c r="HXD756" s="125"/>
      <c r="HXE756" s="125"/>
      <c r="HXF756" s="125"/>
      <c r="HXG756" s="125"/>
      <c r="HXH756" s="125"/>
      <c r="HXI756" s="125"/>
      <c r="HXJ756" s="125"/>
      <c r="HXK756" s="125"/>
      <c r="HXL756" s="125"/>
      <c r="HXM756" s="125"/>
      <c r="HXN756" s="125"/>
      <c r="HXO756" s="125"/>
      <c r="HXP756" s="125"/>
      <c r="HXQ756" s="125"/>
      <c r="HXR756" s="125"/>
      <c r="HXS756" s="125"/>
      <c r="HXT756" s="125"/>
      <c r="HXU756" s="125"/>
      <c r="HXV756" s="125"/>
      <c r="HXW756" s="125"/>
      <c r="HXX756" s="125"/>
      <c r="HXY756" s="125"/>
      <c r="HXZ756" s="125"/>
      <c r="HYA756" s="125"/>
      <c r="HYB756" s="125"/>
      <c r="HYC756" s="125"/>
      <c r="HYD756" s="125"/>
      <c r="HYE756" s="125"/>
      <c r="HYF756" s="125"/>
      <c r="HYG756" s="125"/>
      <c r="HYH756" s="125"/>
      <c r="HYI756" s="125"/>
      <c r="HYJ756" s="125"/>
      <c r="HYK756" s="125"/>
      <c r="HYL756" s="125"/>
      <c r="HYM756" s="125"/>
      <c r="HYN756" s="125"/>
      <c r="HYO756" s="125"/>
      <c r="HYP756" s="125"/>
      <c r="HYQ756" s="125"/>
      <c r="HYR756" s="125"/>
      <c r="HYS756" s="125"/>
      <c r="HYT756" s="125"/>
      <c r="HYU756" s="125"/>
      <c r="HYV756" s="125"/>
      <c r="HYW756" s="125"/>
      <c r="HYX756" s="125"/>
      <c r="HYY756" s="125"/>
      <c r="HYZ756" s="125"/>
      <c r="HZA756" s="125"/>
      <c r="HZB756" s="125"/>
      <c r="HZC756" s="125"/>
      <c r="HZD756" s="125"/>
      <c r="HZE756" s="125"/>
      <c r="HZF756" s="125"/>
      <c r="HZG756" s="125"/>
      <c r="HZH756" s="125"/>
      <c r="HZI756" s="125"/>
      <c r="HZJ756" s="125"/>
      <c r="HZK756" s="125"/>
      <c r="HZL756" s="125"/>
      <c r="HZM756" s="125"/>
      <c r="HZN756" s="125"/>
      <c r="HZO756" s="125"/>
      <c r="HZP756" s="125"/>
      <c r="HZQ756" s="125"/>
      <c r="HZR756" s="125"/>
      <c r="HZS756" s="125"/>
      <c r="HZT756" s="125"/>
      <c r="HZU756" s="125"/>
      <c r="HZV756" s="125"/>
      <c r="HZW756" s="125"/>
      <c r="HZX756" s="125"/>
      <c r="HZY756" s="125"/>
      <c r="HZZ756" s="125"/>
      <c r="IAA756" s="125"/>
      <c r="IAB756" s="125"/>
      <c r="IAC756" s="125"/>
      <c r="IAD756" s="125"/>
      <c r="IAE756" s="125"/>
      <c r="IAF756" s="125"/>
      <c r="IAG756" s="125"/>
      <c r="IAH756" s="125"/>
      <c r="IAI756" s="125"/>
      <c r="IAJ756" s="125"/>
      <c r="IAK756" s="125"/>
      <c r="IAL756" s="125"/>
      <c r="IAM756" s="125"/>
      <c r="IAN756" s="125"/>
      <c r="IAO756" s="125"/>
      <c r="IAP756" s="125"/>
      <c r="IAQ756" s="125"/>
      <c r="IAR756" s="125"/>
      <c r="IAS756" s="125"/>
      <c r="IAT756" s="125"/>
      <c r="IAU756" s="125"/>
      <c r="IAV756" s="125"/>
      <c r="IAW756" s="125"/>
      <c r="IAX756" s="125"/>
      <c r="IAY756" s="125"/>
      <c r="IAZ756" s="125"/>
      <c r="IBA756" s="125"/>
      <c r="IBB756" s="125"/>
      <c r="IBC756" s="125"/>
      <c r="IBD756" s="125"/>
      <c r="IBE756" s="125"/>
      <c r="IBF756" s="125"/>
      <c r="IBG756" s="125"/>
      <c r="IBH756" s="125"/>
      <c r="IBI756" s="125"/>
      <c r="IBJ756" s="125"/>
      <c r="IBK756" s="125"/>
      <c r="IBL756" s="125"/>
      <c r="IBM756" s="125"/>
      <c r="IBN756" s="125"/>
      <c r="IBO756" s="125"/>
      <c r="IBP756" s="125"/>
      <c r="IBQ756" s="125"/>
      <c r="IBR756" s="125"/>
      <c r="IBS756" s="125"/>
      <c r="IBT756" s="125"/>
      <c r="IBU756" s="125"/>
      <c r="IBV756" s="125"/>
      <c r="IBW756" s="125"/>
      <c r="IBX756" s="125"/>
      <c r="IBY756" s="125"/>
      <c r="IBZ756" s="125"/>
      <c r="ICA756" s="125"/>
      <c r="ICB756" s="125"/>
      <c r="ICC756" s="125"/>
      <c r="ICD756" s="125"/>
      <c r="ICE756" s="125"/>
      <c r="ICF756" s="125"/>
      <c r="ICG756" s="125"/>
      <c r="ICH756" s="125"/>
      <c r="ICI756" s="125"/>
      <c r="ICJ756" s="125"/>
      <c r="ICK756" s="125"/>
      <c r="ICL756" s="125"/>
      <c r="ICM756" s="125"/>
      <c r="ICN756" s="125"/>
      <c r="ICO756" s="125"/>
      <c r="ICP756" s="125"/>
      <c r="ICQ756" s="125"/>
      <c r="ICR756" s="125"/>
      <c r="ICS756" s="125"/>
      <c r="ICT756" s="125"/>
      <c r="ICU756" s="125"/>
      <c r="ICV756" s="125"/>
      <c r="ICW756" s="125"/>
      <c r="ICX756" s="125"/>
      <c r="ICY756" s="125"/>
      <c r="ICZ756" s="125"/>
      <c r="IDA756" s="125"/>
      <c r="IDB756" s="125"/>
      <c r="IDC756" s="125"/>
      <c r="IDD756" s="125"/>
      <c r="IDE756" s="125"/>
      <c r="IDF756" s="125"/>
      <c r="IDG756" s="125"/>
      <c r="IDH756" s="125"/>
      <c r="IDI756" s="125"/>
      <c r="IDJ756" s="125"/>
      <c r="IDK756" s="125"/>
      <c r="IDL756" s="125"/>
      <c r="IDM756" s="125"/>
      <c r="IDN756" s="125"/>
      <c r="IDO756" s="125"/>
      <c r="IDP756" s="125"/>
      <c r="IDQ756" s="125"/>
      <c r="IDR756" s="125"/>
      <c r="IDS756" s="125"/>
      <c r="IDT756" s="125"/>
      <c r="IDU756" s="125"/>
      <c r="IDV756" s="125"/>
      <c r="IDW756" s="125"/>
      <c r="IDX756" s="125"/>
      <c r="IDY756" s="125"/>
      <c r="IDZ756" s="125"/>
      <c r="IEA756" s="125"/>
      <c r="IEB756" s="125"/>
      <c r="IEC756" s="125"/>
      <c r="IED756" s="125"/>
      <c r="IEE756" s="125"/>
      <c r="IEF756" s="125"/>
      <c r="IEG756" s="125"/>
      <c r="IEH756" s="125"/>
      <c r="IEI756" s="125"/>
      <c r="IEJ756" s="125"/>
      <c r="IEK756" s="125"/>
      <c r="IEL756" s="125"/>
      <c r="IEM756" s="125"/>
      <c r="IEN756" s="125"/>
      <c r="IEO756" s="125"/>
      <c r="IEP756" s="125"/>
      <c r="IEQ756" s="125"/>
      <c r="IER756" s="125"/>
      <c r="IES756" s="125"/>
      <c r="IET756" s="125"/>
      <c r="IEU756" s="125"/>
      <c r="IEV756" s="125"/>
      <c r="IEW756" s="125"/>
      <c r="IEX756" s="125"/>
      <c r="IEY756" s="125"/>
      <c r="IEZ756" s="125"/>
      <c r="IFA756" s="125"/>
      <c r="IFB756" s="125"/>
      <c r="IFC756" s="125"/>
      <c r="IFD756" s="125"/>
      <c r="IFE756" s="125"/>
      <c r="IFF756" s="125"/>
      <c r="IFG756" s="125"/>
      <c r="IFH756" s="125"/>
      <c r="IFI756" s="125"/>
      <c r="IFJ756" s="125"/>
      <c r="IFK756" s="125"/>
      <c r="IFL756" s="125"/>
      <c r="IFM756" s="125"/>
      <c r="IFN756" s="125"/>
      <c r="IFO756" s="125"/>
      <c r="IFP756" s="125"/>
      <c r="IFQ756" s="125"/>
      <c r="IFR756" s="125"/>
      <c r="IFS756" s="125"/>
      <c r="IFT756" s="125"/>
      <c r="IFU756" s="125"/>
      <c r="IFV756" s="125"/>
      <c r="IFW756" s="125"/>
      <c r="IFX756" s="125"/>
      <c r="IFY756" s="125"/>
      <c r="IFZ756" s="125"/>
      <c r="IGA756" s="125"/>
      <c r="IGB756" s="125"/>
      <c r="IGC756" s="125"/>
      <c r="IGD756" s="125"/>
      <c r="IGE756" s="125"/>
      <c r="IGF756" s="125"/>
      <c r="IGG756" s="125"/>
      <c r="IGH756" s="125"/>
      <c r="IGI756" s="125"/>
      <c r="IGJ756" s="125"/>
      <c r="IGK756" s="125"/>
      <c r="IGL756" s="125"/>
      <c r="IGM756" s="125"/>
      <c r="IGN756" s="125"/>
      <c r="IGO756" s="125"/>
      <c r="IGP756" s="125"/>
      <c r="IGQ756" s="125"/>
      <c r="IGR756" s="125"/>
      <c r="IGS756" s="125"/>
      <c r="IGT756" s="125"/>
      <c r="IGU756" s="125"/>
      <c r="IGV756" s="125"/>
      <c r="IGW756" s="125"/>
      <c r="IGX756" s="125"/>
      <c r="IGY756" s="125"/>
      <c r="IGZ756" s="125"/>
      <c r="IHA756" s="125"/>
      <c r="IHB756" s="125"/>
      <c r="IHC756" s="125"/>
      <c r="IHD756" s="125"/>
      <c r="IHE756" s="125"/>
      <c r="IHF756" s="125"/>
      <c r="IHG756" s="125"/>
      <c r="IHH756" s="125"/>
      <c r="IHI756" s="125"/>
      <c r="IHJ756" s="125"/>
      <c r="IHK756" s="125"/>
      <c r="IHL756" s="125"/>
      <c r="IHM756" s="125"/>
      <c r="IHN756" s="125"/>
      <c r="IHO756" s="125"/>
      <c r="IHP756" s="125"/>
      <c r="IHQ756" s="125"/>
      <c r="IHR756" s="125"/>
      <c r="IHS756" s="125"/>
      <c r="IHT756" s="125"/>
      <c r="IHU756" s="125"/>
      <c r="IHV756" s="125"/>
      <c r="IHW756" s="125"/>
      <c r="IHX756" s="125"/>
      <c r="IHY756" s="125"/>
      <c r="IHZ756" s="125"/>
      <c r="IIA756" s="125"/>
      <c r="IIB756" s="125"/>
      <c r="IIC756" s="125"/>
      <c r="IID756" s="125"/>
      <c r="IIE756" s="125"/>
      <c r="IIF756" s="125"/>
      <c r="IIG756" s="125"/>
      <c r="IIH756" s="125"/>
      <c r="III756" s="125"/>
      <c r="IIJ756" s="125"/>
      <c r="IIK756" s="125"/>
      <c r="IIL756" s="125"/>
      <c r="IIM756" s="125"/>
      <c r="IIN756" s="125"/>
      <c r="IIO756" s="125"/>
      <c r="IIP756" s="125"/>
      <c r="IIQ756" s="125"/>
      <c r="IIR756" s="125"/>
      <c r="IIS756" s="125"/>
      <c r="IIT756" s="125"/>
      <c r="IIU756" s="125"/>
      <c r="IIV756" s="125"/>
      <c r="IIW756" s="125"/>
      <c r="IIX756" s="125"/>
      <c r="IIY756" s="125"/>
      <c r="IIZ756" s="125"/>
      <c r="IJA756" s="125"/>
      <c r="IJB756" s="125"/>
      <c r="IJC756" s="125"/>
      <c r="IJD756" s="125"/>
      <c r="IJE756" s="125"/>
      <c r="IJF756" s="125"/>
      <c r="IJG756" s="125"/>
      <c r="IJH756" s="125"/>
      <c r="IJI756" s="125"/>
      <c r="IJJ756" s="125"/>
      <c r="IJK756" s="125"/>
      <c r="IJL756" s="125"/>
      <c r="IJM756" s="125"/>
      <c r="IJN756" s="125"/>
      <c r="IJO756" s="125"/>
      <c r="IJP756" s="125"/>
      <c r="IJQ756" s="125"/>
      <c r="IJR756" s="125"/>
      <c r="IJS756" s="125"/>
      <c r="IJT756" s="125"/>
      <c r="IJU756" s="125"/>
      <c r="IJV756" s="125"/>
      <c r="IJW756" s="125"/>
      <c r="IJX756" s="125"/>
      <c r="IJY756" s="125"/>
      <c r="IJZ756" s="125"/>
      <c r="IKA756" s="125"/>
      <c r="IKB756" s="125"/>
      <c r="IKC756" s="125"/>
      <c r="IKD756" s="125"/>
      <c r="IKE756" s="125"/>
      <c r="IKF756" s="125"/>
      <c r="IKG756" s="125"/>
      <c r="IKH756" s="125"/>
      <c r="IKI756" s="125"/>
      <c r="IKJ756" s="125"/>
      <c r="IKK756" s="125"/>
      <c r="IKL756" s="125"/>
      <c r="IKM756" s="125"/>
      <c r="IKN756" s="125"/>
      <c r="IKO756" s="125"/>
      <c r="IKP756" s="125"/>
      <c r="IKQ756" s="125"/>
      <c r="IKR756" s="125"/>
      <c r="IKS756" s="125"/>
      <c r="IKT756" s="125"/>
      <c r="IKU756" s="125"/>
      <c r="IKV756" s="125"/>
      <c r="IKW756" s="125"/>
      <c r="IKX756" s="125"/>
      <c r="IKY756" s="125"/>
      <c r="IKZ756" s="125"/>
      <c r="ILA756" s="125"/>
      <c r="ILB756" s="125"/>
      <c r="ILC756" s="125"/>
      <c r="ILD756" s="125"/>
      <c r="ILE756" s="125"/>
      <c r="ILF756" s="125"/>
      <c r="ILG756" s="125"/>
      <c r="ILH756" s="125"/>
      <c r="ILI756" s="125"/>
      <c r="ILJ756" s="125"/>
      <c r="ILK756" s="125"/>
      <c r="ILL756" s="125"/>
      <c r="ILM756" s="125"/>
      <c r="ILN756" s="125"/>
      <c r="ILO756" s="125"/>
      <c r="ILP756" s="125"/>
      <c r="ILQ756" s="125"/>
      <c r="ILR756" s="125"/>
      <c r="ILS756" s="125"/>
      <c r="ILT756" s="125"/>
      <c r="ILU756" s="125"/>
      <c r="ILV756" s="125"/>
      <c r="ILW756" s="125"/>
      <c r="ILX756" s="125"/>
      <c r="ILY756" s="125"/>
      <c r="ILZ756" s="125"/>
      <c r="IMA756" s="125"/>
      <c r="IMB756" s="125"/>
      <c r="IMC756" s="125"/>
      <c r="IMD756" s="125"/>
      <c r="IME756" s="125"/>
      <c r="IMF756" s="125"/>
      <c r="IMG756" s="125"/>
      <c r="IMH756" s="125"/>
      <c r="IMI756" s="125"/>
      <c r="IMJ756" s="125"/>
      <c r="IMK756" s="125"/>
      <c r="IML756" s="125"/>
      <c r="IMM756" s="125"/>
      <c r="IMN756" s="125"/>
      <c r="IMO756" s="125"/>
      <c r="IMP756" s="125"/>
      <c r="IMQ756" s="125"/>
      <c r="IMR756" s="125"/>
      <c r="IMS756" s="125"/>
      <c r="IMT756" s="125"/>
      <c r="IMU756" s="125"/>
      <c r="IMV756" s="125"/>
      <c r="IMW756" s="125"/>
      <c r="IMX756" s="125"/>
      <c r="IMY756" s="125"/>
      <c r="IMZ756" s="125"/>
      <c r="INA756" s="125"/>
      <c r="INB756" s="125"/>
      <c r="INC756" s="125"/>
      <c r="IND756" s="125"/>
      <c r="INE756" s="125"/>
      <c r="INF756" s="125"/>
      <c r="ING756" s="125"/>
      <c r="INH756" s="125"/>
      <c r="INI756" s="125"/>
      <c r="INJ756" s="125"/>
      <c r="INK756" s="125"/>
      <c r="INL756" s="125"/>
      <c r="INM756" s="125"/>
      <c r="INN756" s="125"/>
      <c r="INO756" s="125"/>
      <c r="INP756" s="125"/>
      <c r="INQ756" s="125"/>
      <c r="INR756" s="125"/>
      <c r="INS756" s="125"/>
      <c r="INT756" s="125"/>
      <c r="INU756" s="125"/>
      <c r="INV756" s="125"/>
      <c r="INW756" s="125"/>
      <c r="INX756" s="125"/>
      <c r="INY756" s="125"/>
      <c r="INZ756" s="125"/>
      <c r="IOA756" s="125"/>
      <c r="IOB756" s="125"/>
      <c r="IOC756" s="125"/>
      <c r="IOD756" s="125"/>
      <c r="IOE756" s="125"/>
      <c r="IOF756" s="125"/>
      <c r="IOG756" s="125"/>
      <c r="IOH756" s="125"/>
      <c r="IOI756" s="125"/>
      <c r="IOJ756" s="125"/>
      <c r="IOK756" s="125"/>
      <c r="IOL756" s="125"/>
      <c r="IOM756" s="125"/>
      <c r="ION756" s="125"/>
      <c r="IOO756" s="125"/>
      <c r="IOP756" s="125"/>
      <c r="IOQ756" s="125"/>
      <c r="IOR756" s="125"/>
      <c r="IOS756" s="125"/>
      <c r="IOT756" s="125"/>
      <c r="IOU756" s="125"/>
      <c r="IOV756" s="125"/>
      <c r="IOW756" s="125"/>
      <c r="IOX756" s="125"/>
      <c r="IOY756" s="125"/>
      <c r="IOZ756" s="125"/>
      <c r="IPA756" s="125"/>
      <c r="IPB756" s="125"/>
      <c r="IPC756" s="125"/>
      <c r="IPD756" s="125"/>
      <c r="IPE756" s="125"/>
      <c r="IPF756" s="125"/>
      <c r="IPG756" s="125"/>
      <c r="IPH756" s="125"/>
      <c r="IPI756" s="125"/>
      <c r="IPJ756" s="125"/>
      <c r="IPK756" s="125"/>
      <c r="IPL756" s="125"/>
      <c r="IPM756" s="125"/>
      <c r="IPN756" s="125"/>
      <c r="IPO756" s="125"/>
      <c r="IPP756" s="125"/>
      <c r="IPQ756" s="125"/>
      <c r="IPR756" s="125"/>
      <c r="IPS756" s="125"/>
      <c r="IPT756" s="125"/>
      <c r="IPU756" s="125"/>
      <c r="IPV756" s="125"/>
      <c r="IPW756" s="125"/>
      <c r="IPX756" s="125"/>
      <c r="IPY756" s="125"/>
      <c r="IPZ756" s="125"/>
      <c r="IQA756" s="125"/>
      <c r="IQB756" s="125"/>
      <c r="IQC756" s="125"/>
      <c r="IQD756" s="125"/>
      <c r="IQE756" s="125"/>
      <c r="IQF756" s="125"/>
      <c r="IQG756" s="125"/>
      <c r="IQH756" s="125"/>
      <c r="IQI756" s="125"/>
      <c r="IQJ756" s="125"/>
      <c r="IQK756" s="125"/>
      <c r="IQL756" s="125"/>
      <c r="IQM756" s="125"/>
      <c r="IQN756" s="125"/>
      <c r="IQO756" s="125"/>
      <c r="IQP756" s="125"/>
      <c r="IQQ756" s="125"/>
      <c r="IQR756" s="125"/>
      <c r="IQS756" s="125"/>
      <c r="IQT756" s="125"/>
      <c r="IQU756" s="125"/>
      <c r="IQV756" s="125"/>
      <c r="IQW756" s="125"/>
      <c r="IQX756" s="125"/>
      <c r="IQY756" s="125"/>
      <c r="IQZ756" s="125"/>
      <c r="IRA756" s="125"/>
      <c r="IRB756" s="125"/>
      <c r="IRC756" s="125"/>
      <c r="IRD756" s="125"/>
      <c r="IRE756" s="125"/>
      <c r="IRF756" s="125"/>
      <c r="IRG756" s="125"/>
      <c r="IRH756" s="125"/>
      <c r="IRI756" s="125"/>
      <c r="IRJ756" s="125"/>
      <c r="IRK756" s="125"/>
      <c r="IRL756" s="125"/>
      <c r="IRM756" s="125"/>
      <c r="IRN756" s="125"/>
      <c r="IRO756" s="125"/>
      <c r="IRP756" s="125"/>
      <c r="IRQ756" s="125"/>
      <c r="IRR756" s="125"/>
      <c r="IRS756" s="125"/>
      <c r="IRT756" s="125"/>
      <c r="IRU756" s="125"/>
      <c r="IRV756" s="125"/>
      <c r="IRW756" s="125"/>
      <c r="IRX756" s="125"/>
      <c r="IRY756" s="125"/>
      <c r="IRZ756" s="125"/>
      <c r="ISA756" s="125"/>
      <c r="ISB756" s="125"/>
      <c r="ISC756" s="125"/>
      <c r="ISD756" s="125"/>
      <c r="ISE756" s="125"/>
      <c r="ISF756" s="125"/>
      <c r="ISG756" s="125"/>
      <c r="ISH756" s="125"/>
      <c r="ISI756" s="125"/>
      <c r="ISJ756" s="125"/>
      <c r="ISK756" s="125"/>
      <c r="ISL756" s="125"/>
      <c r="ISM756" s="125"/>
      <c r="ISN756" s="125"/>
      <c r="ISO756" s="125"/>
      <c r="ISP756" s="125"/>
      <c r="ISQ756" s="125"/>
      <c r="ISR756" s="125"/>
      <c r="ISS756" s="125"/>
      <c r="IST756" s="125"/>
      <c r="ISU756" s="125"/>
      <c r="ISV756" s="125"/>
      <c r="ISW756" s="125"/>
      <c r="ISX756" s="125"/>
      <c r="ISY756" s="125"/>
      <c r="ISZ756" s="125"/>
      <c r="ITA756" s="125"/>
      <c r="ITB756" s="125"/>
      <c r="ITC756" s="125"/>
      <c r="ITD756" s="125"/>
      <c r="ITE756" s="125"/>
      <c r="ITF756" s="125"/>
      <c r="ITG756" s="125"/>
      <c r="ITH756" s="125"/>
      <c r="ITI756" s="125"/>
      <c r="ITJ756" s="125"/>
      <c r="ITK756" s="125"/>
      <c r="ITL756" s="125"/>
      <c r="ITM756" s="125"/>
      <c r="ITN756" s="125"/>
      <c r="ITO756" s="125"/>
      <c r="ITP756" s="125"/>
      <c r="ITQ756" s="125"/>
      <c r="ITR756" s="125"/>
      <c r="ITS756" s="125"/>
      <c r="ITT756" s="125"/>
      <c r="ITU756" s="125"/>
      <c r="ITV756" s="125"/>
      <c r="ITW756" s="125"/>
      <c r="ITX756" s="125"/>
      <c r="ITY756" s="125"/>
      <c r="ITZ756" s="125"/>
      <c r="IUA756" s="125"/>
      <c r="IUB756" s="125"/>
      <c r="IUC756" s="125"/>
      <c r="IUD756" s="125"/>
      <c r="IUE756" s="125"/>
      <c r="IUF756" s="125"/>
      <c r="IUG756" s="125"/>
      <c r="IUH756" s="125"/>
      <c r="IUI756" s="125"/>
      <c r="IUJ756" s="125"/>
      <c r="IUK756" s="125"/>
      <c r="IUL756" s="125"/>
      <c r="IUM756" s="125"/>
      <c r="IUN756" s="125"/>
      <c r="IUO756" s="125"/>
      <c r="IUP756" s="125"/>
      <c r="IUQ756" s="125"/>
      <c r="IUR756" s="125"/>
      <c r="IUS756" s="125"/>
      <c r="IUT756" s="125"/>
      <c r="IUU756" s="125"/>
      <c r="IUV756" s="125"/>
      <c r="IUW756" s="125"/>
      <c r="IUX756" s="125"/>
      <c r="IUY756" s="125"/>
      <c r="IUZ756" s="125"/>
      <c r="IVA756" s="125"/>
      <c r="IVB756" s="125"/>
      <c r="IVC756" s="125"/>
      <c r="IVD756" s="125"/>
      <c r="IVE756" s="125"/>
      <c r="IVF756" s="125"/>
      <c r="IVG756" s="125"/>
      <c r="IVH756" s="125"/>
      <c r="IVI756" s="125"/>
      <c r="IVJ756" s="125"/>
      <c r="IVK756" s="125"/>
      <c r="IVL756" s="125"/>
      <c r="IVM756" s="125"/>
      <c r="IVN756" s="125"/>
      <c r="IVO756" s="125"/>
      <c r="IVP756" s="125"/>
      <c r="IVQ756" s="125"/>
      <c r="IVR756" s="125"/>
      <c r="IVS756" s="125"/>
      <c r="IVT756" s="125"/>
      <c r="IVU756" s="125"/>
      <c r="IVV756" s="125"/>
      <c r="IVW756" s="125"/>
      <c r="IVX756" s="125"/>
      <c r="IVY756" s="125"/>
      <c r="IVZ756" s="125"/>
      <c r="IWA756" s="125"/>
      <c r="IWB756" s="125"/>
      <c r="IWC756" s="125"/>
      <c r="IWD756" s="125"/>
      <c r="IWE756" s="125"/>
      <c r="IWF756" s="125"/>
      <c r="IWG756" s="125"/>
      <c r="IWH756" s="125"/>
      <c r="IWI756" s="125"/>
      <c r="IWJ756" s="125"/>
      <c r="IWK756" s="125"/>
      <c r="IWL756" s="125"/>
      <c r="IWM756" s="125"/>
      <c r="IWN756" s="125"/>
      <c r="IWO756" s="125"/>
      <c r="IWP756" s="125"/>
      <c r="IWQ756" s="125"/>
      <c r="IWR756" s="125"/>
      <c r="IWS756" s="125"/>
      <c r="IWT756" s="125"/>
      <c r="IWU756" s="125"/>
      <c r="IWV756" s="125"/>
      <c r="IWW756" s="125"/>
      <c r="IWX756" s="125"/>
      <c r="IWY756" s="125"/>
      <c r="IWZ756" s="125"/>
      <c r="IXA756" s="125"/>
      <c r="IXB756" s="125"/>
      <c r="IXC756" s="125"/>
      <c r="IXD756" s="125"/>
      <c r="IXE756" s="125"/>
      <c r="IXF756" s="125"/>
      <c r="IXG756" s="125"/>
      <c r="IXH756" s="125"/>
      <c r="IXI756" s="125"/>
      <c r="IXJ756" s="125"/>
      <c r="IXK756" s="125"/>
      <c r="IXL756" s="125"/>
      <c r="IXM756" s="125"/>
      <c r="IXN756" s="125"/>
      <c r="IXO756" s="125"/>
      <c r="IXP756" s="125"/>
      <c r="IXQ756" s="125"/>
      <c r="IXR756" s="125"/>
      <c r="IXS756" s="125"/>
      <c r="IXT756" s="125"/>
      <c r="IXU756" s="125"/>
      <c r="IXV756" s="125"/>
      <c r="IXW756" s="125"/>
      <c r="IXX756" s="125"/>
      <c r="IXY756" s="125"/>
      <c r="IXZ756" s="125"/>
      <c r="IYA756" s="125"/>
      <c r="IYB756" s="125"/>
      <c r="IYC756" s="125"/>
      <c r="IYD756" s="125"/>
      <c r="IYE756" s="125"/>
      <c r="IYF756" s="125"/>
      <c r="IYG756" s="125"/>
      <c r="IYH756" s="125"/>
      <c r="IYI756" s="125"/>
      <c r="IYJ756" s="125"/>
      <c r="IYK756" s="125"/>
      <c r="IYL756" s="125"/>
      <c r="IYM756" s="125"/>
      <c r="IYN756" s="125"/>
      <c r="IYO756" s="125"/>
      <c r="IYP756" s="125"/>
      <c r="IYQ756" s="125"/>
      <c r="IYR756" s="125"/>
      <c r="IYS756" s="125"/>
      <c r="IYT756" s="125"/>
      <c r="IYU756" s="125"/>
      <c r="IYV756" s="125"/>
      <c r="IYW756" s="125"/>
      <c r="IYX756" s="125"/>
      <c r="IYY756" s="125"/>
      <c r="IYZ756" s="125"/>
      <c r="IZA756" s="125"/>
      <c r="IZB756" s="125"/>
      <c r="IZC756" s="125"/>
      <c r="IZD756" s="125"/>
      <c r="IZE756" s="125"/>
      <c r="IZF756" s="125"/>
      <c r="IZG756" s="125"/>
      <c r="IZH756" s="125"/>
      <c r="IZI756" s="125"/>
      <c r="IZJ756" s="125"/>
      <c r="IZK756" s="125"/>
      <c r="IZL756" s="125"/>
      <c r="IZM756" s="125"/>
      <c r="IZN756" s="125"/>
      <c r="IZO756" s="125"/>
      <c r="IZP756" s="125"/>
      <c r="IZQ756" s="125"/>
      <c r="IZR756" s="125"/>
      <c r="IZS756" s="125"/>
      <c r="IZT756" s="125"/>
      <c r="IZU756" s="125"/>
      <c r="IZV756" s="125"/>
      <c r="IZW756" s="125"/>
      <c r="IZX756" s="125"/>
      <c r="IZY756" s="125"/>
      <c r="IZZ756" s="125"/>
      <c r="JAA756" s="125"/>
      <c r="JAB756" s="125"/>
      <c r="JAC756" s="125"/>
      <c r="JAD756" s="125"/>
      <c r="JAE756" s="125"/>
      <c r="JAF756" s="125"/>
      <c r="JAG756" s="125"/>
      <c r="JAH756" s="125"/>
      <c r="JAI756" s="125"/>
      <c r="JAJ756" s="125"/>
      <c r="JAK756" s="125"/>
      <c r="JAL756" s="125"/>
      <c r="JAM756" s="125"/>
      <c r="JAN756" s="125"/>
      <c r="JAO756" s="125"/>
      <c r="JAP756" s="125"/>
      <c r="JAQ756" s="125"/>
      <c r="JAR756" s="125"/>
      <c r="JAS756" s="125"/>
      <c r="JAT756" s="125"/>
      <c r="JAU756" s="125"/>
      <c r="JAV756" s="125"/>
      <c r="JAW756" s="125"/>
      <c r="JAX756" s="125"/>
      <c r="JAY756" s="125"/>
      <c r="JAZ756" s="125"/>
      <c r="JBA756" s="125"/>
      <c r="JBB756" s="125"/>
      <c r="JBC756" s="125"/>
      <c r="JBD756" s="125"/>
      <c r="JBE756" s="125"/>
      <c r="JBF756" s="125"/>
      <c r="JBG756" s="125"/>
      <c r="JBH756" s="125"/>
      <c r="JBI756" s="125"/>
      <c r="JBJ756" s="125"/>
      <c r="JBK756" s="125"/>
      <c r="JBL756" s="125"/>
      <c r="JBM756" s="125"/>
      <c r="JBN756" s="125"/>
      <c r="JBO756" s="125"/>
      <c r="JBP756" s="125"/>
      <c r="JBQ756" s="125"/>
      <c r="JBR756" s="125"/>
      <c r="JBS756" s="125"/>
      <c r="JBT756" s="125"/>
      <c r="JBU756" s="125"/>
      <c r="JBV756" s="125"/>
      <c r="JBW756" s="125"/>
      <c r="JBX756" s="125"/>
      <c r="JBY756" s="125"/>
      <c r="JBZ756" s="125"/>
      <c r="JCA756" s="125"/>
      <c r="JCB756" s="125"/>
      <c r="JCC756" s="125"/>
      <c r="JCD756" s="125"/>
      <c r="JCE756" s="125"/>
      <c r="JCF756" s="125"/>
      <c r="JCG756" s="125"/>
      <c r="JCH756" s="125"/>
      <c r="JCI756" s="125"/>
      <c r="JCJ756" s="125"/>
      <c r="JCK756" s="125"/>
      <c r="JCL756" s="125"/>
      <c r="JCM756" s="125"/>
      <c r="JCN756" s="125"/>
      <c r="JCO756" s="125"/>
      <c r="JCP756" s="125"/>
      <c r="JCQ756" s="125"/>
      <c r="JCR756" s="125"/>
      <c r="JCS756" s="125"/>
      <c r="JCT756" s="125"/>
      <c r="JCU756" s="125"/>
      <c r="JCV756" s="125"/>
      <c r="JCW756" s="125"/>
      <c r="JCX756" s="125"/>
      <c r="JCY756" s="125"/>
      <c r="JCZ756" s="125"/>
      <c r="JDA756" s="125"/>
      <c r="JDB756" s="125"/>
      <c r="JDC756" s="125"/>
      <c r="JDD756" s="125"/>
      <c r="JDE756" s="125"/>
      <c r="JDF756" s="125"/>
      <c r="JDG756" s="125"/>
      <c r="JDH756" s="125"/>
      <c r="JDI756" s="125"/>
      <c r="JDJ756" s="125"/>
      <c r="JDK756" s="125"/>
      <c r="JDL756" s="125"/>
      <c r="JDM756" s="125"/>
      <c r="JDN756" s="125"/>
      <c r="JDO756" s="125"/>
      <c r="JDP756" s="125"/>
      <c r="JDQ756" s="125"/>
      <c r="JDR756" s="125"/>
      <c r="JDS756" s="125"/>
      <c r="JDT756" s="125"/>
      <c r="JDU756" s="125"/>
      <c r="JDV756" s="125"/>
      <c r="JDW756" s="125"/>
      <c r="JDX756" s="125"/>
      <c r="JDY756" s="125"/>
      <c r="JDZ756" s="125"/>
      <c r="JEA756" s="125"/>
      <c r="JEB756" s="125"/>
      <c r="JEC756" s="125"/>
      <c r="JED756" s="125"/>
      <c r="JEE756" s="125"/>
      <c r="JEF756" s="125"/>
      <c r="JEG756" s="125"/>
      <c r="JEH756" s="125"/>
      <c r="JEI756" s="125"/>
      <c r="JEJ756" s="125"/>
      <c r="JEK756" s="125"/>
      <c r="JEL756" s="125"/>
      <c r="JEM756" s="125"/>
      <c r="JEN756" s="125"/>
      <c r="JEO756" s="125"/>
      <c r="JEP756" s="125"/>
      <c r="JEQ756" s="125"/>
      <c r="JER756" s="125"/>
      <c r="JES756" s="125"/>
      <c r="JET756" s="125"/>
      <c r="JEU756" s="125"/>
      <c r="JEV756" s="125"/>
      <c r="JEW756" s="125"/>
      <c r="JEX756" s="125"/>
      <c r="JEY756" s="125"/>
      <c r="JEZ756" s="125"/>
      <c r="JFA756" s="125"/>
      <c r="JFB756" s="125"/>
      <c r="JFC756" s="125"/>
      <c r="JFD756" s="125"/>
      <c r="JFE756" s="125"/>
      <c r="JFF756" s="125"/>
      <c r="JFG756" s="125"/>
      <c r="JFH756" s="125"/>
      <c r="JFI756" s="125"/>
      <c r="JFJ756" s="125"/>
      <c r="JFK756" s="125"/>
      <c r="JFL756" s="125"/>
      <c r="JFM756" s="125"/>
      <c r="JFN756" s="125"/>
      <c r="JFO756" s="125"/>
      <c r="JFP756" s="125"/>
      <c r="JFQ756" s="125"/>
      <c r="JFR756" s="125"/>
      <c r="JFS756" s="125"/>
      <c r="JFT756" s="125"/>
      <c r="JFU756" s="125"/>
      <c r="JFV756" s="125"/>
      <c r="JFW756" s="125"/>
      <c r="JFX756" s="125"/>
      <c r="JFY756" s="125"/>
      <c r="JFZ756" s="125"/>
      <c r="JGA756" s="125"/>
      <c r="JGB756" s="125"/>
      <c r="JGC756" s="125"/>
      <c r="JGD756" s="125"/>
      <c r="JGE756" s="125"/>
      <c r="JGF756" s="125"/>
      <c r="JGG756" s="125"/>
      <c r="JGH756" s="125"/>
      <c r="JGI756" s="125"/>
      <c r="JGJ756" s="125"/>
      <c r="JGK756" s="125"/>
      <c r="JGL756" s="125"/>
      <c r="JGM756" s="125"/>
      <c r="JGN756" s="125"/>
      <c r="JGO756" s="125"/>
      <c r="JGP756" s="125"/>
      <c r="JGQ756" s="125"/>
      <c r="JGR756" s="125"/>
      <c r="JGS756" s="125"/>
      <c r="JGT756" s="125"/>
      <c r="JGU756" s="125"/>
      <c r="JGV756" s="125"/>
      <c r="JGW756" s="125"/>
      <c r="JGX756" s="125"/>
      <c r="JGY756" s="125"/>
      <c r="JGZ756" s="125"/>
      <c r="JHA756" s="125"/>
      <c r="JHB756" s="125"/>
      <c r="JHC756" s="125"/>
      <c r="JHD756" s="125"/>
      <c r="JHE756" s="125"/>
      <c r="JHF756" s="125"/>
      <c r="JHG756" s="125"/>
      <c r="JHH756" s="125"/>
      <c r="JHI756" s="125"/>
      <c r="JHJ756" s="125"/>
      <c r="JHK756" s="125"/>
      <c r="JHL756" s="125"/>
      <c r="JHM756" s="125"/>
      <c r="JHN756" s="125"/>
      <c r="JHO756" s="125"/>
      <c r="JHP756" s="125"/>
      <c r="JHQ756" s="125"/>
      <c r="JHR756" s="125"/>
      <c r="JHS756" s="125"/>
      <c r="JHT756" s="125"/>
      <c r="JHU756" s="125"/>
      <c r="JHV756" s="125"/>
      <c r="JHW756" s="125"/>
      <c r="JHX756" s="125"/>
      <c r="JHY756" s="125"/>
      <c r="JHZ756" s="125"/>
      <c r="JIA756" s="125"/>
      <c r="JIB756" s="125"/>
      <c r="JIC756" s="125"/>
      <c r="JID756" s="125"/>
      <c r="JIE756" s="125"/>
      <c r="JIF756" s="125"/>
      <c r="JIG756" s="125"/>
      <c r="JIH756" s="125"/>
      <c r="JII756" s="125"/>
      <c r="JIJ756" s="125"/>
      <c r="JIK756" s="125"/>
      <c r="JIL756" s="125"/>
      <c r="JIM756" s="125"/>
      <c r="JIN756" s="125"/>
      <c r="JIO756" s="125"/>
      <c r="JIP756" s="125"/>
      <c r="JIQ756" s="125"/>
      <c r="JIR756" s="125"/>
      <c r="JIS756" s="125"/>
      <c r="JIT756" s="125"/>
      <c r="JIU756" s="125"/>
      <c r="JIV756" s="125"/>
      <c r="JIW756" s="125"/>
      <c r="JIX756" s="125"/>
      <c r="JIY756" s="125"/>
      <c r="JIZ756" s="125"/>
      <c r="JJA756" s="125"/>
      <c r="JJB756" s="125"/>
      <c r="JJC756" s="125"/>
      <c r="JJD756" s="125"/>
      <c r="JJE756" s="125"/>
      <c r="JJF756" s="125"/>
      <c r="JJG756" s="125"/>
      <c r="JJH756" s="125"/>
      <c r="JJI756" s="125"/>
      <c r="JJJ756" s="125"/>
      <c r="JJK756" s="125"/>
      <c r="JJL756" s="125"/>
      <c r="JJM756" s="125"/>
      <c r="JJN756" s="125"/>
      <c r="JJO756" s="125"/>
      <c r="JJP756" s="125"/>
      <c r="JJQ756" s="125"/>
      <c r="JJR756" s="125"/>
      <c r="JJS756" s="125"/>
      <c r="JJT756" s="125"/>
      <c r="JJU756" s="125"/>
      <c r="JJV756" s="125"/>
      <c r="JJW756" s="125"/>
      <c r="JJX756" s="125"/>
      <c r="JJY756" s="125"/>
      <c r="JJZ756" s="125"/>
      <c r="JKA756" s="125"/>
      <c r="JKB756" s="125"/>
      <c r="JKC756" s="125"/>
      <c r="JKD756" s="125"/>
      <c r="JKE756" s="125"/>
      <c r="JKF756" s="125"/>
      <c r="JKG756" s="125"/>
      <c r="JKH756" s="125"/>
      <c r="JKI756" s="125"/>
      <c r="JKJ756" s="125"/>
      <c r="JKK756" s="125"/>
      <c r="JKL756" s="125"/>
      <c r="JKM756" s="125"/>
      <c r="JKN756" s="125"/>
      <c r="JKO756" s="125"/>
      <c r="JKP756" s="125"/>
      <c r="JKQ756" s="125"/>
      <c r="JKR756" s="125"/>
      <c r="JKS756" s="125"/>
      <c r="JKT756" s="125"/>
      <c r="JKU756" s="125"/>
      <c r="JKV756" s="125"/>
      <c r="JKW756" s="125"/>
      <c r="JKX756" s="125"/>
      <c r="JKY756" s="125"/>
      <c r="JKZ756" s="125"/>
      <c r="JLA756" s="125"/>
      <c r="JLB756" s="125"/>
      <c r="JLC756" s="125"/>
      <c r="JLD756" s="125"/>
      <c r="JLE756" s="125"/>
      <c r="JLF756" s="125"/>
      <c r="JLG756" s="125"/>
      <c r="JLH756" s="125"/>
      <c r="JLI756" s="125"/>
      <c r="JLJ756" s="125"/>
      <c r="JLK756" s="125"/>
      <c r="JLL756" s="125"/>
      <c r="JLM756" s="125"/>
      <c r="JLN756" s="125"/>
      <c r="JLO756" s="125"/>
      <c r="JLP756" s="125"/>
      <c r="JLQ756" s="125"/>
      <c r="JLR756" s="125"/>
      <c r="JLS756" s="125"/>
      <c r="JLT756" s="125"/>
      <c r="JLU756" s="125"/>
      <c r="JLV756" s="125"/>
      <c r="JLW756" s="125"/>
      <c r="JLX756" s="125"/>
      <c r="JLY756" s="125"/>
      <c r="JLZ756" s="125"/>
      <c r="JMA756" s="125"/>
      <c r="JMB756" s="125"/>
      <c r="JMC756" s="125"/>
      <c r="JMD756" s="125"/>
      <c r="JME756" s="125"/>
      <c r="JMF756" s="125"/>
      <c r="JMG756" s="125"/>
      <c r="JMH756" s="125"/>
      <c r="JMI756" s="125"/>
      <c r="JMJ756" s="125"/>
      <c r="JMK756" s="125"/>
      <c r="JML756" s="125"/>
      <c r="JMM756" s="125"/>
      <c r="JMN756" s="125"/>
      <c r="JMO756" s="125"/>
      <c r="JMP756" s="125"/>
      <c r="JMQ756" s="125"/>
      <c r="JMR756" s="125"/>
      <c r="JMS756" s="125"/>
      <c r="JMT756" s="125"/>
      <c r="JMU756" s="125"/>
      <c r="JMV756" s="125"/>
      <c r="JMW756" s="125"/>
      <c r="JMX756" s="125"/>
      <c r="JMY756" s="125"/>
      <c r="JMZ756" s="125"/>
      <c r="JNA756" s="125"/>
      <c r="JNB756" s="125"/>
      <c r="JNC756" s="125"/>
      <c r="JND756" s="125"/>
      <c r="JNE756" s="125"/>
      <c r="JNF756" s="125"/>
      <c r="JNG756" s="125"/>
      <c r="JNH756" s="125"/>
      <c r="JNI756" s="125"/>
      <c r="JNJ756" s="125"/>
      <c r="JNK756" s="125"/>
      <c r="JNL756" s="125"/>
      <c r="JNM756" s="125"/>
      <c r="JNN756" s="125"/>
      <c r="JNO756" s="125"/>
      <c r="JNP756" s="125"/>
      <c r="JNQ756" s="125"/>
      <c r="JNR756" s="125"/>
      <c r="JNS756" s="125"/>
      <c r="JNT756" s="125"/>
      <c r="JNU756" s="125"/>
      <c r="JNV756" s="125"/>
      <c r="JNW756" s="125"/>
      <c r="JNX756" s="125"/>
      <c r="JNY756" s="125"/>
      <c r="JNZ756" s="125"/>
      <c r="JOA756" s="125"/>
      <c r="JOB756" s="125"/>
      <c r="JOC756" s="125"/>
      <c r="JOD756" s="125"/>
      <c r="JOE756" s="125"/>
      <c r="JOF756" s="125"/>
      <c r="JOG756" s="125"/>
      <c r="JOH756" s="125"/>
      <c r="JOI756" s="125"/>
      <c r="JOJ756" s="125"/>
      <c r="JOK756" s="125"/>
      <c r="JOL756" s="125"/>
      <c r="JOM756" s="125"/>
      <c r="JON756" s="125"/>
      <c r="JOO756" s="125"/>
      <c r="JOP756" s="125"/>
      <c r="JOQ756" s="125"/>
      <c r="JOR756" s="125"/>
      <c r="JOS756" s="125"/>
      <c r="JOT756" s="125"/>
      <c r="JOU756" s="125"/>
      <c r="JOV756" s="125"/>
      <c r="JOW756" s="125"/>
      <c r="JOX756" s="125"/>
      <c r="JOY756" s="125"/>
      <c r="JOZ756" s="125"/>
      <c r="JPA756" s="125"/>
      <c r="JPB756" s="125"/>
      <c r="JPC756" s="125"/>
      <c r="JPD756" s="125"/>
      <c r="JPE756" s="125"/>
      <c r="JPF756" s="125"/>
      <c r="JPG756" s="125"/>
      <c r="JPH756" s="125"/>
      <c r="JPI756" s="125"/>
      <c r="JPJ756" s="125"/>
      <c r="JPK756" s="125"/>
      <c r="JPL756" s="125"/>
      <c r="JPM756" s="125"/>
      <c r="JPN756" s="125"/>
      <c r="JPO756" s="125"/>
      <c r="JPP756" s="125"/>
      <c r="JPQ756" s="125"/>
      <c r="JPR756" s="125"/>
      <c r="JPS756" s="125"/>
      <c r="JPT756" s="125"/>
      <c r="JPU756" s="125"/>
      <c r="JPV756" s="125"/>
      <c r="JPW756" s="125"/>
      <c r="JPX756" s="125"/>
      <c r="JPY756" s="125"/>
      <c r="JPZ756" s="125"/>
      <c r="JQA756" s="125"/>
      <c r="JQB756" s="125"/>
      <c r="JQC756" s="125"/>
      <c r="JQD756" s="125"/>
      <c r="JQE756" s="125"/>
      <c r="JQF756" s="125"/>
      <c r="JQG756" s="125"/>
      <c r="JQH756" s="125"/>
      <c r="JQI756" s="125"/>
      <c r="JQJ756" s="125"/>
      <c r="JQK756" s="125"/>
      <c r="JQL756" s="125"/>
      <c r="JQM756" s="125"/>
      <c r="JQN756" s="125"/>
      <c r="JQO756" s="125"/>
      <c r="JQP756" s="125"/>
      <c r="JQQ756" s="125"/>
      <c r="JQR756" s="125"/>
      <c r="JQS756" s="125"/>
      <c r="JQT756" s="125"/>
      <c r="JQU756" s="125"/>
      <c r="JQV756" s="125"/>
      <c r="JQW756" s="125"/>
      <c r="JQX756" s="125"/>
      <c r="JQY756" s="125"/>
      <c r="JQZ756" s="125"/>
      <c r="JRA756" s="125"/>
      <c r="JRB756" s="125"/>
      <c r="JRC756" s="125"/>
      <c r="JRD756" s="125"/>
      <c r="JRE756" s="125"/>
      <c r="JRF756" s="125"/>
      <c r="JRG756" s="125"/>
      <c r="JRH756" s="125"/>
      <c r="JRI756" s="125"/>
      <c r="JRJ756" s="125"/>
      <c r="JRK756" s="125"/>
      <c r="JRL756" s="125"/>
      <c r="JRM756" s="125"/>
      <c r="JRN756" s="125"/>
      <c r="JRO756" s="125"/>
      <c r="JRP756" s="125"/>
      <c r="JRQ756" s="125"/>
      <c r="JRR756" s="125"/>
      <c r="JRS756" s="125"/>
      <c r="JRT756" s="125"/>
      <c r="JRU756" s="125"/>
      <c r="JRV756" s="125"/>
      <c r="JRW756" s="125"/>
      <c r="JRX756" s="125"/>
      <c r="JRY756" s="125"/>
      <c r="JRZ756" s="125"/>
      <c r="JSA756" s="125"/>
      <c r="JSB756" s="125"/>
      <c r="JSC756" s="125"/>
      <c r="JSD756" s="125"/>
      <c r="JSE756" s="125"/>
      <c r="JSF756" s="125"/>
      <c r="JSG756" s="125"/>
      <c r="JSH756" s="125"/>
      <c r="JSI756" s="125"/>
      <c r="JSJ756" s="125"/>
      <c r="JSK756" s="125"/>
      <c r="JSL756" s="125"/>
      <c r="JSM756" s="125"/>
      <c r="JSN756" s="125"/>
      <c r="JSO756" s="125"/>
      <c r="JSP756" s="125"/>
      <c r="JSQ756" s="125"/>
      <c r="JSR756" s="125"/>
      <c r="JSS756" s="125"/>
      <c r="JST756" s="125"/>
      <c r="JSU756" s="125"/>
      <c r="JSV756" s="125"/>
      <c r="JSW756" s="125"/>
      <c r="JSX756" s="125"/>
      <c r="JSY756" s="125"/>
      <c r="JSZ756" s="125"/>
      <c r="JTA756" s="125"/>
      <c r="JTB756" s="125"/>
      <c r="JTC756" s="125"/>
      <c r="JTD756" s="125"/>
      <c r="JTE756" s="125"/>
      <c r="JTF756" s="125"/>
      <c r="JTG756" s="125"/>
      <c r="JTH756" s="125"/>
      <c r="JTI756" s="125"/>
      <c r="JTJ756" s="125"/>
      <c r="JTK756" s="125"/>
      <c r="JTL756" s="125"/>
      <c r="JTM756" s="125"/>
      <c r="JTN756" s="125"/>
      <c r="JTO756" s="125"/>
      <c r="JTP756" s="125"/>
      <c r="JTQ756" s="125"/>
      <c r="JTR756" s="125"/>
      <c r="JTS756" s="125"/>
      <c r="JTT756" s="125"/>
      <c r="JTU756" s="125"/>
      <c r="JTV756" s="125"/>
      <c r="JTW756" s="125"/>
      <c r="JTX756" s="125"/>
      <c r="JTY756" s="125"/>
      <c r="JTZ756" s="125"/>
      <c r="JUA756" s="125"/>
      <c r="JUB756" s="125"/>
      <c r="JUC756" s="125"/>
      <c r="JUD756" s="125"/>
      <c r="JUE756" s="125"/>
      <c r="JUF756" s="125"/>
      <c r="JUG756" s="125"/>
      <c r="JUH756" s="125"/>
      <c r="JUI756" s="125"/>
      <c r="JUJ756" s="125"/>
      <c r="JUK756" s="125"/>
      <c r="JUL756" s="125"/>
      <c r="JUM756" s="125"/>
      <c r="JUN756" s="125"/>
      <c r="JUO756" s="125"/>
      <c r="JUP756" s="125"/>
      <c r="JUQ756" s="125"/>
      <c r="JUR756" s="125"/>
      <c r="JUS756" s="125"/>
      <c r="JUT756" s="125"/>
      <c r="JUU756" s="125"/>
      <c r="JUV756" s="125"/>
      <c r="JUW756" s="125"/>
      <c r="JUX756" s="125"/>
      <c r="JUY756" s="125"/>
      <c r="JUZ756" s="125"/>
      <c r="JVA756" s="125"/>
      <c r="JVB756" s="125"/>
      <c r="JVC756" s="125"/>
      <c r="JVD756" s="125"/>
      <c r="JVE756" s="125"/>
      <c r="JVF756" s="125"/>
      <c r="JVG756" s="125"/>
      <c r="JVH756" s="125"/>
      <c r="JVI756" s="125"/>
      <c r="JVJ756" s="125"/>
      <c r="JVK756" s="125"/>
      <c r="JVL756" s="125"/>
      <c r="JVM756" s="125"/>
      <c r="JVN756" s="125"/>
      <c r="JVO756" s="125"/>
      <c r="JVP756" s="125"/>
      <c r="JVQ756" s="125"/>
      <c r="JVR756" s="125"/>
      <c r="JVS756" s="125"/>
      <c r="JVT756" s="125"/>
      <c r="JVU756" s="125"/>
      <c r="JVV756" s="125"/>
      <c r="JVW756" s="125"/>
      <c r="JVX756" s="125"/>
      <c r="JVY756" s="125"/>
      <c r="JVZ756" s="125"/>
      <c r="JWA756" s="125"/>
      <c r="JWB756" s="125"/>
      <c r="JWC756" s="125"/>
      <c r="JWD756" s="125"/>
      <c r="JWE756" s="125"/>
      <c r="JWF756" s="125"/>
      <c r="JWG756" s="125"/>
      <c r="JWH756" s="125"/>
      <c r="JWI756" s="125"/>
      <c r="JWJ756" s="125"/>
      <c r="JWK756" s="125"/>
      <c r="JWL756" s="125"/>
      <c r="JWM756" s="125"/>
      <c r="JWN756" s="125"/>
      <c r="JWO756" s="125"/>
      <c r="JWP756" s="125"/>
      <c r="JWQ756" s="125"/>
      <c r="JWR756" s="125"/>
      <c r="JWS756" s="125"/>
      <c r="JWT756" s="125"/>
      <c r="JWU756" s="125"/>
      <c r="JWV756" s="125"/>
      <c r="JWW756" s="125"/>
      <c r="JWX756" s="125"/>
      <c r="JWY756" s="125"/>
      <c r="JWZ756" s="125"/>
      <c r="JXA756" s="125"/>
      <c r="JXB756" s="125"/>
      <c r="JXC756" s="125"/>
      <c r="JXD756" s="125"/>
      <c r="JXE756" s="125"/>
      <c r="JXF756" s="125"/>
      <c r="JXG756" s="125"/>
      <c r="JXH756" s="125"/>
      <c r="JXI756" s="125"/>
      <c r="JXJ756" s="125"/>
      <c r="JXK756" s="125"/>
      <c r="JXL756" s="125"/>
      <c r="JXM756" s="125"/>
      <c r="JXN756" s="125"/>
      <c r="JXO756" s="125"/>
      <c r="JXP756" s="125"/>
      <c r="JXQ756" s="125"/>
      <c r="JXR756" s="125"/>
      <c r="JXS756" s="125"/>
      <c r="JXT756" s="125"/>
      <c r="JXU756" s="125"/>
      <c r="JXV756" s="125"/>
      <c r="JXW756" s="125"/>
      <c r="JXX756" s="125"/>
      <c r="JXY756" s="125"/>
      <c r="JXZ756" s="125"/>
      <c r="JYA756" s="125"/>
      <c r="JYB756" s="125"/>
      <c r="JYC756" s="125"/>
      <c r="JYD756" s="125"/>
      <c r="JYE756" s="125"/>
      <c r="JYF756" s="125"/>
      <c r="JYG756" s="125"/>
      <c r="JYH756" s="125"/>
      <c r="JYI756" s="125"/>
      <c r="JYJ756" s="125"/>
      <c r="JYK756" s="125"/>
      <c r="JYL756" s="125"/>
      <c r="JYM756" s="125"/>
      <c r="JYN756" s="125"/>
      <c r="JYO756" s="125"/>
      <c r="JYP756" s="125"/>
      <c r="JYQ756" s="125"/>
      <c r="JYR756" s="125"/>
      <c r="JYS756" s="125"/>
      <c r="JYT756" s="125"/>
      <c r="JYU756" s="125"/>
      <c r="JYV756" s="125"/>
      <c r="JYW756" s="125"/>
      <c r="JYX756" s="125"/>
      <c r="JYY756" s="125"/>
      <c r="JYZ756" s="125"/>
      <c r="JZA756" s="125"/>
      <c r="JZB756" s="125"/>
      <c r="JZC756" s="125"/>
      <c r="JZD756" s="125"/>
      <c r="JZE756" s="125"/>
      <c r="JZF756" s="125"/>
      <c r="JZG756" s="125"/>
      <c r="JZH756" s="125"/>
      <c r="JZI756" s="125"/>
      <c r="JZJ756" s="125"/>
      <c r="JZK756" s="125"/>
      <c r="JZL756" s="125"/>
      <c r="JZM756" s="125"/>
      <c r="JZN756" s="125"/>
      <c r="JZO756" s="125"/>
      <c r="JZP756" s="125"/>
      <c r="JZQ756" s="125"/>
      <c r="JZR756" s="125"/>
      <c r="JZS756" s="125"/>
      <c r="JZT756" s="125"/>
      <c r="JZU756" s="125"/>
      <c r="JZV756" s="125"/>
      <c r="JZW756" s="125"/>
      <c r="JZX756" s="125"/>
      <c r="JZY756" s="125"/>
      <c r="JZZ756" s="125"/>
      <c r="KAA756" s="125"/>
      <c r="KAB756" s="125"/>
      <c r="KAC756" s="125"/>
      <c r="KAD756" s="125"/>
      <c r="KAE756" s="125"/>
      <c r="KAF756" s="125"/>
      <c r="KAG756" s="125"/>
      <c r="KAH756" s="125"/>
      <c r="KAI756" s="125"/>
      <c r="KAJ756" s="125"/>
      <c r="KAK756" s="125"/>
      <c r="KAL756" s="125"/>
      <c r="KAM756" s="125"/>
      <c r="KAN756" s="125"/>
      <c r="KAO756" s="125"/>
      <c r="KAP756" s="125"/>
      <c r="KAQ756" s="125"/>
      <c r="KAR756" s="125"/>
      <c r="KAS756" s="125"/>
      <c r="KAT756" s="125"/>
      <c r="KAU756" s="125"/>
      <c r="KAV756" s="125"/>
      <c r="KAW756" s="125"/>
      <c r="KAX756" s="125"/>
      <c r="KAY756" s="125"/>
      <c r="KAZ756" s="125"/>
      <c r="KBA756" s="125"/>
      <c r="KBB756" s="125"/>
      <c r="KBC756" s="125"/>
      <c r="KBD756" s="125"/>
      <c r="KBE756" s="125"/>
      <c r="KBF756" s="125"/>
      <c r="KBG756" s="125"/>
      <c r="KBH756" s="125"/>
      <c r="KBI756" s="125"/>
      <c r="KBJ756" s="125"/>
      <c r="KBK756" s="125"/>
      <c r="KBL756" s="125"/>
      <c r="KBM756" s="125"/>
      <c r="KBN756" s="125"/>
      <c r="KBO756" s="125"/>
      <c r="KBP756" s="125"/>
      <c r="KBQ756" s="125"/>
      <c r="KBR756" s="125"/>
      <c r="KBS756" s="125"/>
      <c r="KBT756" s="125"/>
      <c r="KBU756" s="125"/>
      <c r="KBV756" s="125"/>
      <c r="KBW756" s="125"/>
      <c r="KBX756" s="125"/>
      <c r="KBY756" s="125"/>
      <c r="KBZ756" s="125"/>
      <c r="KCA756" s="125"/>
      <c r="KCB756" s="125"/>
      <c r="KCC756" s="125"/>
      <c r="KCD756" s="125"/>
      <c r="KCE756" s="125"/>
      <c r="KCF756" s="125"/>
      <c r="KCG756" s="125"/>
      <c r="KCH756" s="125"/>
      <c r="KCI756" s="125"/>
      <c r="KCJ756" s="125"/>
      <c r="KCK756" s="125"/>
      <c r="KCL756" s="125"/>
      <c r="KCM756" s="125"/>
      <c r="KCN756" s="125"/>
      <c r="KCO756" s="125"/>
      <c r="KCP756" s="125"/>
      <c r="KCQ756" s="125"/>
      <c r="KCR756" s="125"/>
      <c r="KCS756" s="125"/>
      <c r="KCT756" s="125"/>
      <c r="KCU756" s="125"/>
      <c r="KCV756" s="125"/>
      <c r="KCW756" s="125"/>
      <c r="KCX756" s="125"/>
      <c r="KCY756" s="125"/>
      <c r="KCZ756" s="125"/>
      <c r="KDA756" s="125"/>
      <c r="KDB756" s="125"/>
      <c r="KDC756" s="125"/>
      <c r="KDD756" s="125"/>
      <c r="KDE756" s="125"/>
      <c r="KDF756" s="125"/>
      <c r="KDG756" s="125"/>
      <c r="KDH756" s="125"/>
      <c r="KDI756" s="125"/>
      <c r="KDJ756" s="125"/>
      <c r="KDK756" s="125"/>
      <c r="KDL756" s="125"/>
      <c r="KDM756" s="125"/>
      <c r="KDN756" s="125"/>
      <c r="KDO756" s="125"/>
      <c r="KDP756" s="125"/>
      <c r="KDQ756" s="125"/>
      <c r="KDR756" s="125"/>
      <c r="KDS756" s="125"/>
      <c r="KDT756" s="125"/>
      <c r="KDU756" s="125"/>
      <c r="KDV756" s="125"/>
      <c r="KDW756" s="125"/>
      <c r="KDX756" s="125"/>
      <c r="KDY756" s="125"/>
      <c r="KDZ756" s="125"/>
      <c r="KEA756" s="125"/>
      <c r="KEB756" s="125"/>
      <c r="KEC756" s="125"/>
      <c r="KED756" s="125"/>
      <c r="KEE756" s="125"/>
      <c r="KEF756" s="125"/>
      <c r="KEG756" s="125"/>
      <c r="KEH756" s="125"/>
      <c r="KEI756" s="125"/>
      <c r="KEJ756" s="125"/>
      <c r="KEK756" s="125"/>
      <c r="KEL756" s="125"/>
      <c r="KEM756" s="125"/>
      <c r="KEN756" s="125"/>
      <c r="KEO756" s="125"/>
      <c r="KEP756" s="125"/>
      <c r="KEQ756" s="125"/>
      <c r="KER756" s="125"/>
      <c r="KES756" s="125"/>
      <c r="KET756" s="125"/>
      <c r="KEU756" s="125"/>
      <c r="KEV756" s="125"/>
      <c r="KEW756" s="125"/>
      <c r="KEX756" s="125"/>
      <c r="KEY756" s="125"/>
      <c r="KEZ756" s="125"/>
      <c r="KFA756" s="125"/>
      <c r="KFB756" s="125"/>
      <c r="KFC756" s="125"/>
      <c r="KFD756" s="125"/>
      <c r="KFE756" s="125"/>
      <c r="KFF756" s="125"/>
      <c r="KFG756" s="125"/>
      <c r="KFH756" s="125"/>
      <c r="KFI756" s="125"/>
      <c r="KFJ756" s="125"/>
      <c r="KFK756" s="125"/>
      <c r="KFL756" s="125"/>
      <c r="KFM756" s="125"/>
      <c r="KFN756" s="125"/>
      <c r="KFO756" s="125"/>
      <c r="KFP756" s="125"/>
      <c r="KFQ756" s="125"/>
      <c r="KFR756" s="125"/>
      <c r="KFS756" s="125"/>
      <c r="KFT756" s="125"/>
      <c r="KFU756" s="125"/>
      <c r="KFV756" s="125"/>
      <c r="KFW756" s="125"/>
      <c r="KFX756" s="125"/>
      <c r="KFY756" s="125"/>
      <c r="KFZ756" s="125"/>
      <c r="KGA756" s="125"/>
      <c r="KGB756" s="125"/>
      <c r="KGC756" s="125"/>
      <c r="KGD756" s="125"/>
      <c r="KGE756" s="125"/>
      <c r="KGF756" s="125"/>
      <c r="KGG756" s="125"/>
      <c r="KGH756" s="125"/>
      <c r="KGI756" s="125"/>
      <c r="KGJ756" s="125"/>
      <c r="KGK756" s="125"/>
      <c r="KGL756" s="125"/>
      <c r="KGM756" s="125"/>
      <c r="KGN756" s="125"/>
      <c r="KGO756" s="125"/>
      <c r="KGP756" s="125"/>
      <c r="KGQ756" s="125"/>
      <c r="KGR756" s="125"/>
      <c r="KGS756" s="125"/>
      <c r="KGT756" s="125"/>
      <c r="KGU756" s="125"/>
      <c r="KGV756" s="125"/>
      <c r="KGW756" s="125"/>
      <c r="KGX756" s="125"/>
      <c r="KGY756" s="125"/>
      <c r="KGZ756" s="125"/>
      <c r="KHA756" s="125"/>
      <c r="KHB756" s="125"/>
      <c r="KHC756" s="125"/>
      <c r="KHD756" s="125"/>
      <c r="KHE756" s="125"/>
      <c r="KHF756" s="125"/>
      <c r="KHG756" s="125"/>
      <c r="KHH756" s="125"/>
      <c r="KHI756" s="125"/>
      <c r="KHJ756" s="125"/>
      <c r="KHK756" s="125"/>
      <c r="KHL756" s="125"/>
      <c r="KHM756" s="125"/>
      <c r="KHN756" s="125"/>
      <c r="KHO756" s="125"/>
      <c r="KHP756" s="125"/>
      <c r="KHQ756" s="125"/>
      <c r="KHR756" s="125"/>
      <c r="KHS756" s="125"/>
      <c r="KHT756" s="125"/>
      <c r="KHU756" s="125"/>
      <c r="KHV756" s="125"/>
      <c r="KHW756" s="125"/>
      <c r="KHX756" s="125"/>
      <c r="KHY756" s="125"/>
      <c r="KHZ756" s="125"/>
      <c r="KIA756" s="125"/>
      <c r="KIB756" s="125"/>
      <c r="KIC756" s="125"/>
      <c r="KID756" s="125"/>
      <c r="KIE756" s="125"/>
      <c r="KIF756" s="125"/>
      <c r="KIG756" s="125"/>
      <c r="KIH756" s="125"/>
      <c r="KII756" s="125"/>
      <c r="KIJ756" s="125"/>
      <c r="KIK756" s="125"/>
      <c r="KIL756" s="125"/>
      <c r="KIM756" s="125"/>
      <c r="KIN756" s="125"/>
      <c r="KIO756" s="125"/>
      <c r="KIP756" s="125"/>
      <c r="KIQ756" s="125"/>
      <c r="KIR756" s="125"/>
      <c r="KIS756" s="125"/>
      <c r="KIT756" s="125"/>
      <c r="KIU756" s="125"/>
      <c r="KIV756" s="125"/>
      <c r="KIW756" s="125"/>
      <c r="KIX756" s="125"/>
      <c r="KIY756" s="125"/>
      <c r="KIZ756" s="125"/>
      <c r="KJA756" s="125"/>
      <c r="KJB756" s="125"/>
      <c r="KJC756" s="125"/>
      <c r="KJD756" s="125"/>
      <c r="KJE756" s="125"/>
      <c r="KJF756" s="125"/>
      <c r="KJG756" s="125"/>
      <c r="KJH756" s="125"/>
      <c r="KJI756" s="125"/>
      <c r="KJJ756" s="125"/>
      <c r="KJK756" s="125"/>
      <c r="KJL756" s="125"/>
      <c r="KJM756" s="125"/>
      <c r="KJN756" s="125"/>
      <c r="KJO756" s="125"/>
      <c r="KJP756" s="125"/>
      <c r="KJQ756" s="125"/>
      <c r="KJR756" s="125"/>
      <c r="KJS756" s="125"/>
      <c r="KJT756" s="125"/>
      <c r="KJU756" s="125"/>
      <c r="KJV756" s="125"/>
      <c r="KJW756" s="125"/>
      <c r="KJX756" s="125"/>
      <c r="KJY756" s="125"/>
      <c r="KJZ756" s="125"/>
      <c r="KKA756" s="125"/>
      <c r="KKB756" s="125"/>
      <c r="KKC756" s="125"/>
      <c r="KKD756" s="125"/>
      <c r="KKE756" s="125"/>
      <c r="KKF756" s="125"/>
      <c r="KKG756" s="125"/>
      <c r="KKH756" s="125"/>
      <c r="KKI756" s="125"/>
      <c r="KKJ756" s="125"/>
      <c r="KKK756" s="125"/>
      <c r="KKL756" s="125"/>
      <c r="KKM756" s="125"/>
      <c r="KKN756" s="125"/>
      <c r="KKO756" s="125"/>
      <c r="KKP756" s="125"/>
      <c r="KKQ756" s="125"/>
      <c r="KKR756" s="125"/>
      <c r="KKS756" s="125"/>
      <c r="KKT756" s="125"/>
      <c r="KKU756" s="125"/>
      <c r="KKV756" s="125"/>
      <c r="KKW756" s="125"/>
      <c r="KKX756" s="125"/>
      <c r="KKY756" s="125"/>
      <c r="KKZ756" s="125"/>
      <c r="KLA756" s="125"/>
      <c r="KLB756" s="125"/>
      <c r="KLC756" s="125"/>
      <c r="KLD756" s="125"/>
      <c r="KLE756" s="125"/>
      <c r="KLF756" s="125"/>
      <c r="KLG756" s="125"/>
      <c r="KLH756" s="125"/>
      <c r="KLI756" s="125"/>
      <c r="KLJ756" s="125"/>
      <c r="KLK756" s="125"/>
      <c r="KLL756" s="125"/>
      <c r="KLM756" s="125"/>
      <c r="KLN756" s="125"/>
      <c r="KLO756" s="125"/>
      <c r="KLP756" s="125"/>
      <c r="KLQ756" s="125"/>
      <c r="KLR756" s="125"/>
      <c r="KLS756" s="125"/>
      <c r="KLT756" s="125"/>
      <c r="KLU756" s="125"/>
      <c r="KLV756" s="125"/>
      <c r="KLW756" s="125"/>
      <c r="KLX756" s="125"/>
      <c r="KLY756" s="125"/>
      <c r="KLZ756" s="125"/>
      <c r="KMA756" s="125"/>
      <c r="KMB756" s="125"/>
      <c r="KMC756" s="125"/>
      <c r="KMD756" s="125"/>
      <c r="KME756" s="125"/>
      <c r="KMF756" s="125"/>
      <c r="KMG756" s="125"/>
      <c r="KMH756" s="125"/>
      <c r="KMI756" s="125"/>
      <c r="KMJ756" s="125"/>
      <c r="KMK756" s="125"/>
      <c r="KML756" s="125"/>
      <c r="KMM756" s="125"/>
      <c r="KMN756" s="125"/>
      <c r="KMO756" s="125"/>
      <c r="KMP756" s="125"/>
      <c r="KMQ756" s="125"/>
      <c r="KMR756" s="125"/>
      <c r="KMS756" s="125"/>
      <c r="KMT756" s="125"/>
      <c r="KMU756" s="125"/>
      <c r="KMV756" s="125"/>
      <c r="KMW756" s="125"/>
      <c r="KMX756" s="125"/>
      <c r="KMY756" s="125"/>
      <c r="KMZ756" s="125"/>
      <c r="KNA756" s="125"/>
      <c r="KNB756" s="125"/>
      <c r="KNC756" s="125"/>
      <c r="KND756" s="125"/>
      <c r="KNE756" s="125"/>
      <c r="KNF756" s="125"/>
      <c r="KNG756" s="125"/>
      <c r="KNH756" s="125"/>
      <c r="KNI756" s="125"/>
      <c r="KNJ756" s="125"/>
      <c r="KNK756" s="125"/>
      <c r="KNL756" s="125"/>
      <c r="KNM756" s="125"/>
      <c r="KNN756" s="125"/>
      <c r="KNO756" s="125"/>
      <c r="KNP756" s="125"/>
      <c r="KNQ756" s="125"/>
      <c r="KNR756" s="125"/>
      <c r="KNS756" s="125"/>
      <c r="KNT756" s="125"/>
      <c r="KNU756" s="125"/>
      <c r="KNV756" s="125"/>
      <c r="KNW756" s="125"/>
      <c r="KNX756" s="125"/>
      <c r="KNY756" s="125"/>
      <c r="KNZ756" s="125"/>
      <c r="KOA756" s="125"/>
      <c r="KOB756" s="125"/>
      <c r="KOC756" s="125"/>
      <c r="KOD756" s="125"/>
      <c r="KOE756" s="125"/>
      <c r="KOF756" s="125"/>
      <c r="KOG756" s="125"/>
      <c r="KOH756" s="125"/>
      <c r="KOI756" s="125"/>
      <c r="KOJ756" s="125"/>
      <c r="KOK756" s="125"/>
      <c r="KOL756" s="125"/>
      <c r="KOM756" s="125"/>
      <c r="KON756" s="125"/>
      <c r="KOO756" s="125"/>
      <c r="KOP756" s="125"/>
      <c r="KOQ756" s="125"/>
      <c r="KOR756" s="125"/>
      <c r="KOS756" s="125"/>
      <c r="KOT756" s="125"/>
      <c r="KOU756" s="125"/>
      <c r="KOV756" s="125"/>
      <c r="KOW756" s="125"/>
      <c r="KOX756" s="125"/>
      <c r="KOY756" s="125"/>
      <c r="KOZ756" s="125"/>
      <c r="KPA756" s="125"/>
      <c r="KPB756" s="125"/>
      <c r="KPC756" s="125"/>
      <c r="KPD756" s="125"/>
      <c r="KPE756" s="125"/>
      <c r="KPF756" s="125"/>
      <c r="KPG756" s="125"/>
      <c r="KPH756" s="125"/>
      <c r="KPI756" s="125"/>
      <c r="KPJ756" s="125"/>
      <c r="KPK756" s="125"/>
      <c r="KPL756" s="125"/>
      <c r="KPM756" s="125"/>
      <c r="KPN756" s="125"/>
      <c r="KPO756" s="125"/>
      <c r="KPP756" s="125"/>
      <c r="KPQ756" s="125"/>
      <c r="KPR756" s="125"/>
      <c r="KPS756" s="125"/>
      <c r="KPT756" s="125"/>
      <c r="KPU756" s="125"/>
      <c r="KPV756" s="125"/>
      <c r="KPW756" s="125"/>
      <c r="KPX756" s="125"/>
      <c r="KPY756" s="125"/>
      <c r="KPZ756" s="125"/>
      <c r="KQA756" s="125"/>
      <c r="KQB756" s="125"/>
      <c r="KQC756" s="125"/>
      <c r="KQD756" s="125"/>
      <c r="KQE756" s="125"/>
      <c r="KQF756" s="125"/>
      <c r="KQG756" s="125"/>
      <c r="KQH756" s="125"/>
      <c r="KQI756" s="125"/>
      <c r="KQJ756" s="125"/>
      <c r="KQK756" s="125"/>
      <c r="KQL756" s="125"/>
      <c r="KQM756" s="125"/>
      <c r="KQN756" s="125"/>
      <c r="KQO756" s="125"/>
      <c r="KQP756" s="125"/>
      <c r="KQQ756" s="125"/>
      <c r="KQR756" s="125"/>
      <c r="KQS756" s="125"/>
      <c r="KQT756" s="125"/>
      <c r="KQU756" s="125"/>
      <c r="KQV756" s="125"/>
      <c r="KQW756" s="125"/>
      <c r="KQX756" s="125"/>
      <c r="KQY756" s="125"/>
      <c r="KQZ756" s="125"/>
      <c r="KRA756" s="125"/>
      <c r="KRB756" s="125"/>
      <c r="KRC756" s="125"/>
      <c r="KRD756" s="125"/>
      <c r="KRE756" s="125"/>
      <c r="KRF756" s="125"/>
      <c r="KRG756" s="125"/>
      <c r="KRH756" s="125"/>
      <c r="KRI756" s="125"/>
      <c r="KRJ756" s="125"/>
      <c r="KRK756" s="125"/>
      <c r="KRL756" s="125"/>
      <c r="KRM756" s="125"/>
      <c r="KRN756" s="125"/>
      <c r="KRO756" s="125"/>
      <c r="KRP756" s="125"/>
      <c r="KRQ756" s="125"/>
      <c r="KRR756" s="125"/>
      <c r="KRS756" s="125"/>
      <c r="KRT756" s="125"/>
      <c r="KRU756" s="125"/>
      <c r="KRV756" s="125"/>
      <c r="KRW756" s="125"/>
      <c r="KRX756" s="125"/>
      <c r="KRY756" s="125"/>
      <c r="KRZ756" s="125"/>
      <c r="KSA756" s="125"/>
      <c r="KSB756" s="125"/>
      <c r="KSC756" s="125"/>
      <c r="KSD756" s="125"/>
      <c r="KSE756" s="125"/>
      <c r="KSF756" s="125"/>
      <c r="KSG756" s="125"/>
      <c r="KSH756" s="125"/>
      <c r="KSI756" s="125"/>
      <c r="KSJ756" s="125"/>
      <c r="KSK756" s="125"/>
      <c r="KSL756" s="125"/>
      <c r="KSM756" s="125"/>
      <c r="KSN756" s="125"/>
      <c r="KSO756" s="125"/>
      <c r="KSP756" s="125"/>
      <c r="KSQ756" s="125"/>
      <c r="KSR756" s="125"/>
      <c r="KSS756" s="125"/>
      <c r="KST756" s="125"/>
      <c r="KSU756" s="125"/>
      <c r="KSV756" s="125"/>
      <c r="KSW756" s="125"/>
      <c r="KSX756" s="125"/>
      <c r="KSY756" s="125"/>
      <c r="KSZ756" s="125"/>
      <c r="KTA756" s="125"/>
      <c r="KTB756" s="125"/>
      <c r="KTC756" s="125"/>
      <c r="KTD756" s="125"/>
      <c r="KTE756" s="125"/>
      <c r="KTF756" s="125"/>
      <c r="KTG756" s="125"/>
      <c r="KTH756" s="125"/>
      <c r="KTI756" s="125"/>
      <c r="KTJ756" s="125"/>
      <c r="KTK756" s="125"/>
      <c r="KTL756" s="125"/>
      <c r="KTM756" s="125"/>
      <c r="KTN756" s="125"/>
      <c r="KTO756" s="125"/>
      <c r="KTP756" s="125"/>
      <c r="KTQ756" s="125"/>
      <c r="KTR756" s="125"/>
      <c r="KTS756" s="125"/>
      <c r="KTT756" s="125"/>
      <c r="KTU756" s="125"/>
      <c r="KTV756" s="125"/>
      <c r="KTW756" s="125"/>
      <c r="KTX756" s="125"/>
      <c r="KTY756" s="125"/>
      <c r="KTZ756" s="125"/>
      <c r="KUA756" s="125"/>
      <c r="KUB756" s="125"/>
      <c r="KUC756" s="125"/>
      <c r="KUD756" s="125"/>
      <c r="KUE756" s="125"/>
      <c r="KUF756" s="125"/>
      <c r="KUG756" s="125"/>
      <c r="KUH756" s="125"/>
      <c r="KUI756" s="125"/>
      <c r="KUJ756" s="125"/>
      <c r="KUK756" s="125"/>
      <c r="KUL756" s="125"/>
      <c r="KUM756" s="125"/>
      <c r="KUN756" s="125"/>
      <c r="KUO756" s="125"/>
      <c r="KUP756" s="125"/>
      <c r="KUQ756" s="125"/>
      <c r="KUR756" s="125"/>
      <c r="KUS756" s="125"/>
      <c r="KUT756" s="125"/>
      <c r="KUU756" s="125"/>
      <c r="KUV756" s="125"/>
      <c r="KUW756" s="125"/>
      <c r="KUX756" s="125"/>
      <c r="KUY756" s="125"/>
      <c r="KUZ756" s="125"/>
      <c r="KVA756" s="125"/>
      <c r="KVB756" s="125"/>
      <c r="KVC756" s="125"/>
      <c r="KVD756" s="125"/>
      <c r="KVE756" s="125"/>
      <c r="KVF756" s="125"/>
      <c r="KVG756" s="125"/>
      <c r="KVH756" s="125"/>
      <c r="KVI756" s="125"/>
      <c r="KVJ756" s="125"/>
      <c r="KVK756" s="125"/>
      <c r="KVL756" s="125"/>
      <c r="KVM756" s="125"/>
      <c r="KVN756" s="125"/>
      <c r="KVO756" s="125"/>
      <c r="KVP756" s="125"/>
      <c r="KVQ756" s="125"/>
      <c r="KVR756" s="125"/>
      <c r="KVS756" s="125"/>
      <c r="KVT756" s="125"/>
      <c r="KVU756" s="125"/>
      <c r="KVV756" s="125"/>
      <c r="KVW756" s="125"/>
      <c r="KVX756" s="125"/>
      <c r="KVY756" s="125"/>
      <c r="KVZ756" s="125"/>
      <c r="KWA756" s="125"/>
      <c r="KWB756" s="125"/>
      <c r="KWC756" s="125"/>
      <c r="KWD756" s="125"/>
      <c r="KWE756" s="125"/>
      <c r="KWF756" s="125"/>
      <c r="KWG756" s="125"/>
      <c r="KWH756" s="125"/>
      <c r="KWI756" s="125"/>
      <c r="KWJ756" s="125"/>
      <c r="KWK756" s="125"/>
      <c r="KWL756" s="125"/>
      <c r="KWM756" s="125"/>
      <c r="KWN756" s="125"/>
      <c r="KWO756" s="125"/>
      <c r="KWP756" s="125"/>
      <c r="KWQ756" s="125"/>
      <c r="KWR756" s="125"/>
      <c r="KWS756" s="125"/>
      <c r="KWT756" s="125"/>
      <c r="KWU756" s="125"/>
      <c r="KWV756" s="125"/>
      <c r="KWW756" s="125"/>
      <c r="KWX756" s="125"/>
      <c r="KWY756" s="125"/>
      <c r="KWZ756" s="125"/>
      <c r="KXA756" s="125"/>
      <c r="KXB756" s="125"/>
      <c r="KXC756" s="125"/>
      <c r="KXD756" s="125"/>
      <c r="KXE756" s="125"/>
      <c r="KXF756" s="125"/>
      <c r="KXG756" s="125"/>
      <c r="KXH756" s="125"/>
      <c r="KXI756" s="125"/>
      <c r="KXJ756" s="125"/>
      <c r="KXK756" s="125"/>
      <c r="KXL756" s="125"/>
      <c r="KXM756" s="125"/>
      <c r="KXN756" s="125"/>
      <c r="KXO756" s="125"/>
      <c r="KXP756" s="125"/>
      <c r="KXQ756" s="125"/>
      <c r="KXR756" s="125"/>
      <c r="KXS756" s="125"/>
      <c r="KXT756" s="125"/>
      <c r="KXU756" s="125"/>
      <c r="KXV756" s="125"/>
      <c r="KXW756" s="125"/>
      <c r="KXX756" s="125"/>
      <c r="KXY756" s="125"/>
      <c r="KXZ756" s="125"/>
      <c r="KYA756" s="125"/>
      <c r="KYB756" s="125"/>
      <c r="KYC756" s="125"/>
      <c r="KYD756" s="125"/>
      <c r="KYE756" s="125"/>
      <c r="KYF756" s="125"/>
      <c r="KYG756" s="125"/>
      <c r="KYH756" s="125"/>
      <c r="KYI756" s="125"/>
      <c r="KYJ756" s="125"/>
      <c r="KYK756" s="125"/>
      <c r="KYL756" s="125"/>
      <c r="KYM756" s="125"/>
      <c r="KYN756" s="125"/>
      <c r="KYO756" s="125"/>
      <c r="KYP756" s="125"/>
      <c r="KYQ756" s="125"/>
      <c r="KYR756" s="125"/>
      <c r="KYS756" s="125"/>
      <c r="KYT756" s="125"/>
      <c r="KYU756" s="125"/>
      <c r="KYV756" s="125"/>
      <c r="KYW756" s="125"/>
      <c r="KYX756" s="125"/>
      <c r="KYY756" s="125"/>
      <c r="KYZ756" s="125"/>
      <c r="KZA756" s="125"/>
      <c r="KZB756" s="125"/>
      <c r="KZC756" s="125"/>
      <c r="KZD756" s="125"/>
      <c r="KZE756" s="125"/>
      <c r="KZF756" s="125"/>
      <c r="KZG756" s="125"/>
      <c r="KZH756" s="125"/>
      <c r="KZI756" s="125"/>
      <c r="KZJ756" s="125"/>
      <c r="KZK756" s="125"/>
      <c r="KZL756" s="125"/>
      <c r="KZM756" s="125"/>
      <c r="KZN756" s="125"/>
      <c r="KZO756" s="125"/>
      <c r="KZP756" s="125"/>
      <c r="KZQ756" s="125"/>
      <c r="KZR756" s="125"/>
      <c r="KZS756" s="125"/>
      <c r="KZT756" s="125"/>
      <c r="KZU756" s="125"/>
      <c r="KZV756" s="125"/>
      <c r="KZW756" s="125"/>
      <c r="KZX756" s="125"/>
      <c r="KZY756" s="125"/>
      <c r="KZZ756" s="125"/>
      <c r="LAA756" s="125"/>
      <c r="LAB756" s="125"/>
      <c r="LAC756" s="125"/>
      <c r="LAD756" s="125"/>
      <c r="LAE756" s="125"/>
      <c r="LAF756" s="125"/>
      <c r="LAG756" s="125"/>
      <c r="LAH756" s="125"/>
      <c r="LAI756" s="125"/>
      <c r="LAJ756" s="125"/>
      <c r="LAK756" s="125"/>
      <c r="LAL756" s="125"/>
      <c r="LAM756" s="125"/>
      <c r="LAN756" s="125"/>
      <c r="LAO756" s="125"/>
      <c r="LAP756" s="125"/>
      <c r="LAQ756" s="125"/>
      <c r="LAR756" s="125"/>
      <c r="LAS756" s="125"/>
      <c r="LAT756" s="125"/>
      <c r="LAU756" s="125"/>
      <c r="LAV756" s="125"/>
      <c r="LAW756" s="125"/>
      <c r="LAX756" s="125"/>
      <c r="LAY756" s="125"/>
      <c r="LAZ756" s="125"/>
      <c r="LBA756" s="125"/>
      <c r="LBB756" s="125"/>
      <c r="LBC756" s="125"/>
      <c r="LBD756" s="125"/>
      <c r="LBE756" s="125"/>
      <c r="LBF756" s="125"/>
      <c r="LBG756" s="125"/>
      <c r="LBH756" s="125"/>
      <c r="LBI756" s="125"/>
      <c r="LBJ756" s="125"/>
      <c r="LBK756" s="125"/>
      <c r="LBL756" s="125"/>
      <c r="LBM756" s="125"/>
      <c r="LBN756" s="125"/>
      <c r="LBO756" s="125"/>
      <c r="LBP756" s="125"/>
      <c r="LBQ756" s="125"/>
      <c r="LBR756" s="125"/>
      <c r="LBS756" s="125"/>
      <c r="LBT756" s="125"/>
      <c r="LBU756" s="125"/>
      <c r="LBV756" s="125"/>
      <c r="LBW756" s="125"/>
      <c r="LBX756" s="125"/>
      <c r="LBY756" s="125"/>
      <c r="LBZ756" s="125"/>
      <c r="LCA756" s="125"/>
      <c r="LCB756" s="125"/>
      <c r="LCC756" s="125"/>
      <c r="LCD756" s="125"/>
      <c r="LCE756" s="125"/>
      <c r="LCF756" s="125"/>
      <c r="LCG756" s="125"/>
      <c r="LCH756" s="125"/>
      <c r="LCI756" s="125"/>
      <c r="LCJ756" s="125"/>
      <c r="LCK756" s="125"/>
      <c r="LCL756" s="125"/>
      <c r="LCM756" s="125"/>
      <c r="LCN756" s="125"/>
      <c r="LCO756" s="125"/>
      <c r="LCP756" s="125"/>
      <c r="LCQ756" s="125"/>
      <c r="LCR756" s="125"/>
      <c r="LCS756" s="125"/>
      <c r="LCT756" s="125"/>
      <c r="LCU756" s="125"/>
      <c r="LCV756" s="125"/>
      <c r="LCW756" s="125"/>
      <c r="LCX756" s="125"/>
      <c r="LCY756" s="125"/>
      <c r="LCZ756" s="125"/>
      <c r="LDA756" s="125"/>
      <c r="LDB756" s="125"/>
      <c r="LDC756" s="125"/>
      <c r="LDD756" s="125"/>
      <c r="LDE756" s="125"/>
      <c r="LDF756" s="125"/>
      <c r="LDG756" s="125"/>
      <c r="LDH756" s="125"/>
      <c r="LDI756" s="125"/>
      <c r="LDJ756" s="125"/>
      <c r="LDK756" s="125"/>
      <c r="LDL756" s="125"/>
      <c r="LDM756" s="125"/>
      <c r="LDN756" s="125"/>
      <c r="LDO756" s="125"/>
      <c r="LDP756" s="125"/>
      <c r="LDQ756" s="125"/>
      <c r="LDR756" s="125"/>
      <c r="LDS756" s="125"/>
      <c r="LDT756" s="125"/>
      <c r="LDU756" s="125"/>
      <c r="LDV756" s="125"/>
      <c r="LDW756" s="125"/>
      <c r="LDX756" s="125"/>
      <c r="LDY756" s="125"/>
      <c r="LDZ756" s="125"/>
      <c r="LEA756" s="125"/>
      <c r="LEB756" s="125"/>
      <c r="LEC756" s="125"/>
      <c r="LED756" s="125"/>
      <c r="LEE756" s="125"/>
      <c r="LEF756" s="125"/>
      <c r="LEG756" s="125"/>
      <c r="LEH756" s="125"/>
      <c r="LEI756" s="125"/>
      <c r="LEJ756" s="125"/>
      <c r="LEK756" s="125"/>
      <c r="LEL756" s="125"/>
      <c r="LEM756" s="125"/>
      <c r="LEN756" s="125"/>
      <c r="LEO756" s="125"/>
      <c r="LEP756" s="125"/>
      <c r="LEQ756" s="125"/>
      <c r="LER756" s="125"/>
      <c r="LES756" s="125"/>
      <c r="LET756" s="125"/>
      <c r="LEU756" s="125"/>
      <c r="LEV756" s="125"/>
      <c r="LEW756" s="125"/>
      <c r="LEX756" s="125"/>
      <c r="LEY756" s="125"/>
      <c r="LEZ756" s="125"/>
      <c r="LFA756" s="125"/>
      <c r="LFB756" s="125"/>
      <c r="LFC756" s="125"/>
      <c r="LFD756" s="125"/>
      <c r="LFE756" s="125"/>
      <c r="LFF756" s="125"/>
      <c r="LFG756" s="125"/>
      <c r="LFH756" s="125"/>
      <c r="LFI756" s="125"/>
      <c r="LFJ756" s="125"/>
      <c r="LFK756" s="125"/>
      <c r="LFL756" s="125"/>
      <c r="LFM756" s="125"/>
      <c r="LFN756" s="125"/>
      <c r="LFO756" s="125"/>
      <c r="LFP756" s="125"/>
      <c r="LFQ756" s="125"/>
      <c r="LFR756" s="125"/>
      <c r="LFS756" s="125"/>
      <c r="LFT756" s="125"/>
      <c r="LFU756" s="125"/>
      <c r="LFV756" s="125"/>
      <c r="LFW756" s="125"/>
      <c r="LFX756" s="125"/>
      <c r="LFY756" s="125"/>
      <c r="LFZ756" s="125"/>
      <c r="LGA756" s="125"/>
      <c r="LGB756" s="125"/>
      <c r="LGC756" s="125"/>
      <c r="LGD756" s="125"/>
      <c r="LGE756" s="125"/>
      <c r="LGF756" s="125"/>
      <c r="LGG756" s="125"/>
      <c r="LGH756" s="125"/>
      <c r="LGI756" s="125"/>
      <c r="LGJ756" s="125"/>
      <c r="LGK756" s="125"/>
      <c r="LGL756" s="125"/>
      <c r="LGM756" s="125"/>
      <c r="LGN756" s="125"/>
      <c r="LGO756" s="125"/>
      <c r="LGP756" s="125"/>
      <c r="LGQ756" s="125"/>
      <c r="LGR756" s="125"/>
      <c r="LGS756" s="125"/>
      <c r="LGT756" s="125"/>
      <c r="LGU756" s="125"/>
      <c r="LGV756" s="125"/>
      <c r="LGW756" s="125"/>
      <c r="LGX756" s="125"/>
      <c r="LGY756" s="125"/>
      <c r="LGZ756" s="125"/>
      <c r="LHA756" s="125"/>
      <c r="LHB756" s="125"/>
      <c r="LHC756" s="125"/>
      <c r="LHD756" s="125"/>
      <c r="LHE756" s="125"/>
      <c r="LHF756" s="125"/>
      <c r="LHG756" s="125"/>
      <c r="LHH756" s="125"/>
      <c r="LHI756" s="125"/>
      <c r="LHJ756" s="125"/>
      <c r="LHK756" s="125"/>
      <c r="LHL756" s="125"/>
      <c r="LHM756" s="125"/>
      <c r="LHN756" s="125"/>
      <c r="LHO756" s="125"/>
      <c r="LHP756" s="125"/>
      <c r="LHQ756" s="125"/>
      <c r="LHR756" s="125"/>
      <c r="LHS756" s="125"/>
      <c r="LHT756" s="125"/>
      <c r="LHU756" s="125"/>
      <c r="LHV756" s="125"/>
      <c r="LHW756" s="125"/>
      <c r="LHX756" s="125"/>
      <c r="LHY756" s="125"/>
      <c r="LHZ756" s="125"/>
      <c r="LIA756" s="125"/>
      <c r="LIB756" s="125"/>
      <c r="LIC756" s="125"/>
      <c r="LID756" s="125"/>
      <c r="LIE756" s="125"/>
      <c r="LIF756" s="125"/>
      <c r="LIG756" s="125"/>
      <c r="LIH756" s="125"/>
      <c r="LII756" s="125"/>
      <c r="LIJ756" s="125"/>
      <c r="LIK756" s="125"/>
      <c r="LIL756" s="125"/>
      <c r="LIM756" s="125"/>
      <c r="LIN756" s="125"/>
      <c r="LIO756" s="125"/>
      <c r="LIP756" s="125"/>
      <c r="LIQ756" s="125"/>
      <c r="LIR756" s="125"/>
      <c r="LIS756" s="125"/>
      <c r="LIT756" s="125"/>
      <c r="LIU756" s="125"/>
      <c r="LIV756" s="125"/>
      <c r="LIW756" s="125"/>
      <c r="LIX756" s="125"/>
      <c r="LIY756" s="125"/>
      <c r="LIZ756" s="125"/>
      <c r="LJA756" s="125"/>
      <c r="LJB756" s="125"/>
      <c r="LJC756" s="125"/>
      <c r="LJD756" s="125"/>
      <c r="LJE756" s="125"/>
      <c r="LJF756" s="125"/>
      <c r="LJG756" s="125"/>
      <c r="LJH756" s="125"/>
      <c r="LJI756" s="125"/>
      <c r="LJJ756" s="125"/>
      <c r="LJK756" s="125"/>
      <c r="LJL756" s="125"/>
      <c r="LJM756" s="125"/>
      <c r="LJN756" s="125"/>
      <c r="LJO756" s="125"/>
      <c r="LJP756" s="125"/>
      <c r="LJQ756" s="125"/>
      <c r="LJR756" s="125"/>
      <c r="LJS756" s="125"/>
      <c r="LJT756" s="125"/>
      <c r="LJU756" s="125"/>
      <c r="LJV756" s="125"/>
      <c r="LJW756" s="125"/>
      <c r="LJX756" s="125"/>
      <c r="LJY756" s="125"/>
      <c r="LJZ756" s="125"/>
      <c r="LKA756" s="125"/>
      <c r="LKB756" s="125"/>
      <c r="LKC756" s="125"/>
      <c r="LKD756" s="125"/>
      <c r="LKE756" s="125"/>
      <c r="LKF756" s="125"/>
      <c r="LKG756" s="125"/>
      <c r="LKH756" s="125"/>
      <c r="LKI756" s="125"/>
      <c r="LKJ756" s="125"/>
      <c r="LKK756" s="125"/>
      <c r="LKL756" s="125"/>
      <c r="LKM756" s="125"/>
      <c r="LKN756" s="125"/>
      <c r="LKO756" s="125"/>
      <c r="LKP756" s="125"/>
      <c r="LKQ756" s="125"/>
      <c r="LKR756" s="125"/>
      <c r="LKS756" s="125"/>
      <c r="LKT756" s="125"/>
      <c r="LKU756" s="125"/>
      <c r="LKV756" s="125"/>
      <c r="LKW756" s="125"/>
      <c r="LKX756" s="125"/>
      <c r="LKY756" s="125"/>
      <c r="LKZ756" s="125"/>
      <c r="LLA756" s="125"/>
      <c r="LLB756" s="125"/>
      <c r="LLC756" s="125"/>
      <c r="LLD756" s="125"/>
      <c r="LLE756" s="125"/>
      <c r="LLF756" s="125"/>
      <c r="LLG756" s="125"/>
      <c r="LLH756" s="125"/>
      <c r="LLI756" s="125"/>
      <c r="LLJ756" s="125"/>
      <c r="LLK756" s="125"/>
      <c r="LLL756" s="125"/>
      <c r="LLM756" s="125"/>
      <c r="LLN756" s="125"/>
      <c r="LLO756" s="125"/>
      <c r="LLP756" s="125"/>
      <c r="LLQ756" s="125"/>
      <c r="LLR756" s="125"/>
      <c r="LLS756" s="125"/>
      <c r="LLT756" s="125"/>
      <c r="LLU756" s="125"/>
      <c r="LLV756" s="125"/>
      <c r="LLW756" s="125"/>
      <c r="LLX756" s="125"/>
      <c r="LLY756" s="125"/>
      <c r="LLZ756" s="125"/>
      <c r="LMA756" s="125"/>
      <c r="LMB756" s="125"/>
      <c r="LMC756" s="125"/>
      <c r="LMD756" s="125"/>
      <c r="LME756" s="125"/>
      <c r="LMF756" s="125"/>
      <c r="LMG756" s="125"/>
      <c r="LMH756" s="125"/>
      <c r="LMI756" s="125"/>
      <c r="LMJ756" s="125"/>
      <c r="LMK756" s="125"/>
      <c r="LML756" s="125"/>
      <c r="LMM756" s="125"/>
      <c r="LMN756" s="125"/>
      <c r="LMO756" s="125"/>
      <c r="LMP756" s="125"/>
      <c r="LMQ756" s="125"/>
      <c r="LMR756" s="125"/>
      <c r="LMS756" s="125"/>
      <c r="LMT756" s="125"/>
      <c r="LMU756" s="125"/>
      <c r="LMV756" s="125"/>
      <c r="LMW756" s="125"/>
      <c r="LMX756" s="125"/>
      <c r="LMY756" s="125"/>
      <c r="LMZ756" s="125"/>
      <c r="LNA756" s="125"/>
      <c r="LNB756" s="125"/>
      <c r="LNC756" s="125"/>
      <c r="LND756" s="125"/>
      <c r="LNE756" s="125"/>
      <c r="LNF756" s="125"/>
      <c r="LNG756" s="125"/>
      <c r="LNH756" s="125"/>
      <c r="LNI756" s="125"/>
      <c r="LNJ756" s="125"/>
      <c r="LNK756" s="125"/>
      <c r="LNL756" s="125"/>
      <c r="LNM756" s="125"/>
      <c r="LNN756" s="125"/>
      <c r="LNO756" s="125"/>
      <c r="LNP756" s="125"/>
      <c r="LNQ756" s="125"/>
      <c r="LNR756" s="125"/>
      <c r="LNS756" s="125"/>
      <c r="LNT756" s="125"/>
      <c r="LNU756" s="125"/>
      <c r="LNV756" s="125"/>
      <c r="LNW756" s="125"/>
      <c r="LNX756" s="125"/>
      <c r="LNY756" s="125"/>
      <c r="LNZ756" s="125"/>
      <c r="LOA756" s="125"/>
      <c r="LOB756" s="125"/>
      <c r="LOC756" s="125"/>
      <c r="LOD756" s="125"/>
      <c r="LOE756" s="125"/>
      <c r="LOF756" s="125"/>
      <c r="LOG756" s="125"/>
      <c r="LOH756" s="125"/>
      <c r="LOI756" s="125"/>
      <c r="LOJ756" s="125"/>
      <c r="LOK756" s="125"/>
      <c r="LOL756" s="125"/>
      <c r="LOM756" s="125"/>
      <c r="LON756" s="125"/>
      <c r="LOO756" s="125"/>
      <c r="LOP756" s="125"/>
      <c r="LOQ756" s="125"/>
      <c r="LOR756" s="125"/>
      <c r="LOS756" s="125"/>
      <c r="LOT756" s="125"/>
      <c r="LOU756" s="125"/>
      <c r="LOV756" s="125"/>
      <c r="LOW756" s="125"/>
      <c r="LOX756" s="125"/>
      <c r="LOY756" s="125"/>
      <c r="LOZ756" s="125"/>
      <c r="LPA756" s="125"/>
      <c r="LPB756" s="125"/>
      <c r="LPC756" s="125"/>
      <c r="LPD756" s="125"/>
      <c r="LPE756" s="125"/>
      <c r="LPF756" s="125"/>
      <c r="LPG756" s="125"/>
      <c r="LPH756" s="125"/>
      <c r="LPI756" s="125"/>
      <c r="LPJ756" s="125"/>
      <c r="LPK756" s="125"/>
      <c r="LPL756" s="125"/>
      <c r="LPM756" s="125"/>
      <c r="LPN756" s="125"/>
      <c r="LPO756" s="125"/>
      <c r="LPP756" s="125"/>
      <c r="LPQ756" s="125"/>
      <c r="LPR756" s="125"/>
      <c r="LPS756" s="125"/>
      <c r="LPT756" s="125"/>
      <c r="LPU756" s="125"/>
      <c r="LPV756" s="125"/>
      <c r="LPW756" s="125"/>
      <c r="LPX756" s="125"/>
      <c r="LPY756" s="125"/>
      <c r="LPZ756" s="125"/>
      <c r="LQA756" s="125"/>
      <c r="LQB756" s="125"/>
      <c r="LQC756" s="125"/>
      <c r="LQD756" s="125"/>
      <c r="LQE756" s="125"/>
      <c r="LQF756" s="125"/>
      <c r="LQG756" s="125"/>
      <c r="LQH756" s="125"/>
      <c r="LQI756" s="125"/>
      <c r="LQJ756" s="125"/>
      <c r="LQK756" s="125"/>
      <c r="LQL756" s="125"/>
      <c r="LQM756" s="125"/>
      <c r="LQN756" s="125"/>
      <c r="LQO756" s="125"/>
      <c r="LQP756" s="125"/>
      <c r="LQQ756" s="125"/>
      <c r="LQR756" s="125"/>
      <c r="LQS756" s="125"/>
      <c r="LQT756" s="125"/>
      <c r="LQU756" s="125"/>
      <c r="LQV756" s="125"/>
      <c r="LQW756" s="125"/>
      <c r="LQX756" s="125"/>
      <c r="LQY756" s="125"/>
      <c r="LQZ756" s="125"/>
      <c r="LRA756" s="125"/>
      <c r="LRB756" s="125"/>
      <c r="LRC756" s="125"/>
      <c r="LRD756" s="125"/>
      <c r="LRE756" s="125"/>
      <c r="LRF756" s="125"/>
      <c r="LRG756" s="125"/>
      <c r="LRH756" s="125"/>
      <c r="LRI756" s="125"/>
      <c r="LRJ756" s="125"/>
      <c r="LRK756" s="125"/>
      <c r="LRL756" s="125"/>
      <c r="LRM756" s="125"/>
      <c r="LRN756" s="125"/>
      <c r="LRO756" s="125"/>
      <c r="LRP756" s="125"/>
      <c r="LRQ756" s="125"/>
      <c r="LRR756" s="125"/>
      <c r="LRS756" s="125"/>
      <c r="LRT756" s="125"/>
      <c r="LRU756" s="125"/>
      <c r="LRV756" s="125"/>
      <c r="LRW756" s="125"/>
      <c r="LRX756" s="125"/>
      <c r="LRY756" s="125"/>
      <c r="LRZ756" s="125"/>
      <c r="LSA756" s="125"/>
      <c r="LSB756" s="125"/>
      <c r="LSC756" s="125"/>
      <c r="LSD756" s="125"/>
      <c r="LSE756" s="125"/>
      <c r="LSF756" s="125"/>
      <c r="LSG756" s="125"/>
      <c r="LSH756" s="125"/>
      <c r="LSI756" s="125"/>
      <c r="LSJ756" s="125"/>
      <c r="LSK756" s="125"/>
      <c r="LSL756" s="125"/>
      <c r="LSM756" s="125"/>
      <c r="LSN756" s="125"/>
      <c r="LSO756" s="125"/>
      <c r="LSP756" s="125"/>
      <c r="LSQ756" s="125"/>
      <c r="LSR756" s="125"/>
      <c r="LSS756" s="125"/>
      <c r="LST756" s="125"/>
      <c r="LSU756" s="125"/>
      <c r="LSV756" s="125"/>
      <c r="LSW756" s="125"/>
      <c r="LSX756" s="125"/>
      <c r="LSY756" s="125"/>
      <c r="LSZ756" s="125"/>
      <c r="LTA756" s="125"/>
      <c r="LTB756" s="125"/>
      <c r="LTC756" s="125"/>
      <c r="LTD756" s="125"/>
      <c r="LTE756" s="125"/>
      <c r="LTF756" s="125"/>
      <c r="LTG756" s="125"/>
      <c r="LTH756" s="125"/>
      <c r="LTI756" s="125"/>
      <c r="LTJ756" s="125"/>
      <c r="LTK756" s="125"/>
      <c r="LTL756" s="125"/>
      <c r="LTM756" s="125"/>
      <c r="LTN756" s="125"/>
      <c r="LTO756" s="125"/>
      <c r="LTP756" s="125"/>
      <c r="LTQ756" s="125"/>
      <c r="LTR756" s="125"/>
      <c r="LTS756" s="125"/>
      <c r="LTT756" s="125"/>
      <c r="LTU756" s="125"/>
      <c r="LTV756" s="125"/>
      <c r="LTW756" s="125"/>
      <c r="LTX756" s="125"/>
      <c r="LTY756" s="125"/>
      <c r="LTZ756" s="125"/>
      <c r="LUA756" s="125"/>
      <c r="LUB756" s="125"/>
      <c r="LUC756" s="125"/>
      <c r="LUD756" s="125"/>
      <c r="LUE756" s="125"/>
      <c r="LUF756" s="125"/>
      <c r="LUG756" s="125"/>
      <c r="LUH756" s="125"/>
      <c r="LUI756" s="125"/>
      <c r="LUJ756" s="125"/>
      <c r="LUK756" s="125"/>
      <c r="LUL756" s="125"/>
      <c r="LUM756" s="125"/>
      <c r="LUN756" s="125"/>
      <c r="LUO756" s="125"/>
      <c r="LUP756" s="125"/>
      <c r="LUQ756" s="125"/>
      <c r="LUR756" s="125"/>
      <c r="LUS756" s="125"/>
      <c r="LUT756" s="125"/>
      <c r="LUU756" s="125"/>
      <c r="LUV756" s="125"/>
      <c r="LUW756" s="125"/>
      <c r="LUX756" s="125"/>
      <c r="LUY756" s="125"/>
      <c r="LUZ756" s="125"/>
      <c r="LVA756" s="125"/>
      <c r="LVB756" s="125"/>
      <c r="LVC756" s="125"/>
      <c r="LVD756" s="125"/>
      <c r="LVE756" s="125"/>
      <c r="LVF756" s="125"/>
      <c r="LVG756" s="125"/>
      <c r="LVH756" s="125"/>
      <c r="LVI756" s="125"/>
      <c r="LVJ756" s="125"/>
      <c r="LVK756" s="125"/>
      <c r="LVL756" s="125"/>
      <c r="LVM756" s="125"/>
      <c r="LVN756" s="125"/>
      <c r="LVO756" s="125"/>
      <c r="LVP756" s="125"/>
      <c r="LVQ756" s="125"/>
      <c r="LVR756" s="125"/>
      <c r="LVS756" s="125"/>
      <c r="LVT756" s="125"/>
      <c r="LVU756" s="125"/>
      <c r="LVV756" s="125"/>
      <c r="LVW756" s="125"/>
      <c r="LVX756" s="125"/>
      <c r="LVY756" s="125"/>
      <c r="LVZ756" s="125"/>
      <c r="LWA756" s="125"/>
      <c r="LWB756" s="125"/>
      <c r="LWC756" s="125"/>
      <c r="LWD756" s="125"/>
      <c r="LWE756" s="125"/>
      <c r="LWF756" s="125"/>
      <c r="LWG756" s="125"/>
      <c r="LWH756" s="125"/>
      <c r="LWI756" s="125"/>
      <c r="LWJ756" s="125"/>
      <c r="LWK756" s="125"/>
      <c r="LWL756" s="125"/>
      <c r="LWM756" s="125"/>
      <c r="LWN756" s="125"/>
      <c r="LWO756" s="125"/>
      <c r="LWP756" s="125"/>
      <c r="LWQ756" s="125"/>
      <c r="LWR756" s="125"/>
      <c r="LWS756" s="125"/>
      <c r="LWT756" s="125"/>
      <c r="LWU756" s="125"/>
      <c r="LWV756" s="125"/>
      <c r="LWW756" s="125"/>
      <c r="LWX756" s="125"/>
      <c r="LWY756" s="125"/>
      <c r="LWZ756" s="125"/>
      <c r="LXA756" s="125"/>
      <c r="LXB756" s="125"/>
      <c r="LXC756" s="125"/>
      <c r="LXD756" s="125"/>
      <c r="LXE756" s="125"/>
      <c r="LXF756" s="125"/>
      <c r="LXG756" s="125"/>
      <c r="LXH756" s="125"/>
      <c r="LXI756" s="125"/>
      <c r="LXJ756" s="125"/>
      <c r="LXK756" s="125"/>
      <c r="LXL756" s="125"/>
      <c r="LXM756" s="125"/>
      <c r="LXN756" s="125"/>
      <c r="LXO756" s="125"/>
      <c r="LXP756" s="125"/>
      <c r="LXQ756" s="125"/>
      <c r="LXR756" s="125"/>
      <c r="LXS756" s="125"/>
      <c r="LXT756" s="125"/>
      <c r="LXU756" s="125"/>
      <c r="LXV756" s="125"/>
      <c r="LXW756" s="125"/>
      <c r="LXX756" s="125"/>
      <c r="LXY756" s="125"/>
      <c r="LXZ756" s="125"/>
      <c r="LYA756" s="125"/>
      <c r="LYB756" s="125"/>
      <c r="LYC756" s="125"/>
      <c r="LYD756" s="125"/>
      <c r="LYE756" s="125"/>
      <c r="LYF756" s="125"/>
      <c r="LYG756" s="125"/>
      <c r="LYH756" s="125"/>
      <c r="LYI756" s="125"/>
      <c r="LYJ756" s="125"/>
      <c r="LYK756" s="125"/>
      <c r="LYL756" s="125"/>
      <c r="LYM756" s="125"/>
      <c r="LYN756" s="125"/>
      <c r="LYO756" s="125"/>
      <c r="LYP756" s="125"/>
      <c r="LYQ756" s="125"/>
      <c r="LYR756" s="125"/>
      <c r="LYS756" s="125"/>
      <c r="LYT756" s="125"/>
      <c r="LYU756" s="125"/>
      <c r="LYV756" s="125"/>
      <c r="LYW756" s="125"/>
      <c r="LYX756" s="125"/>
      <c r="LYY756" s="125"/>
      <c r="LYZ756" s="125"/>
      <c r="LZA756" s="125"/>
      <c r="LZB756" s="125"/>
      <c r="LZC756" s="125"/>
      <c r="LZD756" s="125"/>
      <c r="LZE756" s="125"/>
      <c r="LZF756" s="125"/>
      <c r="LZG756" s="125"/>
      <c r="LZH756" s="125"/>
      <c r="LZI756" s="125"/>
      <c r="LZJ756" s="125"/>
      <c r="LZK756" s="125"/>
      <c r="LZL756" s="125"/>
      <c r="LZM756" s="125"/>
      <c r="LZN756" s="125"/>
      <c r="LZO756" s="125"/>
      <c r="LZP756" s="125"/>
      <c r="LZQ756" s="125"/>
      <c r="LZR756" s="125"/>
      <c r="LZS756" s="125"/>
      <c r="LZT756" s="125"/>
      <c r="LZU756" s="125"/>
      <c r="LZV756" s="125"/>
      <c r="LZW756" s="125"/>
      <c r="LZX756" s="125"/>
      <c r="LZY756" s="125"/>
      <c r="LZZ756" s="125"/>
      <c r="MAA756" s="125"/>
      <c r="MAB756" s="125"/>
      <c r="MAC756" s="125"/>
      <c r="MAD756" s="125"/>
      <c r="MAE756" s="125"/>
      <c r="MAF756" s="125"/>
      <c r="MAG756" s="125"/>
      <c r="MAH756" s="125"/>
      <c r="MAI756" s="125"/>
      <c r="MAJ756" s="125"/>
      <c r="MAK756" s="125"/>
      <c r="MAL756" s="125"/>
      <c r="MAM756" s="125"/>
      <c r="MAN756" s="125"/>
      <c r="MAO756" s="125"/>
      <c r="MAP756" s="125"/>
      <c r="MAQ756" s="125"/>
      <c r="MAR756" s="125"/>
      <c r="MAS756" s="125"/>
      <c r="MAT756" s="125"/>
      <c r="MAU756" s="125"/>
      <c r="MAV756" s="125"/>
      <c r="MAW756" s="125"/>
      <c r="MAX756" s="125"/>
      <c r="MAY756" s="125"/>
      <c r="MAZ756" s="125"/>
      <c r="MBA756" s="125"/>
      <c r="MBB756" s="125"/>
      <c r="MBC756" s="125"/>
      <c r="MBD756" s="125"/>
      <c r="MBE756" s="125"/>
      <c r="MBF756" s="125"/>
      <c r="MBG756" s="125"/>
      <c r="MBH756" s="125"/>
      <c r="MBI756" s="125"/>
      <c r="MBJ756" s="125"/>
      <c r="MBK756" s="125"/>
      <c r="MBL756" s="125"/>
      <c r="MBM756" s="125"/>
      <c r="MBN756" s="125"/>
      <c r="MBO756" s="125"/>
      <c r="MBP756" s="125"/>
      <c r="MBQ756" s="125"/>
      <c r="MBR756" s="125"/>
      <c r="MBS756" s="125"/>
      <c r="MBT756" s="125"/>
      <c r="MBU756" s="125"/>
      <c r="MBV756" s="125"/>
      <c r="MBW756" s="125"/>
      <c r="MBX756" s="125"/>
      <c r="MBY756" s="125"/>
      <c r="MBZ756" s="125"/>
      <c r="MCA756" s="125"/>
      <c r="MCB756" s="125"/>
      <c r="MCC756" s="125"/>
      <c r="MCD756" s="125"/>
      <c r="MCE756" s="125"/>
      <c r="MCF756" s="125"/>
      <c r="MCG756" s="125"/>
      <c r="MCH756" s="125"/>
      <c r="MCI756" s="125"/>
      <c r="MCJ756" s="125"/>
      <c r="MCK756" s="125"/>
      <c r="MCL756" s="125"/>
      <c r="MCM756" s="125"/>
      <c r="MCN756" s="125"/>
      <c r="MCO756" s="125"/>
      <c r="MCP756" s="125"/>
      <c r="MCQ756" s="125"/>
      <c r="MCR756" s="125"/>
      <c r="MCS756" s="125"/>
      <c r="MCT756" s="125"/>
      <c r="MCU756" s="125"/>
      <c r="MCV756" s="125"/>
      <c r="MCW756" s="125"/>
      <c r="MCX756" s="125"/>
      <c r="MCY756" s="125"/>
      <c r="MCZ756" s="125"/>
      <c r="MDA756" s="125"/>
      <c r="MDB756" s="125"/>
      <c r="MDC756" s="125"/>
      <c r="MDD756" s="125"/>
      <c r="MDE756" s="125"/>
      <c r="MDF756" s="125"/>
      <c r="MDG756" s="125"/>
      <c r="MDH756" s="125"/>
      <c r="MDI756" s="125"/>
      <c r="MDJ756" s="125"/>
      <c r="MDK756" s="125"/>
      <c r="MDL756" s="125"/>
      <c r="MDM756" s="125"/>
      <c r="MDN756" s="125"/>
      <c r="MDO756" s="125"/>
      <c r="MDP756" s="125"/>
      <c r="MDQ756" s="125"/>
      <c r="MDR756" s="125"/>
      <c r="MDS756" s="125"/>
      <c r="MDT756" s="125"/>
      <c r="MDU756" s="125"/>
      <c r="MDV756" s="125"/>
      <c r="MDW756" s="125"/>
      <c r="MDX756" s="125"/>
      <c r="MDY756" s="125"/>
      <c r="MDZ756" s="125"/>
      <c r="MEA756" s="125"/>
      <c r="MEB756" s="125"/>
      <c r="MEC756" s="125"/>
      <c r="MED756" s="125"/>
      <c r="MEE756" s="125"/>
      <c r="MEF756" s="125"/>
      <c r="MEG756" s="125"/>
      <c r="MEH756" s="125"/>
      <c r="MEI756" s="125"/>
      <c r="MEJ756" s="125"/>
      <c r="MEK756" s="125"/>
      <c r="MEL756" s="125"/>
      <c r="MEM756" s="125"/>
      <c r="MEN756" s="125"/>
      <c r="MEO756" s="125"/>
      <c r="MEP756" s="125"/>
      <c r="MEQ756" s="125"/>
      <c r="MER756" s="125"/>
      <c r="MES756" s="125"/>
      <c r="MET756" s="125"/>
      <c r="MEU756" s="125"/>
      <c r="MEV756" s="125"/>
      <c r="MEW756" s="125"/>
      <c r="MEX756" s="125"/>
      <c r="MEY756" s="125"/>
      <c r="MEZ756" s="125"/>
      <c r="MFA756" s="125"/>
      <c r="MFB756" s="125"/>
      <c r="MFC756" s="125"/>
      <c r="MFD756" s="125"/>
      <c r="MFE756" s="125"/>
      <c r="MFF756" s="125"/>
      <c r="MFG756" s="125"/>
      <c r="MFH756" s="125"/>
      <c r="MFI756" s="125"/>
      <c r="MFJ756" s="125"/>
      <c r="MFK756" s="125"/>
      <c r="MFL756" s="125"/>
      <c r="MFM756" s="125"/>
      <c r="MFN756" s="125"/>
      <c r="MFO756" s="125"/>
      <c r="MFP756" s="125"/>
      <c r="MFQ756" s="125"/>
      <c r="MFR756" s="125"/>
      <c r="MFS756" s="125"/>
      <c r="MFT756" s="125"/>
      <c r="MFU756" s="125"/>
      <c r="MFV756" s="125"/>
      <c r="MFW756" s="125"/>
      <c r="MFX756" s="125"/>
      <c r="MFY756" s="125"/>
      <c r="MFZ756" s="125"/>
      <c r="MGA756" s="125"/>
      <c r="MGB756" s="125"/>
      <c r="MGC756" s="125"/>
      <c r="MGD756" s="125"/>
      <c r="MGE756" s="125"/>
      <c r="MGF756" s="125"/>
      <c r="MGG756" s="125"/>
      <c r="MGH756" s="125"/>
      <c r="MGI756" s="125"/>
      <c r="MGJ756" s="125"/>
      <c r="MGK756" s="125"/>
      <c r="MGL756" s="125"/>
      <c r="MGM756" s="125"/>
      <c r="MGN756" s="125"/>
      <c r="MGO756" s="125"/>
      <c r="MGP756" s="125"/>
      <c r="MGQ756" s="125"/>
      <c r="MGR756" s="125"/>
      <c r="MGS756" s="125"/>
      <c r="MGT756" s="125"/>
      <c r="MGU756" s="125"/>
      <c r="MGV756" s="125"/>
      <c r="MGW756" s="125"/>
      <c r="MGX756" s="125"/>
      <c r="MGY756" s="125"/>
      <c r="MGZ756" s="125"/>
      <c r="MHA756" s="125"/>
      <c r="MHB756" s="125"/>
      <c r="MHC756" s="125"/>
      <c r="MHD756" s="125"/>
      <c r="MHE756" s="125"/>
      <c r="MHF756" s="125"/>
      <c r="MHG756" s="125"/>
      <c r="MHH756" s="125"/>
      <c r="MHI756" s="125"/>
      <c r="MHJ756" s="125"/>
      <c r="MHK756" s="125"/>
      <c r="MHL756" s="125"/>
      <c r="MHM756" s="125"/>
      <c r="MHN756" s="125"/>
      <c r="MHO756" s="125"/>
      <c r="MHP756" s="125"/>
      <c r="MHQ756" s="125"/>
      <c r="MHR756" s="125"/>
      <c r="MHS756" s="125"/>
      <c r="MHT756" s="125"/>
      <c r="MHU756" s="125"/>
      <c r="MHV756" s="125"/>
      <c r="MHW756" s="125"/>
      <c r="MHX756" s="125"/>
      <c r="MHY756" s="125"/>
      <c r="MHZ756" s="125"/>
      <c r="MIA756" s="125"/>
      <c r="MIB756" s="125"/>
      <c r="MIC756" s="125"/>
      <c r="MID756" s="125"/>
      <c r="MIE756" s="125"/>
      <c r="MIF756" s="125"/>
      <c r="MIG756" s="125"/>
      <c r="MIH756" s="125"/>
      <c r="MII756" s="125"/>
      <c r="MIJ756" s="125"/>
      <c r="MIK756" s="125"/>
      <c r="MIL756" s="125"/>
      <c r="MIM756" s="125"/>
      <c r="MIN756" s="125"/>
      <c r="MIO756" s="125"/>
      <c r="MIP756" s="125"/>
      <c r="MIQ756" s="125"/>
      <c r="MIR756" s="125"/>
      <c r="MIS756" s="125"/>
      <c r="MIT756" s="125"/>
      <c r="MIU756" s="125"/>
      <c r="MIV756" s="125"/>
      <c r="MIW756" s="125"/>
      <c r="MIX756" s="125"/>
      <c r="MIY756" s="125"/>
      <c r="MIZ756" s="125"/>
      <c r="MJA756" s="125"/>
      <c r="MJB756" s="125"/>
      <c r="MJC756" s="125"/>
      <c r="MJD756" s="125"/>
      <c r="MJE756" s="125"/>
      <c r="MJF756" s="125"/>
      <c r="MJG756" s="125"/>
      <c r="MJH756" s="125"/>
      <c r="MJI756" s="125"/>
      <c r="MJJ756" s="125"/>
      <c r="MJK756" s="125"/>
      <c r="MJL756" s="125"/>
      <c r="MJM756" s="125"/>
      <c r="MJN756" s="125"/>
      <c r="MJO756" s="125"/>
      <c r="MJP756" s="125"/>
      <c r="MJQ756" s="125"/>
      <c r="MJR756" s="125"/>
      <c r="MJS756" s="125"/>
      <c r="MJT756" s="125"/>
      <c r="MJU756" s="125"/>
      <c r="MJV756" s="125"/>
      <c r="MJW756" s="125"/>
      <c r="MJX756" s="125"/>
      <c r="MJY756" s="125"/>
      <c r="MJZ756" s="125"/>
      <c r="MKA756" s="125"/>
      <c r="MKB756" s="125"/>
      <c r="MKC756" s="125"/>
      <c r="MKD756" s="125"/>
      <c r="MKE756" s="125"/>
      <c r="MKF756" s="125"/>
      <c r="MKG756" s="125"/>
      <c r="MKH756" s="125"/>
      <c r="MKI756" s="125"/>
      <c r="MKJ756" s="125"/>
      <c r="MKK756" s="125"/>
      <c r="MKL756" s="125"/>
      <c r="MKM756" s="125"/>
      <c r="MKN756" s="125"/>
      <c r="MKO756" s="125"/>
      <c r="MKP756" s="125"/>
      <c r="MKQ756" s="125"/>
      <c r="MKR756" s="125"/>
      <c r="MKS756" s="125"/>
      <c r="MKT756" s="125"/>
      <c r="MKU756" s="125"/>
      <c r="MKV756" s="125"/>
      <c r="MKW756" s="125"/>
      <c r="MKX756" s="125"/>
      <c r="MKY756" s="125"/>
      <c r="MKZ756" s="125"/>
      <c r="MLA756" s="125"/>
      <c r="MLB756" s="125"/>
      <c r="MLC756" s="125"/>
      <c r="MLD756" s="125"/>
      <c r="MLE756" s="125"/>
      <c r="MLF756" s="125"/>
      <c r="MLG756" s="125"/>
      <c r="MLH756" s="125"/>
      <c r="MLI756" s="125"/>
      <c r="MLJ756" s="125"/>
      <c r="MLK756" s="125"/>
      <c r="MLL756" s="125"/>
      <c r="MLM756" s="125"/>
      <c r="MLN756" s="125"/>
      <c r="MLO756" s="125"/>
      <c r="MLP756" s="125"/>
      <c r="MLQ756" s="125"/>
      <c r="MLR756" s="125"/>
      <c r="MLS756" s="125"/>
      <c r="MLT756" s="125"/>
      <c r="MLU756" s="125"/>
      <c r="MLV756" s="125"/>
      <c r="MLW756" s="125"/>
      <c r="MLX756" s="125"/>
      <c r="MLY756" s="125"/>
      <c r="MLZ756" s="125"/>
      <c r="MMA756" s="125"/>
      <c r="MMB756" s="125"/>
      <c r="MMC756" s="125"/>
      <c r="MMD756" s="125"/>
      <c r="MME756" s="125"/>
      <c r="MMF756" s="125"/>
      <c r="MMG756" s="125"/>
      <c r="MMH756" s="125"/>
      <c r="MMI756" s="125"/>
      <c r="MMJ756" s="125"/>
      <c r="MMK756" s="125"/>
      <c r="MML756" s="125"/>
      <c r="MMM756" s="125"/>
      <c r="MMN756" s="125"/>
      <c r="MMO756" s="125"/>
      <c r="MMP756" s="125"/>
      <c r="MMQ756" s="125"/>
      <c r="MMR756" s="125"/>
      <c r="MMS756" s="125"/>
      <c r="MMT756" s="125"/>
      <c r="MMU756" s="125"/>
      <c r="MMV756" s="125"/>
      <c r="MMW756" s="125"/>
      <c r="MMX756" s="125"/>
      <c r="MMY756" s="125"/>
      <c r="MMZ756" s="125"/>
      <c r="MNA756" s="125"/>
      <c r="MNB756" s="125"/>
      <c r="MNC756" s="125"/>
      <c r="MND756" s="125"/>
      <c r="MNE756" s="125"/>
      <c r="MNF756" s="125"/>
      <c r="MNG756" s="125"/>
      <c r="MNH756" s="125"/>
      <c r="MNI756" s="125"/>
      <c r="MNJ756" s="125"/>
      <c r="MNK756" s="125"/>
      <c r="MNL756" s="125"/>
      <c r="MNM756" s="125"/>
      <c r="MNN756" s="125"/>
      <c r="MNO756" s="125"/>
      <c r="MNP756" s="125"/>
      <c r="MNQ756" s="125"/>
      <c r="MNR756" s="125"/>
      <c r="MNS756" s="125"/>
      <c r="MNT756" s="125"/>
      <c r="MNU756" s="125"/>
      <c r="MNV756" s="125"/>
      <c r="MNW756" s="125"/>
      <c r="MNX756" s="125"/>
      <c r="MNY756" s="125"/>
      <c r="MNZ756" s="125"/>
      <c r="MOA756" s="125"/>
      <c r="MOB756" s="125"/>
      <c r="MOC756" s="125"/>
      <c r="MOD756" s="125"/>
      <c r="MOE756" s="125"/>
      <c r="MOF756" s="125"/>
      <c r="MOG756" s="125"/>
      <c r="MOH756" s="125"/>
      <c r="MOI756" s="125"/>
      <c r="MOJ756" s="125"/>
      <c r="MOK756" s="125"/>
      <c r="MOL756" s="125"/>
      <c r="MOM756" s="125"/>
      <c r="MON756" s="125"/>
      <c r="MOO756" s="125"/>
      <c r="MOP756" s="125"/>
      <c r="MOQ756" s="125"/>
      <c r="MOR756" s="125"/>
      <c r="MOS756" s="125"/>
      <c r="MOT756" s="125"/>
      <c r="MOU756" s="125"/>
      <c r="MOV756" s="125"/>
      <c r="MOW756" s="125"/>
      <c r="MOX756" s="125"/>
      <c r="MOY756" s="125"/>
      <c r="MOZ756" s="125"/>
      <c r="MPA756" s="125"/>
      <c r="MPB756" s="125"/>
      <c r="MPC756" s="125"/>
      <c r="MPD756" s="125"/>
      <c r="MPE756" s="125"/>
      <c r="MPF756" s="125"/>
      <c r="MPG756" s="125"/>
      <c r="MPH756" s="125"/>
      <c r="MPI756" s="125"/>
      <c r="MPJ756" s="125"/>
      <c r="MPK756" s="125"/>
      <c r="MPL756" s="125"/>
      <c r="MPM756" s="125"/>
      <c r="MPN756" s="125"/>
      <c r="MPO756" s="125"/>
      <c r="MPP756" s="125"/>
      <c r="MPQ756" s="125"/>
      <c r="MPR756" s="125"/>
      <c r="MPS756" s="125"/>
      <c r="MPT756" s="125"/>
      <c r="MPU756" s="125"/>
      <c r="MPV756" s="125"/>
      <c r="MPW756" s="125"/>
      <c r="MPX756" s="125"/>
      <c r="MPY756" s="125"/>
      <c r="MPZ756" s="125"/>
      <c r="MQA756" s="125"/>
      <c r="MQB756" s="125"/>
      <c r="MQC756" s="125"/>
      <c r="MQD756" s="125"/>
      <c r="MQE756" s="125"/>
      <c r="MQF756" s="125"/>
      <c r="MQG756" s="125"/>
      <c r="MQH756" s="125"/>
      <c r="MQI756" s="125"/>
      <c r="MQJ756" s="125"/>
      <c r="MQK756" s="125"/>
      <c r="MQL756" s="125"/>
      <c r="MQM756" s="125"/>
      <c r="MQN756" s="125"/>
      <c r="MQO756" s="125"/>
      <c r="MQP756" s="125"/>
      <c r="MQQ756" s="125"/>
      <c r="MQR756" s="125"/>
      <c r="MQS756" s="125"/>
      <c r="MQT756" s="125"/>
      <c r="MQU756" s="125"/>
      <c r="MQV756" s="125"/>
      <c r="MQW756" s="125"/>
      <c r="MQX756" s="125"/>
      <c r="MQY756" s="125"/>
      <c r="MQZ756" s="125"/>
      <c r="MRA756" s="125"/>
      <c r="MRB756" s="125"/>
      <c r="MRC756" s="125"/>
      <c r="MRD756" s="125"/>
      <c r="MRE756" s="125"/>
      <c r="MRF756" s="125"/>
      <c r="MRG756" s="125"/>
      <c r="MRH756" s="125"/>
      <c r="MRI756" s="125"/>
      <c r="MRJ756" s="125"/>
      <c r="MRK756" s="125"/>
      <c r="MRL756" s="125"/>
      <c r="MRM756" s="125"/>
      <c r="MRN756" s="125"/>
      <c r="MRO756" s="125"/>
      <c r="MRP756" s="125"/>
      <c r="MRQ756" s="125"/>
      <c r="MRR756" s="125"/>
      <c r="MRS756" s="125"/>
      <c r="MRT756" s="125"/>
      <c r="MRU756" s="125"/>
      <c r="MRV756" s="125"/>
      <c r="MRW756" s="125"/>
      <c r="MRX756" s="125"/>
      <c r="MRY756" s="125"/>
      <c r="MRZ756" s="125"/>
      <c r="MSA756" s="125"/>
      <c r="MSB756" s="125"/>
      <c r="MSC756" s="125"/>
      <c r="MSD756" s="125"/>
      <c r="MSE756" s="125"/>
      <c r="MSF756" s="125"/>
      <c r="MSG756" s="125"/>
      <c r="MSH756" s="125"/>
      <c r="MSI756" s="125"/>
      <c r="MSJ756" s="125"/>
      <c r="MSK756" s="125"/>
      <c r="MSL756" s="125"/>
      <c r="MSM756" s="125"/>
      <c r="MSN756" s="125"/>
      <c r="MSO756" s="125"/>
      <c r="MSP756" s="125"/>
      <c r="MSQ756" s="125"/>
      <c r="MSR756" s="125"/>
      <c r="MSS756" s="125"/>
      <c r="MST756" s="125"/>
      <c r="MSU756" s="125"/>
      <c r="MSV756" s="125"/>
      <c r="MSW756" s="125"/>
      <c r="MSX756" s="125"/>
      <c r="MSY756" s="125"/>
      <c r="MSZ756" s="125"/>
      <c r="MTA756" s="125"/>
      <c r="MTB756" s="125"/>
      <c r="MTC756" s="125"/>
      <c r="MTD756" s="125"/>
      <c r="MTE756" s="125"/>
      <c r="MTF756" s="125"/>
      <c r="MTG756" s="125"/>
      <c r="MTH756" s="125"/>
      <c r="MTI756" s="125"/>
      <c r="MTJ756" s="125"/>
      <c r="MTK756" s="125"/>
      <c r="MTL756" s="125"/>
      <c r="MTM756" s="125"/>
      <c r="MTN756" s="125"/>
      <c r="MTO756" s="125"/>
      <c r="MTP756" s="125"/>
      <c r="MTQ756" s="125"/>
      <c r="MTR756" s="125"/>
      <c r="MTS756" s="125"/>
      <c r="MTT756" s="125"/>
      <c r="MTU756" s="125"/>
      <c r="MTV756" s="125"/>
      <c r="MTW756" s="125"/>
      <c r="MTX756" s="125"/>
      <c r="MTY756" s="125"/>
      <c r="MTZ756" s="125"/>
      <c r="MUA756" s="125"/>
      <c r="MUB756" s="125"/>
      <c r="MUC756" s="125"/>
      <c r="MUD756" s="125"/>
      <c r="MUE756" s="125"/>
      <c r="MUF756" s="125"/>
      <c r="MUG756" s="125"/>
      <c r="MUH756" s="125"/>
      <c r="MUI756" s="125"/>
      <c r="MUJ756" s="125"/>
      <c r="MUK756" s="125"/>
      <c r="MUL756" s="125"/>
      <c r="MUM756" s="125"/>
      <c r="MUN756" s="125"/>
      <c r="MUO756" s="125"/>
      <c r="MUP756" s="125"/>
      <c r="MUQ756" s="125"/>
      <c r="MUR756" s="125"/>
      <c r="MUS756" s="125"/>
      <c r="MUT756" s="125"/>
      <c r="MUU756" s="125"/>
      <c r="MUV756" s="125"/>
      <c r="MUW756" s="125"/>
      <c r="MUX756" s="125"/>
      <c r="MUY756" s="125"/>
      <c r="MUZ756" s="125"/>
      <c r="MVA756" s="125"/>
      <c r="MVB756" s="125"/>
      <c r="MVC756" s="125"/>
      <c r="MVD756" s="125"/>
      <c r="MVE756" s="125"/>
      <c r="MVF756" s="125"/>
      <c r="MVG756" s="125"/>
      <c r="MVH756" s="125"/>
      <c r="MVI756" s="125"/>
      <c r="MVJ756" s="125"/>
      <c r="MVK756" s="125"/>
      <c r="MVL756" s="125"/>
      <c r="MVM756" s="125"/>
      <c r="MVN756" s="125"/>
      <c r="MVO756" s="125"/>
      <c r="MVP756" s="125"/>
      <c r="MVQ756" s="125"/>
      <c r="MVR756" s="125"/>
      <c r="MVS756" s="125"/>
      <c r="MVT756" s="125"/>
      <c r="MVU756" s="125"/>
      <c r="MVV756" s="125"/>
      <c r="MVW756" s="125"/>
      <c r="MVX756" s="125"/>
      <c r="MVY756" s="125"/>
      <c r="MVZ756" s="125"/>
      <c r="MWA756" s="125"/>
      <c r="MWB756" s="125"/>
      <c r="MWC756" s="125"/>
      <c r="MWD756" s="125"/>
      <c r="MWE756" s="125"/>
      <c r="MWF756" s="125"/>
      <c r="MWG756" s="125"/>
      <c r="MWH756" s="125"/>
      <c r="MWI756" s="125"/>
      <c r="MWJ756" s="125"/>
      <c r="MWK756" s="125"/>
      <c r="MWL756" s="125"/>
      <c r="MWM756" s="125"/>
      <c r="MWN756" s="125"/>
      <c r="MWO756" s="125"/>
      <c r="MWP756" s="125"/>
      <c r="MWQ756" s="125"/>
      <c r="MWR756" s="125"/>
      <c r="MWS756" s="125"/>
      <c r="MWT756" s="125"/>
      <c r="MWU756" s="125"/>
      <c r="MWV756" s="125"/>
      <c r="MWW756" s="125"/>
      <c r="MWX756" s="125"/>
      <c r="MWY756" s="125"/>
      <c r="MWZ756" s="125"/>
      <c r="MXA756" s="125"/>
      <c r="MXB756" s="125"/>
      <c r="MXC756" s="125"/>
      <c r="MXD756" s="125"/>
      <c r="MXE756" s="125"/>
      <c r="MXF756" s="125"/>
      <c r="MXG756" s="125"/>
      <c r="MXH756" s="125"/>
      <c r="MXI756" s="125"/>
      <c r="MXJ756" s="125"/>
      <c r="MXK756" s="125"/>
      <c r="MXL756" s="125"/>
      <c r="MXM756" s="125"/>
      <c r="MXN756" s="125"/>
      <c r="MXO756" s="125"/>
      <c r="MXP756" s="125"/>
      <c r="MXQ756" s="125"/>
      <c r="MXR756" s="125"/>
      <c r="MXS756" s="125"/>
      <c r="MXT756" s="125"/>
      <c r="MXU756" s="125"/>
      <c r="MXV756" s="125"/>
      <c r="MXW756" s="125"/>
      <c r="MXX756" s="125"/>
      <c r="MXY756" s="125"/>
      <c r="MXZ756" s="125"/>
      <c r="MYA756" s="125"/>
      <c r="MYB756" s="125"/>
      <c r="MYC756" s="125"/>
      <c r="MYD756" s="125"/>
      <c r="MYE756" s="125"/>
      <c r="MYF756" s="125"/>
      <c r="MYG756" s="125"/>
      <c r="MYH756" s="125"/>
      <c r="MYI756" s="125"/>
      <c r="MYJ756" s="125"/>
      <c r="MYK756" s="125"/>
      <c r="MYL756" s="125"/>
      <c r="MYM756" s="125"/>
      <c r="MYN756" s="125"/>
      <c r="MYO756" s="125"/>
      <c r="MYP756" s="125"/>
      <c r="MYQ756" s="125"/>
      <c r="MYR756" s="125"/>
      <c r="MYS756" s="125"/>
      <c r="MYT756" s="125"/>
      <c r="MYU756" s="125"/>
      <c r="MYV756" s="125"/>
      <c r="MYW756" s="125"/>
      <c r="MYX756" s="125"/>
      <c r="MYY756" s="125"/>
      <c r="MYZ756" s="125"/>
      <c r="MZA756" s="125"/>
      <c r="MZB756" s="125"/>
      <c r="MZC756" s="125"/>
      <c r="MZD756" s="125"/>
      <c r="MZE756" s="125"/>
      <c r="MZF756" s="125"/>
      <c r="MZG756" s="125"/>
      <c r="MZH756" s="125"/>
      <c r="MZI756" s="125"/>
      <c r="MZJ756" s="125"/>
      <c r="MZK756" s="125"/>
      <c r="MZL756" s="125"/>
      <c r="MZM756" s="125"/>
      <c r="MZN756" s="125"/>
      <c r="MZO756" s="125"/>
      <c r="MZP756" s="125"/>
      <c r="MZQ756" s="125"/>
      <c r="MZR756" s="125"/>
      <c r="MZS756" s="125"/>
      <c r="MZT756" s="125"/>
      <c r="MZU756" s="125"/>
      <c r="MZV756" s="125"/>
      <c r="MZW756" s="125"/>
      <c r="MZX756" s="125"/>
      <c r="MZY756" s="125"/>
      <c r="MZZ756" s="125"/>
      <c r="NAA756" s="125"/>
      <c r="NAB756" s="125"/>
      <c r="NAC756" s="125"/>
      <c r="NAD756" s="125"/>
      <c r="NAE756" s="125"/>
      <c r="NAF756" s="125"/>
      <c r="NAG756" s="125"/>
      <c r="NAH756" s="125"/>
      <c r="NAI756" s="125"/>
      <c r="NAJ756" s="125"/>
      <c r="NAK756" s="125"/>
      <c r="NAL756" s="125"/>
      <c r="NAM756" s="125"/>
      <c r="NAN756" s="125"/>
      <c r="NAO756" s="125"/>
      <c r="NAP756" s="125"/>
      <c r="NAQ756" s="125"/>
      <c r="NAR756" s="125"/>
      <c r="NAS756" s="125"/>
      <c r="NAT756" s="125"/>
      <c r="NAU756" s="125"/>
      <c r="NAV756" s="125"/>
      <c r="NAW756" s="125"/>
      <c r="NAX756" s="125"/>
      <c r="NAY756" s="125"/>
      <c r="NAZ756" s="125"/>
      <c r="NBA756" s="125"/>
      <c r="NBB756" s="125"/>
      <c r="NBC756" s="125"/>
      <c r="NBD756" s="125"/>
      <c r="NBE756" s="125"/>
      <c r="NBF756" s="125"/>
      <c r="NBG756" s="125"/>
      <c r="NBH756" s="125"/>
      <c r="NBI756" s="125"/>
      <c r="NBJ756" s="125"/>
      <c r="NBK756" s="125"/>
      <c r="NBL756" s="125"/>
      <c r="NBM756" s="125"/>
      <c r="NBN756" s="125"/>
      <c r="NBO756" s="125"/>
      <c r="NBP756" s="125"/>
      <c r="NBQ756" s="125"/>
      <c r="NBR756" s="125"/>
      <c r="NBS756" s="125"/>
      <c r="NBT756" s="125"/>
      <c r="NBU756" s="125"/>
      <c r="NBV756" s="125"/>
      <c r="NBW756" s="125"/>
      <c r="NBX756" s="125"/>
      <c r="NBY756" s="125"/>
      <c r="NBZ756" s="125"/>
      <c r="NCA756" s="125"/>
      <c r="NCB756" s="125"/>
      <c r="NCC756" s="125"/>
      <c r="NCD756" s="125"/>
      <c r="NCE756" s="125"/>
      <c r="NCF756" s="125"/>
      <c r="NCG756" s="125"/>
      <c r="NCH756" s="125"/>
      <c r="NCI756" s="125"/>
      <c r="NCJ756" s="125"/>
      <c r="NCK756" s="125"/>
      <c r="NCL756" s="125"/>
      <c r="NCM756" s="125"/>
      <c r="NCN756" s="125"/>
      <c r="NCO756" s="125"/>
      <c r="NCP756" s="125"/>
      <c r="NCQ756" s="125"/>
      <c r="NCR756" s="125"/>
      <c r="NCS756" s="125"/>
      <c r="NCT756" s="125"/>
      <c r="NCU756" s="125"/>
      <c r="NCV756" s="125"/>
      <c r="NCW756" s="125"/>
      <c r="NCX756" s="125"/>
      <c r="NCY756" s="125"/>
      <c r="NCZ756" s="125"/>
      <c r="NDA756" s="125"/>
      <c r="NDB756" s="125"/>
      <c r="NDC756" s="125"/>
      <c r="NDD756" s="125"/>
      <c r="NDE756" s="125"/>
      <c r="NDF756" s="125"/>
      <c r="NDG756" s="125"/>
      <c r="NDH756" s="125"/>
      <c r="NDI756" s="125"/>
      <c r="NDJ756" s="125"/>
      <c r="NDK756" s="125"/>
      <c r="NDL756" s="125"/>
      <c r="NDM756" s="125"/>
      <c r="NDN756" s="125"/>
      <c r="NDO756" s="125"/>
      <c r="NDP756" s="125"/>
      <c r="NDQ756" s="125"/>
      <c r="NDR756" s="125"/>
      <c r="NDS756" s="125"/>
      <c r="NDT756" s="125"/>
      <c r="NDU756" s="125"/>
      <c r="NDV756" s="125"/>
      <c r="NDW756" s="125"/>
      <c r="NDX756" s="125"/>
      <c r="NDY756" s="125"/>
      <c r="NDZ756" s="125"/>
      <c r="NEA756" s="125"/>
      <c r="NEB756" s="125"/>
      <c r="NEC756" s="125"/>
      <c r="NED756" s="125"/>
      <c r="NEE756" s="125"/>
      <c r="NEF756" s="125"/>
      <c r="NEG756" s="125"/>
      <c r="NEH756" s="125"/>
      <c r="NEI756" s="125"/>
      <c r="NEJ756" s="125"/>
      <c r="NEK756" s="125"/>
      <c r="NEL756" s="125"/>
      <c r="NEM756" s="125"/>
      <c r="NEN756" s="125"/>
      <c r="NEO756" s="125"/>
      <c r="NEP756" s="125"/>
      <c r="NEQ756" s="125"/>
      <c r="NER756" s="125"/>
      <c r="NES756" s="125"/>
      <c r="NET756" s="125"/>
      <c r="NEU756" s="125"/>
      <c r="NEV756" s="125"/>
      <c r="NEW756" s="125"/>
      <c r="NEX756" s="125"/>
      <c r="NEY756" s="125"/>
      <c r="NEZ756" s="125"/>
      <c r="NFA756" s="125"/>
      <c r="NFB756" s="125"/>
      <c r="NFC756" s="125"/>
      <c r="NFD756" s="125"/>
      <c r="NFE756" s="125"/>
      <c r="NFF756" s="125"/>
      <c r="NFG756" s="125"/>
      <c r="NFH756" s="125"/>
      <c r="NFI756" s="125"/>
      <c r="NFJ756" s="125"/>
      <c r="NFK756" s="125"/>
      <c r="NFL756" s="125"/>
      <c r="NFM756" s="125"/>
      <c r="NFN756" s="125"/>
      <c r="NFO756" s="125"/>
      <c r="NFP756" s="125"/>
      <c r="NFQ756" s="125"/>
      <c r="NFR756" s="125"/>
      <c r="NFS756" s="125"/>
      <c r="NFT756" s="125"/>
      <c r="NFU756" s="125"/>
      <c r="NFV756" s="125"/>
      <c r="NFW756" s="125"/>
      <c r="NFX756" s="125"/>
      <c r="NFY756" s="125"/>
      <c r="NFZ756" s="125"/>
      <c r="NGA756" s="125"/>
      <c r="NGB756" s="125"/>
      <c r="NGC756" s="125"/>
      <c r="NGD756" s="125"/>
      <c r="NGE756" s="125"/>
      <c r="NGF756" s="125"/>
      <c r="NGG756" s="125"/>
      <c r="NGH756" s="125"/>
      <c r="NGI756" s="125"/>
      <c r="NGJ756" s="125"/>
      <c r="NGK756" s="125"/>
      <c r="NGL756" s="125"/>
      <c r="NGM756" s="125"/>
      <c r="NGN756" s="125"/>
      <c r="NGO756" s="125"/>
      <c r="NGP756" s="125"/>
      <c r="NGQ756" s="125"/>
      <c r="NGR756" s="125"/>
      <c r="NGS756" s="125"/>
      <c r="NGT756" s="125"/>
      <c r="NGU756" s="125"/>
      <c r="NGV756" s="125"/>
      <c r="NGW756" s="125"/>
      <c r="NGX756" s="125"/>
      <c r="NGY756" s="125"/>
      <c r="NGZ756" s="125"/>
      <c r="NHA756" s="125"/>
      <c r="NHB756" s="125"/>
      <c r="NHC756" s="125"/>
      <c r="NHD756" s="125"/>
      <c r="NHE756" s="125"/>
      <c r="NHF756" s="125"/>
      <c r="NHG756" s="125"/>
      <c r="NHH756" s="125"/>
      <c r="NHI756" s="125"/>
      <c r="NHJ756" s="125"/>
      <c r="NHK756" s="125"/>
      <c r="NHL756" s="125"/>
      <c r="NHM756" s="125"/>
      <c r="NHN756" s="125"/>
      <c r="NHO756" s="125"/>
      <c r="NHP756" s="125"/>
      <c r="NHQ756" s="125"/>
      <c r="NHR756" s="125"/>
      <c r="NHS756" s="125"/>
      <c r="NHT756" s="125"/>
      <c r="NHU756" s="125"/>
      <c r="NHV756" s="125"/>
      <c r="NHW756" s="125"/>
      <c r="NHX756" s="125"/>
      <c r="NHY756" s="125"/>
      <c r="NHZ756" s="125"/>
      <c r="NIA756" s="125"/>
      <c r="NIB756" s="125"/>
      <c r="NIC756" s="125"/>
      <c r="NID756" s="125"/>
      <c r="NIE756" s="125"/>
      <c r="NIF756" s="125"/>
      <c r="NIG756" s="125"/>
      <c r="NIH756" s="125"/>
      <c r="NII756" s="125"/>
      <c r="NIJ756" s="125"/>
      <c r="NIK756" s="125"/>
      <c r="NIL756" s="125"/>
      <c r="NIM756" s="125"/>
      <c r="NIN756" s="125"/>
      <c r="NIO756" s="125"/>
      <c r="NIP756" s="125"/>
      <c r="NIQ756" s="125"/>
      <c r="NIR756" s="125"/>
      <c r="NIS756" s="125"/>
      <c r="NIT756" s="125"/>
      <c r="NIU756" s="125"/>
      <c r="NIV756" s="125"/>
      <c r="NIW756" s="125"/>
      <c r="NIX756" s="125"/>
      <c r="NIY756" s="125"/>
      <c r="NIZ756" s="125"/>
      <c r="NJA756" s="125"/>
      <c r="NJB756" s="125"/>
      <c r="NJC756" s="125"/>
      <c r="NJD756" s="125"/>
      <c r="NJE756" s="125"/>
      <c r="NJF756" s="125"/>
      <c r="NJG756" s="125"/>
      <c r="NJH756" s="125"/>
      <c r="NJI756" s="125"/>
      <c r="NJJ756" s="125"/>
      <c r="NJK756" s="125"/>
      <c r="NJL756" s="125"/>
      <c r="NJM756" s="125"/>
      <c r="NJN756" s="125"/>
      <c r="NJO756" s="125"/>
      <c r="NJP756" s="125"/>
      <c r="NJQ756" s="125"/>
      <c r="NJR756" s="125"/>
      <c r="NJS756" s="125"/>
      <c r="NJT756" s="125"/>
      <c r="NJU756" s="125"/>
      <c r="NJV756" s="125"/>
      <c r="NJW756" s="125"/>
      <c r="NJX756" s="125"/>
      <c r="NJY756" s="125"/>
      <c r="NJZ756" s="125"/>
      <c r="NKA756" s="125"/>
      <c r="NKB756" s="125"/>
      <c r="NKC756" s="125"/>
      <c r="NKD756" s="125"/>
      <c r="NKE756" s="125"/>
      <c r="NKF756" s="125"/>
      <c r="NKG756" s="125"/>
      <c r="NKH756" s="125"/>
      <c r="NKI756" s="125"/>
      <c r="NKJ756" s="125"/>
      <c r="NKK756" s="125"/>
      <c r="NKL756" s="125"/>
      <c r="NKM756" s="125"/>
      <c r="NKN756" s="125"/>
      <c r="NKO756" s="125"/>
      <c r="NKP756" s="125"/>
      <c r="NKQ756" s="125"/>
      <c r="NKR756" s="125"/>
      <c r="NKS756" s="125"/>
      <c r="NKT756" s="125"/>
      <c r="NKU756" s="125"/>
      <c r="NKV756" s="125"/>
      <c r="NKW756" s="125"/>
      <c r="NKX756" s="125"/>
      <c r="NKY756" s="125"/>
      <c r="NKZ756" s="125"/>
      <c r="NLA756" s="125"/>
      <c r="NLB756" s="125"/>
      <c r="NLC756" s="125"/>
      <c r="NLD756" s="125"/>
      <c r="NLE756" s="125"/>
      <c r="NLF756" s="125"/>
      <c r="NLG756" s="125"/>
      <c r="NLH756" s="125"/>
      <c r="NLI756" s="125"/>
      <c r="NLJ756" s="125"/>
      <c r="NLK756" s="125"/>
      <c r="NLL756" s="125"/>
      <c r="NLM756" s="125"/>
      <c r="NLN756" s="125"/>
      <c r="NLO756" s="125"/>
      <c r="NLP756" s="125"/>
      <c r="NLQ756" s="125"/>
      <c r="NLR756" s="125"/>
      <c r="NLS756" s="125"/>
      <c r="NLT756" s="125"/>
      <c r="NLU756" s="125"/>
      <c r="NLV756" s="125"/>
      <c r="NLW756" s="125"/>
      <c r="NLX756" s="125"/>
      <c r="NLY756" s="125"/>
      <c r="NLZ756" s="125"/>
      <c r="NMA756" s="125"/>
      <c r="NMB756" s="125"/>
      <c r="NMC756" s="125"/>
      <c r="NMD756" s="125"/>
      <c r="NME756" s="125"/>
      <c r="NMF756" s="125"/>
      <c r="NMG756" s="125"/>
      <c r="NMH756" s="125"/>
      <c r="NMI756" s="125"/>
      <c r="NMJ756" s="125"/>
      <c r="NMK756" s="125"/>
      <c r="NML756" s="125"/>
      <c r="NMM756" s="125"/>
      <c r="NMN756" s="125"/>
      <c r="NMO756" s="125"/>
      <c r="NMP756" s="125"/>
      <c r="NMQ756" s="125"/>
      <c r="NMR756" s="125"/>
      <c r="NMS756" s="125"/>
      <c r="NMT756" s="125"/>
      <c r="NMU756" s="125"/>
      <c r="NMV756" s="125"/>
      <c r="NMW756" s="125"/>
      <c r="NMX756" s="125"/>
      <c r="NMY756" s="125"/>
      <c r="NMZ756" s="125"/>
      <c r="NNA756" s="125"/>
      <c r="NNB756" s="125"/>
      <c r="NNC756" s="125"/>
      <c r="NND756" s="125"/>
      <c r="NNE756" s="125"/>
      <c r="NNF756" s="125"/>
      <c r="NNG756" s="125"/>
      <c r="NNH756" s="125"/>
      <c r="NNI756" s="125"/>
      <c r="NNJ756" s="125"/>
      <c r="NNK756" s="125"/>
      <c r="NNL756" s="125"/>
      <c r="NNM756" s="125"/>
      <c r="NNN756" s="125"/>
      <c r="NNO756" s="125"/>
      <c r="NNP756" s="125"/>
      <c r="NNQ756" s="125"/>
      <c r="NNR756" s="125"/>
      <c r="NNS756" s="125"/>
      <c r="NNT756" s="125"/>
      <c r="NNU756" s="125"/>
      <c r="NNV756" s="125"/>
      <c r="NNW756" s="125"/>
      <c r="NNX756" s="125"/>
      <c r="NNY756" s="125"/>
      <c r="NNZ756" s="125"/>
      <c r="NOA756" s="125"/>
      <c r="NOB756" s="125"/>
      <c r="NOC756" s="125"/>
      <c r="NOD756" s="125"/>
      <c r="NOE756" s="125"/>
      <c r="NOF756" s="125"/>
      <c r="NOG756" s="125"/>
      <c r="NOH756" s="125"/>
      <c r="NOI756" s="125"/>
      <c r="NOJ756" s="125"/>
      <c r="NOK756" s="125"/>
      <c r="NOL756" s="125"/>
      <c r="NOM756" s="125"/>
      <c r="NON756" s="125"/>
      <c r="NOO756" s="125"/>
      <c r="NOP756" s="125"/>
      <c r="NOQ756" s="125"/>
      <c r="NOR756" s="125"/>
      <c r="NOS756" s="125"/>
      <c r="NOT756" s="125"/>
      <c r="NOU756" s="125"/>
      <c r="NOV756" s="125"/>
      <c r="NOW756" s="125"/>
      <c r="NOX756" s="125"/>
      <c r="NOY756" s="125"/>
      <c r="NOZ756" s="125"/>
      <c r="NPA756" s="125"/>
      <c r="NPB756" s="125"/>
      <c r="NPC756" s="125"/>
      <c r="NPD756" s="125"/>
      <c r="NPE756" s="125"/>
      <c r="NPF756" s="125"/>
      <c r="NPG756" s="125"/>
      <c r="NPH756" s="125"/>
      <c r="NPI756" s="125"/>
      <c r="NPJ756" s="125"/>
      <c r="NPK756" s="125"/>
      <c r="NPL756" s="125"/>
      <c r="NPM756" s="125"/>
      <c r="NPN756" s="125"/>
      <c r="NPO756" s="125"/>
      <c r="NPP756" s="125"/>
      <c r="NPQ756" s="125"/>
      <c r="NPR756" s="125"/>
      <c r="NPS756" s="125"/>
      <c r="NPT756" s="125"/>
      <c r="NPU756" s="125"/>
      <c r="NPV756" s="125"/>
      <c r="NPW756" s="125"/>
      <c r="NPX756" s="125"/>
      <c r="NPY756" s="125"/>
      <c r="NPZ756" s="125"/>
      <c r="NQA756" s="125"/>
      <c r="NQB756" s="125"/>
      <c r="NQC756" s="125"/>
      <c r="NQD756" s="125"/>
      <c r="NQE756" s="125"/>
      <c r="NQF756" s="125"/>
      <c r="NQG756" s="125"/>
      <c r="NQH756" s="125"/>
      <c r="NQI756" s="125"/>
      <c r="NQJ756" s="125"/>
      <c r="NQK756" s="125"/>
      <c r="NQL756" s="125"/>
      <c r="NQM756" s="125"/>
      <c r="NQN756" s="125"/>
      <c r="NQO756" s="125"/>
      <c r="NQP756" s="125"/>
      <c r="NQQ756" s="125"/>
      <c r="NQR756" s="125"/>
      <c r="NQS756" s="125"/>
      <c r="NQT756" s="125"/>
      <c r="NQU756" s="125"/>
      <c r="NQV756" s="125"/>
      <c r="NQW756" s="125"/>
      <c r="NQX756" s="125"/>
      <c r="NQY756" s="125"/>
      <c r="NQZ756" s="125"/>
      <c r="NRA756" s="125"/>
      <c r="NRB756" s="125"/>
      <c r="NRC756" s="125"/>
      <c r="NRD756" s="125"/>
      <c r="NRE756" s="125"/>
      <c r="NRF756" s="125"/>
      <c r="NRG756" s="125"/>
      <c r="NRH756" s="125"/>
      <c r="NRI756" s="125"/>
      <c r="NRJ756" s="125"/>
      <c r="NRK756" s="125"/>
      <c r="NRL756" s="125"/>
      <c r="NRM756" s="125"/>
      <c r="NRN756" s="125"/>
      <c r="NRO756" s="125"/>
      <c r="NRP756" s="125"/>
      <c r="NRQ756" s="125"/>
      <c r="NRR756" s="125"/>
      <c r="NRS756" s="125"/>
      <c r="NRT756" s="125"/>
      <c r="NRU756" s="125"/>
      <c r="NRV756" s="125"/>
      <c r="NRW756" s="125"/>
      <c r="NRX756" s="125"/>
      <c r="NRY756" s="125"/>
      <c r="NRZ756" s="125"/>
      <c r="NSA756" s="125"/>
      <c r="NSB756" s="125"/>
      <c r="NSC756" s="125"/>
      <c r="NSD756" s="125"/>
      <c r="NSE756" s="125"/>
      <c r="NSF756" s="125"/>
      <c r="NSG756" s="125"/>
      <c r="NSH756" s="125"/>
      <c r="NSI756" s="125"/>
      <c r="NSJ756" s="125"/>
      <c r="NSK756" s="125"/>
      <c r="NSL756" s="125"/>
      <c r="NSM756" s="125"/>
      <c r="NSN756" s="125"/>
      <c r="NSO756" s="125"/>
      <c r="NSP756" s="125"/>
      <c r="NSQ756" s="125"/>
      <c r="NSR756" s="125"/>
      <c r="NSS756" s="125"/>
      <c r="NST756" s="125"/>
      <c r="NSU756" s="125"/>
      <c r="NSV756" s="125"/>
      <c r="NSW756" s="125"/>
      <c r="NSX756" s="125"/>
      <c r="NSY756" s="125"/>
      <c r="NSZ756" s="125"/>
      <c r="NTA756" s="125"/>
      <c r="NTB756" s="125"/>
      <c r="NTC756" s="125"/>
      <c r="NTD756" s="125"/>
      <c r="NTE756" s="125"/>
      <c r="NTF756" s="125"/>
      <c r="NTG756" s="125"/>
      <c r="NTH756" s="125"/>
      <c r="NTI756" s="125"/>
      <c r="NTJ756" s="125"/>
      <c r="NTK756" s="125"/>
      <c r="NTL756" s="125"/>
      <c r="NTM756" s="125"/>
      <c r="NTN756" s="125"/>
      <c r="NTO756" s="125"/>
      <c r="NTP756" s="125"/>
      <c r="NTQ756" s="125"/>
      <c r="NTR756" s="125"/>
      <c r="NTS756" s="125"/>
      <c r="NTT756" s="125"/>
      <c r="NTU756" s="125"/>
      <c r="NTV756" s="125"/>
      <c r="NTW756" s="125"/>
      <c r="NTX756" s="125"/>
      <c r="NTY756" s="125"/>
      <c r="NTZ756" s="125"/>
      <c r="NUA756" s="125"/>
      <c r="NUB756" s="125"/>
      <c r="NUC756" s="125"/>
      <c r="NUD756" s="125"/>
      <c r="NUE756" s="125"/>
      <c r="NUF756" s="125"/>
      <c r="NUG756" s="125"/>
      <c r="NUH756" s="125"/>
      <c r="NUI756" s="125"/>
      <c r="NUJ756" s="125"/>
      <c r="NUK756" s="125"/>
      <c r="NUL756" s="125"/>
      <c r="NUM756" s="125"/>
      <c r="NUN756" s="125"/>
      <c r="NUO756" s="125"/>
      <c r="NUP756" s="125"/>
      <c r="NUQ756" s="125"/>
      <c r="NUR756" s="125"/>
      <c r="NUS756" s="125"/>
      <c r="NUT756" s="125"/>
      <c r="NUU756" s="125"/>
      <c r="NUV756" s="125"/>
      <c r="NUW756" s="125"/>
      <c r="NUX756" s="125"/>
      <c r="NUY756" s="125"/>
      <c r="NUZ756" s="125"/>
      <c r="NVA756" s="125"/>
      <c r="NVB756" s="125"/>
      <c r="NVC756" s="125"/>
      <c r="NVD756" s="125"/>
      <c r="NVE756" s="125"/>
      <c r="NVF756" s="125"/>
      <c r="NVG756" s="125"/>
      <c r="NVH756" s="125"/>
      <c r="NVI756" s="125"/>
      <c r="NVJ756" s="125"/>
      <c r="NVK756" s="125"/>
      <c r="NVL756" s="125"/>
      <c r="NVM756" s="125"/>
      <c r="NVN756" s="125"/>
      <c r="NVO756" s="125"/>
      <c r="NVP756" s="125"/>
      <c r="NVQ756" s="125"/>
      <c r="NVR756" s="125"/>
      <c r="NVS756" s="125"/>
      <c r="NVT756" s="125"/>
      <c r="NVU756" s="125"/>
      <c r="NVV756" s="125"/>
      <c r="NVW756" s="125"/>
      <c r="NVX756" s="125"/>
      <c r="NVY756" s="125"/>
      <c r="NVZ756" s="125"/>
      <c r="NWA756" s="125"/>
      <c r="NWB756" s="125"/>
      <c r="NWC756" s="125"/>
      <c r="NWD756" s="125"/>
      <c r="NWE756" s="125"/>
      <c r="NWF756" s="125"/>
      <c r="NWG756" s="125"/>
      <c r="NWH756" s="125"/>
      <c r="NWI756" s="125"/>
      <c r="NWJ756" s="125"/>
      <c r="NWK756" s="125"/>
      <c r="NWL756" s="125"/>
      <c r="NWM756" s="125"/>
      <c r="NWN756" s="125"/>
      <c r="NWO756" s="125"/>
      <c r="NWP756" s="125"/>
      <c r="NWQ756" s="125"/>
      <c r="NWR756" s="125"/>
      <c r="NWS756" s="125"/>
      <c r="NWT756" s="125"/>
      <c r="NWU756" s="125"/>
      <c r="NWV756" s="125"/>
      <c r="NWW756" s="125"/>
      <c r="NWX756" s="125"/>
      <c r="NWY756" s="125"/>
      <c r="NWZ756" s="125"/>
      <c r="NXA756" s="125"/>
      <c r="NXB756" s="125"/>
      <c r="NXC756" s="125"/>
      <c r="NXD756" s="125"/>
      <c r="NXE756" s="125"/>
      <c r="NXF756" s="125"/>
      <c r="NXG756" s="125"/>
      <c r="NXH756" s="125"/>
      <c r="NXI756" s="125"/>
      <c r="NXJ756" s="125"/>
      <c r="NXK756" s="125"/>
      <c r="NXL756" s="125"/>
      <c r="NXM756" s="125"/>
      <c r="NXN756" s="125"/>
      <c r="NXO756" s="125"/>
      <c r="NXP756" s="125"/>
      <c r="NXQ756" s="125"/>
      <c r="NXR756" s="125"/>
      <c r="NXS756" s="125"/>
      <c r="NXT756" s="125"/>
      <c r="NXU756" s="125"/>
      <c r="NXV756" s="125"/>
      <c r="NXW756" s="125"/>
      <c r="NXX756" s="125"/>
      <c r="NXY756" s="125"/>
      <c r="NXZ756" s="125"/>
      <c r="NYA756" s="125"/>
      <c r="NYB756" s="125"/>
      <c r="NYC756" s="125"/>
      <c r="NYD756" s="125"/>
      <c r="NYE756" s="125"/>
      <c r="NYF756" s="125"/>
      <c r="NYG756" s="125"/>
      <c r="NYH756" s="125"/>
      <c r="NYI756" s="125"/>
      <c r="NYJ756" s="125"/>
      <c r="NYK756" s="125"/>
      <c r="NYL756" s="125"/>
      <c r="NYM756" s="125"/>
      <c r="NYN756" s="125"/>
      <c r="NYO756" s="125"/>
      <c r="NYP756" s="125"/>
      <c r="NYQ756" s="125"/>
      <c r="NYR756" s="125"/>
      <c r="NYS756" s="125"/>
      <c r="NYT756" s="125"/>
      <c r="NYU756" s="125"/>
      <c r="NYV756" s="125"/>
      <c r="NYW756" s="125"/>
      <c r="NYX756" s="125"/>
      <c r="NYY756" s="125"/>
      <c r="NYZ756" s="125"/>
      <c r="NZA756" s="125"/>
      <c r="NZB756" s="125"/>
      <c r="NZC756" s="125"/>
      <c r="NZD756" s="125"/>
      <c r="NZE756" s="125"/>
      <c r="NZF756" s="125"/>
      <c r="NZG756" s="125"/>
      <c r="NZH756" s="125"/>
      <c r="NZI756" s="125"/>
      <c r="NZJ756" s="125"/>
      <c r="NZK756" s="125"/>
      <c r="NZL756" s="125"/>
      <c r="NZM756" s="125"/>
      <c r="NZN756" s="125"/>
      <c r="NZO756" s="125"/>
      <c r="NZP756" s="125"/>
      <c r="NZQ756" s="125"/>
      <c r="NZR756" s="125"/>
      <c r="NZS756" s="125"/>
      <c r="NZT756" s="125"/>
      <c r="NZU756" s="125"/>
      <c r="NZV756" s="125"/>
      <c r="NZW756" s="125"/>
      <c r="NZX756" s="125"/>
      <c r="NZY756" s="125"/>
      <c r="NZZ756" s="125"/>
      <c r="OAA756" s="125"/>
      <c r="OAB756" s="125"/>
      <c r="OAC756" s="125"/>
      <c r="OAD756" s="125"/>
      <c r="OAE756" s="125"/>
      <c r="OAF756" s="125"/>
      <c r="OAG756" s="125"/>
      <c r="OAH756" s="125"/>
      <c r="OAI756" s="125"/>
      <c r="OAJ756" s="125"/>
      <c r="OAK756" s="125"/>
      <c r="OAL756" s="125"/>
      <c r="OAM756" s="125"/>
      <c r="OAN756" s="125"/>
      <c r="OAO756" s="125"/>
      <c r="OAP756" s="125"/>
      <c r="OAQ756" s="125"/>
      <c r="OAR756" s="125"/>
      <c r="OAS756" s="125"/>
      <c r="OAT756" s="125"/>
      <c r="OAU756" s="125"/>
      <c r="OAV756" s="125"/>
      <c r="OAW756" s="125"/>
      <c r="OAX756" s="125"/>
      <c r="OAY756" s="125"/>
      <c r="OAZ756" s="125"/>
      <c r="OBA756" s="125"/>
      <c r="OBB756" s="125"/>
      <c r="OBC756" s="125"/>
      <c r="OBD756" s="125"/>
      <c r="OBE756" s="125"/>
      <c r="OBF756" s="125"/>
      <c r="OBG756" s="125"/>
      <c r="OBH756" s="125"/>
      <c r="OBI756" s="125"/>
      <c r="OBJ756" s="125"/>
      <c r="OBK756" s="125"/>
      <c r="OBL756" s="125"/>
      <c r="OBM756" s="125"/>
      <c r="OBN756" s="125"/>
      <c r="OBO756" s="125"/>
      <c r="OBP756" s="125"/>
      <c r="OBQ756" s="125"/>
      <c r="OBR756" s="125"/>
      <c r="OBS756" s="125"/>
      <c r="OBT756" s="125"/>
      <c r="OBU756" s="125"/>
      <c r="OBV756" s="125"/>
      <c r="OBW756" s="125"/>
      <c r="OBX756" s="125"/>
      <c r="OBY756" s="125"/>
      <c r="OBZ756" s="125"/>
      <c r="OCA756" s="125"/>
      <c r="OCB756" s="125"/>
      <c r="OCC756" s="125"/>
      <c r="OCD756" s="125"/>
      <c r="OCE756" s="125"/>
      <c r="OCF756" s="125"/>
      <c r="OCG756" s="125"/>
      <c r="OCH756" s="125"/>
      <c r="OCI756" s="125"/>
      <c r="OCJ756" s="125"/>
      <c r="OCK756" s="125"/>
      <c r="OCL756" s="125"/>
      <c r="OCM756" s="125"/>
      <c r="OCN756" s="125"/>
      <c r="OCO756" s="125"/>
      <c r="OCP756" s="125"/>
      <c r="OCQ756" s="125"/>
      <c r="OCR756" s="125"/>
      <c r="OCS756" s="125"/>
      <c r="OCT756" s="125"/>
      <c r="OCU756" s="125"/>
      <c r="OCV756" s="125"/>
      <c r="OCW756" s="125"/>
      <c r="OCX756" s="125"/>
      <c r="OCY756" s="125"/>
      <c r="OCZ756" s="125"/>
      <c r="ODA756" s="125"/>
      <c r="ODB756" s="125"/>
      <c r="ODC756" s="125"/>
      <c r="ODD756" s="125"/>
      <c r="ODE756" s="125"/>
      <c r="ODF756" s="125"/>
      <c r="ODG756" s="125"/>
      <c r="ODH756" s="125"/>
      <c r="ODI756" s="125"/>
      <c r="ODJ756" s="125"/>
      <c r="ODK756" s="125"/>
      <c r="ODL756" s="125"/>
      <c r="ODM756" s="125"/>
      <c r="ODN756" s="125"/>
      <c r="ODO756" s="125"/>
      <c r="ODP756" s="125"/>
      <c r="ODQ756" s="125"/>
      <c r="ODR756" s="125"/>
      <c r="ODS756" s="125"/>
      <c r="ODT756" s="125"/>
      <c r="ODU756" s="125"/>
      <c r="ODV756" s="125"/>
      <c r="ODW756" s="125"/>
      <c r="ODX756" s="125"/>
      <c r="ODY756" s="125"/>
      <c r="ODZ756" s="125"/>
      <c r="OEA756" s="125"/>
      <c r="OEB756" s="125"/>
      <c r="OEC756" s="125"/>
      <c r="OED756" s="125"/>
      <c r="OEE756" s="125"/>
      <c r="OEF756" s="125"/>
      <c r="OEG756" s="125"/>
      <c r="OEH756" s="125"/>
      <c r="OEI756" s="125"/>
      <c r="OEJ756" s="125"/>
      <c r="OEK756" s="125"/>
      <c r="OEL756" s="125"/>
      <c r="OEM756" s="125"/>
      <c r="OEN756" s="125"/>
      <c r="OEO756" s="125"/>
      <c r="OEP756" s="125"/>
      <c r="OEQ756" s="125"/>
      <c r="OER756" s="125"/>
      <c r="OES756" s="125"/>
      <c r="OET756" s="125"/>
      <c r="OEU756" s="125"/>
      <c r="OEV756" s="125"/>
      <c r="OEW756" s="125"/>
      <c r="OEX756" s="125"/>
      <c r="OEY756" s="125"/>
      <c r="OEZ756" s="125"/>
      <c r="OFA756" s="125"/>
      <c r="OFB756" s="125"/>
      <c r="OFC756" s="125"/>
      <c r="OFD756" s="125"/>
      <c r="OFE756" s="125"/>
      <c r="OFF756" s="125"/>
      <c r="OFG756" s="125"/>
      <c r="OFH756" s="125"/>
      <c r="OFI756" s="125"/>
      <c r="OFJ756" s="125"/>
      <c r="OFK756" s="125"/>
      <c r="OFL756" s="125"/>
      <c r="OFM756" s="125"/>
      <c r="OFN756" s="125"/>
      <c r="OFO756" s="125"/>
      <c r="OFP756" s="125"/>
      <c r="OFQ756" s="125"/>
      <c r="OFR756" s="125"/>
      <c r="OFS756" s="125"/>
      <c r="OFT756" s="125"/>
      <c r="OFU756" s="125"/>
      <c r="OFV756" s="125"/>
      <c r="OFW756" s="125"/>
      <c r="OFX756" s="125"/>
      <c r="OFY756" s="125"/>
      <c r="OFZ756" s="125"/>
      <c r="OGA756" s="125"/>
      <c r="OGB756" s="125"/>
      <c r="OGC756" s="125"/>
      <c r="OGD756" s="125"/>
      <c r="OGE756" s="125"/>
      <c r="OGF756" s="125"/>
      <c r="OGG756" s="125"/>
      <c r="OGH756" s="125"/>
      <c r="OGI756" s="125"/>
      <c r="OGJ756" s="125"/>
      <c r="OGK756" s="125"/>
      <c r="OGL756" s="125"/>
      <c r="OGM756" s="125"/>
      <c r="OGN756" s="125"/>
      <c r="OGO756" s="125"/>
      <c r="OGP756" s="125"/>
      <c r="OGQ756" s="125"/>
      <c r="OGR756" s="125"/>
      <c r="OGS756" s="125"/>
      <c r="OGT756" s="125"/>
      <c r="OGU756" s="125"/>
      <c r="OGV756" s="125"/>
      <c r="OGW756" s="125"/>
      <c r="OGX756" s="125"/>
      <c r="OGY756" s="125"/>
      <c r="OGZ756" s="125"/>
      <c r="OHA756" s="125"/>
      <c r="OHB756" s="125"/>
      <c r="OHC756" s="125"/>
      <c r="OHD756" s="125"/>
      <c r="OHE756" s="125"/>
      <c r="OHF756" s="125"/>
      <c r="OHG756" s="125"/>
      <c r="OHH756" s="125"/>
      <c r="OHI756" s="125"/>
      <c r="OHJ756" s="125"/>
      <c r="OHK756" s="125"/>
      <c r="OHL756" s="125"/>
      <c r="OHM756" s="125"/>
      <c r="OHN756" s="125"/>
      <c r="OHO756" s="125"/>
      <c r="OHP756" s="125"/>
      <c r="OHQ756" s="125"/>
      <c r="OHR756" s="125"/>
      <c r="OHS756" s="125"/>
      <c r="OHT756" s="125"/>
      <c r="OHU756" s="125"/>
      <c r="OHV756" s="125"/>
      <c r="OHW756" s="125"/>
      <c r="OHX756" s="125"/>
      <c r="OHY756" s="125"/>
      <c r="OHZ756" s="125"/>
      <c r="OIA756" s="125"/>
      <c r="OIB756" s="125"/>
      <c r="OIC756" s="125"/>
      <c r="OID756" s="125"/>
      <c r="OIE756" s="125"/>
      <c r="OIF756" s="125"/>
      <c r="OIG756" s="125"/>
      <c r="OIH756" s="125"/>
      <c r="OII756" s="125"/>
      <c r="OIJ756" s="125"/>
      <c r="OIK756" s="125"/>
      <c r="OIL756" s="125"/>
      <c r="OIM756" s="125"/>
      <c r="OIN756" s="125"/>
      <c r="OIO756" s="125"/>
      <c r="OIP756" s="125"/>
      <c r="OIQ756" s="125"/>
      <c r="OIR756" s="125"/>
      <c r="OIS756" s="125"/>
      <c r="OIT756" s="125"/>
      <c r="OIU756" s="125"/>
      <c r="OIV756" s="125"/>
      <c r="OIW756" s="125"/>
      <c r="OIX756" s="125"/>
      <c r="OIY756" s="125"/>
      <c r="OIZ756" s="125"/>
      <c r="OJA756" s="125"/>
      <c r="OJB756" s="125"/>
      <c r="OJC756" s="125"/>
      <c r="OJD756" s="125"/>
      <c r="OJE756" s="125"/>
      <c r="OJF756" s="125"/>
      <c r="OJG756" s="125"/>
      <c r="OJH756" s="125"/>
      <c r="OJI756" s="125"/>
      <c r="OJJ756" s="125"/>
      <c r="OJK756" s="125"/>
      <c r="OJL756" s="125"/>
      <c r="OJM756" s="125"/>
      <c r="OJN756" s="125"/>
      <c r="OJO756" s="125"/>
      <c r="OJP756" s="125"/>
      <c r="OJQ756" s="125"/>
      <c r="OJR756" s="125"/>
      <c r="OJS756" s="125"/>
      <c r="OJT756" s="125"/>
      <c r="OJU756" s="125"/>
      <c r="OJV756" s="125"/>
      <c r="OJW756" s="125"/>
      <c r="OJX756" s="125"/>
      <c r="OJY756" s="125"/>
      <c r="OJZ756" s="125"/>
      <c r="OKA756" s="125"/>
      <c r="OKB756" s="125"/>
      <c r="OKC756" s="125"/>
      <c r="OKD756" s="125"/>
      <c r="OKE756" s="125"/>
      <c r="OKF756" s="125"/>
      <c r="OKG756" s="125"/>
      <c r="OKH756" s="125"/>
      <c r="OKI756" s="125"/>
      <c r="OKJ756" s="125"/>
      <c r="OKK756" s="125"/>
      <c r="OKL756" s="125"/>
      <c r="OKM756" s="125"/>
      <c r="OKN756" s="125"/>
      <c r="OKO756" s="125"/>
      <c r="OKP756" s="125"/>
      <c r="OKQ756" s="125"/>
      <c r="OKR756" s="125"/>
      <c r="OKS756" s="125"/>
      <c r="OKT756" s="125"/>
      <c r="OKU756" s="125"/>
      <c r="OKV756" s="125"/>
      <c r="OKW756" s="125"/>
      <c r="OKX756" s="125"/>
      <c r="OKY756" s="125"/>
      <c r="OKZ756" s="125"/>
      <c r="OLA756" s="125"/>
      <c r="OLB756" s="125"/>
      <c r="OLC756" s="125"/>
      <c r="OLD756" s="125"/>
      <c r="OLE756" s="125"/>
      <c r="OLF756" s="125"/>
      <c r="OLG756" s="125"/>
      <c r="OLH756" s="125"/>
      <c r="OLI756" s="125"/>
      <c r="OLJ756" s="125"/>
      <c r="OLK756" s="125"/>
      <c r="OLL756" s="125"/>
      <c r="OLM756" s="125"/>
      <c r="OLN756" s="125"/>
      <c r="OLO756" s="125"/>
      <c r="OLP756" s="125"/>
      <c r="OLQ756" s="125"/>
      <c r="OLR756" s="125"/>
      <c r="OLS756" s="125"/>
      <c r="OLT756" s="125"/>
      <c r="OLU756" s="125"/>
      <c r="OLV756" s="125"/>
      <c r="OLW756" s="125"/>
      <c r="OLX756" s="125"/>
      <c r="OLY756" s="125"/>
      <c r="OLZ756" s="125"/>
      <c r="OMA756" s="125"/>
      <c r="OMB756" s="125"/>
      <c r="OMC756" s="125"/>
      <c r="OMD756" s="125"/>
      <c r="OME756" s="125"/>
      <c r="OMF756" s="125"/>
      <c r="OMG756" s="125"/>
      <c r="OMH756" s="125"/>
      <c r="OMI756" s="125"/>
      <c r="OMJ756" s="125"/>
      <c r="OMK756" s="125"/>
      <c r="OML756" s="125"/>
      <c r="OMM756" s="125"/>
      <c r="OMN756" s="125"/>
      <c r="OMO756" s="125"/>
      <c r="OMP756" s="125"/>
      <c r="OMQ756" s="125"/>
      <c r="OMR756" s="125"/>
      <c r="OMS756" s="125"/>
      <c r="OMT756" s="125"/>
      <c r="OMU756" s="125"/>
      <c r="OMV756" s="125"/>
      <c r="OMW756" s="125"/>
      <c r="OMX756" s="125"/>
      <c r="OMY756" s="125"/>
      <c r="OMZ756" s="125"/>
      <c r="ONA756" s="125"/>
      <c r="ONB756" s="125"/>
      <c r="ONC756" s="125"/>
      <c r="OND756" s="125"/>
      <c r="ONE756" s="125"/>
      <c r="ONF756" s="125"/>
      <c r="ONG756" s="125"/>
      <c r="ONH756" s="125"/>
      <c r="ONI756" s="125"/>
      <c r="ONJ756" s="125"/>
      <c r="ONK756" s="125"/>
      <c r="ONL756" s="125"/>
      <c r="ONM756" s="125"/>
      <c r="ONN756" s="125"/>
      <c r="ONO756" s="125"/>
      <c r="ONP756" s="125"/>
      <c r="ONQ756" s="125"/>
      <c r="ONR756" s="125"/>
      <c r="ONS756" s="125"/>
      <c r="ONT756" s="125"/>
      <c r="ONU756" s="125"/>
      <c r="ONV756" s="125"/>
      <c r="ONW756" s="125"/>
      <c r="ONX756" s="125"/>
      <c r="ONY756" s="125"/>
      <c r="ONZ756" s="125"/>
      <c r="OOA756" s="125"/>
      <c r="OOB756" s="125"/>
      <c r="OOC756" s="125"/>
      <c r="OOD756" s="125"/>
      <c r="OOE756" s="125"/>
      <c r="OOF756" s="125"/>
      <c r="OOG756" s="125"/>
      <c r="OOH756" s="125"/>
      <c r="OOI756" s="125"/>
      <c r="OOJ756" s="125"/>
      <c r="OOK756" s="125"/>
      <c r="OOL756" s="125"/>
      <c r="OOM756" s="125"/>
      <c r="OON756" s="125"/>
      <c r="OOO756" s="125"/>
      <c r="OOP756" s="125"/>
      <c r="OOQ756" s="125"/>
      <c r="OOR756" s="125"/>
      <c r="OOS756" s="125"/>
      <c r="OOT756" s="125"/>
      <c r="OOU756" s="125"/>
      <c r="OOV756" s="125"/>
      <c r="OOW756" s="125"/>
      <c r="OOX756" s="125"/>
      <c r="OOY756" s="125"/>
      <c r="OOZ756" s="125"/>
      <c r="OPA756" s="125"/>
      <c r="OPB756" s="125"/>
      <c r="OPC756" s="125"/>
      <c r="OPD756" s="125"/>
      <c r="OPE756" s="125"/>
      <c r="OPF756" s="125"/>
      <c r="OPG756" s="125"/>
      <c r="OPH756" s="125"/>
      <c r="OPI756" s="125"/>
      <c r="OPJ756" s="125"/>
      <c r="OPK756" s="125"/>
      <c r="OPL756" s="125"/>
      <c r="OPM756" s="125"/>
      <c r="OPN756" s="125"/>
      <c r="OPO756" s="125"/>
      <c r="OPP756" s="125"/>
      <c r="OPQ756" s="125"/>
      <c r="OPR756" s="125"/>
      <c r="OPS756" s="125"/>
      <c r="OPT756" s="125"/>
      <c r="OPU756" s="125"/>
      <c r="OPV756" s="125"/>
      <c r="OPW756" s="125"/>
      <c r="OPX756" s="125"/>
      <c r="OPY756" s="125"/>
      <c r="OPZ756" s="125"/>
      <c r="OQA756" s="125"/>
      <c r="OQB756" s="125"/>
      <c r="OQC756" s="125"/>
      <c r="OQD756" s="125"/>
      <c r="OQE756" s="125"/>
      <c r="OQF756" s="125"/>
      <c r="OQG756" s="125"/>
      <c r="OQH756" s="125"/>
      <c r="OQI756" s="125"/>
      <c r="OQJ756" s="125"/>
      <c r="OQK756" s="125"/>
      <c r="OQL756" s="125"/>
      <c r="OQM756" s="125"/>
      <c r="OQN756" s="125"/>
      <c r="OQO756" s="125"/>
      <c r="OQP756" s="125"/>
      <c r="OQQ756" s="125"/>
      <c r="OQR756" s="125"/>
      <c r="OQS756" s="125"/>
      <c r="OQT756" s="125"/>
      <c r="OQU756" s="125"/>
      <c r="OQV756" s="125"/>
      <c r="OQW756" s="125"/>
      <c r="OQX756" s="125"/>
      <c r="OQY756" s="125"/>
      <c r="OQZ756" s="125"/>
      <c r="ORA756" s="125"/>
      <c r="ORB756" s="125"/>
      <c r="ORC756" s="125"/>
      <c r="ORD756" s="125"/>
      <c r="ORE756" s="125"/>
      <c r="ORF756" s="125"/>
      <c r="ORG756" s="125"/>
      <c r="ORH756" s="125"/>
      <c r="ORI756" s="125"/>
      <c r="ORJ756" s="125"/>
      <c r="ORK756" s="125"/>
      <c r="ORL756" s="125"/>
      <c r="ORM756" s="125"/>
      <c r="ORN756" s="125"/>
      <c r="ORO756" s="125"/>
      <c r="ORP756" s="125"/>
      <c r="ORQ756" s="125"/>
      <c r="ORR756" s="125"/>
      <c r="ORS756" s="125"/>
      <c r="ORT756" s="125"/>
      <c r="ORU756" s="125"/>
      <c r="ORV756" s="125"/>
      <c r="ORW756" s="125"/>
      <c r="ORX756" s="125"/>
      <c r="ORY756" s="125"/>
      <c r="ORZ756" s="125"/>
      <c r="OSA756" s="125"/>
      <c r="OSB756" s="125"/>
      <c r="OSC756" s="125"/>
      <c r="OSD756" s="125"/>
      <c r="OSE756" s="125"/>
      <c r="OSF756" s="125"/>
      <c r="OSG756" s="125"/>
      <c r="OSH756" s="125"/>
      <c r="OSI756" s="125"/>
      <c r="OSJ756" s="125"/>
      <c r="OSK756" s="125"/>
      <c r="OSL756" s="125"/>
      <c r="OSM756" s="125"/>
      <c r="OSN756" s="125"/>
      <c r="OSO756" s="125"/>
      <c r="OSP756" s="125"/>
      <c r="OSQ756" s="125"/>
      <c r="OSR756" s="125"/>
      <c r="OSS756" s="125"/>
      <c r="OST756" s="125"/>
      <c r="OSU756" s="125"/>
      <c r="OSV756" s="125"/>
      <c r="OSW756" s="125"/>
      <c r="OSX756" s="125"/>
      <c r="OSY756" s="125"/>
      <c r="OSZ756" s="125"/>
      <c r="OTA756" s="125"/>
      <c r="OTB756" s="125"/>
      <c r="OTC756" s="125"/>
      <c r="OTD756" s="125"/>
      <c r="OTE756" s="125"/>
      <c r="OTF756" s="125"/>
      <c r="OTG756" s="125"/>
      <c r="OTH756" s="125"/>
      <c r="OTI756" s="125"/>
      <c r="OTJ756" s="125"/>
      <c r="OTK756" s="125"/>
      <c r="OTL756" s="125"/>
      <c r="OTM756" s="125"/>
      <c r="OTN756" s="125"/>
      <c r="OTO756" s="125"/>
      <c r="OTP756" s="125"/>
      <c r="OTQ756" s="125"/>
      <c r="OTR756" s="125"/>
      <c r="OTS756" s="125"/>
      <c r="OTT756" s="125"/>
      <c r="OTU756" s="125"/>
      <c r="OTV756" s="125"/>
      <c r="OTW756" s="125"/>
      <c r="OTX756" s="125"/>
      <c r="OTY756" s="125"/>
      <c r="OTZ756" s="125"/>
      <c r="OUA756" s="125"/>
      <c r="OUB756" s="125"/>
      <c r="OUC756" s="125"/>
      <c r="OUD756" s="125"/>
      <c r="OUE756" s="125"/>
      <c r="OUF756" s="125"/>
      <c r="OUG756" s="125"/>
      <c r="OUH756" s="125"/>
      <c r="OUI756" s="125"/>
      <c r="OUJ756" s="125"/>
      <c r="OUK756" s="125"/>
      <c r="OUL756" s="125"/>
      <c r="OUM756" s="125"/>
      <c r="OUN756" s="125"/>
      <c r="OUO756" s="125"/>
      <c r="OUP756" s="125"/>
      <c r="OUQ756" s="125"/>
      <c r="OUR756" s="125"/>
      <c r="OUS756" s="125"/>
      <c r="OUT756" s="125"/>
      <c r="OUU756" s="125"/>
      <c r="OUV756" s="125"/>
      <c r="OUW756" s="125"/>
      <c r="OUX756" s="125"/>
      <c r="OUY756" s="125"/>
      <c r="OUZ756" s="125"/>
      <c r="OVA756" s="125"/>
      <c r="OVB756" s="125"/>
      <c r="OVC756" s="125"/>
      <c r="OVD756" s="125"/>
      <c r="OVE756" s="125"/>
      <c r="OVF756" s="125"/>
      <c r="OVG756" s="125"/>
      <c r="OVH756" s="125"/>
      <c r="OVI756" s="125"/>
      <c r="OVJ756" s="125"/>
      <c r="OVK756" s="125"/>
      <c r="OVL756" s="125"/>
      <c r="OVM756" s="125"/>
      <c r="OVN756" s="125"/>
      <c r="OVO756" s="125"/>
      <c r="OVP756" s="125"/>
      <c r="OVQ756" s="125"/>
      <c r="OVR756" s="125"/>
      <c r="OVS756" s="125"/>
      <c r="OVT756" s="125"/>
      <c r="OVU756" s="125"/>
      <c r="OVV756" s="125"/>
      <c r="OVW756" s="125"/>
      <c r="OVX756" s="125"/>
      <c r="OVY756" s="125"/>
      <c r="OVZ756" s="125"/>
      <c r="OWA756" s="125"/>
      <c r="OWB756" s="125"/>
      <c r="OWC756" s="125"/>
      <c r="OWD756" s="125"/>
      <c r="OWE756" s="125"/>
      <c r="OWF756" s="125"/>
      <c r="OWG756" s="125"/>
      <c r="OWH756" s="125"/>
      <c r="OWI756" s="125"/>
      <c r="OWJ756" s="125"/>
      <c r="OWK756" s="125"/>
      <c r="OWL756" s="125"/>
      <c r="OWM756" s="125"/>
      <c r="OWN756" s="125"/>
      <c r="OWO756" s="125"/>
      <c r="OWP756" s="125"/>
      <c r="OWQ756" s="125"/>
      <c r="OWR756" s="125"/>
      <c r="OWS756" s="125"/>
      <c r="OWT756" s="125"/>
      <c r="OWU756" s="125"/>
      <c r="OWV756" s="125"/>
      <c r="OWW756" s="125"/>
      <c r="OWX756" s="125"/>
      <c r="OWY756" s="125"/>
      <c r="OWZ756" s="125"/>
      <c r="OXA756" s="125"/>
      <c r="OXB756" s="125"/>
      <c r="OXC756" s="125"/>
      <c r="OXD756" s="125"/>
      <c r="OXE756" s="125"/>
      <c r="OXF756" s="125"/>
      <c r="OXG756" s="125"/>
      <c r="OXH756" s="125"/>
      <c r="OXI756" s="125"/>
      <c r="OXJ756" s="125"/>
      <c r="OXK756" s="125"/>
      <c r="OXL756" s="125"/>
      <c r="OXM756" s="125"/>
      <c r="OXN756" s="125"/>
      <c r="OXO756" s="125"/>
      <c r="OXP756" s="125"/>
      <c r="OXQ756" s="125"/>
      <c r="OXR756" s="125"/>
      <c r="OXS756" s="125"/>
      <c r="OXT756" s="125"/>
      <c r="OXU756" s="125"/>
      <c r="OXV756" s="125"/>
      <c r="OXW756" s="125"/>
      <c r="OXX756" s="125"/>
      <c r="OXY756" s="125"/>
      <c r="OXZ756" s="125"/>
      <c r="OYA756" s="125"/>
      <c r="OYB756" s="125"/>
      <c r="OYC756" s="125"/>
      <c r="OYD756" s="125"/>
      <c r="OYE756" s="125"/>
      <c r="OYF756" s="125"/>
      <c r="OYG756" s="125"/>
      <c r="OYH756" s="125"/>
      <c r="OYI756" s="125"/>
      <c r="OYJ756" s="125"/>
      <c r="OYK756" s="125"/>
      <c r="OYL756" s="125"/>
      <c r="OYM756" s="125"/>
      <c r="OYN756" s="125"/>
      <c r="OYO756" s="125"/>
      <c r="OYP756" s="125"/>
      <c r="OYQ756" s="125"/>
      <c r="OYR756" s="125"/>
      <c r="OYS756" s="125"/>
      <c r="OYT756" s="125"/>
      <c r="OYU756" s="125"/>
      <c r="OYV756" s="125"/>
      <c r="OYW756" s="125"/>
      <c r="OYX756" s="125"/>
      <c r="OYY756" s="125"/>
      <c r="OYZ756" s="125"/>
      <c r="OZA756" s="125"/>
      <c r="OZB756" s="125"/>
      <c r="OZC756" s="125"/>
      <c r="OZD756" s="125"/>
      <c r="OZE756" s="125"/>
      <c r="OZF756" s="125"/>
      <c r="OZG756" s="125"/>
      <c r="OZH756" s="125"/>
      <c r="OZI756" s="125"/>
      <c r="OZJ756" s="125"/>
      <c r="OZK756" s="125"/>
      <c r="OZL756" s="125"/>
      <c r="OZM756" s="125"/>
      <c r="OZN756" s="125"/>
      <c r="OZO756" s="125"/>
      <c r="OZP756" s="125"/>
      <c r="OZQ756" s="125"/>
      <c r="OZR756" s="125"/>
      <c r="OZS756" s="125"/>
      <c r="OZT756" s="125"/>
      <c r="OZU756" s="125"/>
      <c r="OZV756" s="125"/>
      <c r="OZW756" s="125"/>
      <c r="OZX756" s="125"/>
      <c r="OZY756" s="125"/>
      <c r="OZZ756" s="125"/>
      <c r="PAA756" s="125"/>
      <c r="PAB756" s="125"/>
      <c r="PAC756" s="125"/>
      <c r="PAD756" s="125"/>
      <c r="PAE756" s="125"/>
      <c r="PAF756" s="125"/>
      <c r="PAG756" s="125"/>
      <c r="PAH756" s="125"/>
      <c r="PAI756" s="125"/>
      <c r="PAJ756" s="125"/>
      <c r="PAK756" s="125"/>
      <c r="PAL756" s="125"/>
      <c r="PAM756" s="125"/>
      <c r="PAN756" s="125"/>
      <c r="PAO756" s="125"/>
      <c r="PAP756" s="125"/>
      <c r="PAQ756" s="125"/>
      <c r="PAR756" s="125"/>
      <c r="PAS756" s="125"/>
      <c r="PAT756" s="125"/>
      <c r="PAU756" s="125"/>
      <c r="PAV756" s="125"/>
      <c r="PAW756" s="125"/>
      <c r="PAX756" s="125"/>
      <c r="PAY756" s="125"/>
      <c r="PAZ756" s="125"/>
      <c r="PBA756" s="125"/>
      <c r="PBB756" s="125"/>
      <c r="PBC756" s="125"/>
      <c r="PBD756" s="125"/>
      <c r="PBE756" s="125"/>
      <c r="PBF756" s="125"/>
      <c r="PBG756" s="125"/>
      <c r="PBH756" s="125"/>
      <c r="PBI756" s="125"/>
      <c r="PBJ756" s="125"/>
      <c r="PBK756" s="125"/>
      <c r="PBL756" s="125"/>
      <c r="PBM756" s="125"/>
      <c r="PBN756" s="125"/>
      <c r="PBO756" s="125"/>
      <c r="PBP756" s="125"/>
      <c r="PBQ756" s="125"/>
      <c r="PBR756" s="125"/>
      <c r="PBS756" s="125"/>
      <c r="PBT756" s="125"/>
      <c r="PBU756" s="125"/>
      <c r="PBV756" s="125"/>
      <c r="PBW756" s="125"/>
      <c r="PBX756" s="125"/>
      <c r="PBY756" s="125"/>
      <c r="PBZ756" s="125"/>
      <c r="PCA756" s="125"/>
      <c r="PCB756" s="125"/>
      <c r="PCC756" s="125"/>
      <c r="PCD756" s="125"/>
      <c r="PCE756" s="125"/>
      <c r="PCF756" s="125"/>
      <c r="PCG756" s="125"/>
      <c r="PCH756" s="125"/>
      <c r="PCI756" s="125"/>
      <c r="PCJ756" s="125"/>
      <c r="PCK756" s="125"/>
      <c r="PCL756" s="125"/>
      <c r="PCM756" s="125"/>
      <c r="PCN756" s="125"/>
      <c r="PCO756" s="125"/>
      <c r="PCP756" s="125"/>
      <c r="PCQ756" s="125"/>
      <c r="PCR756" s="125"/>
      <c r="PCS756" s="125"/>
      <c r="PCT756" s="125"/>
      <c r="PCU756" s="125"/>
      <c r="PCV756" s="125"/>
      <c r="PCW756" s="125"/>
      <c r="PCX756" s="125"/>
      <c r="PCY756" s="125"/>
      <c r="PCZ756" s="125"/>
      <c r="PDA756" s="125"/>
      <c r="PDB756" s="125"/>
      <c r="PDC756" s="125"/>
      <c r="PDD756" s="125"/>
      <c r="PDE756" s="125"/>
      <c r="PDF756" s="125"/>
      <c r="PDG756" s="125"/>
      <c r="PDH756" s="125"/>
      <c r="PDI756" s="125"/>
      <c r="PDJ756" s="125"/>
      <c r="PDK756" s="125"/>
      <c r="PDL756" s="125"/>
      <c r="PDM756" s="125"/>
      <c r="PDN756" s="125"/>
      <c r="PDO756" s="125"/>
      <c r="PDP756" s="125"/>
      <c r="PDQ756" s="125"/>
      <c r="PDR756" s="125"/>
      <c r="PDS756" s="125"/>
      <c r="PDT756" s="125"/>
      <c r="PDU756" s="125"/>
      <c r="PDV756" s="125"/>
      <c r="PDW756" s="125"/>
      <c r="PDX756" s="125"/>
      <c r="PDY756" s="125"/>
      <c r="PDZ756" s="125"/>
      <c r="PEA756" s="125"/>
      <c r="PEB756" s="125"/>
      <c r="PEC756" s="125"/>
      <c r="PED756" s="125"/>
      <c r="PEE756" s="125"/>
      <c r="PEF756" s="125"/>
      <c r="PEG756" s="125"/>
      <c r="PEH756" s="125"/>
      <c r="PEI756" s="125"/>
      <c r="PEJ756" s="125"/>
      <c r="PEK756" s="125"/>
      <c r="PEL756" s="125"/>
      <c r="PEM756" s="125"/>
      <c r="PEN756" s="125"/>
      <c r="PEO756" s="125"/>
      <c r="PEP756" s="125"/>
      <c r="PEQ756" s="125"/>
      <c r="PER756" s="125"/>
      <c r="PES756" s="125"/>
      <c r="PET756" s="125"/>
      <c r="PEU756" s="125"/>
      <c r="PEV756" s="125"/>
      <c r="PEW756" s="125"/>
      <c r="PEX756" s="125"/>
      <c r="PEY756" s="125"/>
      <c r="PEZ756" s="125"/>
      <c r="PFA756" s="125"/>
      <c r="PFB756" s="125"/>
      <c r="PFC756" s="125"/>
      <c r="PFD756" s="125"/>
      <c r="PFE756" s="125"/>
      <c r="PFF756" s="125"/>
      <c r="PFG756" s="125"/>
      <c r="PFH756" s="125"/>
      <c r="PFI756" s="125"/>
      <c r="PFJ756" s="125"/>
      <c r="PFK756" s="125"/>
      <c r="PFL756" s="125"/>
      <c r="PFM756" s="125"/>
      <c r="PFN756" s="125"/>
      <c r="PFO756" s="125"/>
      <c r="PFP756" s="125"/>
      <c r="PFQ756" s="125"/>
      <c r="PFR756" s="125"/>
      <c r="PFS756" s="125"/>
      <c r="PFT756" s="125"/>
      <c r="PFU756" s="125"/>
      <c r="PFV756" s="125"/>
      <c r="PFW756" s="125"/>
      <c r="PFX756" s="125"/>
      <c r="PFY756" s="125"/>
      <c r="PFZ756" s="125"/>
      <c r="PGA756" s="125"/>
      <c r="PGB756" s="125"/>
      <c r="PGC756" s="125"/>
      <c r="PGD756" s="125"/>
      <c r="PGE756" s="125"/>
      <c r="PGF756" s="125"/>
      <c r="PGG756" s="125"/>
      <c r="PGH756" s="125"/>
      <c r="PGI756" s="125"/>
      <c r="PGJ756" s="125"/>
      <c r="PGK756" s="125"/>
      <c r="PGL756" s="125"/>
      <c r="PGM756" s="125"/>
      <c r="PGN756" s="125"/>
      <c r="PGO756" s="125"/>
      <c r="PGP756" s="125"/>
      <c r="PGQ756" s="125"/>
      <c r="PGR756" s="125"/>
      <c r="PGS756" s="125"/>
      <c r="PGT756" s="125"/>
      <c r="PGU756" s="125"/>
      <c r="PGV756" s="125"/>
      <c r="PGW756" s="125"/>
      <c r="PGX756" s="125"/>
      <c r="PGY756" s="125"/>
      <c r="PGZ756" s="125"/>
      <c r="PHA756" s="125"/>
      <c r="PHB756" s="125"/>
      <c r="PHC756" s="125"/>
      <c r="PHD756" s="125"/>
      <c r="PHE756" s="125"/>
      <c r="PHF756" s="125"/>
      <c r="PHG756" s="125"/>
      <c r="PHH756" s="125"/>
      <c r="PHI756" s="125"/>
      <c r="PHJ756" s="125"/>
      <c r="PHK756" s="125"/>
      <c r="PHL756" s="125"/>
      <c r="PHM756" s="125"/>
      <c r="PHN756" s="125"/>
      <c r="PHO756" s="125"/>
      <c r="PHP756" s="125"/>
      <c r="PHQ756" s="125"/>
      <c r="PHR756" s="125"/>
      <c r="PHS756" s="125"/>
      <c r="PHT756" s="125"/>
      <c r="PHU756" s="125"/>
      <c r="PHV756" s="125"/>
      <c r="PHW756" s="125"/>
      <c r="PHX756" s="125"/>
      <c r="PHY756" s="125"/>
      <c r="PHZ756" s="125"/>
      <c r="PIA756" s="125"/>
      <c r="PIB756" s="125"/>
      <c r="PIC756" s="125"/>
      <c r="PID756" s="125"/>
      <c r="PIE756" s="125"/>
      <c r="PIF756" s="125"/>
      <c r="PIG756" s="125"/>
      <c r="PIH756" s="125"/>
      <c r="PII756" s="125"/>
      <c r="PIJ756" s="125"/>
      <c r="PIK756" s="125"/>
      <c r="PIL756" s="125"/>
      <c r="PIM756" s="125"/>
      <c r="PIN756" s="125"/>
      <c r="PIO756" s="125"/>
      <c r="PIP756" s="125"/>
      <c r="PIQ756" s="125"/>
      <c r="PIR756" s="125"/>
      <c r="PIS756" s="125"/>
      <c r="PIT756" s="125"/>
      <c r="PIU756" s="125"/>
      <c r="PIV756" s="125"/>
      <c r="PIW756" s="125"/>
      <c r="PIX756" s="125"/>
      <c r="PIY756" s="125"/>
      <c r="PIZ756" s="125"/>
      <c r="PJA756" s="125"/>
      <c r="PJB756" s="125"/>
      <c r="PJC756" s="125"/>
      <c r="PJD756" s="125"/>
      <c r="PJE756" s="125"/>
      <c r="PJF756" s="125"/>
      <c r="PJG756" s="125"/>
      <c r="PJH756" s="125"/>
      <c r="PJI756" s="125"/>
      <c r="PJJ756" s="125"/>
      <c r="PJK756" s="125"/>
      <c r="PJL756" s="125"/>
      <c r="PJM756" s="125"/>
      <c r="PJN756" s="125"/>
      <c r="PJO756" s="125"/>
      <c r="PJP756" s="125"/>
      <c r="PJQ756" s="125"/>
      <c r="PJR756" s="125"/>
      <c r="PJS756" s="125"/>
      <c r="PJT756" s="125"/>
      <c r="PJU756" s="125"/>
      <c r="PJV756" s="125"/>
      <c r="PJW756" s="125"/>
      <c r="PJX756" s="125"/>
      <c r="PJY756" s="125"/>
      <c r="PJZ756" s="125"/>
      <c r="PKA756" s="125"/>
      <c r="PKB756" s="125"/>
      <c r="PKC756" s="125"/>
      <c r="PKD756" s="125"/>
      <c r="PKE756" s="125"/>
      <c r="PKF756" s="125"/>
      <c r="PKG756" s="125"/>
      <c r="PKH756" s="125"/>
      <c r="PKI756" s="125"/>
      <c r="PKJ756" s="125"/>
      <c r="PKK756" s="125"/>
      <c r="PKL756" s="125"/>
      <c r="PKM756" s="125"/>
      <c r="PKN756" s="125"/>
      <c r="PKO756" s="125"/>
      <c r="PKP756" s="125"/>
      <c r="PKQ756" s="125"/>
      <c r="PKR756" s="125"/>
      <c r="PKS756" s="125"/>
      <c r="PKT756" s="125"/>
      <c r="PKU756" s="125"/>
      <c r="PKV756" s="125"/>
      <c r="PKW756" s="125"/>
      <c r="PKX756" s="125"/>
      <c r="PKY756" s="125"/>
      <c r="PKZ756" s="125"/>
      <c r="PLA756" s="125"/>
      <c r="PLB756" s="125"/>
      <c r="PLC756" s="125"/>
      <c r="PLD756" s="125"/>
      <c r="PLE756" s="125"/>
      <c r="PLF756" s="125"/>
      <c r="PLG756" s="125"/>
      <c r="PLH756" s="125"/>
      <c r="PLI756" s="125"/>
      <c r="PLJ756" s="125"/>
      <c r="PLK756" s="125"/>
      <c r="PLL756" s="125"/>
      <c r="PLM756" s="125"/>
      <c r="PLN756" s="125"/>
      <c r="PLO756" s="125"/>
      <c r="PLP756" s="125"/>
      <c r="PLQ756" s="125"/>
      <c r="PLR756" s="125"/>
      <c r="PLS756" s="125"/>
      <c r="PLT756" s="125"/>
      <c r="PLU756" s="125"/>
      <c r="PLV756" s="125"/>
      <c r="PLW756" s="125"/>
      <c r="PLX756" s="125"/>
      <c r="PLY756" s="125"/>
      <c r="PLZ756" s="125"/>
      <c r="PMA756" s="125"/>
      <c r="PMB756" s="125"/>
      <c r="PMC756" s="125"/>
      <c r="PMD756" s="125"/>
      <c r="PME756" s="125"/>
      <c r="PMF756" s="125"/>
      <c r="PMG756" s="125"/>
      <c r="PMH756" s="125"/>
      <c r="PMI756" s="125"/>
      <c r="PMJ756" s="125"/>
      <c r="PMK756" s="125"/>
      <c r="PML756" s="125"/>
      <c r="PMM756" s="125"/>
      <c r="PMN756" s="125"/>
      <c r="PMO756" s="125"/>
      <c r="PMP756" s="125"/>
      <c r="PMQ756" s="125"/>
      <c r="PMR756" s="125"/>
      <c r="PMS756" s="125"/>
      <c r="PMT756" s="125"/>
      <c r="PMU756" s="125"/>
      <c r="PMV756" s="125"/>
      <c r="PMW756" s="125"/>
      <c r="PMX756" s="125"/>
      <c r="PMY756" s="125"/>
      <c r="PMZ756" s="125"/>
      <c r="PNA756" s="125"/>
      <c r="PNB756" s="125"/>
      <c r="PNC756" s="125"/>
      <c r="PND756" s="125"/>
      <c r="PNE756" s="125"/>
      <c r="PNF756" s="125"/>
      <c r="PNG756" s="125"/>
      <c r="PNH756" s="125"/>
      <c r="PNI756" s="125"/>
      <c r="PNJ756" s="125"/>
      <c r="PNK756" s="125"/>
      <c r="PNL756" s="125"/>
      <c r="PNM756" s="125"/>
      <c r="PNN756" s="125"/>
      <c r="PNO756" s="125"/>
      <c r="PNP756" s="125"/>
      <c r="PNQ756" s="125"/>
      <c r="PNR756" s="125"/>
      <c r="PNS756" s="125"/>
      <c r="PNT756" s="125"/>
      <c r="PNU756" s="125"/>
      <c r="PNV756" s="125"/>
      <c r="PNW756" s="125"/>
      <c r="PNX756" s="125"/>
      <c r="PNY756" s="125"/>
      <c r="PNZ756" s="125"/>
      <c r="POA756" s="125"/>
      <c r="POB756" s="125"/>
      <c r="POC756" s="125"/>
      <c r="POD756" s="125"/>
      <c r="POE756" s="125"/>
      <c r="POF756" s="125"/>
      <c r="POG756" s="125"/>
      <c r="POH756" s="125"/>
      <c r="POI756" s="125"/>
      <c r="POJ756" s="125"/>
      <c r="POK756" s="125"/>
      <c r="POL756" s="125"/>
      <c r="POM756" s="125"/>
      <c r="PON756" s="125"/>
      <c r="POO756" s="125"/>
      <c r="POP756" s="125"/>
      <c r="POQ756" s="125"/>
      <c r="POR756" s="125"/>
      <c r="POS756" s="125"/>
      <c r="POT756" s="125"/>
      <c r="POU756" s="125"/>
      <c r="POV756" s="125"/>
      <c r="POW756" s="125"/>
      <c r="POX756" s="125"/>
      <c r="POY756" s="125"/>
      <c r="POZ756" s="125"/>
      <c r="PPA756" s="125"/>
      <c r="PPB756" s="125"/>
      <c r="PPC756" s="125"/>
      <c r="PPD756" s="125"/>
      <c r="PPE756" s="125"/>
      <c r="PPF756" s="125"/>
      <c r="PPG756" s="125"/>
      <c r="PPH756" s="125"/>
      <c r="PPI756" s="125"/>
      <c r="PPJ756" s="125"/>
      <c r="PPK756" s="125"/>
      <c r="PPL756" s="125"/>
      <c r="PPM756" s="125"/>
      <c r="PPN756" s="125"/>
      <c r="PPO756" s="125"/>
      <c r="PPP756" s="125"/>
      <c r="PPQ756" s="125"/>
      <c r="PPR756" s="125"/>
      <c r="PPS756" s="125"/>
      <c r="PPT756" s="125"/>
      <c r="PPU756" s="125"/>
      <c r="PPV756" s="125"/>
      <c r="PPW756" s="125"/>
      <c r="PPX756" s="125"/>
      <c r="PPY756" s="125"/>
      <c r="PPZ756" s="125"/>
      <c r="PQA756" s="125"/>
      <c r="PQB756" s="125"/>
      <c r="PQC756" s="125"/>
      <c r="PQD756" s="125"/>
      <c r="PQE756" s="125"/>
      <c r="PQF756" s="125"/>
      <c r="PQG756" s="125"/>
      <c r="PQH756" s="125"/>
      <c r="PQI756" s="125"/>
      <c r="PQJ756" s="125"/>
      <c r="PQK756" s="125"/>
      <c r="PQL756" s="125"/>
      <c r="PQM756" s="125"/>
      <c r="PQN756" s="125"/>
      <c r="PQO756" s="125"/>
      <c r="PQP756" s="125"/>
      <c r="PQQ756" s="125"/>
      <c r="PQR756" s="125"/>
      <c r="PQS756" s="125"/>
      <c r="PQT756" s="125"/>
      <c r="PQU756" s="125"/>
      <c r="PQV756" s="125"/>
      <c r="PQW756" s="125"/>
      <c r="PQX756" s="125"/>
      <c r="PQY756" s="125"/>
      <c r="PQZ756" s="125"/>
      <c r="PRA756" s="125"/>
      <c r="PRB756" s="125"/>
      <c r="PRC756" s="125"/>
      <c r="PRD756" s="125"/>
      <c r="PRE756" s="125"/>
      <c r="PRF756" s="125"/>
      <c r="PRG756" s="125"/>
      <c r="PRH756" s="125"/>
      <c r="PRI756" s="125"/>
      <c r="PRJ756" s="125"/>
      <c r="PRK756" s="125"/>
      <c r="PRL756" s="125"/>
      <c r="PRM756" s="125"/>
      <c r="PRN756" s="125"/>
      <c r="PRO756" s="125"/>
      <c r="PRP756" s="125"/>
      <c r="PRQ756" s="125"/>
      <c r="PRR756" s="125"/>
      <c r="PRS756" s="125"/>
      <c r="PRT756" s="125"/>
      <c r="PRU756" s="125"/>
      <c r="PRV756" s="125"/>
      <c r="PRW756" s="125"/>
      <c r="PRX756" s="125"/>
      <c r="PRY756" s="125"/>
      <c r="PRZ756" s="125"/>
      <c r="PSA756" s="125"/>
      <c r="PSB756" s="125"/>
      <c r="PSC756" s="125"/>
      <c r="PSD756" s="125"/>
      <c r="PSE756" s="125"/>
      <c r="PSF756" s="125"/>
      <c r="PSG756" s="125"/>
      <c r="PSH756" s="125"/>
      <c r="PSI756" s="125"/>
      <c r="PSJ756" s="125"/>
      <c r="PSK756" s="125"/>
      <c r="PSL756" s="125"/>
      <c r="PSM756" s="125"/>
      <c r="PSN756" s="125"/>
      <c r="PSO756" s="125"/>
      <c r="PSP756" s="125"/>
      <c r="PSQ756" s="125"/>
      <c r="PSR756" s="125"/>
      <c r="PSS756" s="125"/>
      <c r="PST756" s="125"/>
      <c r="PSU756" s="125"/>
      <c r="PSV756" s="125"/>
      <c r="PSW756" s="125"/>
      <c r="PSX756" s="125"/>
      <c r="PSY756" s="125"/>
      <c r="PSZ756" s="125"/>
      <c r="PTA756" s="125"/>
      <c r="PTB756" s="125"/>
      <c r="PTC756" s="125"/>
      <c r="PTD756" s="125"/>
      <c r="PTE756" s="125"/>
      <c r="PTF756" s="125"/>
      <c r="PTG756" s="125"/>
      <c r="PTH756" s="125"/>
      <c r="PTI756" s="125"/>
      <c r="PTJ756" s="125"/>
      <c r="PTK756" s="125"/>
      <c r="PTL756" s="125"/>
      <c r="PTM756" s="125"/>
      <c r="PTN756" s="125"/>
      <c r="PTO756" s="125"/>
      <c r="PTP756" s="125"/>
      <c r="PTQ756" s="125"/>
      <c r="PTR756" s="125"/>
      <c r="PTS756" s="125"/>
      <c r="PTT756" s="125"/>
      <c r="PTU756" s="125"/>
      <c r="PTV756" s="125"/>
      <c r="PTW756" s="125"/>
      <c r="PTX756" s="125"/>
      <c r="PTY756" s="125"/>
      <c r="PTZ756" s="125"/>
      <c r="PUA756" s="125"/>
      <c r="PUB756" s="125"/>
      <c r="PUC756" s="125"/>
      <c r="PUD756" s="125"/>
      <c r="PUE756" s="125"/>
      <c r="PUF756" s="125"/>
      <c r="PUG756" s="125"/>
      <c r="PUH756" s="125"/>
      <c r="PUI756" s="125"/>
      <c r="PUJ756" s="125"/>
      <c r="PUK756" s="125"/>
      <c r="PUL756" s="125"/>
      <c r="PUM756" s="125"/>
      <c r="PUN756" s="125"/>
      <c r="PUO756" s="125"/>
      <c r="PUP756" s="125"/>
      <c r="PUQ756" s="125"/>
      <c r="PUR756" s="125"/>
      <c r="PUS756" s="125"/>
      <c r="PUT756" s="125"/>
      <c r="PUU756" s="125"/>
      <c r="PUV756" s="125"/>
      <c r="PUW756" s="125"/>
      <c r="PUX756" s="125"/>
      <c r="PUY756" s="125"/>
      <c r="PUZ756" s="125"/>
      <c r="PVA756" s="125"/>
      <c r="PVB756" s="125"/>
      <c r="PVC756" s="125"/>
      <c r="PVD756" s="125"/>
      <c r="PVE756" s="125"/>
      <c r="PVF756" s="125"/>
      <c r="PVG756" s="125"/>
      <c r="PVH756" s="125"/>
      <c r="PVI756" s="125"/>
      <c r="PVJ756" s="125"/>
      <c r="PVK756" s="125"/>
      <c r="PVL756" s="125"/>
      <c r="PVM756" s="125"/>
      <c r="PVN756" s="125"/>
      <c r="PVO756" s="125"/>
      <c r="PVP756" s="125"/>
      <c r="PVQ756" s="125"/>
      <c r="PVR756" s="125"/>
      <c r="PVS756" s="125"/>
      <c r="PVT756" s="125"/>
      <c r="PVU756" s="125"/>
      <c r="PVV756" s="125"/>
      <c r="PVW756" s="125"/>
      <c r="PVX756" s="125"/>
      <c r="PVY756" s="125"/>
      <c r="PVZ756" s="125"/>
      <c r="PWA756" s="125"/>
      <c r="PWB756" s="125"/>
      <c r="PWC756" s="125"/>
      <c r="PWD756" s="125"/>
      <c r="PWE756" s="125"/>
      <c r="PWF756" s="125"/>
      <c r="PWG756" s="125"/>
      <c r="PWH756" s="125"/>
      <c r="PWI756" s="125"/>
      <c r="PWJ756" s="125"/>
      <c r="PWK756" s="125"/>
      <c r="PWL756" s="125"/>
      <c r="PWM756" s="125"/>
      <c r="PWN756" s="125"/>
      <c r="PWO756" s="125"/>
      <c r="PWP756" s="125"/>
      <c r="PWQ756" s="125"/>
      <c r="PWR756" s="125"/>
      <c r="PWS756" s="125"/>
      <c r="PWT756" s="125"/>
      <c r="PWU756" s="125"/>
      <c r="PWV756" s="125"/>
      <c r="PWW756" s="125"/>
      <c r="PWX756" s="125"/>
      <c r="PWY756" s="125"/>
      <c r="PWZ756" s="125"/>
      <c r="PXA756" s="125"/>
      <c r="PXB756" s="125"/>
      <c r="PXC756" s="125"/>
      <c r="PXD756" s="125"/>
      <c r="PXE756" s="125"/>
      <c r="PXF756" s="125"/>
      <c r="PXG756" s="125"/>
      <c r="PXH756" s="125"/>
      <c r="PXI756" s="125"/>
      <c r="PXJ756" s="125"/>
      <c r="PXK756" s="125"/>
      <c r="PXL756" s="125"/>
      <c r="PXM756" s="125"/>
      <c r="PXN756" s="125"/>
      <c r="PXO756" s="125"/>
      <c r="PXP756" s="125"/>
      <c r="PXQ756" s="125"/>
      <c r="PXR756" s="125"/>
      <c r="PXS756" s="125"/>
      <c r="PXT756" s="125"/>
      <c r="PXU756" s="125"/>
      <c r="PXV756" s="125"/>
      <c r="PXW756" s="125"/>
      <c r="PXX756" s="125"/>
      <c r="PXY756" s="125"/>
      <c r="PXZ756" s="125"/>
      <c r="PYA756" s="125"/>
      <c r="PYB756" s="125"/>
      <c r="PYC756" s="125"/>
      <c r="PYD756" s="125"/>
      <c r="PYE756" s="125"/>
      <c r="PYF756" s="125"/>
      <c r="PYG756" s="125"/>
      <c r="PYH756" s="125"/>
      <c r="PYI756" s="125"/>
      <c r="PYJ756" s="125"/>
      <c r="PYK756" s="125"/>
      <c r="PYL756" s="125"/>
      <c r="PYM756" s="125"/>
      <c r="PYN756" s="125"/>
      <c r="PYO756" s="125"/>
      <c r="PYP756" s="125"/>
      <c r="PYQ756" s="125"/>
      <c r="PYR756" s="125"/>
      <c r="PYS756" s="125"/>
      <c r="PYT756" s="125"/>
      <c r="PYU756" s="125"/>
      <c r="PYV756" s="125"/>
      <c r="PYW756" s="125"/>
      <c r="PYX756" s="125"/>
      <c r="PYY756" s="125"/>
      <c r="PYZ756" s="125"/>
      <c r="PZA756" s="125"/>
      <c r="PZB756" s="125"/>
      <c r="PZC756" s="125"/>
      <c r="PZD756" s="125"/>
      <c r="PZE756" s="125"/>
      <c r="PZF756" s="125"/>
      <c r="PZG756" s="125"/>
      <c r="PZH756" s="125"/>
      <c r="PZI756" s="125"/>
      <c r="PZJ756" s="125"/>
      <c r="PZK756" s="125"/>
      <c r="PZL756" s="125"/>
      <c r="PZM756" s="125"/>
      <c r="PZN756" s="125"/>
      <c r="PZO756" s="125"/>
      <c r="PZP756" s="125"/>
      <c r="PZQ756" s="125"/>
      <c r="PZR756" s="125"/>
      <c r="PZS756" s="125"/>
      <c r="PZT756" s="125"/>
      <c r="PZU756" s="125"/>
      <c r="PZV756" s="125"/>
      <c r="PZW756" s="125"/>
      <c r="PZX756" s="125"/>
      <c r="PZY756" s="125"/>
      <c r="PZZ756" s="125"/>
      <c r="QAA756" s="125"/>
      <c r="QAB756" s="125"/>
      <c r="QAC756" s="125"/>
      <c r="QAD756" s="125"/>
      <c r="QAE756" s="125"/>
      <c r="QAF756" s="125"/>
      <c r="QAG756" s="125"/>
      <c r="QAH756" s="125"/>
      <c r="QAI756" s="125"/>
      <c r="QAJ756" s="125"/>
      <c r="QAK756" s="125"/>
      <c r="QAL756" s="125"/>
      <c r="QAM756" s="125"/>
      <c r="QAN756" s="125"/>
      <c r="QAO756" s="125"/>
      <c r="QAP756" s="125"/>
      <c r="QAQ756" s="125"/>
      <c r="QAR756" s="125"/>
      <c r="QAS756" s="125"/>
      <c r="QAT756" s="125"/>
      <c r="QAU756" s="125"/>
      <c r="QAV756" s="125"/>
      <c r="QAW756" s="125"/>
      <c r="QAX756" s="125"/>
      <c r="QAY756" s="125"/>
      <c r="QAZ756" s="125"/>
      <c r="QBA756" s="125"/>
      <c r="QBB756" s="125"/>
      <c r="QBC756" s="125"/>
      <c r="QBD756" s="125"/>
      <c r="QBE756" s="125"/>
      <c r="QBF756" s="125"/>
      <c r="QBG756" s="125"/>
      <c r="QBH756" s="125"/>
      <c r="QBI756" s="125"/>
      <c r="QBJ756" s="125"/>
      <c r="QBK756" s="125"/>
      <c r="QBL756" s="125"/>
      <c r="QBM756" s="125"/>
      <c r="QBN756" s="125"/>
      <c r="QBO756" s="125"/>
      <c r="QBP756" s="125"/>
      <c r="QBQ756" s="125"/>
      <c r="QBR756" s="125"/>
      <c r="QBS756" s="125"/>
      <c r="QBT756" s="125"/>
      <c r="QBU756" s="125"/>
      <c r="QBV756" s="125"/>
      <c r="QBW756" s="125"/>
      <c r="QBX756" s="125"/>
      <c r="QBY756" s="125"/>
      <c r="QBZ756" s="125"/>
      <c r="QCA756" s="125"/>
      <c r="QCB756" s="125"/>
      <c r="QCC756" s="125"/>
      <c r="QCD756" s="125"/>
      <c r="QCE756" s="125"/>
      <c r="QCF756" s="125"/>
      <c r="QCG756" s="125"/>
      <c r="QCH756" s="125"/>
      <c r="QCI756" s="125"/>
      <c r="QCJ756" s="125"/>
      <c r="QCK756" s="125"/>
      <c r="QCL756" s="125"/>
      <c r="QCM756" s="125"/>
      <c r="QCN756" s="125"/>
      <c r="QCO756" s="125"/>
      <c r="QCP756" s="125"/>
      <c r="QCQ756" s="125"/>
      <c r="QCR756" s="125"/>
      <c r="QCS756" s="125"/>
      <c r="QCT756" s="125"/>
      <c r="QCU756" s="125"/>
      <c r="QCV756" s="125"/>
      <c r="QCW756" s="125"/>
      <c r="QCX756" s="125"/>
      <c r="QCY756" s="125"/>
      <c r="QCZ756" s="125"/>
      <c r="QDA756" s="125"/>
      <c r="QDB756" s="125"/>
      <c r="QDC756" s="125"/>
      <c r="QDD756" s="125"/>
      <c r="QDE756" s="125"/>
      <c r="QDF756" s="125"/>
      <c r="QDG756" s="125"/>
      <c r="QDH756" s="125"/>
      <c r="QDI756" s="125"/>
      <c r="QDJ756" s="125"/>
      <c r="QDK756" s="125"/>
      <c r="QDL756" s="125"/>
      <c r="QDM756" s="125"/>
      <c r="QDN756" s="125"/>
      <c r="QDO756" s="125"/>
      <c r="QDP756" s="125"/>
      <c r="QDQ756" s="125"/>
      <c r="QDR756" s="125"/>
      <c r="QDS756" s="125"/>
      <c r="QDT756" s="125"/>
      <c r="QDU756" s="125"/>
      <c r="QDV756" s="125"/>
      <c r="QDW756" s="125"/>
      <c r="QDX756" s="125"/>
      <c r="QDY756" s="125"/>
      <c r="QDZ756" s="125"/>
      <c r="QEA756" s="125"/>
      <c r="QEB756" s="125"/>
      <c r="QEC756" s="125"/>
      <c r="QED756" s="125"/>
      <c r="QEE756" s="125"/>
      <c r="QEF756" s="125"/>
      <c r="QEG756" s="125"/>
      <c r="QEH756" s="125"/>
      <c r="QEI756" s="125"/>
      <c r="QEJ756" s="125"/>
      <c r="QEK756" s="125"/>
      <c r="QEL756" s="125"/>
      <c r="QEM756" s="125"/>
      <c r="QEN756" s="125"/>
      <c r="QEO756" s="125"/>
      <c r="QEP756" s="125"/>
      <c r="QEQ756" s="125"/>
      <c r="QER756" s="125"/>
      <c r="QES756" s="125"/>
      <c r="QET756" s="125"/>
      <c r="QEU756" s="125"/>
      <c r="QEV756" s="125"/>
      <c r="QEW756" s="125"/>
      <c r="QEX756" s="125"/>
      <c r="QEY756" s="125"/>
      <c r="QEZ756" s="125"/>
      <c r="QFA756" s="125"/>
      <c r="QFB756" s="125"/>
      <c r="QFC756" s="125"/>
      <c r="QFD756" s="125"/>
      <c r="QFE756" s="125"/>
      <c r="QFF756" s="125"/>
      <c r="QFG756" s="125"/>
      <c r="QFH756" s="125"/>
      <c r="QFI756" s="125"/>
      <c r="QFJ756" s="125"/>
      <c r="QFK756" s="125"/>
      <c r="QFL756" s="125"/>
      <c r="QFM756" s="125"/>
      <c r="QFN756" s="125"/>
      <c r="QFO756" s="125"/>
      <c r="QFP756" s="125"/>
      <c r="QFQ756" s="125"/>
      <c r="QFR756" s="125"/>
      <c r="QFS756" s="125"/>
      <c r="QFT756" s="125"/>
      <c r="QFU756" s="125"/>
      <c r="QFV756" s="125"/>
      <c r="QFW756" s="125"/>
      <c r="QFX756" s="125"/>
      <c r="QFY756" s="125"/>
      <c r="QFZ756" s="125"/>
      <c r="QGA756" s="125"/>
      <c r="QGB756" s="125"/>
      <c r="QGC756" s="125"/>
      <c r="QGD756" s="125"/>
      <c r="QGE756" s="125"/>
      <c r="QGF756" s="125"/>
      <c r="QGG756" s="125"/>
      <c r="QGH756" s="125"/>
      <c r="QGI756" s="125"/>
      <c r="QGJ756" s="125"/>
      <c r="QGK756" s="125"/>
      <c r="QGL756" s="125"/>
      <c r="QGM756" s="125"/>
      <c r="QGN756" s="125"/>
      <c r="QGO756" s="125"/>
      <c r="QGP756" s="125"/>
      <c r="QGQ756" s="125"/>
      <c r="QGR756" s="125"/>
      <c r="QGS756" s="125"/>
      <c r="QGT756" s="125"/>
      <c r="QGU756" s="125"/>
      <c r="QGV756" s="125"/>
      <c r="QGW756" s="125"/>
      <c r="QGX756" s="125"/>
      <c r="QGY756" s="125"/>
      <c r="QGZ756" s="125"/>
      <c r="QHA756" s="125"/>
      <c r="QHB756" s="125"/>
      <c r="QHC756" s="125"/>
      <c r="QHD756" s="125"/>
      <c r="QHE756" s="125"/>
      <c r="QHF756" s="125"/>
      <c r="QHG756" s="125"/>
      <c r="QHH756" s="125"/>
      <c r="QHI756" s="125"/>
      <c r="QHJ756" s="125"/>
      <c r="QHK756" s="125"/>
      <c r="QHL756" s="125"/>
      <c r="QHM756" s="125"/>
      <c r="QHN756" s="125"/>
      <c r="QHO756" s="125"/>
      <c r="QHP756" s="125"/>
      <c r="QHQ756" s="125"/>
      <c r="QHR756" s="125"/>
      <c r="QHS756" s="125"/>
      <c r="QHT756" s="125"/>
      <c r="QHU756" s="125"/>
      <c r="QHV756" s="125"/>
      <c r="QHW756" s="125"/>
      <c r="QHX756" s="125"/>
      <c r="QHY756" s="125"/>
      <c r="QHZ756" s="125"/>
      <c r="QIA756" s="125"/>
      <c r="QIB756" s="125"/>
      <c r="QIC756" s="125"/>
      <c r="QID756" s="125"/>
      <c r="QIE756" s="125"/>
      <c r="QIF756" s="125"/>
      <c r="QIG756" s="125"/>
      <c r="QIH756" s="125"/>
      <c r="QII756" s="125"/>
      <c r="QIJ756" s="125"/>
      <c r="QIK756" s="125"/>
      <c r="QIL756" s="125"/>
      <c r="QIM756" s="125"/>
      <c r="QIN756" s="125"/>
      <c r="QIO756" s="125"/>
      <c r="QIP756" s="125"/>
      <c r="QIQ756" s="125"/>
      <c r="QIR756" s="125"/>
      <c r="QIS756" s="125"/>
      <c r="QIT756" s="125"/>
      <c r="QIU756" s="125"/>
      <c r="QIV756" s="125"/>
      <c r="QIW756" s="125"/>
      <c r="QIX756" s="125"/>
      <c r="QIY756" s="125"/>
      <c r="QIZ756" s="125"/>
      <c r="QJA756" s="125"/>
      <c r="QJB756" s="125"/>
      <c r="QJC756" s="125"/>
      <c r="QJD756" s="125"/>
      <c r="QJE756" s="125"/>
      <c r="QJF756" s="125"/>
      <c r="QJG756" s="125"/>
      <c r="QJH756" s="125"/>
      <c r="QJI756" s="125"/>
      <c r="QJJ756" s="125"/>
      <c r="QJK756" s="125"/>
      <c r="QJL756" s="125"/>
      <c r="QJM756" s="125"/>
      <c r="QJN756" s="125"/>
      <c r="QJO756" s="125"/>
      <c r="QJP756" s="125"/>
      <c r="QJQ756" s="125"/>
      <c r="QJR756" s="125"/>
      <c r="QJS756" s="125"/>
      <c r="QJT756" s="125"/>
      <c r="QJU756" s="125"/>
      <c r="QJV756" s="125"/>
      <c r="QJW756" s="125"/>
      <c r="QJX756" s="125"/>
      <c r="QJY756" s="125"/>
      <c r="QJZ756" s="125"/>
      <c r="QKA756" s="125"/>
      <c r="QKB756" s="125"/>
      <c r="QKC756" s="125"/>
      <c r="QKD756" s="125"/>
      <c r="QKE756" s="125"/>
      <c r="QKF756" s="125"/>
      <c r="QKG756" s="125"/>
      <c r="QKH756" s="125"/>
      <c r="QKI756" s="125"/>
      <c r="QKJ756" s="125"/>
      <c r="QKK756" s="125"/>
      <c r="QKL756" s="125"/>
      <c r="QKM756" s="125"/>
      <c r="QKN756" s="125"/>
      <c r="QKO756" s="125"/>
      <c r="QKP756" s="125"/>
      <c r="QKQ756" s="125"/>
      <c r="QKR756" s="125"/>
      <c r="QKS756" s="125"/>
      <c r="QKT756" s="125"/>
      <c r="QKU756" s="125"/>
      <c r="QKV756" s="125"/>
      <c r="QKW756" s="125"/>
      <c r="QKX756" s="125"/>
      <c r="QKY756" s="125"/>
      <c r="QKZ756" s="125"/>
      <c r="QLA756" s="125"/>
      <c r="QLB756" s="125"/>
      <c r="QLC756" s="125"/>
      <c r="QLD756" s="125"/>
      <c r="QLE756" s="125"/>
      <c r="QLF756" s="125"/>
      <c r="QLG756" s="125"/>
      <c r="QLH756" s="125"/>
      <c r="QLI756" s="125"/>
      <c r="QLJ756" s="125"/>
      <c r="QLK756" s="125"/>
      <c r="QLL756" s="125"/>
      <c r="QLM756" s="125"/>
      <c r="QLN756" s="125"/>
      <c r="QLO756" s="125"/>
      <c r="QLP756" s="125"/>
      <c r="QLQ756" s="125"/>
      <c r="QLR756" s="125"/>
      <c r="QLS756" s="125"/>
      <c r="QLT756" s="125"/>
      <c r="QLU756" s="125"/>
      <c r="QLV756" s="125"/>
      <c r="QLW756" s="125"/>
      <c r="QLX756" s="125"/>
      <c r="QLY756" s="125"/>
      <c r="QLZ756" s="125"/>
      <c r="QMA756" s="125"/>
      <c r="QMB756" s="125"/>
      <c r="QMC756" s="125"/>
      <c r="QMD756" s="125"/>
      <c r="QME756" s="125"/>
      <c r="QMF756" s="125"/>
      <c r="QMG756" s="125"/>
      <c r="QMH756" s="125"/>
      <c r="QMI756" s="125"/>
      <c r="QMJ756" s="125"/>
      <c r="QMK756" s="125"/>
      <c r="QML756" s="125"/>
      <c r="QMM756" s="125"/>
      <c r="QMN756" s="125"/>
      <c r="QMO756" s="125"/>
      <c r="QMP756" s="125"/>
      <c r="QMQ756" s="125"/>
      <c r="QMR756" s="125"/>
      <c r="QMS756" s="125"/>
      <c r="QMT756" s="125"/>
      <c r="QMU756" s="125"/>
      <c r="QMV756" s="125"/>
      <c r="QMW756" s="125"/>
      <c r="QMX756" s="125"/>
      <c r="QMY756" s="125"/>
      <c r="QMZ756" s="125"/>
      <c r="QNA756" s="125"/>
      <c r="QNB756" s="125"/>
      <c r="QNC756" s="125"/>
      <c r="QND756" s="125"/>
      <c r="QNE756" s="125"/>
      <c r="QNF756" s="125"/>
      <c r="QNG756" s="125"/>
      <c r="QNH756" s="125"/>
      <c r="QNI756" s="125"/>
      <c r="QNJ756" s="125"/>
      <c r="QNK756" s="125"/>
      <c r="QNL756" s="125"/>
      <c r="QNM756" s="125"/>
      <c r="QNN756" s="125"/>
      <c r="QNO756" s="125"/>
      <c r="QNP756" s="125"/>
      <c r="QNQ756" s="125"/>
      <c r="QNR756" s="125"/>
      <c r="QNS756" s="125"/>
      <c r="QNT756" s="125"/>
      <c r="QNU756" s="125"/>
      <c r="QNV756" s="125"/>
      <c r="QNW756" s="125"/>
      <c r="QNX756" s="125"/>
      <c r="QNY756" s="125"/>
      <c r="QNZ756" s="125"/>
      <c r="QOA756" s="125"/>
      <c r="QOB756" s="125"/>
      <c r="QOC756" s="125"/>
      <c r="QOD756" s="125"/>
      <c r="QOE756" s="125"/>
      <c r="QOF756" s="125"/>
      <c r="QOG756" s="125"/>
      <c r="QOH756" s="125"/>
      <c r="QOI756" s="125"/>
      <c r="QOJ756" s="125"/>
      <c r="QOK756" s="125"/>
      <c r="QOL756" s="125"/>
      <c r="QOM756" s="125"/>
      <c r="QON756" s="125"/>
      <c r="QOO756" s="125"/>
      <c r="QOP756" s="125"/>
      <c r="QOQ756" s="125"/>
      <c r="QOR756" s="125"/>
      <c r="QOS756" s="125"/>
      <c r="QOT756" s="125"/>
      <c r="QOU756" s="125"/>
      <c r="QOV756" s="125"/>
      <c r="QOW756" s="125"/>
      <c r="QOX756" s="125"/>
      <c r="QOY756" s="125"/>
      <c r="QOZ756" s="125"/>
      <c r="QPA756" s="125"/>
      <c r="QPB756" s="125"/>
      <c r="QPC756" s="125"/>
      <c r="QPD756" s="125"/>
      <c r="QPE756" s="125"/>
      <c r="QPF756" s="125"/>
      <c r="QPG756" s="125"/>
      <c r="QPH756" s="125"/>
      <c r="QPI756" s="125"/>
      <c r="QPJ756" s="125"/>
      <c r="QPK756" s="125"/>
      <c r="QPL756" s="125"/>
      <c r="QPM756" s="125"/>
      <c r="QPN756" s="125"/>
      <c r="QPO756" s="125"/>
      <c r="QPP756" s="125"/>
      <c r="QPQ756" s="125"/>
      <c r="QPR756" s="125"/>
      <c r="QPS756" s="125"/>
      <c r="QPT756" s="125"/>
      <c r="QPU756" s="125"/>
      <c r="QPV756" s="125"/>
      <c r="QPW756" s="125"/>
      <c r="QPX756" s="125"/>
      <c r="QPY756" s="125"/>
      <c r="QPZ756" s="125"/>
      <c r="QQA756" s="125"/>
      <c r="QQB756" s="125"/>
      <c r="QQC756" s="125"/>
      <c r="QQD756" s="125"/>
      <c r="QQE756" s="125"/>
      <c r="QQF756" s="125"/>
      <c r="QQG756" s="125"/>
      <c r="QQH756" s="125"/>
      <c r="QQI756" s="125"/>
      <c r="QQJ756" s="125"/>
      <c r="QQK756" s="125"/>
      <c r="QQL756" s="125"/>
      <c r="QQM756" s="125"/>
      <c r="QQN756" s="125"/>
      <c r="QQO756" s="125"/>
      <c r="QQP756" s="125"/>
      <c r="QQQ756" s="125"/>
      <c r="QQR756" s="125"/>
      <c r="QQS756" s="125"/>
      <c r="QQT756" s="125"/>
      <c r="QQU756" s="125"/>
      <c r="QQV756" s="125"/>
      <c r="QQW756" s="125"/>
      <c r="QQX756" s="125"/>
      <c r="QQY756" s="125"/>
      <c r="QQZ756" s="125"/>
      <c r="QRA756" s="125"/>
      <c r="QRB756" s="125"/>
      <c r="QRC756" s="125"/>
      <c r="QRD756" s="125"/>
      <c r="QRE756" s="125"/>
      <c r="QRF756" s="125"/>
      <c r="QRG756" s="125"/>
      <c r="QRH756" s="125"/>
      <c r="QRI756" s="125"/>
      <c r="QRJ756" s="125"/>
      <c r="QRK756" s="125"/>
      <c r="QRL756" s="125"/>
      <c r="QRM756" s="125"/>
      <c r="QRN756" s="125"/>
      <c r="QRO756" s="125"/>
      <c r="QRP756" s="125"/>
      <c r="QRQ756" s="125"/>
      <c r="QRR756" s="125"/>
      <c r="QRS756" s="125"/>
      <c r="QRT756" s="125"/>
      <c r="QRU756" s="125"/>
      <c r="QRV756" s="125"/>
      <c r="QRW756" s="125"/>
      <c r="QRX756" s="125"/>
      <c r="QRY756" s="125"/>
      <c r="QRZ756" s="125"/>
      <c r="QSA756" s="125"/>
      <c r="QSB756" s="125"/>
      <c r="QSC756" s="125"/>
      <c r="QSD756" s="125"/>
      <c r="QSE756" s="125"/>
      <c r="QSF756" s="125"/>
      <c r="QSG756" s="125"/>
      <c r="QSH756" s="125"/>
      <c r="QSI756" s="125"/>
      <c r="QSJ756" s="125"/>
      <c r="QSK756" s="125"/>
      <c r="QSL756" s="125"/>
      <c r="QSM756" s="125"/>
      <c r="QSN756" s="125"/>
      <c r="QSO756" s="125"/>
      <c r="QSP756" s="125"/>
      <c r="QSQ756" s="125"/>
      <c r="QSR756" s="125"/>
      <c r="QSS756" s="125"/>
      <c r="QST756" s="125"/>
      <c r="QSU756" s="125"/>
      <c r="QSV756" s="125"/>
      <c r="QSW756" s="125"/>
      <c r="QSX756" s="125"/>
      <c r="QSY756" s="125"/>
      <c r="QSZ756" s="125"/>
      <c r="QTA756" s="125"/>
      <c r="QTB756" s="125"/>
      <c r="QTC756" s="125"/>
      <c r="QTD756" s="125"/>
      <c r="QTE756" s="125"/>
      <c r="QTF756" s="125"/>
      <c r="QTG756" s="125"/>
      <c r="QTH756" s="125"/>
      <c r="QTI756" s="125"/>
      <c r="QTJ756" s="125"/>
      <c r="QTK756" s="125"/>
      <c r="QTL756" s="125"/>
      <c r="QTM756" s="125"/>
      <c r="QTN756" s="125"/>
      <c r="QTO756" s="125"/>
      <c r="QTP756" s="125"/>
      <c r="QTQ756" s="125"/>
      <c r="QTR756" s="125"/>
      <c r="QTS756" s="125"/>
      <c r="QTT756" s="125"/>
      <c r="QTU756" s="125"/>
      <c r="QTV756" s="125"/>
      <c r="QTW756" s="125"/>
      <c r="QTX756" s="125"/>
      <c r="QTY756" s="125"/>
      <c r="QTZ756" s="125"/>
      <c r="QUA756" s="125"/>
      <c r="QUB756" s="125"/>
      <c r="QUC756" s="125"/>
      <c r="QUD756" s="125"/>
      <c r="QUE756" s="125"/>
      <c r="QUF756" s="125"/>
      <c r="QUG756" s="125"/>
      <c r="QUH756" s="125"/>
      <c r="QUI756" s="125"/>
      <c r="QUJ756" s="125"/>
      <c r="QUK756" s="125"/>
      <c r="QUL756" s="125"/>
      <c r="QUM756" s="125"/>
      <c r="QUN756" s="125"/>
      <c r="QUO756" s="125"/>
      <c r="QUP756" s="125"/>
      <c r="QUQ756" s="125"/>
      <c r="QUR756" s="125"/>
      <c r="QUS756" s="125"/>
      <c r="QUT756" s="125"/>
      <c r="QUU756" s="125"/>
      <c r="QUV756" s="125"/>
      <c r="QUW756" s="125"/>
      <c r="QUX756" s="125"/>
      <c r="QUY756" s="125"/>
      <c r="QUZ756" s="125"/>
      <c r="QVA756" s="125"/>
      <c r="QVB756" s="125"/>
      <c r="QVC756" s="125"/>
      <c r="QVD756" s="125"/>
      <c r="QVE756" s="125"/>
      <c r="QVF756" s="125"/>
      <c r="QVG756" s="125"/>
      <c r="QVH756" s="125"/>
      <c r="QVI756" s="125"/>
      <c r="QVJ756" s="125"/>
      <c r="QVK756" s="125"/>
      <c r="QVL756" s="125"/>
      <c r="QVM756" s="125"/>
      <c r="QVN756" s="125"/>
      <c r="QVO756" s="125"/>
      <c r="QVP756" s="125"/>
      <c r="QVQ756" s="125"/>
      <c r="QVR756" s="125"/>
      <c r="QVS756" s="125"/>
      <c r="QVT756" s="125"/>
      <c r="QVU756" s="125"/>
      <c r="QVV756" s="125"/>
      <c r="QVW756" s="125"/>
      <c r="QVX756" s="125"/>
      <c r="QVY756" s="125"/>
      <c r="QVZ756" s="125"/>
      <c r="QWA756" s="125"/>
      <c r="QWB756" s="125"/>
      <c r="QWC756" s="125"/>
      <c r="QWD756" s="125"/>
      <c r="QWE756" s="125"/>
      <c r="QWF756" s="125"/>
      <c r="QWG756" s="125"/>
      <c r="QWH756" s="125"/>
      <c r="QWI756" s="125"/>
      <c r="QWJ756" s="125"/>
      <c r="QWK756" s="125"/>
      <c r="QWL756" s="125"/>
      <c r="QWM756" s="125"/>
      <c r="QWN756" s="125"/>
      <c r="QWO756" s="125"/>
      <c r="QWP756" s="125"/>
      <c r="QWQ756" s="125"/>
      <c r="QWR756" s="125"/>
      <c r="QWS756" s="125"/>
      <c r="QWT756" s="125"/>
      <c r="QWU756" s="125"/>
      <c r="QWV756" s="125"/>
      <c r="QWW756" s="125"/>
      <c r="QWX756" s="125"/>
      <c r="QWY756" s="125"/>
      <c r="QWZ756" s="125"/>
      <c r="QXA756" s="125"/>
      <c r="QXB756" s="125"/>
      <c r="QXC756" s="125"/>
      <c r="QXD756" s="125"/>
      <c r="QXE756" s="125"/>
      <c r="QXF756" s="125"/>
      <c r="QXG756" s="125"/>
      <c r="QXH756" s="125"/>
      <c r="QXI756" s="125"/>
      <c r="QXJ756" s="125"/>
      <c r="QXK756" s="125"/>
      <c r="QXL756" s="125"/>
      <c r="QXM756" s="125"/>
      <c r="QXN756" s="125"/>
      <c r="QXO756" s="125"/>
      <c r="QXP756" s="125"/>
      <c r="QXQ756" s="125"/>
      <c r="QXR756" s="125"/>
      <c r="QXS756" s="125"/>
      <c r="QXT756" s="125"/>
      <c r="QXU756" s="125"/>
      <c r="QXV756" s="125"/>
      <c r="QXW756" s="125"/>
      <c r="QXX756" s="125"/>
      <c r="QXY756" s="125"/>
      <c r="QXZ756" s="125"/>
      <c r="QYA756" s="125"/>
      <c r="QYB756" s="125"/>
      <c r="QYC756" s="125"/>
      <c r="QYD756" s="125"/>
      <c r="QYE756" s="125"/>
      <c r="QYF756" s="125"/>
      <c r="QYG756" s="125"/>
      <c r="QYH756" s="125"/>
      <c r="QYI756" s="125"/>
      <c r="QYJ756" s="125"/>
      <c r="QYK756" s="125"/>
      <c r="QYL756" s="125"/>
      <c r="QYM756" s="125"/>
      <c r="QYN756" s="125"/>
      <c r="QYO756" s="125"/>
      <c r="QYP756" s="125"/>
      <c r="QYQ756" s="125"/>
      <c r="QYR756" s="125"/>
      <c r="QYS756" s="125"/>
      <c r="QYT756" s="125"/>
      <c r="QYU756" s="125"/>
      <c r="QYV756" s="125"/>
      <c r="QYW756" s="125"/>
      <c r="QYX756" s="125"/>
      <c r="QYY756" s="125"/>
      <c r="QYZ756" s="125"/>
      <c r="QZA756" s="125"/>
      <c r="QZB756" s="125"/>
      <c r="QZC756" s="125"/>
      <c r="QZD756" s="125"/>
      <c r="QZE756" s="125"/>
      <c r="QZF756" s="125"/>
      <c r="QZG756" s="125"/>
      <c r="QZH756" s="125"/>
      <c r="QZI756" s="125"/>
      <c r="QZJ756" s="125"/>
      <c r="QZK756" s="125"/>
      <c r="QZL756" s="125"/>
      <c r="QZM756" s="125"/>
      <c r="QZN756" s="125"/>
      <c r="QZO756" s="125"/>
      <c r="QZP756" s="125"/>
      <c r="QZQ756" s="125"/>
      <c r="QZR756" s="125"/>
      <c r="QZS756" s="125"/>
      <c r="QZT756" s="125"/>
      <c r="QZU756" s="125"/>
      <c r="QZV756" s="125"/>
      <c r="QZW756" s="125"/>
      <c r="QZX756" s="125"/>
      <c r="QZY756" s="125"/>
      <c r="QZZ756" s="125"/>
      <c r="RAA756" s="125"/>
      <c r="RAB756" s="125"/>
      <c r="RAC756" s="125"/>
      <c r="RAD756" s="125"/>
      <c r="RAE756" s="125"/>
      <c r="RAF756" s="125"/>
      <c r="RAG756" s="125"/>
      <c r="RAH756" s="125"/>
      <c r="RAI756" s="125"/>
      <c r="RAJ756" s="125"/>
      <c r="RAK756" s="125"/>
      <c r="RAL756" s="125"/>
      <c r="RAM756" s="125"/>
      <c r="RAN756" s="125"/>
      <c r="RAO756" s="125"/>
      <c r="RAP756" s="125"/>
      <c r="RAQ756" s="125"/>
      <c r="RAR756" s="125"/>
      <c r="RAS756" s="125"/>
      <c r="RAT756" s="125"/>
      <c r="RAU756" s="125"/>
      <c r="RAV756" s="125"/>
      <c r="RAW756" s="125"/>
      <c r="RAX756" s="125"/>
      <c r="RAY756" s="125"/>
      <c r="RAZ756" s="125"/>
      <c r="RBA756" s="125"/>
      <c r="RBB756" s="125"/>
      <c r="RBC756" s="125"/>
      <c r="RBD756" s="125"/>
      <c r="RBE756" s="125"/>
      <c r="RBF756" s="125"/>
      <c r="RBG756" s="125"/>
      <c r="RBH756" s="125"/>
      <c r="RBI756" s="125"/>
      <c r="RBJ756" s="125"/>
      <c r="RBK756" s="125"/>
      <c r="RBL756" s="125"/>
      <c r="RBM756" s="125"/>
      <c r="RBN756" s="125"/>
      <c r="RBO756" s="125"/>
      <c r="RBP756" s="125"/>
      <c r="RBQ756" s="125"/>
      <c r="RBR756" s="125"/>
      <c r="RBS756" s="125"/>
      <c r="RBT756" s="125"/>
      <c r="RBU756" s="125"/>
      <c r="RBV756" s="125"/>
      <c r="RBW756" s="125"/>
      <c r="RBX756" s="125"/>
      <c r="RBY756" s="125"/>
      <c r="RBZ756" s="125"/>
      <c r="RCA756" s="125"/>
      <c r="RCB756" s="125"/>
      <c r="RCC756" s="125"/>
      <c r="RCD756" s="125"/>
      <c r="RCE756" s="125"/>
      <c r="RCF756" s="125"/>
      <c r="RCG756" s="125"/>
      <c r="RCH756" s="125"/>
      <c r="RCI756" s="125"/>
      <c r="RCJ756" s="125"/>
      <c r="RCK756" s="125"/>
      <c r="RCL756" s="125"/>
      <c r="RCM756" s="125"/>
      <c r="RCN756" s="125"/>
      <c r="RCO756" s="125"/>
      <c r="RCP756" s="125"/>
      <c r="RCQ756" s="125"/>
      <c r="RCR756" s="125"/>
      <c r="RCS756" s="125"/>
      <c r="RCT756" s="125"/>
      <c r="RCU756" s="125"/>
      <c r="RCV756" s="125"/>
      <c r="RCW756" s="125"/>
      <c r="RCX756" s="125"/>
      <c r="RCY756" s="125"/>
      <c r="RCZ756" s="125"/>
      <c r="RDA756" s="125"/>
      <c r="RDB756" s="125"/>
      <c r="RDC756" s="125"/>
      <c r="RDD756" s="125"/>
      <c r="RDE756" s="125"/>
      <c r="RDF756" s="125"/>
      <c r="RDG756" s="125"/>
      <c r="RDH756" s="125"/>
      <c r="RDI756" s="125"/>
      <c r="RDJ756" s="125"/>
      <c r="RDK756" s="125"/>
      <c r="RDL756" s="125"/>
      <c r="RDM756" s="125"/>
      <c r="RDN756" s="125"/>
      <c r="RDO756" s="125"/>
      <c r="RDP756" s="125"/>
      <c r="RDQ756" s="125"/>
      <c r="RDR756" s="125"/>
      <c r="RDS756" s="125"/>
      <c r="RDT756" s="125"/>
      <c r="RDU756" s="125"/>
      <c r="RDV756" s="125"/>
      <c r="RDW756" s="125"/>
      <c r="RDX756" s="125"/>
      <c r="RDY756" s="125"/>
      <c r="RDZ756" s="125"/>
      <c r="REA756" s="125"/>
      <c r="REB756" s="125"/>
      <c r="REC756" s="125"/>
      <c r="RED756" s="125"/>
      <c r="REE756" s="125"/>
      <c r="REF756" s="125"/>
      <c r="REG756" s="125"/>
      <c r="REH756" s="125"/>
      <c r="REI756" s="125"/>
      <c r="REJ756" s="125"/>
      <c r="REK756" s="125"/>
      <c r="REL756" s="125"/>
      <c r="REM756" s="125"/>
      <c r="REN756" s="125"/>
      <c r="REO756" s="125"/>
      <c r="REP756" s="125"/>
      <c r="REQ756" s="125"/>
      <c r="RER756" s="125"/>
      <c r="RES756" s="125"/>
      <c r="RET756" s="125"/>
      <c r="REU756" s="125"/>
      <c r="REV756" s="125"/>
      <c r="REW756" s="125"/>
      <c r="REX756" s="125"/>
      <c r="REY756" s="125"/>
      <c r="REZ756" s="125"/>
      <c r="RFA756" s="125"/>
      <c r="RFB756" s="125"/>
      <c r="RFC756" s="125"/>
      <c r="RFD756" s="125"/>
      <c r="RFE756" s="125"/>
      <c r="RFF756" s="125"/>
      <c r="RFG756" s="125"/>
      <c r="RFH756" s="125"/>
      <c r="RFI756" s="125"/>
      <c r="RFJ756" s="125"/>
      <c r="RFK756" s="125"/>
      <c r="RFL756" s="125"/>
      <c r="RFM756" s="125"/>
      <c r="RFN756" s="125"/>
      <c r="RFO756" s="125"/>
      <c r="RFP756" s="125"/>
      <c r="RFQ756" s="125"/>
      <c r="RFR756" s="125"/>
      <c r="RFS756" s="125"/>
      <c r="RFT756" s="125"/>
      <c r="RFU756" s="125"/>
      <c r="RFV756" s="125"/>
      <c r="RFW756" s="125"/>
      <c r="RFX756" s="125"/>
      <c r="RFY756" s="125"/>
      <c r="RFZ756" s="125"/>
      <c r="RGA756" s="125"/>
      <c r="RGB756" s="125"/>
      <c r="RGC756" s="125"/>
      <c r="RGD756" s="125"/>
      <c r="RGE756" s="125"/>
      <c r="RGF756" s="125"/>
      <c r="RGG756" s="125"/>
      <c r="RGH756" s="125"/>
      <c r="RGI756" s="125"/>
      <c r="RGJ756" s="125"/>
      <c r="RGK756" s="125"/>
      <c r="RGL756" s="125"/>
      <c r="RGM756" s="125"/>
      <c r="RGN756" s="125"/>
      <c r="RGO756" s="125"/>
      <c r="RGP756" s="125"/>
      <c r="RGQ756" s="125"/>
      <c r="RGR756" s="125"/>
      <c r="RGS756" s="125"/>
      <c r="RGT756" s="125"/>
      <c r="RGU756" s="125"/>
      <c r="RGV756" s="125"/>
      <c r="RGW756" s="125"/>
      <c r="RGX756" s="125"/>
      <c r="RGY756" s="125"/>
      <c r="RGZ756" s="125"/>
      <c r="RHA756" s="125"/>
      <c r="RHB756" s="125"/>
      <c r="RHC756" s="125"/>
      <c r="RHD756" s="125"/>
      <c r="RHE756" s="125"/>
      <c r="RHF756" s="125"/>
      <c r="RHG756" s="125"/>
      <c r="RHH756" s="125"/>
      <c r="RHI756" s="125"/>
      <c r="RHJ756" s="125"/>
      <c r="RHK756" s="125"/>
      <c r="RHL756" s="125"/>
      <c r="RHM756" s="125"/>
      <c r="RHN756" s="125"/>
      <c r="RHO756" s="125"/>
      <c r="RHP756" s="125"/>
      <c r="RHQ756" s="125"/>
      <c r="RHR756" s="125"/>
      <c r="RHS756" s="125"/>
      <c r="RHT756" s="125"/>
      <c r="RHU756" s="125"/>
      <c r="RHV756" s="125"/>
      <c r="RHW756" s="125"/>
      <c r="RHX756" s="125"/>
      <c r="RHY756" s="125"/>
      <c r="RHZ756" s="125"/>
      <c r="RIA756" s="125"/>
      <c r="RIB756" s="125"/>
      <c r="RIC756" s="125"/>
      <c r="RID756" s="125"/>
      <c r="RIE756" s="125"/>
      <c r="RIF756" s="125"/>
      <c r="RIG756" s="125"/>
      <c r="RIH756" s="125"/>
      <c r="RII756" s="125"/>
      <c r="RIJ756" s="125"/>
      <c r="RIK756" s="125"/>
      <c r="RIL756" s="125"/>
      <c r="RIM756" s="125"/>
      <c r="RIN756" s="125"/>
      <c r="RIO756" s="125"/>
      <c r="RIP756" s="125"/>
      <c r="RIQ756" s="125"/>
      <c r="RIR756" s="125"/>
      <c r="RIS756" s="125"/>
      <c r="RIT756" s="125"/>
      <c r="RIU756" s="125"/>
      <c r="RIV756" s="125"/>
      <c r="RIW756" s="125"/>
      <c r="RIX756" s="125"/>
      <c r="RIY756" s="125"/>
      <c r="RIZ756" s="125"/>
      <c r="RJA756" s="125"/>
      <c r="RJB756" s="125"/>
      <c r="RJC756" s="125"/>
      <c r="RJD756" s="125"/>
      <c r="RJE756" s="125"/>
      <c r="RJF756" s="125"/>
      <c r="RJG756" s="125"/>
      <c r="RJH756" s="125"/>
      <c r="RJI756" s="125"/>
      <c r="RJJ756" s="125"/>
      <c r="RJK756" s="125"/>
      <c r="RJL756" s="125"/>
      <c r="RJM756" s="125"/>
      <c r="RJN756" s="125"/>
      <c r="RJO756" s="125"/>
      <c r="RJP756" s="125"/>
      <c r="RJQ756" s="125"/>
      <c r="RJR756" s="125"/>
      <c r="RJS756" s="125"/>
      <c r="RJT756" s="125"/>
      <c r="RJU756" s="125"/>
      <c r="RJV756" s="125"/>
      <c r="RJW756" s="125"/>
      <c r="RJX756" s="125"/>
      <c r="RJY756" s="125"/>
      <c r="RJZ756" s="125"/>
      <c r="RKA756" s="125"/>
      <c r="RKB756" s="125"/>
      <c r="RKC756" s="125"/>
      <c r="RKD756" s="125"/>
      <c r="RKE756" s="125"/>
      <c r="RKF756" s="125"/>
      <c r="RKG756" s="125"/>
      <c r="RKH756" s="125"/>
      <c r="RKI756" s="125"/>
      <c r="RKJ756" s="125"/>
      <c r="RKK756" s="125"/>
      <c r="RKL756" s="125"/>
      <c r="RKM756" s="125"/>
      <c r="RKN756" s="125"/>
      <c r="RKO756" s="125"/>
      <c r="RKP756" s="125"/>
      <c r="RKQ756" s="125"/>
      <c r="RKR756" s="125"/>
      <c r="RKS756" s="125"/>
      <c r="RKT756" s="125"/>
      <c r="RKU756" s="125"/>
      <c r="RKV756" s="125"/>
      <c r="RKW756" s="125"/>
      <c r="RKX756" s="125"/>
      <c r="RKY756" s="125"/>
      <c r="RKZ756" s="125"/>
      <c r="RLA756" s="125"/>
      <c r="RLB756" s="125"/>
      <c r="RLC756" s="125"/>
      <c r="RLD756" s="125"/>
      <c r="RLE756" s="125"/>
      <c r="RLF756" s="125"/>
      <c r="RLG756" s="125"/>
      <c r="RLH756" s="125"/>
      <c r="RLI756" s="125"/>
      <c r="RLJ756" s="125"/>
      <c r="RLK756" s="125"/>
      <c r="RLL756" s="125"/>
      <c r="RLM756" s="125"/>
      <c r="RLN756" s="125"/>
      <c r="RLO756" s="125"/>
      <c r="RLP756" s="125"/>
      <c r="RLQ756" s="125"/>
      <c r="RLR756" s="125"/>
      <c r="RLS756" s="125"/>
      <c r="RLT756" s="125"/>
      <c r="RLU756" s="125"/>
      <c r="RLV756" s="125"/>
      <c r="RLW756" s="125"/>
      <c r="RLX756" s="125"/>
      <c r="RLY756" s="125"/>
      <c r="RLZ756" s="125"/>
      <c r="RMA756" s="125"/>
      <c r="RMB756" s="125"/>
      <c r="RMC756" s="125"/>
      <c r="RMD756" s="125"/>
      <c r="RME756" s="125"/>
      <c r="RMF756" s="125"/>
      <c r="RMG756" s="125"/>
      <c r="RMH756" s="125"/>
      <c r="RMI756" s="125"/>
      <c r="RMJ756" s="125"/>
      <c r="RMK756" s="125"/>
      <c r="RML756" s="125"/>
      <c r="RMM756" s="125"/>
      <c r="RMN756" s="125"/>
      <c r="RMO756" s="125"/>
      <c r="RMP756" s="125"/>
      <c r="RMQ756" s="125"/>
      <c r="RMR756" s="125"/>
      <c r="RMS756" s="125"/>
      <c r="RMT756" s="125"/>
      <c r="RMU756" s="125"/>
      <c r="RMV756" s="125"/>
      <c r="RMW756" s="125"/>
      <c r="RMX756" s="125"/>
      <c r="RMY756" s="125"/>
      <c r="RMZ756" s="125"/>
      <c r="RNA756" s="125"/>
      <c r="RNB756" s="125"/>
      <c r="RNC756" s="125"/>
      <c r="RND756" s="125"/>
      <c r="RNE756" s="125"/>
      <c r="RNF756" s="125"/>
      <c r="RNG756" s="125"/>
      <c r="RNH756" s="125"/>
      <c r="RNI756" s="125"/>
      <c r="RNJ756" s="125"/>
      <c r="RNK756" s="125"/>
      <c r="RNL756" s="125"/>
      <c r="RNM756" s="125"/>
      <c r="RNN756" s="125"/>
      <c r="RNO756" s="125"/>
      <c r="RNP756" s="125"/>
      <c r="RNQ756" s="125"/>
      <c r="RNR756" s="125"/>
      <c r="RNS756" s="125"/>
      <c r="RNT756" s="125"/>
      <c r="RNU756" s="125"/>
      <c r="RNV756" s="125"/>
      <c r="RNW756" s="125"/>
      <c r="RNX756" s="125"/>
      <c r="RNY756" s="125"/>
      <c r="RNZ756" s="125"/>
      <c r="ROA756" s="125"/>
      <c r="ROB756" s="125"/>
      <c r="ROC756" s="125"/>
      <c r="ROD756" s="125"/>
      <c r="ROE756" s="125"/>
      <c r="ROF756" s="125"/>
      <c r="ROG756" s="125"/>
      <c r="ROH756" s="125"/>
      <c r="ROI756" s="125"/>
      <c r="ROJ756" s="125"/>
      <c r="ROK756" s="125"/>
      <c r="ROL756" s="125"/>
      <c r="ROM756" s="125"/>
      <c r="RON756" s="125"/>
      <c r="ROO756" s="125"/>
      <c r="ROP756" s="125"/>
      <c r="ROQ756" s="125"/>
      <c r="ROR756" s="125"/>
      <c r="ROS756" s="125"/>
      <c r="ROT756" s="125"/>
      <c r="ROU756" s="125"/>
      <c r="ROV756" s="125"/>
      <c r="ROW756" s="125"/>
      <c r="ROX756" s="125"/>
      <c r="ROY756" s="125"/>
      <c r="ROZ756" s="125"/>
      <c r="RPA756" s="125"/>
      <c r="RPB756" s="125"/>
      <c r="RPC756" s="125"/>
      <c r="RPD756" s="125"/>
      <c r="RPE756" s="125"/>
      <c r="RPF756" s="125"/>
      <c r="RPG756" s="125"/>
      <c r="RPH756" s="125"/>
      <c r="RPI756" s="125"/>
      <c r="RPJ756" s="125"/>
      <c r="RPK756" s="125"/>
      <c r="RPL756" s="125"/>
      <c r="RPM756" s="125"/>
      <c r="RPN756" s="125"/>
      <c r="RPO756" s="125"/>
      <c r="RPP756" s="125"/>
      <c r="RPQ756" s="125"/>
      <c r="RPR756" s="125"/>
      <c r="RPS756" s="125"/>
      <c r="RPT756" s="125"/>
      <c r="RPU756" s="125"/>
      <c r="RPV756" s="125"/>
      <c r="RPW756" s="125"/>
      <c r="RPX756" s="125"/>
      <c r="RPY756" s="125"/>
      <c r="RPZ756" s="125"/>
      <c r="RQA756" s="125"/>
      <c r="RQB756" s="125"/>
      <c r="RQC756" s="125"/>
      <c r="RQD756" s="125"/>
      <c r="RQE756" s="125"/>
      <c r="RQF756" s="125"/>
      <c r="RQG756" s="125"/>
      <c r="RQH756" s="125"/>
      <c r="RQI756" s="125"/>
      <c r="RQJ756" s="125"/>
      <c r="RQK756" s="125"/>
      <c r="RQL756" s="125"/>
      <c r="RQM756" s="125"/>
      <c r="RQN756" s="125"/>
      <c r="RQO756" s="125"/>
      <c r="RQP756" s="125"/>
      <c r="RQQ756" s="125"/>
      <c r="RQR756" s="125"/>
      <c r="RQS756" s="125"/>
      <c r="RQT756" s="125"/>
      <c r="RQU756" s="125"/>
      <c r="RQV756" s="125"/>
      <c r="RQW756" s="125"/>
      <c r="RQX756" s="125"/>
      <c r="RQY756" s="125"/>
      <c r="RQZ756" s="125"/>
      <c r="RRA756" s="125"/>
      <c r="RRB756" s="125"/>
      <c r="RRC756" s="125"/>
      <c r="RRD756" s="125"/>
      <c r="RRE756" s="125"/>
      <c r="RRF756" s="125"/>
      <c r="RRG756" s="125"/>
      <c r="RRH756" s="125"/>
      <c r="RRI756" s="125"/>
      <c r="RRJ756" s="125"/>
      <c r="RRK756" s="125"/>
      <c r="RRL756" s="125"/>
      <c r="RRM756" s="125"/>
      <c r="RRN756" s="125"/>
      <c r="RRO756" s="125"/>
      <c r="RRP756" s="125"/>
      <c r="RRQ756" s="125"/>
      <c r="RRR756" s="125"/>
      <c r="RRS756" s="125"/>
      <c r="RRT756" s="125"/>
      <c r="RRU756" s="125"/>
      <c r="RRV756" s="125"/>
      <c r="RRW756" s="125"/>
      <c r="RRX756" s="125"/>
      <c r="RRY756" s="125"/>
      <c r="RRZ756" s="125"/>
      <c r="RSA756" s="125"/>
      <c r="RSB756" s="125"/>
      <c r="RSC756" s="125"/>
      <c r="RSD756" s="125"/>
      <c r="RSE756" s="125"/>
      <c r="RSF756" s="125"/>
      <c r="RSG756" s="125"/>
      <c r="RSH756" s="125"/>
      <c r="RSI756" s="125"/>
      <c r="RSJ756" s="125"/>
      <c r="RSK756" s="125"/>
      <c r="RSL756" s="125"/>
      <c r="RSM756" s="125"/>
      <c r="RSN756" s="125"/>
      <c r="RSO756" s="125"/>
      <c r="RSP756" s="125"/>
      <c r="RSQ756" s="125"/>
      <c r="RSR756" s="125"/>
      <c r="RSS756" s="125"/>
      <c r="RST756" s="125"/>
      <c r="RSU756" s="125"/>
      <c r="RSV756" s="125"/>
      <c r="RSW756" s="125"/>
      <c r="RSX756" s="125"/>
      <c r="RSY756" s="125"/>
      <c r="RSZ756" s="125"/>
      <c r="RTA756" s="125"/>
      <c r="RTB756" s="125"/>
      <c r="RTC756" s="125"/>
      <c r="RTD756" s="125"/>
      <c r="RTE756" s="125"/>
      <c r="RTF756" s="125"/>
      <c r="RTG756" s="125"/>
      <c r="RTH756" s="125"/>
      <c r="RTI756" s="125"/>
      <c r="RTJ756" s="125"/>
      <c r="RTK756" s="125"/>
      <c r="RTL756" s="125"/>
      <c r="RTM756" s="125"/>
      <c r="RTN756" s="125"/>
      <c r="RTO756" s="125"/>
      <c r="RTP756" s="125"/>
      <c r="RTQ756" s="125"/>
      <c r="RTR756" s="125"/>
      <c r="RTS756" s="125"/>
      <c r="RTT756" s="125"/>
      <c r="RTU756" s="125"/>
      <c r="RTV756" s="125"/>
      <c r="RTW756" s="125"/>
      <c r="RTX756" s="125"/>
      <c r="RTY756" s="125"/>
      <c r="RTZ756" s="125"/>
      <c r="RUA756" s="125"/>
      <c r="RUB756" s="125"/>
      <c r="RUC756" s="125"/>
      <c r="RUD756" s="125"/>
      <c r="RUE756" s="125"/>
      <c r="RUF756" s="125"/>
      <c r="RUG756" s="125"/>
      <c r="RUH756" s="125"/>
      <c r="RUI756" s="125"/>
      <c r="RUJ756" s="125"/>
      <c r="RUK756" s="125"/>
      <c r="RUL756" s="125"/>
      <c r="RUM756" s="125"/>
      <c r="RUN756" s="125"/>
      <c r="RUO756" s="125"/>
      <c r="RUP756" s="125"/>
      <c r="RUQ756" s="125"/>
      <c r="RUR756" s="125"/>
      <c r="RUS756" s="125"/>
      <c r="RUT756" s="125"/>
      <c r="RUU756" s="125"/>
      <c r="RUV756" s="125"/>
      <c r="RUW756" s="125"/>
      <c r="RUX756" s="125"/>
      <c r="RUY756" s="125"/>
      <c r="RUZ756" s="125"/>
      <c r="RVA756" s="125"/>
      <c r="RVB756" s="125"/>
      <c r="RVC756" s="125"/>
      <c r="RVD756" s="125"/>
      <c r="RVE756" s="125"/>
      <c r="RVF756" s="125"/>
      <c r="RVG756" s="125"/>
      <c r="RVH756" s="125"/>
      <c r="RVI756" s="125"/>
      <c r="RVJ756" s="125"/>
      <c r="RVK756" s="125"/>
      <c r="RVL756" s="125"/>
      <c r="RVM756" s="125"/>
      <c r="RVN756" s="125"/>
      <c r="RVO756" s="125"/>
      <c r="RVP756" s="125"/>
      <c r="RVQ756" s="125"/>
      <c r="RVR756" s="125"/>
      <c r="RVS756" s="125"/>
      <c r="RVT756" s="125"/>
      <c r="RVU756" s="125"/>
      <c r="RVV756" s="125"/>
      <c r="RVW756" s="125"/>
      <c r="RVX756" s="125"/>
      <c r="RVY756" s="125"/>
      <c r="RVZ756" s="125"/>
      <c r="RWA756" s="125"/>
      <c r="RWB756" s="125"/>
      <c r="RWC756" s="125"/>
      <c r="RWD756" s="125"/>
      <c r="RWE756" s="125"/>
      <c r="RWF756" s="125"/>
      <c r="RWG756" s="125"/>
      <c r="RWH756" s="125"/>
      <c r="RWI756" s="125"/>
      <c r="RWJ756" s="125"/>
      <c r="RWK756" s="125"/>
      <c r="RWL756" s="125"/>
      <c r="RWM756" s="125"/>
      <c r="RWN756" s="125"/>
      <c r="RWO756" s="125"/>
      <c r="RWP756" s="125"/>
      <c r="RWQ756" s="125"/>
      <c r="RWR756" s="125"/>
      <c r="RWS756" s="125"/>
      <c r="RWT756" s="125"/>
      <c r="RWU756" s="125"/>
      <c r="RWV756" s="125"/>
      <c r="RWW756" s="125"/>
      <c r="RWX756" s="125"/>
      <c r="RWY756" s="125"/>
      <c r="RWZ756" s="125"/>
      <c r="RXA756" s="125"/>
      <c r="RXB756" s="125"/>
      <c r="RXC756" s="125"/>
      <c r="RXD756" s="125"/>
      <c r="RXE756" s="125"/>
      <c r="RXF756" s="125"/>
      <c r="RXG756" s="125"/>
      <c r="RXH756" s="125"/>
      <c r="RXI756" s="125"/>
      <c r="RXJ756" s="125"/>
      <c r="RXK756" s="125"/>
      <c r="RXL756" s="125"/>
      <c r="RXM756" s="125"/>
      <c r="RXN756" s="125"/>
      <c r="RXO756" s="125"/>
      <c r="RXP756" s="125"/>
      <c r="RXQ756" s="125"/>
      <c r="RXR756" s="125"/>
      <c r="RXS756" s="125"/>
      <c r="RXT756" s="125"/>
      <c r="RXU756" s="125"/>
      <c r="RXV756" s="125"/>
      <c r="RXW756" s="125"/>
      <c r="RXX756" s="125"/>
      <c r="RXY756" s="125"/>
      <c r="RXZ756" s="125"/>
      <c r="RYA756" s="125"/>
      <c r="RYB756" s="125"/>
      <c r="RYC756" s="125"/>
      <c r="RYD756" s="125"/>
      <c r="RYE756" s="125"/>
      <c r="RYF756" s="125"/>
      <c r="RYG756" s="125"/>
      <c r="RYH756" s="125"/>
      <c r="RYI756" s="125"/>
      <c r="RYJ756" s="125"/>
      <c r="RYK756" s="125"/>
      <c r="RYL756" s="125"/>
      <c r="RYM756" s="125"/>
      <c r="RYN756" s="125"/>
      <c r="RYO756" s="125"/>
      <c r="RYP756" s="125"/>
      <c r="RYQ756" s="125"/>
      <c r="RYR756" s="125"/>
      <c r="RYS756" s="125"/>
      <c r="RYT756" s="125"/>
      <c r="RYU756" s="125"/>
      <c r="RYV756" s="125"/>
      <c r="RYW756" s="125"/>
      <c r="RYX756" s="125"/>
      <c r="RYY756" s="125"/>
      <c r="RYZ756" s="125"/>
      <c r="RZA756" s="125"/>
      <c r="RZB756" s="125"/>
      <c r="RZC756" s="125"/>
      <c r="RZD756" s="125"/>
      <c r="RZE756" s="125"/>
      <c r="RZF756" s="125"/>
      <c r="RZG756" s="125"/>
      <c r="RZH756" s="125"/>
      <c r="RZI756" s="125"/>
      <c r="RZJ756" s="125"/>
      <c r="RZK756" s="125"/>
      <c r="RZL756" s="125"/>
      <c r="RZM756" s="125"/>
      <c r="RZN756" s="125"/>
      <c r="RZO756" s="125"/>
      <c r="RZP756" s="125"/>
      <c r="RZQ756" s="125"/>
      <c r="RZR756" s="125"/>
      <c r="RZS756" s="125"/>
      <c r="RZT756" s="125"/>
      <c r="RZU756" s="125"/>
      <c r="RZV756" s="125"/>
      <c r="RZW756" s="125"/>
      <c r="RZX756" s="125"/>
      <c r="RZY756" s="125"/>
      <c r="RZZ756" s="125"/>
      <c r="SAA756" s="125"/>
      <c r="SAB756" s="125"/>
      <c r="SAC756" s="125"/>
      <c r="SAD756" s="125"/>
      <c r="SAE756" s="125"/>
      <c r="SAF756" s="125"/>
      <c r="SAG756" s="125"/>
      <c r="SAH756" s="125"/>
      <c r="SAI756" s="125"/>
      <c r="SAJ756" s="125"/>
      <c r="SAK756" s="125"/>
      <c r="SAL756" s="125"/>
      <c r="SAM756" s="125"/>
      <c r="SAN756" s="125"/>
      <c r="SAO756" s="125"/>
      <c r="SAP756" s="125"/>
      <c r="SAQ756" s="125"/>
      <c r="SAR756" s="125"/>
      <c r="SAS756" s="125"/>
      <c r="SAT756" s="125"/>
      <c r="SAU756" s="125"/>
      <c r="SAV756" s="125"/>
      <c r="SAW756" s="125"/>
      <c r="SAX756" s="125"/>
      <c r="SAY756" s="125"/>
      <c r="SAZ756" s="125"/>
      <c r="SBA756" s="125"/>
      <c r="SBB756" s="125"/>
      <c r="SBC756" s="125"/>
      <c r="SBD756" s="125"/>
      <c r="SBE756" s="125"/>
      <c r="SBF756" s="125"/>
      <c r="SBG756" s="125"/>
      <c r="SBH756" s="125"/>
      <c r="SBI756" s="125"/>
      <c r="SBJ756" s="125"/>
      <c r="SBK756" s="125"/>
      <c r="SBL756" s="125"/>
      <c r="SBM756" s="125"/>
      <c r="SBN756" s="125"/>
      <c r="SBO756" s="125"/>
      <c r="SBP756" s="125"/>
      <c r="SBQ756" s="125"/>
      <c r="SBR756" s="125"/>
      <c r="SBS756" s="125"/>
      <c r="SBT756" s="125"/>
      <c r="SBU756" s="125"/>
      <c r="SBV756" s="125"/>
      <c r="SBW756" s="125"/>
      <c r="SBX756" s="125"/>
      <c r="SBY756" s="125"/>
      <c r="SBZ756" s="125"/>
      <c r="SCA756" s="125"/>
      <c r="SCB756" s="125"/>
      <c r="SCC756" s="125"/>
      <c r="SCD756" s="125"/>
      <c r="SCE756" s="125"/>
      <c r="SCF756" s="125"/>
      <c r="SCG756" s="125"/>
      <c r="SCH756" s="125"/>
      <c r="SCI756" s="125"/>
      <c r="SCJ756" s="125"/>
      <c r="SCK756" s="125"/>
      <c r="SCL756" s="125"/>
      <c r="SCM756" s="125"/>
      <c r="SCN756" s="125"/>
      <c r="SCO756" s="125"/>
      <c r="SCP756" s="125"/>
      <c r="SCQ756" s="125"/>
      <c r="SCR756" s="125"/>
      <c r="SCS756" s="125"/>
      <c r="SCT756" s="125"/>
      <c r="SCU756" s="125"/>
      <c r="SCV756" s="125"/>
      <c r="SCW756" s="125"/>
      <c r="SCX756" s="125"/>
      <c r="SCY756" s="125"/>
      <c r="SCZ756" s="125"/>
      <c r="SDA756" s="125"/>
      <c r="SDB756" s="125"/>
      <c r="SDC756" s="125"/>
      <c r="SDD756" s="125"/>
      <c r="SDE756" s="125"/>
      <c r="SDF756" s="125"/>
      <c r="SDG756" s="125"/>
      <c r="SDH756" s="125"/>
      <c r="SDI756" s="125"/>
      <c r="SDJ756" s="125"/>
      <c r="SDK756" s="125"/>
      <c r="SDL756" s="125"/>
      <c r="SDM756" s="125"/>
      <c r="SDN756" s="125"/>
      <c r="SDO756" s="125"/>
      <c r="SDP756" s="125"/>
      <c r="SDQ756" s="125"/>
      <c r="SDR756" s="125"/>
      <c r="SDS756" s="125"/>
      <c r="SDT756" s="125"/>
      <c r="SDU756" s="125"/>
      <c r="SDV756" s="125"/>
      <c r="SDW756" s="125"/>
      <c r="SDX756" s="125"/>
      <c r="SDY756" s="125"/>
      <c r="SDZ756" s="125"/>
      <c r="SEA756" s="125"/>
      <c r="SEB756" s="125"/>
      <c r="SEC756" s="125"/>
      <c r="SED756" s="125"/>
      <c r="SEE756" s="125"/>
      <c r="SEF756" s="125"/>
      <c r="SEG756" s="125"/>
      <c r="SEH756" s="125"/>
      <c r="SEI756" s="125"/>
      <c r="SEJ756" s="125"/>
      <c r="SEK756" s="125"/>
      <c r="SEL756" s="125"/>
      <c r="SEM756" s="125"/>
      <c r="SEN756" s="125"/>
      <c r="SEO756" s="125"/>
      <c r="SEP756" s="125"/>
      <c r="SEQ756" s="125"/>
      <c r="SER756" s="125"/>
      <c r="SES756" s="125"/>
      <c r="SET756" s="125"/>
      <c r="SEU756" s="125"/>
      <c r="SEV756" s="125"/>
      <c r="SEW756" s="125"/>
      <c r="SEX756" s="125"/>
      <c r="SEY756" s="125"/>
      <c r="SEZ756" s="125"/>
      <c r="SFA756" s="125"/>
      <c r="SFB756" s="125"/>
      <c r="SFC756" s="125"/>
      <c r="SFD756" s="125"/>
      <c r="SFE756" s="125"/>
      <c r="SFF756" s="125"/>
      <c r="SFG756" s="125"/>
      <c r="SFH756" s="125"/>
      <c r="SFI756" s="125"/>
      <c r="SFJ756" s="125"/>
      <c r="SFK756" s="125"/>
      <c r="SFL756" s="125"/>
      <c r="SFM756" s="125"/>
      <c r="SFN756" s="125"/>
      <c r="SFO756" s="125"/>
      <c r="SFP756" s="125"/>
      <c r="SFQ756" s="125"/>
      <c r="SFR756" s="125"/>
      <c r="SFS756" s="125"/>
      <c r="SFT756" s="125"/>
      <c r="SFU756" s="125"/>
      <c r="SFV756" s="125"/>
      <c r="SFW756" s="125"/>
      <c r="SFX756" s="125"/>
      <c r="SFY756" s="125"/>
      <c r="SFZ756" s="125"/>
      <c r="SGA756" s="125"/>
      <c r="SGB756" s="125"/>
      <c r="SGC756" s="125"/>
      <c r="SGD756" s="125"/>
      <c r="SGE756" s="125"/>
      <c r="SGF756" s="125"/>
      <c r="SGG756" s="125"/>
      <c r="SGH756" s="125"/>
      <c r="SGI756" s="125"/>
      <c r="SGJ756" s="125"/>
      <c r="SGK756" s="125"/>
      <c r="SGL756" s="125"/>
      <c r="SGM756" s="125"/>
      <c r="SGN756" s="125"/>
      <c r="SGO756" s="125"/>
      <c r="SGP756" s="125"/>
      <c r="SGQ756" s="125"/>
      <c r="SGR756" s="125"/>
      <c r="SGS756" s="125"/>
      <c r="SGT756" s="125"/>
      <c r="SGU756" s="125"/>
      <c r="SGV756" s="125"/>
      <c r="SGW756" s="125"/>
      <c r="SGX756" s="125"/>
      <c r="SGY756" s="125"/>
      <c r="SGZ756" s="125"/>
      <c r="SHA756" s="125"/>
      <c r="SHB756" s="125"/>
      <c r="SHC756" s="125"/>
      <c r="SHD756" s="125"/>
      <c r="SHE756" s="125"/>
      <c r="SHF756" s="125"/>
      <c r="SHG756" s="125"/>
      <c r="SHH756" s="125"/>
      <c r="SHI756" s="125"/>
      <c r="SHJ756" s="125"/>
      <c r="SHK756" s="125"/>
      <c r="SHL756" s="125"/>
      <c r="SHM756" s="125"/>
      <c r="SHN756" s="125"/>
      <c r="SHO756" s="125"/>
      <c r="SHP756" s="125"/>
      <c r="SHQ756" s="125"/>
      <c r="SHR756" s="125"/>
      <c r="SHS756" s="125"/>
      <c r="SHT756" s="125"/>
      <c r="SHU756" s="125"/>
      <c r="SHV756" s="125"/>
      <c r="SHW756" s="125"/>
      <c r="SHX756" s="125"/>
      <c r="SHY756" s="125"/>
      <c r="SHZ756" s="125"/>
      <c r="SIA756" s="125"/>
      <c r="SIB756" s="125"/>
      <c r="SIC756" s="125"/>
      <c r="SID756" s="125"/>
      <c r="SIE756" s="125"/>
      <c r="SIF756" s="125"/>
      <c r="SIG756" s="125"/>
      <c r="SIH756" s="125"/>
      <c r="SII756" s="125"/>
      <c r="SIJ756" s="125"/>
      <c r="SIK756" s="125"/>
      <c r="SIL756" s="125"/>
      <c r="SIM756" s="125"/>
      <c r="SIN756" s="125"/>
      <c r="SIO756" s="125"/>
      <c r="SIP756" s="125"/>
      <c r="SIQ756" s="125"/>
      <c r="SIR756" s="125"/>
      <c r="SIS756" s="125"/>
      <c r="SIT756" s="125"/>
      <c r="SIU756" s="125"/>
      <c r="SIV756" s="125"/>
      <c r="SIW756" s="125"/>
      <c r="SIX756" s="125"/>
      <c r="SIY756" s="125"/>
      <c r="SIZ756" s="125"/>
      <c r="SJA756" s="125"/>
      <c r="SJB756" s="125"/>
      <c r="SJC756" s="125"/>
      <c r="SJD756" s="125"/>
      <c r="SJE756" s="125"/>
      <c r="SJF756" s="125"/>
      <c r="SJG756" s="125"/>
      <c r="SJH756" s="125"/>
      <c r="SJI756" s="125"/>
      <c r="SJJ756" s="125"/>
      <c r="SJK756" s="125"/>
      <c r="SJL756" s="125"/>
      <c r="SJM756" s="125"/>
      <c r="SJN756" s="125"/>
      <c r="SJO756" s="125"/>
      <c r="SJP756" s="125"/>
      <c r="SJQ756" s="125"/>
      <c r="SJR756" s="125"/>
      <c r="SJS756" s="125"/>
      <c r="SJT756" s="125"/>
      <c r="SJU756" s="125"/>
      <c r="SJV756" s="125"/>
      <c r="SJW756" s="125"/>
      <c r="SJX756" s="125"/>
      <c r="SJY756" s="125"/>
      <c r="SJZ756" s="125"/>
      <c r="SKA756" s="125"/>
      <c r="SKB756" s="125"/>
      <c r="SKC756" s="125"/>
      <c r="SKD756" s="125"/>
      <c r="SKE756" s="125"/>
      <c r="SKF756" s="125"/>
      <c r="SKG756" s="125"/>
      <c r="SKH756" s="125"/>
      <c r="SKI756" s="125"/>
      <c r="SKJ756" s="125"/>
      <c r="SKK756" s="125"/>
      <c r="SKL756" s="125"/>
      <c r="SKM756" s="125"/>
      <c r="SKN756" s="125"/>
      <c r="SKO756" s="125"/>
      <c r="SKP756" s="125"/>
      <c r="SKQ756" s="125"/>
      <c r="SKR756" s="125"/>
      <c r="SKS756" s="125"/>
      <c r="SKT756" s="125"/>
      <c r="SKU756" s="125"/>
      <c r="SKV756" s="125"/>
      <c r="SKW756" s="125"/>
      <c r="SKX756" s="125"/>
      <c r="SKY756" s="125"/>
      <c r="SKZ756" s="125"/>
      <c r="SLA756" s="125"/>
      <c r="SLB756" s="125"/>
      <c r="SLC756" s="125"/>
      <c r="SLD756" s="125"/>
      <c r="SLE756" s="125"/>
      <c r="SLF756" s="125"/>
      <c r="SLG756" s="125"/>
      <c r="SLH756" s="125"/>
      <c r="SLI756" s="125"/>
      <c r="SLJ756" s="125"/>
      <c r="SLK756" s="125"/>
      <c r="SLL756" s="125"/>
      <c r="SLM756" s="125"/>
      <c r="SLN756" s="125"/>
      <c r="SLO756" s="125"/>
      <c r="SLP756" s="125"/>
      <c r="SLQ756" s="125"/>
      <c r="SLR756" s="125"/>
      <c r="SLS756" s="125"/>
      <c r="SLT756" s="125"/>
      <c r="SLU756" s="125"/>
      <c r="SLV756" s="125"/>
      <c r="SLW756" s="125"/>
      <c r="SLX756" s="125"/>
      <c r="SLY756" s="125"/>
      <c r="SLZ756" s="125"/>
      <c r="SMA756" s="125"/>
      <c r="SMB756" s="125"/>
      <c r="SMC756" s="125"/>
      <c r="SMD756" s="125"/>
      <c r="SME756" s="125"/>
      <c r="SMF756" s="125"/>
      <c r="SMG756" s="125"/>
      <c r="SMH756" s="125"/>
      <c r="SMI756" s="125"/>
      <c r="SMJ756" s="125"/>
      <c r="SMK756" s="125"/>
      <c r="SML756" s="125"/>
      <c r="SMM756" s="125"/>
      <c r="SMN756" s="125"/>
      <c r="SMO756" s="125"/>
      <c r="SMP756" s="125"/>
      <c r="SMQ756" s="125"/>
      <c r="SMR756" s="125"/>
      <c r="SMS756" s="125"/>
      <c r="SMT756" s="125"/>
      <c r="SMU756" s="125"/>
      <c r="SMV756" s="125"/>
      <c r="SMW756" s="125"/>
      <c r="SMX756" s="125"/>
      <c r="SMY756" s="125"/>
      <c r="SMZ756" s="125"/>
      <c r="SNA756" s="125"/>
      <c r="SNB756" s="125"/>
      <c r="SNC756" s="125"/>
      <c r="SND756" s="125"/>
      <c r="SNE756" s="125"/>
      <c r="SNF756" s="125"/>
      <c r="SNG756" s="125"/>
      <c r="SNH756" s="125"/>
      <c r="SNI756" s="125"/>
      <c r="SNJ756" s="125"/>
      <c r="SNK756" s="125"/>
      <c r="SNL756" s="125"/>
      <c r="SNM756" s="125"/>
      <c r="SNN756" s="125"/>
      <c r="SNO756" s="125"/>
      <c r="SNP756" s="125"/>
      <c r="SNQ756" s="125"/>
      <c r="SNR756" s="125"/>
      <c r="SNS756" s="125"/>
      <c r="SNT756" s="125"/>
      <c r="SNU756" s="125"/>
      <c r="SNV756" s="125"/>
      <c r="SNW756" s="125"/>
      <c r="SNX756" s="125"/>
      <c r="SNY756" s="125"/>
      <c r="SNZ756" s="125"/>
      <c r="SOA756" s="125"/>
      <c r="SOB756" s="125"/>
      <c r="SOC756" s="125"/>
      <c r="SOD756" s="125"/>
      <c r="SOE756" s="125"/>
      <c r="SOF756" s="125"/>
      <c r="SOG756" s="125"/>
      <c r="SOH756" s="125"/>
      <c r="SOI756" s="125"/>
      <c r="SOJ756" s="125"/>
      <c r="SOK756" s="125"/>
      <c r="SOL756" s="125"/>
      <c r="SOM756" s="125"/>
      <c r="SON756" s="125"/>
      <c r="SOO756" s="125"/>
      <c r="SOP756" s="125"/>
      <c r="SOQ756" s="125"/>
      <c r="SOR756" s="125"/>
      <c r="SOS756" s="125"/>
      <c r="SOT756" s="125"/>
      <c r="SOU756" s="125"/>
      <c r="SOV756" s="125"/>
      <c r="SOW756" s="125"/>
      <c r="SOX756" s="125"/>
      <c r="SOY756" s="125"/>
      <c r="SOZ756" s="125"/>
      <c r="SPA756" s="125"/>
      <c r="SPB756" s="125"/>
      <c r="SPC756" s="125"/>
      <c r="SPD756" s="125"/>
      <c r="SPE756" s="125"/>
      <c r="SPF756" s="125"/>
      <c r="SPG756" s="125"/>
      <c r="SPH756" s="125"/>
      <c r="SPI756" s="125"/>
      <c r="SPJ756" s="125"/>
      <c r="SPK756" s="125"/>
      <c r="SPL756" s="125"/>
      <c r="SPM756" s="125"/>
      <c r="SPN756" s="125"/>
      <c r="SPO756" s="125"/>
      <c r="SPP756" s="125"/>
      <c r="SPQ756" s="125"/>
      <c r="SPR756" s="125"/>
      <c r="SPS756" s="125"/>
      <c r="SPT756" s="125"/>
      <c r="SPU756" s="125"/>
      <c r="SPV756" s="125"/>
      <c r="SPW756" s="125"/>
      <c r="SPX756" s="125"/>
      <c r="SPY756" s="125"/>
      <c r="SPZ756" s="125"/>
      <c r="SQA756" s="125"/>
      <c r="SQB756" s="125"/>
      <c r="SQC756" s="125"/>
      <c r="SQD756" s="125"/>
      <c r="SQE756" s="125"/>
      <c r="SQF756" s="125"/>
      <c r="SQG756" s="125"/>
      <c r="SQH756" s="125"/>
      <c r="SQI756" s="125"/>
      <c r="SQJ756" s="125"/>
      <c r="SQK756" s="125"/>
      <c r="SQL756" s="125"/>
      <c r="SQM756" s="125"/>
      <c r="SQN756" s="125"/>
      <c r="SQO756" s="125"/>
      <c r="SQP756" s="125"/>
      <c r="SQQ756" s="125"/>
      <c r="SQR756" s="125"/>
      <c r="SQS756" s="125"/>
      <c r="SQT756" s="125"/>
      <c r="SQU756" s="125"/>
      <c r="SQV756" s="125"/>
      <c r="SQW756" s="125"/>
      <c r="SQX756" s="125"/>
      <c r="SQY756" s="125"/>
      <c r="SQZ756" s="125"/>
      <c r="SRA756" s="125"/>
      <c r="SRB756" s="125"/>
      <c r="SRC756" s="125"/>
      <c r="SRD756" s="125"/>
      <c r="SRE756" s="125"/>
      <c r="SRF756" s="125"/>
      <c r="SRG756" s="125"/>
      <c r="SRH756" s="125"/>
      <c r="SRI756" s="125"/>
      <c r="SRJ756" s="125"/>
      <c r="SRK756" s="125"/>
      <c r="SRL756" s="125"/>
      <c r="SRM756" s="125"/>
      <c r="SRN756" s="125"/>
      <c r="SRO756" s="125"/>
      <c r="SRP756" s="125"/>
      <c r="SRQ756" s="125"/>
      <c r="SRR756" s="125"/>
      <c r="SRS756" s="125"/>
      <c r="SRT756" s="125"/>
      <c r="SRU756" s="125"/>
      <c r="SRV756" s="125"/>
      <c r="SRW756" s="125"/>
      <c r="SRX756" s="125"/>
      <c r="SRY756" s="125"/>
      <c r="SRZ756" s="125"/>
      <c r="SSA756" s="125"/>
      <c r="SSB756" s="125"/>
      <c r="SSC756" s="125"/>
      <c r="SSD756" s="125"/>
      <c r="SSE756" s="125"/>
      <c r="SSF756" s="125"/>
      <c r="SSG756" s="125"/>
      <c r="SSH756" s="125"/>
      <c r="SSI756" s="125"/>
      <c r="SSJ756" s="125"/>
      <c r="SSK756" s="125"/>
      <c r="SSL756" s="125"/>
      <c r="SSM756" s="125"/>
      <c r="SSN756" s="125"/>
      <c r="SSO756" s="125"/>
      <c r="SSP756" s="125"/>
      <c r="SSQ756" s="125"/>
      <c r="SSR756" s="125"/>
      <c r="SSS756" s="125"/>
      <c r="SST756" s="125"/>
      <c r="SSU756" s="125"/>
      <c r="SSV756" s="125"/>
      <c r="SSW756" s="125"/>
      <c r="SSX756" s="125"/>
      <c r="SSY756" s="125"/>
      <c r="SSZ756" s="125"/>
      <c r="STA756" s="125"/>
      <c r="STB756" s="125"/>
      <c r="STC756" s="125"/>
      <c r="STD756" s="125"/>
      <c r="STE756" s="125"/>
      <c r="STF756" s="125"/>
      <c r="STG756" s="125"/>
      <c r="STH756" s="125"/>
      <c r="STI756" s="125"/>
      <c r="STJ756" s="125"/>
      <c r="STK756" s="125"/>
      <c r="STL756" s="125"/>
      <c r="STM756" s="125"/>
      <c r="STN756" s="125"/>
      <c r="STO756" s="125"/>
      <c r="STP756" s="125"/>
      <c r="STQ756" s="125"/>
      <c r="STR756" s="125"/>
      <c r="STS756" s="125"/>
      <c r="STT756" s="125"/>
      <c r="STU756" s="125"/>
      <c r="STV756" s="125"/>
      <c r="STW756" s="125"/>
      <c r="STX756" s="125"/>
      <c r="STY756" s="125"/>
      <c r="STZ756" s="125"/>
      <c r="SUA756" s="125"/>
      <c r="SUB756" s="125"/>
      <c r="SUC756" s="125"/>
      <c r="SUD756" s="125"/>
      <c r="SUE756" s="125"/>
      <c r="SUF756" s="125"/>
      <c r="SUG756" s="125"/>
      <c r="SUH756" s="125"/>
      <c r="SUI756" s="125"/>
      <c r="SUJ756" s="125"/>
      <c r="SUK756" s="125"/>
      <c r="SUL756" s="125"/>
      <c r="SUM756" s="125"/>
      <c r="SUN756" s="125"/>
      <c r="SUO756" s="125"/>
      <c r="SUP756" s="125"/>
      <c r="SUQ756" s="125"/>
      <c r="SUR756" s="125"/>
      <c r="SUS756" s="125"/>
      <c r="SUT756" s="125"/>
      <c r="SUU756" s="125"/>
      <c r="SUV756" s="125"/>
      <c r="SUW756" s="125"/>
      <c r="SUX756" s="125"/>
      <c r="SUY756" s="125"/>
      <c r="SUZ756" s="125"/>
      <c r="SVA756" s="125"/>
      <c r="SVB756" s="125"/>
      <c r="SVC756" s="125"/>
      <c r="SVD756" s="125"/>
      <c r="SVE756" s="125"/>
      <c r="SVF756" s="125"/>
      <c r="SVG756" s="125"/>
      <c r="SVH756" s="125"/>
      <c r="SVI756" s="125"/>
      <c r="SVJ756" s="125"/>
      <c r="SVK756" s="125"/>
      <c r="SVL756" s="125"/>
      <c r="SVM756" s="125"/>
      <c r="SVN756" s="125"/>
      <c r="SVO756" s="125"/>
      <c r="SVP756" s="125"/>
      <c r="SVQ756" s="125"/>
      <c r="SVR756" s="125"/>
      <c r="SVS756" s="125"/>
      <c r="SVT756" s="125"/>
      <c r="SVU756" s="125"/>
      <c r="SVV756" s="125"/>
      <c r="SVW756" s="125"/>
      <c r="SVX756" s="125"/>
      <c r="SVY756" s="125"/>
      <c r="SVZ756" s="125"/>
      <c r="SWA756" s="125"/>
      <c r="SWB756" s="125"/>
      <c r="SWC756" s="125"/>
      <c r="SWD756" s="125"/>
      <c r="SWE756" s="125"/>
      <c r="SWF756" s="125"/>
      <c r="SWG756" s="125"/>
      <c r="SWH756" s="125"/>
      <c r="SWI756" s="125"/>
      <c r="SWJ756" s="125"/>
      <c r="SWK756" s="125"/>
      <c r="SWL756" s="125"/>
      <c r="SWM756" s="125"/>
      <c r="SWN756" s="125"/>
      <c r="SWO756" s="125"/>
      <c r="SWP756" s="125"/>
      <c r="SWQ756" s="125"/>
      <c r="SWR756" s="125"/>
      <c r="SWS756" s="125"/>
      <c r="SWT756" s="125"/>
      <c r="SWU756" s="125"/>
      <c r="SWV756" s="125"/>
      <c r="SWW756" s="125"/>
      <c r="SWX756" s="125"/>
      <c r="SWY756" s="125"/>
      <c r="SWZ756" s="125"/>
      <c r="SXA756" s="125"/>
      <c r="SXB756" s="125"/>
      <c r="SXC756" s="125"/>
      <c r="SXD756" s="125"/>
      <c r="SXE756" s="125"/>
      <c r="SXF756" s="125"/>
      <c r="SXG756" s="125"/>
      <c r="SXH756" s="125"/>
      <c r="SXI756" s="125"/>
      <c r="SXJ756" s="125"/>
      <c r="SXK756" s="125"/>
      <c r="SXL756" s="125"/>
      <c r="SXM756" s="125"/>
      <c r="SXN756" s="125"/>
      <c r="SXO756" s="125"/>
      <c r="SXP756" s="125"/>
      <c r="SXQ756" s="125"/>
      <c r="SXR756" s="125"/>
      <c r="SXS756" s="125"/>
      <c r="SXT756" s="125"/>
      <c r="SXU756" s="125"/>
      <c r="SXV756" s="125"/>
      <c r="SXW756" s="125"/>
      <c r="SXX756" s="125"/>
      <c r="SXY756" s="125"/>
      <c r="SXZ756" s="125"/>
      <c r="SYA756" s="125"/>
      <c r="SYB756" s="125"/>
      <c r="SYC756" s="125"/>
      <c r="SYD756" s="125"/>
      <c r="SYE756" s="125"/>
      <c r="SYF756" s="125"/>
      <c r="SYG756" s="125"/>
      <c r="SYH756" s="125"/>
      <c r="SYI756" s="125"/>
      <c r="SYJ756" s="125"/>
      <c r="SYK756" s="125"/>
      <c r="SYL756" s="125"/>
      <c r="SYM756" s="125"/>
      <c r="SYN756" s="125"/>
      <c r="SYO756" s="125"/>
      <c r="SYP756" s="125"/>
      <c r="SYQ756" s="125"/>
      <c r="SYR756" s="125"/>
      <c r="SYS756" s="125"/>
      <c r="SYT756" s="125"/>
      <c r="SYU756" s="125"/>
      <c r="SYV756" s="125"/>
      <c r="SYW756" s="125"/>
      <c r="SYX756" s="125"/>
      <c r="SYY756" s="125"/>
      <c r="SYZ756" s="125"/>
      <c r="SZA756" s="125"/>
      <c r="SZB756" s="125"/>
      <c r="SZC756" s="125"/>
      <c r="SZD756" s="125"/>
      <c r="SZE756" s="125"/>
      <c r="SZF756" s="125"/>
      <c r="SZG756" s="125"/>
      <c r="SZH756" s="125"/>
      <c r="SZI756" s="125"/>
      <c r="SZJ756" s="125"/>
      <c r="SZK756" s="125"/>
      <c r="SZL756" s="125"/>
      <c r="SZM756" s="125"/>
      <c r="SZN756" s="125"/>
      <c r="SZO756" s="125"/>
      <c r="SZP756" s="125"/>
      <c r="SZQ756" s="125"/>
      <c r="SZR756" s="125"/>
      <c r="SZS756" s="125"/>
      <c r="SZT756" s="125"/>
      <c r="SZU756" s="125"/>
      <c r="SZV756" s="125"/>
      <c r="SZW756" s="125"/>
      <c r="SZX756" s="125"/>
      <c r="SZY756" s="125"/>
      <c r="SZZ756" s="125"/>
      <c r="TAA756" s="125"/>
      <c r="TAB756" s="125"/>
      <c r="TAC756" s="125"/>
      <c r="TAD756" s="125"/>
      <c r="TAE756" s="125"/>
      <c r="TAF756" s="125"/>
      <c r="TAG756" s="125"/>
      <c r="TAH756" s="125"/>
      <c r="TAI756" s="125"/>
      <c r="TAJ756" s="125"/>
      <c r="TAK756" s="125"/>
      <c r="TAL756" s="125"/>
      <c r="TAM756" s="125"/>
      <c r="TAN756" s="125"/>
      <c r="TAO756" s="125"/>
      <c r="TAP756" s="125"/>
      <c r="TAQ756" s="125"/>
      <c r="TAR756" s="125"/>
      <c r="TAS756" s="125"/>
      <c r="TAT756" s="125"/>
      <c r="TAU756" s="125"/>
      <c r="TAV756" s="125"/>
      <c r="TAW756" s="125"/>
      <c r="TAX756" s="125"/>
      <c r="TAY756" s="125"/>
      <c r="TAZ756" s="125"/>
      <c r="TBA756" s="125"/>
      <c r="TBB756" s="125"/>
      <c r="TBC756" s="125"/>
      <c r="TBD756" s="125"/>
      <c r="TBE756" s="125"/>
      <c r="TBF756" s="125"/>
      <c r="TBG756" s="125"/>
      <c r="TBH756" s="125"/>
      <c r="TBI756" s="125"/>
      <c r="TBJ756" s="125"/>
      <c r="TBK756" s="125"/>
      <c r="TBL756" s="125"/>
      <c r="TBM756" s="125"/>
      <c r="TBN756" s="125"/>
      <c r="TBO756" s="125"/>
      <c r="TBP756" s="125"/>
      <c r="TBQ756" s="125"/>
      <c r="TBR756" s="125"/>
      <c r="TBS756" s="125"/>
      <c r="TBT756" s="125"/>
      <c r="TBU756" s="125"/>
      <c r="TBV756" s="125"/>
      <c r="TBW756" s="125"/>
      <c r="TBX756" s="125"/>
      <c r="TBY756" s="125"/>
      <c r="TBZ756" s="125"/>
      <c r="TCA756" s="125"/>
      <c r="TCB756" s="125"/>
      <c r="TCC756" s="125"/>
      <c r="TCD756" s="125"/>
      <c r="TCE756" s="125"/>
      <c r="TCF756" s="125"/>
      <c r="TCG756" s="125"/>
      <c r="TCH756" s="125"/>
      <c r="TCI756" s="125"/>
      <c r="TCJ756" s="125"/>
      <c r="TCK756" s="125"/>
      <c r="TCL756" s="125"/>
      <c r="TCM756" s="125"/>
      <c r="TCN756" s="125"/>
      <c r="TCO756" s="125"/>
      <c r="TCP756" s="125"/>
      <c r="TCQ756" s="125"/>
      <c r="TCR756" s="125"/>
      <c r="TCS756" s="125"/>
      <c r="TCT756" s="125"/>
      <c r="TCU756" s="125"/>
      <c r="TCV756" s="125"/>
      <c r="TCW756" s="125"/>
      <c r="TCX756" s="125"/>
      <c r="TCY756" s="125"/>
      <c r="TCZ756" s="125"/>
      <c r="TDA756" s="125"/>
      <c r="TDB756" s="125"/>
      <c r="TDC756" s="125"/>
      <c r="TDD756" s="125"/>
      <c r="TDE756" s="125"/>
      <c r="TDF756" s="125"/>
      <c r="TDG756" s="125"/>
      <c r="TDH756" s="125"/>
      <c r="TDI756" s="125"/>
      <c r="TDJ756" s="125"/>
      <c r="TDK756" s="125"/>
      <c r="TDL756" s="125"/>
      <c r="TDM756" s="125"/>
      <c r="TDN756" s="125"/>
      <c r="TDO756" s="125"/>
      <c r="TDP756" s="125"/>
      <c r="TDQ756" s="125"/>
      <c r="TDR756" s="125"/>
      <c r="TDS756" s="125"/>
      <c r="TDT756" s="125"/>
      <c r="TDU756" s="125"/>
      <c r="TDV756" s="125"/>
      <c r="TDW756" s="125"/>
      <c r="TDX756" s="125"/>
      <c r="TDY756" s="125"/>
      <c r="TDZ756" s="125"/>
      <c r="TEA756" s="125"/>
      <c r="TEB756" s="125"/>
      <c r="TEC756" s="125"/>
      <c r="TED756" s="125"/>
      <c r="TEE756" s="125"/>
      <c r="TEF756" s="125"/>
      <c r="TEG756" s="125"/>
      <c r="TEH756" s="125"/>
      <c r="TEI756" s="125"/>
      <c r="TEJ756" s="125"/>
      <c r="TEK756" s="125"/>
      <c r="TEL756" s="125"/>
      <c r="TEM756" s="125"/>
      <c r="TEN756" s="125"/>
      <c r="TEO756" s="125"/>
      <c r="TEP756" s="125"/>
      <c r="TEQ756" s="125"/>
      <c r="TER756" s="125"/>
      <c r="TES756" s="125"/>
      <c r="TET756" s="125"/>
      <c r="TEU756" s="125"/>
      <c r="TEV756" s="125"/>
      <c r="TEW756" s="125"/>
      <c r="TEX756" s="125"/>
      <c r="TEY756" s="125"/>
      <c r="TEZ756" s="125"/>
      <c r="TFA756" s="125"/>
      <c r="TFB756" s="125"/>
      <c r="TFC756" s="125"/>
      <c r="TFD756" s="125"/>
      <c r="TFE756" s="125"/>
      <c r="TFF756" s="125"/>
      <c r="TFG756" s="125"/>
      <c r="TFH756" s="125"/>
      <c r="TFI756" s="125"/>
      <c r="TFJ756" s="125"/>
      <c r="TFK756" s="125"/>
      <c r="TFL756" s="125"/>
      <c r="TFM756" s="125"/>
      <c r="TFN756" s="125"/>
      <c r="TFO756" s="125"/>
      <c r="TFP756" s="125"/>
      <c r="TFQ756" s="125"/>
      <c r="TFR756" s="125"/>
      <c r="TFS756" s="125"/>
      <c r="TFT756" s="125"/>
      <c r="TFU756" s="125"/>
      <c r="TFV756" s="125"/>
      <c r="TFW756" s="125"/>
      <c r="TFX756" s="125"/>
      <c r="TFY756" s="125"/>
      <c r="TFZ756" s="125"/>
      <c r="TGA756" s="125"/>
      <c r="TGB756" s="125"/>
      <c r="TGC756" s="125"/>
      <c r="TGD756" s="125"/>
      <c r="TGE756" s="125"/>
      <c r="TGF756" s="125"/>
      <c r="TGG756" s="125"/>
      <c r="TGH756" s="125"/>
      <c r="TGI756" s="125"/>
      <c r="TGJ756" s="125"/>
      <c r="TGK756" s="125"/>
      <c r="TGL756" s="125"/>
      <c r="TGM756" s="125"/>
      <c r="TGN756" s="125"/>
      <c r="TGO756" s="125"/>
      <c r="TGP756" s="125"/>
      <c r="TGQ756" s="125"/>
      <c r="TGR756" s="125"/>
      <c r="TGS756" s="125"/>
      <c r="TGT756" s="125"/>
      <c r="TGU756" s="125"/>
      <c r="TGV756" s="125"/>
      <c r="TGW756" s="125"/>
      <c r="TGX756" s="125"/>
      <c r="TGY756" s="125"/>
      <c r="TGZ756" s="125"/>
      <c r="THA756" s="125"/>
      <c r="THB756" s="125"/>
      <c r="THC756" s="125"/>
      <c r="THD756" s="125"/>
      <c r="THE756" s="125"/>
      <c r="THF756" s="125"/>
      <c r="THG756" s="125"/>
      <c r="THH756" s="125"/>
      <c r="THI756" s="125"/>
      <c r="THJ756" s="125"/>
      <c r="THK756" s="125"/>
      <c r="THL756" s="125"/>
      <c r="THM756" s="125"/>
      <c r="THN756" s="125"/>
      <c r="THO756" s="125"/>
      <c r="THP756" s="125"/>
      <c r="THQ756" s="125"/>
      <c r="THR756" s="125"/>
      <c r="THS756" s="125"/>
      <c r="THT756" s="125"/>
      <c r="THU756" s="125"/>
      <c r="THV756" s="125"/>
      <c r="THW756" s="125"/>
      <c r="THX756" s="125"/>
      <c r="THY756" s="125"/>
      <c r="THZ756" s="125"/>
      <c r="TIA756" s="125"/>
      <c r="TIB756" s="125"/>
      <c r="TIC756" s="125"/>
      <c r="TID756" s="125"/>
      <c r="TIE756" s="125"/>
      <c r="TIF756" s="125"/>
      <c r="TIG756" s="125"/>
      <c r="TIH756" s="125"/>
      <c r="TII756" s="125"/>
      <c r="TIJ756" s="125"/>
      <c r="TIK756" s="125"/>
      <c r="TIL756" s="125"/>
      <c r="TIM756" s="125"/>
      <c r="TIN756" s="125"/>
      <c r="TIO756" s="125"/>
      <c r="TIP756" s="125"/>
      <c r="TIQ756" s="125"/>
      <c r="TIR756" s="125"/>
      <c r="TIS756" s="125"/>
      <c r="TIT756" s="125"/>
      <c r="TIU756" s="125"/>
      <c r="TIV756" s="125"/>
      <c r="TIW756" s="125"/>
      <c r="TIX756" s="125"/>
      <c r="TIY756" s="125"/>
      <c r="TIZ756" s="125"/>
      <c r="TJA756" s="125"/>
      <c r="TJB756" s="125"/>
      <c r="TJC756" s="125"/>
      <c r="TJD756" s="125"/>
      <c r="TJE756" s="125"/>
      <c r="TJF756" s="125"/>
      <c r="TJG756" s="125"/>
      <c r="TJH756" s="125"/>
      <c r="TJI756" s="125"/>
      <c r="TJJ756" s="125"/>
      <c r="TJK756" s="125"/>
      <c r="TJL756" s="125"/>
      <c r="TJM756" s="125"/>
      <c r="TJN756" s="125"/>
      <c r="TJO756" s="125"/>
      <c r="TJP756" s="125"/>
      <c r="TJQ756" s="125"/>
      <c r="TJR756" s="125"/>
      <c r="TJS756" s="125"/>
      <c r="TJT756" s="125"/>
      <c r="TJU756" s="125"/>
      <c r="TJV756" s="125"/>
      <c r="TJW756" s="125"/>
      <c r="TJX756" s="125"/>
      <c r="TJY756" s="125"/>
      <c r="TJZ756" s="125"/>
      <c r="TKA756" s="125"/>
      <c r="TKB756" s="125"/>
      <c r="TKC756" s="125"/>
      <c r="TKD756" s="125"/>
      <c r="TKE756" s="125"/>
      <c r="TKF756" s="125"/>
      <c r="TKG756" s="125"/>
      <c r="TKH756" s="125"/>
      <c r="TKI756" s="125"/>
      <c r="TKJ756" s="125"/>
      <c r="TKK756" s="125"/>
      <c r="TKL756" s="125"/>
      <c r="TKM756" s="125"/>
      <c r="TKN756" s="125"/>
      <c r="TKO756" s="125"/>
      <c r="TKP756" s="125"/>
      <c r="TKQ756" s="125"/>
      <c r="TKR756" s="125"/>
      <c r="TKS756" s="125"/>
      <c r="TKT756" s="125"/>
      <c r="TKU756" s="125"/>
      <c r="TKV756" s="125"/>
      <c r="TKW756" s="125"/>
      <c r="TKX756" s="125"/>
      <c r="TKY756" s="125"/>
      <c r="TKZ756" s="125"/>
      <c r="TLA756" s="125"/>
      <c r="TLB756" s="125"/>
      <c r="TLC756" s="125"/>
      <c r="TLD756" s="125"/>
      <c r="TLE756" s="125"/>
      <c r="TLF756" s="125"/>
      <c r="TLG756" s="125"/>
      <c r="TLH756" s="125"/>
      <c r="TLI756" s="125"/>
      <c r="TLJ756" s="125"/>
      <c r="TLK756" s="125"/>
      <c r="TLL756" s="125"/>
      <c r="TLM756" s="125"/>
      <c r="TLN756" s="125"/>
      <c r="TLO756" s="125"/>
      <c r="TLP756" s="125"/>
      <c r="TLQ756" s="125"/>
      <c r="TLR756" s="125"/>
      <c r="TLS756" s="125"/>
      <c r="TLT756" s="125"/>
      <c r="TLU756" s="125"/>
      <c r="TLV756" s="125"/>
      <c r="TLW756" s="125"/>
      <c r="TLX756" s="125"/>
      <c r="TLY756" s="125"/>
      <c r="TLZ756" s="125"/>
      <c r="TMA756" s="125"/>
      <c r="TMB756" s="125"/>
      <c r="TMC756" s="125"/>
      <c r="TMD756" s="125"/>
      <c r="TME756" s="125"/>
      <c r="TMF756" s="125"/>
      <c r="TMG756" s="125"/>
      <c r="TMH756" s="125"/>
      <c r="TMI756" s="125"/>
      <c r="TMJ756" s="125"/>
      <c r="TMK756" s="125"/>
      <c r="TML756" s="125"/>
      <c r="TMM756" s="125"/>
      <c r="TMN756" s="125"/>
      <c r="TMO756" s="125"/>
      <c r="TMP756" s="125"/>
      <c r="TMQ756" s="125"/>
      <c r="TMR756" s="125"/>
      <c r="TMS756" s="125"/>
      <c r="TMT756" s="125"/>
      <c r="TMU756" s="125"/>
      <c r="TMV756" s="125"/>
      <c r="TMW756" s="125"/>
      <c r="TMX756" s="125"/>
      <c r="TMY756" s="125"/>
      <c r="TMZ756" s="125"/>
      <c r="TNA756" s="125"/>
      <c r="TNB756" s="125"/>
      <c r="TNC756" s="125"/>
      <c r="TND756" s="125"/>
      <c r="TNE756" s="125"/>
      <c r="TNF756" s="125"/>
      <c r="TNG756" s="125"/>
      <c r="TNH756" s="125"/>
      <c r="TNI756" s="125"/>
      <c r="TNJ756" s="125"/>
      <c r="TNK756" s="125"/>
      <c r="TNL756" s="125"/>
      <c r="TNM756" s="125"/>
      <c r="TNN756" s="125"/>
      <c r="TNO756" s="125"/>
      <c r="TNP756" s="125"/>
      <c r="TNQ756" s="125"/>
      <c r="TNR756" s="125"/>
      <c r="TNS756" s="125"/>
      <c r="TNT756" s="125"/>
      <c r="TNU756" s="125"/>
      <c r="TNV756" s="125"/>
      <c r="TNW756" s="125"/>
      <c r="TNX756" s="125"/>
      <c r="TNY756" s="125"/>
      <c r="TNZ756" s="125"/>
      <c r="TOA756" s="125"/>
      <c r="TOB756" s="125"/>
      <c r="TOC756" s="125"/>
      <c r="TOD756" s="125"/>
      <c r="TOE756" s="125"/>
      <c r="TOF756" s="125"/>
      <c r="TOG756" s="125"/>
      <c r="TOH756" s="125"/>
      <c r="TOI756" s="125"/>
      <c r="TOJ756" s="125"/>
      <c r="TOK756" s="125"/>
      <c r="TOL756" s="125"/>
      <c r="TOM756" s="125"/>
      <c r="TON756" s="125"/>
      <c r="TOO756" s="125"/>
      <c r="TOP756" s="125"/>
      <c r="TOQ756" s="125"/>
      <c r="TOR756" s="125"/>
      <c r="TOS756" s="125"/>
      <c r="TOT756" s="125"/>
      <c r="TOU756" s="125"/>
      <c r="TOV756" s="125"/>
      <c r="TOW756" s="125"/>
      <c r="TOX756" s="125"/>
      <c r="TOY756" s="125"/>
      <c r="TOZ756" s="125"/>
      <c r="TPA756" s="125"/>
      <c r="TPB756" s="125"/>
      <c r="TPC756" s="125"/>
      <c r="TPD756" s="125"/>
      <c r="TPE756" s="125"/>
      <c r="TPF756" s="125"/>
      <c r="TPG756" s="125"/>
      <c r="TPH756" s="125"/>
      <c r="TPI756" s="125"/>
      <c r="TPJ756" s="125"/>
      <c r="TPK756" s="125"/>
      <c r="TPL756" s="125"/>
      <c r="TPM756" s="125"/>
      <c r="TPN756" s="125"/>
      <c r="TPO756" s="125"/>
      <c r="TPP756" s="125"/>
      <c r="TPQ756" s="125"/>
      <c r="TPR756" s="125"/>
      <c r="TPS756" s="125"/>
      <c r="TPT756" s="125"/>
      <c r="TPU756" s="125"/>
      <c r="TPV756" s="125"/>
      <c r="TPW756" s="125"/>
      <c r="TPX756" s="125"/>
      <c r="TPY756" s="125"/>
      <c r="TPZ756" s="125"/>
      <c r="TQA756" s="125"/>
      <c r="TQB756" s="125"/>
      <c r="TQC756" s="125"/>
      <c r="TQD756" s="125"/>
      <c r="TQE756" s="125"/>
      <c r="TQF756" s="125"/>
      <c r="TQG756" s="125"/>
      <c r="TQH756" s="125"/>
      <c r="TQI756" s="125"/>
      <c r="TQJ756" s="125"/>
      <c r="TQK756" s="125"/>
      <c r="TQL756" s="125"/>
      <c r="TQM756" s="125"/>
      <c r="TQN756" s="125"/>
      <c r="TQO756" s="125"/>
      <c r="TQP756" s="125"/>
      <c r="TQQ756" s="125"/>
      <c r="TQR756" s="125"/>
      <c r="TQS756" s="125"/>
      <c r="TQT756" s="125"/>
      <c r="TQU756" s="125"/>
      <c r="TQV756" s="125"/>
      <c r="TQW756" s="125"/>
      <c r="TQX756" s="125"/>
      <c r="TQY756" s="125"/>
      <c r="TQZ756" s="125"/>
      <c r="TRA756" s="125"/>
      <c r="TRB756" s="125"/>
      <c r="TRC756" s="125"/>
      <c r="TRD756" s="125"/>
      <c r="TRE756" s="125"/>
      <c r="TRF756" s="125"/>
      <c r="TRG756" s="125"/>
      <c r="TRH756" s="125"/>
      <c r="TRI756" s="125"/>
      <c r="TRJ756" s="125"/>
      <c r="TRK756" s="125"/>
      <c r="TRL756" s="125"/>
      <c r="TRM756" s="125"/>
      <c r="TRN756" s="125"/>
      <c r="TRO756" s="125"/>
      <c r="TRP756" s="125"/>
      <c r="TRQ756" s="125"/>
      <c r="TRR756" s="125"/>
      <c r="TRS756" s="125"/>
      <c r="TRT756" s="125"/>
      <c r="TRU756" s="125"/>
      <c r="TRV756" s="125"/>
      <c r="TRW756" s="125"/>
      <c r="TRX756" s="125"/>
      <c r="TRY756" s="125"/>
      <c r="TRZ756" s="125"/>
      <c r="TSA756" s="125"/>
      <c r="TSB756" s="125"/>
      <c r="TSC756" s="125"/>
      <c r="TSD756" s="125"/>
      <c r="TSE756" s="125"/>
      <c r="TSF756" s="125"/>
      <c r="TSG756" s="125"/>
      <c r="TSH756" s="125"/>
      <c r="TSI756" s="125"/>
      <c r="TSJ756" s="125"/>
      <c r="TSK756" s="125"/>
      <c r="TSL756" s="125"/>
      <c r="TSM756" s="125"/>
      <c r="TSN756" s="125"/>
      <c r="TSO756" s="125"/>
      <c r="TSP756" s="125"/>
      <c r="TSQ756" s="125"/>
      <c r="TSR756" s="125"/>
      <c r="TSS756" s="125"/>
      <c r="TST756" s="125"/>
      <c r="TSU756" s="125"/>
      <c r="TSV756" s="125"/>
      <c r="TSW756" s="125"/>
      <c r="TSX756" s="125"/>
      <c r="TSY756" s="125"/>
      <c r="TSZ756" s="125"/>
      <c r="TTA756" s="125"/>
      <c r="TTB756" s="125"/>
      <c r="TTC756" s="125"/>
      <c r="TTD756" s="125"/>
      <c r="TTE756" s="125"/>
      <c r="TTF756" s="125"/>
      <c r="TTG756" s="125"/>
      <c r="TTH756" s="125"/>
      <c r="TTI756" s="125"/>
      <c r="TTJ756" s="125"/>
      <c r="TTK756" s="125"/>
      <c r="TTL756" s="125"/>
      <c r="TTM756" s="125"/>
      <c r="TTN756" s="125"/>
      <c r="TTO756" s="125"/>
      <c r="TTP756" s="125"/>
      <c r="TTQ756" s="125"/>
      <c r="TTR756" s="125"/>
      <c r="TTS756" s="125"/>
      <c r="TTT756" s="125"/>
      <c r="TTU756" s="125"/>
      <c r="TTV756" s="125"/>
      <c r="TTW756" s="125"/>
      <c r="TTX756" s="125"/>
      <c r="TTY756" s="125"/>
      <c r="TTZ756" s="125"/>
      <c r="TUA756" s="125"/>
      <c r="TUB756" s="125"/>
      <c r="TUC756" s="125"/>
      <c r="TUD756" s="125"/>
      <c r="TUE756" s="125"/>
      <c r="TUF756" s="125"/>
      <c r="TUG756" s="125"/>
      <c r="TUH756" s="125"/>
      <c r="TUI756" s="125"/>
      <c r="TUJ756" s="125"/>
      <c r="TUK756" s="125"/>
      <c r="TUL756" s="125"/>
      <c r="TUM756" s="125"/>
      <c r="TUN756" s="125"/>
      <c r="TUO756" s="125"/>
      <c r="TUP756" s="125"/>
      <c r="TUQ756" s="125"/>
      <c r="TUR756" s="125"/>
      <c r="TUS756" s="125"/>
      <c r="TUT756" s="125"/>
      <c r="TUU756" s="125"/>
      <c r="TUV756" s="125"/>
      <c r="TUW756" s="125"/>
      <c r="TUX756" s="125"/>
      <c r="TUY756" s="125"/>
      <c r="TUZ756" s="125"/>
      <c r="TVA756" s="125"/>
      <c r="TVB756" s="125"/>
      <c r="TVC756" s="125"/>
      <c r="TVD756" s="125"/>
      <c r="TVE756" s="125"/>
      <c r="TVF756" s="125"/>
      <c r="TVG756" s="125"/>
      <c r="TVH756" s="125"/>
      <c r="TVI756" s="125"/>
      <c r="TVJ756" s="125"/>
      <c r="TVK756" s="125"/>
      <c r="TVL756" s="125"/>
      <c r="TVM756" s="125"/>
      <c r="TVN756" s="125"/>
      <c r="TVO756" s="125"/>
      <c r="TVP756" s="125"/>
      <c r="TVQ756" s="125"/>
      <c r="TVR756" s="125"/>
      <c r="TVS756" s="125"/>
      <c r="TVT756" s="125"/>
      <c r="TVU756" s="125"/>
      <c r="TVV756" s="125"/>
      <c r="TVW756" s="125"/>
      <c r="TVX756" s="125"/>
      <c r="TVY756" s="125"/>
      <c r="TVZ756" s="125"/>
      <c r="TWA756" s="125"/>
      <c r="TWB756" s="125"/>
      <c r="TWC756" s="125"/>
      <c r="TWD756" s="125"/>
      <c r="TWE756" s="125"/>
      <c r="TWF756" s="125"/>
      <c r="TWG756" s="125"/>
      <c r="TWH756" s="125"/>
      <c r="TWI756" s="125"/>
      <c r="TWJ756" s="125"/>
      <c r="TWK756" s="125"/>
      <c r="TWL756" s="125"/>
      <c r="TWM756" s="125"/>
      <c r="TWN756" s="125"/>
      <c r="TWO756" s="125"/>
      <c r="TWP756" s="125"/>
      <c r="TWQ756" s="125"/>
      <c r="TWR756" s="125"/>
      <c r="TWS756" s="125"/>
      <c r="TWT756" s="125"/>
      <c r="TWU756" s="125"/>
      <c r="TWV756" s="125"/>
      <c r="TWW756" s="125"/>
      <c r="TWX756" s="125"/>
      <c r="TWY756" s="125"/>
      <c r="TWZ756" s="125"/>
      <c r="TXA756" s="125"/>
      <c r="TXB756" s="125"/>
      <c r="TXC756" s="125"/>
      <c r="TXD756" s="125"/>
      <c r="TXE756" s="125"/>
      <c r="TXF756" s="125"/>
      <c r="TXG756" s="125"/>
      <c r="TXH756" s="125"/>
      <c r="TXI756" s="125"/>
      <c r="TXJ756" s="125"/>
      <c r="TXK756" s="125"/>
      <c r="TXL756" s="125"/>
      <c r="TXM756" s="125"/>
      <c r="TXN756" s="125"/>
      <c r="TXO756" s="125"/>
      <c r="TXP756" s="125"/>
      <c r="TXQ756" s="125"/>
      <c r="TXR756" s="125"/>
      <c r="TXS756" s="125"/>
      <c r="TXT756" s="125"/>
      <c r="TXU756" s="125"/>
      <c r="TXV756" s="125"/>
      <c r="TXW756" s="125"/>
      <c r="TXX756" s="125"/>
      <c r="TXY756" s="125"/>
      <c r="TXZ756" s="125"/>
      <c r="TYA756" s="125"/>
      <c r="TYB756" s="125"/>
      <c r="TYC756" s="125"/>
      <c r="TYD756" s="125"/>
      <c r="TYE756" s="125"/>
      <c r="TYF756" s="125"/>
      <c r="TYG756" s="125"/>
      <c r="TYH756" s="125"/>
      <c r="TYI756" s="125"/>
      <c r="TYJ756" s="125"/>
      <c r="TYK756" s="125"/>
      <c r="TYL756" s="125"/>
      <c r="TYM756" s="125"/>
      <c r="TYN756" s="125"/>
      <c r="TYO756" s="125"/>
      <c r="TYP756" s="125"/>
      <c r="TYQ756" s="125"/>
      <c r="TYR756" s="125"/>
      <c r="TYS756" s="125"/>
      <c r="TYT756" s="125"/>
      <c r="TYU756" s="125"/>
      <c r="TYV756" s="125"/>
      <c r="TYW756" s="125"/>
      <c r="TYX756" s="125"/>
      <c r="TYY756" s="125"/>
      <c r="TYZ756" s="125"/>
      <c r="TZA756" s="125"/>
      <c r="TZB756" s="125"/>
      <c r="TZC756" s="125"/>
      <c r="TZD756" s="125"/>
      <c r="TZE756" s="125"/>
      <c r="TZF756" s="125"/>
      <c r="TZG756" s="125"/>
      <c r="TZH756" s="125"/>
      <c r="TZI756" s="125"/>
      <c r="TZJ756" s="125"/>
      <c r="TZK756" s="125"/>
      <c r="TZL756" s="125"/>
      <c r="TZM756" s="125"/>
      <c r="TZN756" s="125"/>
      <c r="TZO756" s="125"/>
      <c r="TZP756" s="125"/>
      <c r="TZQ756" s="125"/>
      <c r="TZR756" s="125"/>
      <c r="TZS756" s="125"/>
      <c r="TZT756" s="125"/>
      <c r="TZU756" s="125"/>
      <c r="TZV756" s="125"/>
      <c r="TZW756" s="125"/>
      <c r="TZX756" s="125"/>
      <c r="TZY756" s="125"/>
      <c r="TZZ756" s="125"/>
      <c r="UAA756" s="125"/>
      <c r="UAB756" s="125"/>
      <c r="UAC756" s="125"/>
      <c r="UAD756" s="125"/>
      <c r="UAE756" s="125"/>
      <c r="UAF756" s="125"/>
      <c r="UAG756" s="125"/>
      <c r="UAH756" s="125"/>
      <c r="UAI756" s="125"/>
      <c r="UAJ756" s="125"/>
      <c r="UAK756" s="125"/>
      <c r="UAL756" s="125"/>
      <c r="UAM756" s="125"/>
      <c r="UAN756" s="125"/>
      <c r="UAO756" s="125"/>
      <c r="UAP756" s="125"/>
      <c r="UAQ756" s="125"/>
      <c r="UAR756" s="125"/>
      <c r="UAS756" s="125"/>
      <c r="UAT756" s="125"/>
      <c r="UAU756" s="125"/>
      <c r="UAV756" s="125"/>
      <c r="UAW756" s="125"/>
      <c r="UAX756" s="125"/>
      <c r="UAY756" s="125"/>
      <c r="UAZ756" s="125"/>
      <c r="UBA756" s="125"/>
      <c r="UBB756" s="125"/>
      <c r="UBC756" s="125"/>
      <c r="UBD756" s="125"/>
      <c r="UBE756" s="125"/>
      <c r="UBF756" s="125"/>
      <c r="UBG756" s="125"/>
      <c r="UBH756" s="125"/>
      <c r="UBI756" s="125"/>
      <c r="UBJ756" s="125"/>
      <c r="UBK756" s="125"/>
      <c r="UBL756" s="125"/>
      <c r="UBM756" s="125"/>
      <c r="UBN756" s="125"/>
      <c r="UBO756" s="125"/>
      <c r="UBP756" s="125"/>
      <c r="UBQ756" s="125"/>
      <c r="UBR756" s="125"/>
      <c r="UBS756" s="125"/>
      <c r="UBT756" s="125"/>
      <c r="UBU756" s="125"/>
      <c r="UBV756" s="125"/>
      <c r="UBW756" s="125"/>
      <c r="UBX756" s="125"/>
      <c r="UBY756" s="125"/>
      <c r="UBZ756" s="125"/>
      <c r="UCA756" s="125"/>
      <c r="UCB756" s="125"/>
      <c r="UCC756" s="125"/>
      <c r="UCD756" s="125"/>
      <c r="UCE756" s="125"/>
      <c r="UCF756" s="125"/>
      <c r="UCG756" s="125"/>
      <c r="UCH756" s="125"/>
      <c r="UCI756" s="125"/>
      <c r="UCJ756" s="125"/>
      <c r="UCK756" s="125"/>
      <c r="UCL756" s="125"/>
      <c r="UCM756" s="125"/>
      <c r="UCN756" s="125"/>
      <c r="UCO756" s="125"/>
      <c r="UCP756" s="125"/>
      <c r="UCQ756" s="125"/>
      <c r="UCR756" s="125"/>
      <c r="UCS756" s="125"/>
      <c r="UCT756" s="125"/>
      <c r="UCU756" s="125"/>
      <c r="UCV756" s="125"/>
      <c r="UCW756" s="125"/>
      <c r="UCX756" s="125"/>
      <c r="UCY756" s="125"/>
      <c r="UCZ756" s="125"/>
      <c r="UDA756" s="125"/>
      <c r="UDB756" s="125"/>
      <c r="UDC756" s="125"/>
      <c r="UDD756" s="125"/>
      <c r="UDE756" s="125"/>
      <c r="UDF756" s="125"/>
      <c r="UDG756" s="125"/>
      <c r="UDH756" s="125"/>
      <c r="UDI756" s="125"/>
      <c r="UDJ756" s="125"/>
      <c r="UDK756" s="125"/>
      <c r="UDL756" s="125"/>
      <c r="UDM756" s="125"/>
      <c r="UDN756" s="125"/>
      <c r="UDO756" s="125"/>
      <c r="UDP756" s="125"/>
      <c r="UDQ756" s="125"/>
      <c r="UDR756" s="125"/>
      <c r="UDS756" s="125"/>
      <c r="UDT756" s="125"/>
      <c r="UDU756" s="125"/>
      <c r="UDV756" s="125"/>
      <c r="UDW756" s="125"/>
      <c r="UDX756" s="125"/>
      <c r="UDY756" s="125"/>
      <c r="UDZ756" s="125"/>
      <c r="UEA756" s="125"/>
      <c r="UEB756" s="125"/>
      <c r="UEC756" s="125"/>
      <c r="UED756" s="125"/>
      <c r="UEE756" s="125"/>
      <c r="UEF756" s="125"/>
      <c r="UEG756" s="125"/>
      <c r="UEH756" s="125"/>
      <c r="UEI756" s="125"/>
      <c r="UEJ756" s="125"/>
      <c r="UEK756" s="125"/>
      <c r="UEL756" s="125"/>
      <c r="UEM756" s="125"/>
      <c r="UEN756" s="125"/>
      <c r="UEO756" s="125"/>
      <c r="UEP756" s="125"/>
      <c r="UEQ756" s="125"/>
      <c r="UER756" s="125"/>
      <c r="UES756" s="125"/>
      <c r="UET756" s="125"/>
      <c r="UEU756" s="125"/>
      <c r="UEV756" s="125"/>
      <c r="UEW756" s="125"/>
      <c r="UEX756" s="125"/>
      <c r="UEY756" s="125"/>
      <c r="UEZ756" s="125"/>
      <c r="UFA756" s="125"/>
      <c r="UFB756" s="125"/>
      <c r="UFC756" s="125"/>
      <c r="UFD756" s="125"/>
      <c r="UFE756" s="125"/>
      <c r="UFF756" s="125"/>
      <c r="UFG756" s="125"/>
      <c r="UFH756" s="125"/>
      <c r="UFI756" s="125"/>
      <c r="UFJ756" s="125"/>
      <c r="UFK756" s="125"/>
      <c r="UFL756" s="125"/>
      <c r="UFM756" s="125"/>
      <c r="UFN756" s="125"/>
      <c r="UFO756" s="125"/>
      <c r="UFP756" s="125"/>
      <c r="UFQ756" s="125"/>
      <c r="UFR756" s="125"/>
      <c r="UFS756" s="125"/>
      <c r="UFT756" s="125"/>
      <c r="UFU756" s="125"/>
      <c r="UFV756" s="125"/>
      <c r="UFW756" s="125"/>
      <c r="UFX756" s="125"/>
      <c r="UFY756" s="125"/>
      <c r="UFZ756" s="125"/>
      <c r="UGA756" s="125"/>
      <c r="UGB756" s="125"/>
      <c r="UGC756" s="125"/>
      <c r="UGD756" s="125"/>
      <c r="UGE756" s="125"/>
      <c r="UGF756" s="125"/>
      <c r="UGG756" s="125"/>
      <c r="UGH756" s="125"/>
      <c r="UGI756" s="125"/>
      <c r="UGJ756" s="125"/>
      <c r="UGK756" s="125"/>
      <c r="UGL756" s="125"/>
      <c r="UGM756" s="125"/>
      <c r="UGN756" s="125"/>
      <c r="UGO756" s="125"/>
      <c r="UGP756" s="125"/>
      <c r="UGQ756" s="125"/>
      <c r="UGR756" s="125"/>
      <c r="UGS756" s="125"/>
      <c r="UGT756" s="125"/>
      <c r="UGU756" s="125"/>
      <c r="UGV756" s="125"/>
      <c r="UGW756" s="125"/>
      <c r="UGX756" s="125"/>
      <c r="UGY756" s="125"/>
      <c r="UGZ756" s="125"/>
      <c r="UHA756" s="125"/>
      <c r="UHB756" s="125"/>
      <c r="UHC756" s="125"/>
      <c r="UHD756" s="125"/>
      <c r="UHE756" s="125"/>
      <c r="UHF756" s="125"/>
      <c r="UHG756" s="125"/>
      <c r="UHH756" s="125"/>
      <c r="UHI756" s="125"/>
      <c r="UHJ756" s="125"/>
      <c r="UHK756" s="125"/>
      <c r="UHL756" s="125"/>
      <c r="UHM756" s="125"/>
      <c r="UHN756" s="125"/>
      <c r="UHO756" s="125"/>
      <c r="UHP756" s="125"/>
      <c r="UHQ756" s="125"/>
      <c r="UHR756" s="125"/>
      <c r="UHS756" s="125"/>
      <c r="UHT756" s="125"/>
      <c r="UHU756" s="125"/>
      <c r="UHV756" s="125"/>
      <c r="UHW756" s="125"/>
      <c r="UHX756" s="125"/>
      <c r="UHY756" s="125"/>
      <c r="UHZ756" s="125"/>
      <c r="UIA756" s="125"/>
      <c r="UIB756" s="125"/>
      <c r="UIC756" s="125"/>
      <c r="UID756" s="125"/>
      <c r="UIE756" s="125"/>
      <c r="UIF756" s="125"/>
      <c r="UIG756" s="125"/>
      <c r="UIH756" s="125"/>
      <c r="UII756" s="125"/>
      <c r="UIJ756" s="125"/>
      <c r="UIK756" s="125"/>
      <c r="UIL756" s="125"/>
      <c r="UIM756" s="125"/>
      <c r="UIN756" s="125"/>
      <c r="UIO756" s="125"/>
      <c r="UIP756" s="125"/>
      <c r="UIQ756" s="125"/>
      <c r="UIR756" s="125"/>
      <c r="UIS756" s="125"/>
      <c r="UIT756" s="125"/>
      <c r="UIU756" s="125"/>
      <c r="UIV756" s="125"/>
      <c r="UIW756" s="125"/>
      <c r="UIX756" s="125"/>
      <c r="UIY756" s="125"/>
      <c r="UIZ756" s="125"/>
      <c r="UJA756" s="125"/>
      <c r="UJB756" s="125"/>
      <c r="UJC756" s="125"/>
      <c r="UJD756" s="125"/>
      <c r="UJE756" s="125"/>
      <c r="UJF756" s="125"/>
      <c r="UJG756" s="125"/>
      <c r="UJH756" s="125"/>
      <c r="UJI756" s="125"/>
      <c r="UJJ756" s="125"/>
      <c r="UJK756" s="125"/>
      <c r="UJL756" s="125"/>
      <c r="UJM756" s="125"/>
      <c r="UJN756" s="125"/>
      <c r="UJO756" s="125"/>
      <c r="UJP756" s="125"/>
      <c r="UJQ756" s="125"/>
      <c r="UJR756" s="125"/>
      <c r="UJS756" s="125"/>
      <c r="UJT756" s="125"/>
      <c r="UJU756" s="125"/>
      <c r="UJV756" s="125"/>
      <c r="UJW756" s="125"/>
      <c r="UJX756" s="125"/>
      <c r="UJY756" s="125"/>
      <c r="UJZ756" s="125"/>
      <c r="UKA756" s="125"/>
      <c r="UKB756" s="125"/>
      <c r="UKC756" s="125"/>
      <c r="UKD756" s="125"/>
      <c r="UKE756" s="125"/>
      <c r="UKF756" s="125"/>
      <c r="UKG756" s="125"/>
      <c r="UKH756" s="125"/>
      <c r="UKI756" s="125"/>
      <c r="UKJ756" s="125"/>
      <c r="UKK756" s="125"/>
      <c r="UKL756" s="125"/>
      <c r="UKM756" s="125"/>
      <c r="UKN756" s="125"/>
      <c r="UKO756" s="125"/>
      <c r="UKP756" s="125"/>
      <c r="UKQ756" s="125"/>
      <c r="UKR756" s="125"/>
      <c r="UKS756" s="125"/>
      <c r="UKT756" s="125"/>
      <c r="UKU756" s="125"/>
      <c r="UKV756" s="125"/>
      <c r="UKW756" s="125"/>
      <c r="UKX756" s="125"/>
      <c r="UKY756" s="125"/>
      <c r="UKZ756" s="125"/>
      <c r="ULA756" s="125"/>
      <c r="ULB756" s="125"/>
      <c r="ULC756" s="125"/>
      <c r="ULD756" s="125"/>
      <c r="ULE756" s="125"/>
      <c r="ULF756" s="125"/>
      <c r="ULG756" s="125"/>
      <c r="ULH756" s="125"/>
      <c r="ULI756" s="125"/>
      <c r="ULJ756" s="125"/>
      <c r="ULK756" s="125"/>
      <c r="ULL756" s="125"/>
      <c r="ULM756" s="125"/>
      <c r="ULN756" s="125"/>
      <c r="ULO756" s="125"/>
      <c r="ULP756" s="125"/>
      <c r="ULQ756" s="125"/>
      <c r="ULR756" s="125"/>
      <c r="ULS756" s="125"/>
      <c r="ULT756" s="125"/>
      <c r="ULU756" s="125"/>
      <c r="ULV756" s="125"/>
      <c r="ULW756" s="125"/>
      <c r="ULX756" s="125"/>
      <c r="ULY756" s="125"/>
      <c r="ULZ756" s="125"/>
      <c r="UMA756" s="125"/>
      <c r="UMB756" s="125"/>
      <c r="UMC756" s="125"/>
      <c r="UMD756" s="125"/>
      <c r="UME756" s="125"/>
      <c r="UMF756" s="125"/>
      <c r="UMG756" s="125"/>
      <c r="UMH756" s="125"/>
      <c r="UMI756" s="125"/>
      <c r="UMJ756" s="125"/>
      <c r="UMK756" s="125"/>
      <c r="UML756" s="125"/>
      <c r="UMM756" s="125"/>
      <c r="UMN756" s="125"/>
      <c r="UMO756" s="125"/>
      <c r="UMP756" s="125"/>
      <c r="UMQ756" s="125"/>
      <c r="UMR756" s="125"/>
      <c r="UMS756" s="125"/>
      <c r="UMT756" s="125"/>
      <c r="UMU756" s="125"/>
      <c r="UMV756" s="125"/>
      <c r="UMW756" s="125"/>
      <c r="UMX756" s="125"/>
      <c r="UMY756" s="125"/>
      <c r="UMZ756" s="125"/>
      <c r="UNA756" s="125"/>
      <c r="UNB756" s="125"/>
      <c r="UNC756" s="125"/>
      <c r="UND756" s="125"/>
      <c r="UNE756" s="125"/>
      <c r="UNF756" s="125"/>
      <c r="UNG756" s="125"/>
      <c r="UNH756" s="125"/>
      <c r="UNI756" s="125"/>
      <c r="UNJ756" s="125"/>
      <c r="UNK756" s="125"/>
      <c r="UNL756" s="125"/>
      <c r="UNM756" s="125"/>
      <c r="UNN756" s="125"/>
      <c r="UNO756" s="125"/>
      <c r="UNP756" s="125"/>
      <c r="UNQ756" s="125"/>
      <c r="UNR756" s="125"/>
      <c r="UNS756" s="125"/>
      <c r="UNT756" s="125"/>
      <c r="UNU756" s="125"/>
      <c r="UNV756" s="125"/>
      <c r="UNW756" s="125"/>
      <c r="UNX756" s="125"/>
      <c r="UNY756" s="125"/>
      <c r="UNZ756" s="125"/>
      <c r="UOA756" s="125"/>
      <c r="UOB756" s="125"/>
      <c r="UOC756" s="125"/>
      <c r="UOD756" s="125"/>
      <c r="UOE756" s="125"/>
      <c r="UOF756" s="125"/>
      <c r="UOG756" s="125"/>
      <c r="UOH756" s="125"/>
      <c r="UOI756" s="125"/>
      <c r="UOJ756" s="125"/>
      <c r="UOK756" s="125"/>
      <c r="UOL756" s="125"/>
      <c r="UOM756" s="125"/>
      <c r="UON756" s="125"/>
      <c r="UOO756" s="125"/>
      <c r="UOP756" s="125"/>
      <c r="UOQ756" s="125"/>
      <c r="UOR756" s="125"/>
      <c r="UOS756" s="125"/>
      <c r="UOT756" s="125"/>
      <c r="UOU756" s="125"/>
      <c r="UOV756" s="125"/>
      <c r="UOW756" s="125"/>
      <c r="UOX756" s="125"/>
      <c r="UOY756" s="125"/>
      <c r="UOZ756" s="125"/>
      <c r="UPA756" s="125"/>
      <c r="UPB756" s="125"/>
      <c r="UPC756" s="125"/>
      <c r="UPD756" s="125"/>
      <c r="UPE756" s="125"/>
      <c r="UPF756" s="125"/>
      <c r="UPG756" s="125"/>
      <c r="UPH756" s="125"/>
      <c r="UPI756" s="125"/>
      <c r="UPJ756" s="125"/>
      <c r="UPK756" s="125"/>
      <c r="UPL756" s="125"/>
      <c r="UPM756" s="125"/>
      <c r="UPN756" s="125"/>
      <c r="UPO756" s="125"/>
      <c r="UPP756" s="125"/>
      <c r="UPQ756" s="125"/>
      <c r="UPR756" s="125"/>
      <c r="UPS756" s="125"/>
      <c r="UPT756" s="125"/>
      <c r="UPU756" s="125"/>
      <c r="UPV756" s="125"/>
      <c r="UPW756" s="125"/>
      <c r="UPX756" s="125"/>
      <c r="UPY756" s="125"/>
      <c r="UPZ756" s="125"/>
      <c r="UQA756" s="125"/>
      <c r="UQB756" s="125"/>
      <c r="UQC756" s="125"/>
      <c r="UQD756" s="125"/>
      <c r="UQE756" s="125"/>
      <c r="UQF756" s="125"/>
      <c r="UQG756" s="125"/>
      <c r="UQH756" s="125"/>
      <c r="UQI756" s="125"/>
      <c r="UQJ756" s="125"/>
      <c r="UQK756" s="125"/>
      <c r="UQL756" s="125"/>
      <c r="UQM756" s="125"/>
      <c r="UQN756" s="125"/>
      <c r="UQO756" s="125"/>
      <c r="UQP756" s="125"/>
      <c r="UQQ756" s="125"/>
      <c r="UQR756" s="125"/>
      <c r="UQS756" s="125"/>
      <c r="UQT756" s="125"/>
      <c r="UQU756" s="125"/>
      <c r="UQV756" s="125"/>
      <c r="UQW756" s="125"/>
      <c r="UQX756" s="125"/>
      <c r="UQY756" s="125"/>
      <c r="UQZ756" s="125"/>
      <c r="URA756" s="125"/>
      <c r="URB756" s="125"/>
      <c r="URC756" s="125"/>
      <c r="URD756" s="125"/>
      <c r="URE756" s="125"/>
      <c r="URF756" s="125"/>
      <c r="URG756" s="125"/>
      <c r="URH756" s="125"/>
      <c r="URI756" s="125"/>
      <c r="URJ756" s="125"/>
      <c r="URK756" s="125"/>
      <c r="URL756" s="125"/>
      <c r="URM756" s="125"/>
      <c r="URN756" s="125"/>
      <c r="URO756" s="125"/>
      <c r="URP756" s="125"/>
      <c r="URQ756" s="125"/>
      <c r="URR756" s="125"/>
      <c r="URS756" s="125"/>
      <c r="URT756" s="125"/>
      <c r="URU756" s="125"/>
      <c r="URV756" s="125"/>
      <c r="URW756" s="125"/>
      <c r="URX756" s="125"/>
      <c r="URY756" s="125"/>
      <c r="URZ756" s="125"/>
      <c r="USA756" s="125"/>
      <c r="USB756" s="125"/>
      <c r="USC756" s="125"/>
      <c r="USD756" s="125"/>
      <c r="USE756" s="125"/>
      <c r="USF756" s="125"/>
      <c r="USG756" s="125"/>
      <c r="USH756" s="125"/>
      <c r="USI756" s="125"/>
      <c r="USJ756" s="125"/>
      <c r="USK756" s="125"/>
      <c r="USL756" s="125"/>
      <c r="USM756" s="125"/>
      <c r="USN756" s="125"/>
      <c r="USO756" s="125"/>
      <c r="USP756" s="125"/>
      <c r="USQ756" s="125"/>
      <c r="USR756" s="125"/>
      <c r="USS756" s="125"/>
      <c r="UST756" s="125"/>
      <c r="USU756" s="125"/>
      <c r="USV756" s="125"/>
      <c r="USW756" s="125"/>
      <c r="USX756" s="125"/>
      <c r="USY756" s="125"/>
      <c r="USZ756" s="125"/>
      <c r="UTA756" s="125"/>
      <c r="UTB756" s="125"/>
      <c r="UTC756" s="125"/>
      <c r="UTD756" s="125"/>
      <c r="UTE756" s="125"/>
      <c r="UTF756" s="125"/>
      <c r="UTG756" s="125"/>
      <c r="UTH756" s="125"/>
      <c r="UTI756" s="125"/>
      <c r="UTJ756" s="125"/>
      <c r="UTK756" s="125"/>
      <c r="UTL756" s="125"/>
      <c r="UTM756" s="125"/>
      <c r="UTN756" s="125"/>
      <c r="UTO756" s="125"/>
      <c r="UTP756" s="125"/>
      <c r="UTQ756" s="125"/>
      <c r="UTR756" s="125"/>
      <c r="UTS756" s="125"/>
      <c r="UTT756" s="125"/>
      <c r="UTU756" s="125"/>
      <c r="UTV756" s="125"/>
      <c r="UTW756" s="125"/>
      <c r="UTX756" s="125"/>
      <c r="UTY756" s="125"/>
      <c r="UTZ756" s="125"/>
      <c r="UUA756" s="125"/>
      <c r="UUB756" s="125"/>
      <c r="UUC756" s="125"/>
      <c r="UUD756" s="125"/>
      <c r="UUE756" s="125"/>
      <c r="UUF756" s="125"/>
      <c r="UUG756" s="125"/>
      <c r="UUH756" s="125"/>
      <c r="UUI756" s="125"/>
      <c r="UUJ756" s="125"/>
      <c r="UUK756" s="125"/>
      <c r="UUL756" s="125"/>
      <c r="UUM756" s="125"/>
      <c r="UUN756" s="125"/>
      <c r="UUO756" s="125"/>
      <c r="UUP756" s="125"/>
      <c r="UUQ756" s="125"/>
      <c r="UUR756" s="125"/>
      <c r="UUS756" s="125"/>
      <c r="UUT756" s="125"/>
      <c r="UUU756" s="125"/>
      <c r="UUV756" s="125"/>
      <c r="UUW756" s="125"/>
      <c r="UUX756" s="125"/>
      <c r="UUY756" s="125"/>
      <c r="UUZ756" s="125"/>
      <c r="UVA756" s="125"/>
      <c r="UVB756" s="125"/>
      <c r="UVC756" s="125"/>
      <c r="UVD756" s="125"/>
      <c r="UVE756" s="125"/>
      <c r="UVF756" s="125"/>
      <c r="UVG756" s="125"/>
      <c r="UVH756" s="125"/>
      <c r="UVI756" s="125"/>
      <c r="UVJ756" s="125"/>
      <c r="UVK756" s="125"/>
      <c r="UVL756" s="125"/>
      <c r="UVM756" s="125"/>
      <c r="UVN756" s="125"/>
      <c r="UVO756" s="125"/>
      <c r="UVP756" s="125"/>
      <c r="UVQ756" s="125"/>
      <c r="UVR756" s="125"/>
      <c r="UVS756" s="125"/>
      <c r="UVT756" s="125"/>
      <c r="UVU756" s="125"/>
      <c r="UVV756" s="125"/>
      <c r="UVW756" s="125"/>
      <c r="UVX756" s="125"/>
      <c r="UVY756" s="125"/>
      <c r="UVZ756" s="125"/>
      <c r="UWA756" s="125"/>
      <c r="UWB756" s="125"/>
      <c r="UWC756" s="125"/>
      <c r="UWD756" s="125"/>
      <c r="UWE756" s="125"/>
      <c r="UWF756" s="125"/>
      <c r="UWG756" s="125"/>
      <c r="UWH756" s="125"/>
      <c r="UWI756" s="125"/>
      <c r="UWJ756" s="125"/>
      <c r="UWK756" s="125"/>
      <c r="UWL756" s="125"/>
      <c r="UWM756" s="125"/>
      <c r="UWN756" s="125"/>
      <c r="UWO756" s="125"/>
      <c r="UWP756" s="125"/>
      <c r="UWQ756" s="125"/>
      <c r="UWR756" s="125"/>
      <c r="UWS756" s="125"/>
      <c r="UWT756" s="125"/>
      <c r="UWU756" s="125"/>
      <c r="UWV756" s="125"/>
      <c r="UWW756" s="125"/>
      <c r="UWX756" s="125"/>
      <c r="UWY756" s="125"/>
      <c r="UWZ756" s="125"/>
      <c r="UXA756" s="125"/>
      <c r="UXB756" s="125"/>
      <c r="UXC756" s="125"/>
      <c r="UXD756" s="125"/>
      <c r="UXE756" s="125"/>
      <c r="UXF756" s="125"/>
      <c r="UXG756" s="125"/>
      <c r="UXH756" s="125"/>
      <c r="UXI756" s="125"/>
      <c r="UXJ756" s="125"/>
      <c r="UXK756" s="125"/>
      <c r="UXL756" s="125"/>
      <c r="UXM756" s="125"/>
      <c r="UXN756" s="125"/>
      <c r="UXO756" s="125"/>
      <c r="UXP756" s="125"/>
      <c r="UXQ756" s="125"/>
      <c r="UXR756" s="125"/>
      <c r="UXS756" s="125"/>
      <c r="UXT756" s="125"/>
      <c r="UXU756" s="125"/>
      <c r="UXV756" s="125"/>
      <c r="UXW756" s="125"/>
      <c r="UXX756" s="125"/>
      <c r="UXY756" s="125"/>
      <c r="UXZ756" s="125"/>
      <c r="UYA756" s="125"/>
      <c r="UYB756" s="125"/>
      <c r="UYC756" s="125"/>
      <c r="UYD756" s="125"/>
      <c r="UYE756" s="125"/>
      <c r="UYF756" s="125"/>
      <c r="UYG756" s="125"/>
      <c r="UYH756" s="125"/>
      <c r="UYI756" s="125"/>
      <c r="UYJ756" s="125"/>
      <c r="UYK756" s="125"/>
      <c r="UYL756" s="125"/>
      <c r="UYM756" s="125"/>
      <c r="UYN756" s="125"/>
      <c r="UYO756" s="125"/>
      <c r="UYP756" s="125"/>
      <c r="UYQ756" s="125"/>
      <c r="UYR756" s="125"/>
      <c r="UYS756" s="125"/>
      <c r="UYT756" s="125"/>
      <c r="UYU756" s="125"/>
      <c r="UYV756" s="125"/>
      <c r="UYW756" s="125"/>
      <c r="UYX756" s="125"/>
      <c r="UYY756" s="125"/>
      <c r="UYZ756" s="125"/>
      <c r="UZA756" s="125"/>
      <c r="UZB756" s="125"/>
      <c r="UZC756" s="125"/>
      <c r="UZD756" s="125"/>
      <c r="UZE756" s="125"/>
      <c r="UZF756" s="125"/>
      <c r="UZG756" s="125"/>
      <c r="UZH756" s="125"/>
      <c r="UZI756" s="125"/>
      <c r="UZJ756" s="125"/>
      <c r="UZK756" s="125"/>
      <c r="UZL756" s="125"/>
      <c r="UZM756" s="125"/>
      <c r="UZN756" s="125"/>
      <c r="UZO756" s="125"/>
      <c r="UZP756" s="125"/>
      <c r="UZQ756" s="125"/>
      <c r="UZR756" s="125"/>
      <c r="UZS756" s="125"/>
      <c r="UZT756" s="125"/>
      <c r="UZU756" s="125"/>
      <c r="UZV756" s="125"/>
      <c r="UZW756" s="125"/>
      <c r="UZX756" s="125"/>
      <c r="UZY756" s="125"/>
      <c r="UZZ756" s="125"/>
      <c r="VAA756" s="125"/>
      <c r="VAB756" s="125"/>
      <c r="VAC756" s="125"/>
      <c r="VAD756" s="125"/>
      <c r="VAE756" s="125"/>
      <c r="VAF756" s="125"/>
      <c r="VAG756" s="125"/>
      <c r="VAH756" s="125"/>
      <c r="VAI756" s="125"/>
      <c r="VAJ756" s="125"/>
      <c r="VAK756" s="125"/>
      <c r="VAL756" s="125"/>
      <c r="VAM756" s="125"/>
      <c r="VAN756" s="125"/>
      <c r="VAO756" s="125"/>
      <c r="VAP756" s="125"/>
      <c r="VAQ756" s="125"/>
      <c r="VAR756" s="125"/>
      <c r="VAS756" s="125"/>
      <c r="VAT756" s="125"/>
      <c r="VAU756" s="125"/>
      <c r="VAV756" s="125"/>
      <c r="VAW756" s="125"/>
      <c r="VAX756" s="125"/>
      <c r="VAY756" s="125"/>
      <c r="VAZ756" s="125"/>
      <c r="VBA756" s="125"/>
      <c r="VBB756" s="125"/>
      <c r="VBC756" s="125"/>
      <c r="VBD756" s="125"/>
      <c r="VBE756" s="125"/>
      <c r="VBF756" s="125"/>
      <c r="VBG756" s="125"/>
      <c r="VBH756" s="125"/>
      <c r="VBI756" s="125"/>
      <c r="VBJ756" s="125"/>
      <c r="VBK756" s="125"/>
      <c r="VBL756" s="125"/>
      <c r="VBM756" s="125"/>
      <c r="VBN756" s="125"/>
      <c r="VBO756" s="125"/>
      <c r="VBP756" s="125"/>
      <c r="VBQ756" s="125"/>
      <c r="VBR756" s="125"/>
      <c r="VBS756" s="125"/>
      <c r="VBT756" s="125"/>
      <c r="VBU756" s="125"/>
      <c r="VBV756" s="125"/>
      <c r="VBW756" s="125"/>
      <c r="VBX756" s="125"/>
      <c r="VBY756" s="125"/>
      <c r="VBZ756" s="125"/>
      <c r="VCA756" s="125"/>
      <c r="VCB756" s="125"/>
      <c r="VCC756" s="125"/>
      <c r="VCD756" s="125"/>
      <c r="VCE756" s="125"/>
      <c r="VCF756" s="125"/>
      <c r="VCG756" s="125"/>
      <c r="VCH756" s="125"/>
      <c r="VCI756" s="125"/>
      <c r="VCJ756" s="125"/>
      <c r="VCK756" s="125"/>
      <c r="VCL756" s="125"/>
      <c r="VCM756" s="125"/>
      <c r="VCN756" s="125"/>
      <c r="VCO756" s="125"/>
      <c r="VCP756" s="125"/>
      <c r="VCQ756" s="125"/>
      <c r="VCR756" s="125"/>
      <c r="VCS756" s="125"/>
      <c r="VCT756" s="125"/>
      <c r="VCU756" s="125"/>
      <c r="VCV756" s="125"/>
      <c r="VCW756" s="125"/>
      <c r="VCX756" s="125"/>
      <c r="VCY756" s="125"/>
      <c r="VCZ756" s="125"/>
      <c r="VDA756" s="125"/>
      <c r="VDB756" s="125"/>
      <c r="VDC756" s="125"/>
      <c r="VDD756" s="125"/>
      <c r="VDE756" s="125"/>
      <c r="VDF756" s="125"/>
      <c r="VDG756" s="125"/>
      <c r="VDH756" s="125"/>
      <c r="VDI756" s="125"/>
      <c r="VDJ756" s="125"/>
      <c r="VDK756" s="125"/>
      <c r="VDL756" s="125"/>
      <c r="VDM756" s="125"/>
      <c r="VDN756" s="125"/>
      <c r="VDO756" s="125"/>
      <c r="VDP756" s="125"/>
      <c r="VDQ756" s="125"/>
      <c r="VDR756" s="125"/>
      <c r="VDS756" s="125"/>
      <c r="VDT756" s="125"/>
      <c r="VDU756" s="125"/>
      <c r="VDV756" s="125"/>
      <c r="VDW756" s="125"/>
      <c r="VDX756" s="125"/>
      <c r="VDY756" s="125"/>
      <c r="VDZ756" s="125"/>
      <c r="VEA756" s="125"/>
      <c r="VEB756" s="125"/>
      <c r="VEC756" s="125"/>
      <c r="VED756" s="125"/>
      <c r="VEE756" s="125"/>
      <c r="VEF756" s="125"/>
      <c r="VEG756" s="125"/>
      <c r="VEH756" s="125"/>
      <c r="VEI756" s="125"/>
      <c r="VEJ756" s="125"/>
      <c r="VEK756" s="125"/>
      <c r="VEL756" s="125"/>
      <c r="VEM756" s="125"/>
      <c r="VEN756" s="125"/>
      <c r="VEO756" s="125"/>
      <c r="VEP756" s="125"/>
      <c r="VEQ756" s="125"/>
      <c r="VER756" s="125"/>
      <c r="VES756" s="125"/>
      <c r="VET756" s="125"/>
      <c r="VEU756" s="125"/>
      <c r="VEV756" s="125"/>
      <c r="VEW756" s="125"/>
      <c r="VEX756" s="125"/>
      <c r="VEY756" s="125"/>
      <c r="VEZ756" s="125"/>
      <c r="VFA756" s="125"/>
      <c r="VFB756" s="125"/>
      <c r="VFC756" s="125"/>
      <c r="VFD756" s="125"/>
      <c r="VFE756" s="125"/>
      <c r="VFF756" s="125"/>
      <c r="VFG756" s="125"/>
      <c r="VFH756" s="125"/>
      <c r="VFI756" s="125"/>
      <c r="VFJ756" s="125"/>
      <c r="VFK756" s="125"/>
      <c r="VFL756" s="125"/>
      <c r="VFM756" s="125"/>
      <c r="VFN756" s="125"/>
      <c r="VFO756" s="125"/>
      <c r="VFP756" s="125"/>
      <c r="VFQ756" s="125"/>
      <c r="VFR756" s="125"/>
      <c r="VFS756" s="125"/>
      <c r="VFT756" s="125"/>
      <c r="VFU756" s="125"/>
      <c r="VFV756" s="125"/>
      <c r="VFW756" s="125"/>
      <c r="VFX756" s="125"/>
      <c r="VFY756" s="125"/>
      <c r="VFZ756" s="125"/>
      <c r="VGA756" s="125"/>
      <c r="VGB756" s="125"/>
      <c r="VGC756" s="125"/>
      <c r="VGD756" s="125"/>
      <c r="VGE756" s="125"/>
      <c r="VGF756" s="125"/>
      <c r="VGG756" s="125"/>
      <c r="VGH756" s="125"/>
      <c r="VGI756" s="125"/>
      <c r="VGJ756" s="125"/>
      <c r="VGK756" s="125"/>
      <c r="VGL756" s="125"/>
      <c r="VGM756" s="125"/>
      <c r="VGN756" s="125"/>
      <c r="VGO756" s="125"/>
      <c r="VGP756" s="125"/>
      <c r="VGQ756" s="125"/>
      <c r="VGR756" s="125"/>
      <c r="VGS756" s="125"/>
      <c r="VGT756" s="125"/>
      <c r="VGU756" s="125"/>
      <c r="VGV756" s="125"/>
      <c r="VGW756" s="125"/>
      <c r="VGX756" s="125"/>
      <c r="VGY756" s="125"/>
      <c r="VGZ756" s="125"/>
      <c r="VHA756" s="125"/>
      <c r="VHB756" s="125"/>
      <c r="VHC756" s="125"/>
      <c r="VHD756" s="125"/>
      <c r="VHE756" s="125"/>
      <c r="VHF756" s="125"/>
      <c r="VHG756" s="125"/>
      <c r="VHH756" s="125"/>
      <c r="VHI756" s="125"/>
      <c r="VHJ756" s="125"/>
      <c r="VHK756" s="125"/>
      <c r="VHL756" s="125"/>
      <c r="VHM756" s="125"/>
      <c r="VHN756" s="125"/>
      <c r="VHO756" s="125"/>
      <c r="VHP756" s="125"/>
      <c r="VHQ756" s="125"/>
      <c r="VHR756" s="125"/>
      <c r="VHS756" s="125"/>
      <c r="VHT756" s="125"/>
      <c r="VHU756" s="125"/>
      <c r="VHV756" s="125"/>
      <c r="VHW756" s="125"/>
      <c r="VHX756" s="125"/>
      <c r="VHY756" s="125"/>
      <c r="VHZ756" s="125"/>
      <c r="VIA756" s="125"/>
      <c r="VIB756" s="125"/>
      <c r="VIC756" s="125"/>
      <c r="VID756" s="125"/>
      <c r="VIE756" s="125"/>
      <c r="VIF756" s="125"/>
      <c r="VIG756" s="125"/>
      <c r="VIH756" s="125"/>
      <c r="VII756" s="125"/>
      <c r="VIJ756" s="125"/>
      <c r="VIK756" s="125"/>
      <c r="VIL756" s="125"/>
      <c r="VIM756" s="125"/>
      <c r="VIN756" s="125"/>
      <c r="VIO756" s="125"/>
      <c r="VIP756" s="125"/>
      <c r="VIQ756" s="125"/>
      <c r="VIR756" s="125"/>
      <c r="VIS756" s="125"/>
      <c r="VIT756" s="125"/>
      <c r="VIU756" s="125"/>
      <c r="VIV756" s="125"/>
      <c r="VIW756" s="125"/>
      <c r="VIX756" s="125"/>
      <c r="VIY756" s="125"/>
      <c r="VIZ756" s="125"/>
      <c r="VJA756" s="125"/>
      <c r="VJB756" s="125"/>
      <c r="VJC756" s="125"/>
      <c r="VJD756" s="125"/>
      <c r="VJE756" s="125"/>
      <c r="VJF756" s="125"/>
      <c r="VJG756" s="125"/>
      <c r="VJH756" s="125"/>
      <c r="VJI756" s="125"/>
      <c r="VJJ756" s="125"/>
      <c r="VJK756" s="125"/>
      <c r="VJL756" s="125"/>
      <c r="VJM756" s="125"/>
      <c r="VJN756" s="125"/>
      <c r="VJO756" s="125"/>
      <c r="VJP756" s="125"/>
      <c r="VJQ756" s="125"/>
      <c r="VJR756" s="125"/>
      <c r="VJS756" s="125"/>
      <c r="VJT756" s="125"/>
      <c r="VJU756" s="125"/>
      <c r="VJV756" s="125"/>
      <c r="VJW756" s="125"/>
      <c r="VJX756" s="125"/>
      <c r="VJY756" s="125"/>
      <c r="VJZ756" s="125"/>
      <c r="VKA756" s="125"/>
      <c r="VKB756" s="125"/>
      <c r="VKC756" s="125"/>
      <c r="VKD756" s="125"/>
      <c r="VKE756" s="125"/>
      <c r="VKF756" s="125"/>
      <c r="VKG756" s="125"/>
      <c r="VKH756" s="125"/>
      <c r="VKI756" s="125"/>
      <c r="VKJ756" s="125"/>
      <c r="VKK756" s="125"/>
      <c r="VKL756" s="125"/>
      <c r="VKM756" s="125"/>
      <c r="VKN756" s="125"/>
      <c r="VKO756" s="125"/>
      <c r="VKP756" s="125"/>
      <c r="VKQ756" s="125"/>
      <c r="VKR756" s="125"/>
      <c r="VKS756" s="125"/>
      <c r="VKT756" s="125"/>
      <c r="VKU756" s="125"/>
      <c r="VKV756" s="125"/>
      <c r="VKW756" s="125"/>
      <c r="VKX756" s="125"/>
      <c r="VKY756" s="125"/>
      <c r="VKZ756" s="125"/>
      <c r="VLA756" s="125"/>
      <c r="VLB756" s="125"/>
      <c r="VLC756" s="125"/>
      <c r="VLD756" s="125"/>
      <c r="VLE756" s="125"/>
      <c r="VLF756" s="125"/>
      <c r="VLG756" s="125"/>
      <c r="VLH756" s="125"/>
      <c r="VLI756" s="125"/>
      <c r="VLJ756" s="125"/>
      <c r="VLK756" s="125"/>
      <c r="VLL756" s="125"/>
      <c r="VLM756" s="125"/>
      <c r="VLN756" s="125"/>
      <c r="VLO756" s="125"/>
      <c r="VLP756" s="125"/>
      <c r="VLQ756" s="125"/>
      <c r="VLR756" s="125"/>
      <c r="VLS756" s="125"/>
      <c r="VLT756" s="125"/>
      <c r="VLU756" s="125"/>
      <c r="VLV756" s="125"/>
      <c r="VLW756" s="125"/>
      <c r="VLX756" s="125"/>
      <c r="VLY756" s="125"/>
      <c r="VLZ756" s="125"/>
      <c r="VMA756" s="125"/>
      <c r="VMB756" s="125"/>
      <c r="VMC756" s="125"/>
      <c r="VMD756" s="125"/>
      <c r="VME756" s="125"/>
      <c r="VMF756" s="125"/>
      <c r="VMG756" s="125"/>
      <c r="VMH756" s="125"/>
      <c r="VMI756" s="125"/>
      <c r="VMJ756" s="125"/>
      <c r="VMK756" s="125"/>
      <c r="VML756" s="125"/>
      <c r="VMM756" s="125"/>
      <c r="VMN756" s="125"/>
      <c r="VMO756" s="125"/>
      <c r="VMP756" s="125"/>
      <c r="VMQ756" s="125"/>
      <c r="VMR756" s="125"/>
      <c r="VMS756" s="125"/>
      <c r="VMT756" s="125"/>
      <c r="VMU756" s="125"/>
      <c r="VMV756" s="125"/>
      <c r="VMW756" s="125"/>
      <c r="VMX756" s="125"/>
      <c r="VMY756" s="125"/>
      <c r="VMZ756" s="125"/>
      <c r="VNA756" s="125"/>
      <c r="VNB756" s="125"/>
      <c r="VNC756" s="125"/>
      <c r="VND756" s="125"/>
      <c r="VNE756" s="125"/>
      <c r="VNF756" s="125"/>
      <c r="VNG756" s="125"/>
      <c r="VNH756" s="125"/>
      <c r="VNI756" s="125"/>
      <c r="VNJ756" s="125"/>
      <c r="VNK756" s="125"/>
      <c r="VNL756" s="125"/>
      <c r="VNM756" s="125"/>
      <c r="VNN756" s="125"/>
      <c r="VNO756" s="125"/>
      <c r="VNP756" s="125"/>
      <c r="VNQ756" s="125"/>
      <c r="VNR756" s="125"/>
      <c r="VNS756" s="125"/>
      <c r="VNT756" s="125"/>
      <c r="VNU756" s="125"/>
      <c r="VNV756" s="125"/>
      <c r="VNW756" s="125"/>
      <c r="VNX756" s="125"/>
      <c r="VNY756" s="125"/>
      <c r="VNZ756" s="125"/>
      <c r="VOA756" s="125"/>
      <c r="VOB756" s="125"/>
      <c r="VOC756" s="125"/>
      <c r="VOD756" s="125"/>
      <c r="VOE756" s="125"/>
      <c r="VOF756" s="125"/>
      <c r="VOG756" s="125"/>
      <c r="VOH756" s="125"/>
      <c r="VOI756" s="125"/>
      <c r="VOJ756" s="125"/>
      <c r="VOK756" s="125"/>
      <c r="VOL756" s="125"/>
      <c r="VOM756" s="125"/>
      <c r="VON756" s="125"/>
      <c r="VOO756" s="125"/>
      <c r="VOP756" s="125"/>
      <c r="VOQ756" s="125"/>
      <c r="VOR756" s="125"/>
      <c r="VOS756" s="125"/>
      <c r="VOT756" s="125"/>
      <c r="VOU756" s="125"/>
      <c r="VOV756" s="125"/>
      <c r="VOW756" s="125"/>
      <c r="VOX756" s="125"/>
      <c r="VOY756" s="125"/>
      <c r="VOZ756" s="125"/>
      <c r="VPA756" s="125"/>
      <c r="VPB756" s="125"/>
      <c r="VPC756" s="125"/>
      <c r="VPD756" s="125"/>
      <c r="VPE756" s="125"/>
      <c r="VPF756" s="125"/>
      <c r="VPG756" s="125"/>
      <c r="VPH756" s="125"/>
      <c r="VPI756" s="125"/>
      <c r="VPJ756" s="125"/>
      <c r="VPK756" s="125"/>
      <c r="VPL756" s="125"/>
      <c r="VPM756" s="125"/>
      <c r="VPN756" s="125"/>
      <c r="VPO756" s="125"/>
      <c r="VPP756" s="125"/>
      <c r="VPQ756" s="125"/>
      <c r="VPR756" s="125"/>
      <c r="VPS756" s="125"/>
      <c r="VPT756" s="125"/>
      <c r="VPU756" s="125"/>
      <c r="VPV756" s="125"/>
      <c r="VPW756" s="125"/>
      <c r="VPX756" s="125"/>
      <c r="VPY756" s="125"/>
      <c r="VPZ756" s="125"/>
      <c r="VQA756" s="125"/>
      <c r="VQB756" s="125"/>
      <c r="VQC756" s="125"/>
      <c r="VQD756" s="125"/>
      <c r="VQE756" s="125"/>
      <c r="VQF756" s="125"/>
      <c r="VQG756" s="125"/>
      <c r="VQH756" s="125"/>
      <c r="VQI756" s="125"/>
      <c r="VQJ756" s="125"/>
      <c r="VQK756" s="125"/>
      <c r="VQL756" s="125"/>
      <c r="VQM756" s="125"/>
      <c r="VQN756" s="125"/>
      <c r="VQO756" s="125"/>
      <c r="VQP756" s="125"/>
      <c r="VQQ756" s="125"/>
      <c r="VQR756" s="125"/>
      <c r="VQS756" s="125"/>
      <c r="VQT756" s="125"/>
      <c r="VQU756" s="125"/>
      <c r="VQV756" s="125"/>
      <c r="VQW756" s="125"/>
      <c r="VQX756" s="125"/>
      <c r="VQY756" s="125"/>
      <c r="VQZ756" s="125"/>
      <c r="VRA756" s="125"/>
      <c r="VRB756" s="125"/>
      <c r="VRC756" s="125"/>
      <c r="VRD756" s="125"/>
      <c r="VRE756" s="125"/>
      <c r="VRF756" s="125"/>
      <c r="VRG756" s="125"/>
      <c r="VRH756" s="125"/>
      <c r="VRI756" s="125"/>
      <c r="VRJ756" s="125"/>
      <c r="VRK756" s="125"/>
      <c r="VRL756" s="125"/>
      <c r="VRM756" s="125"/>
      <c r="VRN756" s="125"/>
      <c r="VRO756" s="125"/>
      <c r="VRP756" s="125"/>
      <c r="VRQ756" s="125"/>
      <c r="VRR756" s="125"/>
      <c r="VRS756" s="125"/>
      <c r="VRT756" s="125"/>
      <c r="VRU756" s="125"/>
      <c r="VRV756" s="125"/>
      <c r="VRW756" s="125"/>
      <c r="VRX756" s="125"/>
      <c r="VRY756" s="125"/>
      <c r="VRZ756" s="125"/>
      <c r="VSA756" s="125"/>
      <c r="VSB756" s="125"/>
      <c r="VSC756" s="125"/>
      <c r="VSD756" s="125"/>
      <c r="VSE756" s="125"/>
      <c r="VSF756" s="125"/>
      <c r="VSG756" s="125"/>
      <c r="VSH756" s="125"/>
      <c r="VSI756" s="125"/>
      <c r="VSJ756" s="125"/>
      <c r="VSK756" s="125"/>
      <c r="VSL756" s="125"/>
      <c r="VSM756" s="125"/>
      <c r="VSN756" s="125"/>
      <c r="VSO756" s="125"/>
      <c r="VSP756" s="125"/>
      <c r="VSQ756" s="125"/>
      <c r="VSR756" s="125"/>
      <c r="VSS756" s="125"/>
      <c r="VST756" s="125"/>
      <c r="VSU756" s="125"/>
      <c r="VSV756" s="125"/>
      <c r="VSW756" s="125"/>
      <c r="VSX756" s="125"/>
      <c r="VSY756" s="125"/>
      <c r="VSZ756" s="125"/>
      <c r="VTA756" s="125"/>
      <c r="VTB756" s="125"/>
      <c r="VTC756" s="125"/>
      <c r="VTD756" s="125"/>
      <c r="VTE756" s="125"/>
      <c r="VTF756" s="125"/>
      <c r="VTG756" s="125"/>
      <c r="VTH756" s="125"/>
      <c r="VTI756" s="125"/>
      <c r="VTJ756" s="125"/>
      <c r="VTK756" s="125"/>
      <c r="VTL756" s="125"/>
      <c r="VTM756" s="125"/>
      <c r="VTN756" s="125"/>
      <c r="VTO756" s="125"/>
      <c r="VTP756" s="125"/>
      <c r="VTQ756" s="125"/>
      <c r="VTR756" s="125"/>
      <c r="VTS756" s="125"/>
      <c r="VTT756" s="125"/>
      <c r="VTU756" s="125"/>
      <c r="VTV756" s="125"/>
      <c r="VTW756" s="125"/>
      <c r="VTX756" s="125"/>
      <c r="VTY756" s="125"/>
      <c r="VTZ756" s="125"/>
      <c r="VUA756" s="125"/>
      <c r="VUB756" s="125"/>
      <c r="VUC756" s="125"/>
      <c r="VUD756" s="125"/>
      <c r="VUE756" s="125"/>
      <c r="VUF756" s="125"/>
      <c r="VUG756" s="125"/>
      <c r="VUH756" s="125"/>
      <c r="VUI756" s="125"/>
      <c r="VUJ756" s="125"/>
      <c r="VUK756" s="125"/>
      <c r="VUL756" s="125"/>
      <c r="VUM756" s="125"/>
      <c r="VUN756" s="125"/>
      <c r="VUO756" s="125"/>
      <c r="VUP756" s="125"/>
      <c r="VUQ756" s="125"/>
      <c r="VUR756" s="125"/>
      <c r="VUS756" s="125"/>
      <c r="VUT756" s="125"/>
      <c r="VUU756" s="125"/>
      <c r="VUV756" s="125"/>
      <c r="VUW756" s="125"/>
      <c r="VUX756" s="125"/>
      <c r="VUY756" s="125"/>
      <c r="VUZ756" s="125"/>
      <c r="VVA756" s="125"/>
      <c r="VVB756" s="125"/>
      <c r="VVC756" s="125"/>
      <c r="VVD756" s="125"/>
      <c r="VVE756" s="125"/>
      <c r="VVF756" s="125"/>
      <c r="VVG756" s="125"/>
      <c r="VVH756" s="125"/>
      <c r="VVI756" s="125"/>
      <c r="VVJ756" s="125"/>
      <c r="VVK756" s="125"/>
      <c r="VVL756" s="125"/>
      <c r="VVM756" s="125"/>
      <c r="VVN756" s="125"/>
      <c r="VVO756" s="125"/>
      <c r="VVP756" s="125"/>
      <c r="VVQ756" s="125"/>
      <c r="VVR756" s="125"/>
      <c r="VVS756" s="125"/>
      <c r="VVT756" s="125"/>
      <c r="VVU756" s="125"/>
      <c r="VVV756" s="125"/>
      <c r="VVW756" s="125"/>
      <c r="VVX756" s="125"/>
      <c r="VVY756" s="125"/>
      <c r="VVZ756" s="125"/>
      <c r="VWA756" s="125"/>
      <c r="VWB756" s="125"/>
      <c r="VWC756" s="125"/>
      <c r="VWD756" s="125"/>
      <c r="VWE756" s="125"/>
      <c r="VWF756" s="125"/>
      <c r="VWG756" s="125"/>
      <c r="VWH756" s="125"/>
      <c r="VWI756" s="125"/>
      <c r="VWJ756" s="125"/>
      <c r="VWK756" s="125"/>
      <c r="VWL756" s="125"/>
      <c r="VWM756" s="125"/>
      <c r="VWN756" s="125"/>
      <c r="VWO756" s="125"/>
      <c r="VWP756" s="125"/>
      <c r="VWQ756" s="125"/>
      <c r="VWR756" s="125"/>
      <c r="VWS756" s="125"/>
      <c r="VWT756" s="125"/>
      <c r="VWU756" s="125"/>
      <c r="VWV756" s="125"/>
      <c r="VWW756" s="125"/>
      <c r="VWX756" s="125"/>
      <c r="VWY756" s="125"/>
      <c r="VWZ756" s="125"/>
      <c r="VXA756" s="125"/>
      <c r="VXB756" s="125"/>
      <c r="VXC756" s="125"/>
      <c r="VXD756" s="125"/>
      <c r="VXE756" s="125"/>
      <c r="VXF756" s="125"/>
      <c r="VXG756" s="125"/>
      <c r="VXH756" s="125"/>
      <c r="VXI756" s="125"/>
      <c r="VXJ756" s="125"/>
      <c r="VXK756" s="125"/>
      <c r="VXL756" s="125"/>
      <c r="VXM756" s="125"/>
      <c r="VXN756" s="125"/>
      <c r="VXO756" s="125"/>
      <c r="VXP756" s="125"/>
      <c r="VXQ756" s="125"/>
      <c r="VXR756" s="125"/>
      <c r="VXS756" s="125"/>
      <c r="VXT756" s="125"/>
      <c r="VXU756" s="125"/>
      <c r="VXV756" s="125"/>
      <c r="VXW756" s="125"/>
      <c r="VXX756" s="125"/>
      <c r="VXY756" s="125"/>
      <c r="VXZ756" s="125"/>
      <c r="VYA756" s="125"/>
      <c r="VYB756" s="125"/>
      <c r="VYC756" s="125"/>
      <c r="VYD756" s="125"/>
      <c r="VYE756" s="125"/>
      <c r="VYF756" s="125"/>
      <c r="VYG756" s="125"/>
      <c r="VYH756" s="125"/>
      <c r="VYI756" s="125"/>
      <c r="VYJ756" s="125"/>
      <c r="VYK756" s="125"/>
      <c r="VYL756" s="125"/>
      <c r="VYM756" s="125"/>
      <c r="VYN756" s="125"/>
      <c r="VYO756" s="125"/>
      <c r="VYP756" s="125"/>
      <c r="VYQ756" s="125"/>
      <c r="VYR756" s="125"/>
      <c r="VYS756" s="125"/>
      <c r="VYT756" s="125"/>
      <c r="VYU756" s="125"/>
      <c r="VYV756" s="125"/>
      <c r="VYW756" s="125"/>
      <c r="VYX756" s="125"/>
      <c r="VYY756" s="125"/>
      <c r="VYZ756" s="125"/>
      <c r="VZA756" s="125"/>
      <c r="VZB756" s="125"/>
      <c r="VZC756" s="125"/>
      <c r="VZD756" s="125"/>
      <c r="VZE756" s="125"/>
      <c r="VZF756" s="125"/>
      <c r="VZG756" s="125"/>
      <c r="VZH756" s="125"/>
      <c r="VZI756" s="125"/>
      <c r="VZJ756" s="125"/>
      <c r="VZK756" s="125"/>
      <c r="VZL756" s="125"/>
      <c r="VZM756" s="125"/>
      <c r="VZN756" s="125"/>
      <c r="VZO756" s="125"/>
      <c r="VZP756" s="125"/>
      <c r="VZQ756" s="125"/>
      <c r="VZR756" s="125"/>
      <c r="VZS756" s="125"/>
      <c r="VZT756" s="125"/>
      <c r="VZU756" s="125"/>
      <c r="VZV756" s="125"/>
      <c r="VZW756" s="125"/>
      <c r="VZX756" s="125"/>
      <c r="VZY756" s="125"/>
      <c r="VZZ756" s="125"/>
      <c r="WAA756" s="125"/>
      <c r="WAB756" s="125"/>
      <c r="WAC756" s="125"/>
      <c r="WAD756" s="125"/>
      <c r="WAE756" s="125"/>
      <c r="WAF756" s="125"/>
      <c r="WAG756" s="125"/>
      <c r="WAH756" s="125"/>
      <c r="WAI756" s="125"/>
      <c r="WAJ756" s="125"/>
      <c r="WAK756" s="125"/>
      <c r="WAL756" s="125"/>
      <c r="WAM756" s="125"/>
      <c r="WAN756" s="125"/>
      <c r="WAO756" s="125"/>
      <c r="WAP756" s="125"/>
      <c r="WAQ756" s="125"/>
      <c r="WAR756" s="125"/>
      <c r="WAS756" s="125"/>
      <c r="WAT756" s="125"/>
      <c r="WAU756" s="125"/>
      <c r="WAV756" s="125"/>
      <c r="WAW756" s="125"/>
      <c r="WAX756" s="125"/>
      <c r="WAY756" s="125"/>
      <c r="WAZ756" s="125"/>
      <c r="WBA756" s="125"/>
      <c r="WBB756" s="125"/>
      <c r="WBC756" s="125"/>
      <c r="WBD756" s="125"/>
      <c r="WBE756" s="125"/>
      <c r="WBF756" s="125"/>
      <c r="WBG756" s="125"/>
      <c r="WBH756" s="125"/>
      <c r="WBI756" s="125"/>
      <c r="WBJ756" s="125"/>
      <c r="WBK756" s="125"/>
      <c r="WBL756" s="125"/>
      <c r="WBM756" s="125"/>
      <c r="WBN756" s="125"/>
      <c r="WBO756" s="125"/>
      <c r="WBP756" s="125"/>
      <c r="WBQ756" s="125"/>
      <c r="WBR756" s="125"/>
      <c r="WBS756" s="125"/>
      <c r="WBT756" s="125"/>
      <c r="WBU756" s="125"/>
      <c r="WBV756" s="125"/>
      <c r="WBW756" s="125"/>
      <c r="WBX756" s="125"/>
      <c r="WBY756" s="125"/>
      <c r="WBZ756" s="125"/>
      <c r="WCA756" s="125"/>
      <c r="WCB756" s="125"/>
      <c r="WCC756" s="125"/>
      <c r="WCD756" s="125"/>
      <c r="WCE756" s="125"/>
      <c r="WCF756" s="125"/>
      <c r="WCG756" s="125"/>
      <c r="WCH756" s="125"/>
      <c r="WCI756" s="125"/>
      <c r="WCJ756" s="125"/>
      <c r="WCK756" s="125"/>
      <c r="WCL756" s="125"/>
      <c r="WCM756" s="125"/>
      <c r="WCN756" s="125"/>
      <c r="WCO756" s="125"/>
      <c r="WCP756" s="125"/>
      <c r="WCQ756" s="125"/>
      <c r="WCR756" s="125"/>
      <c r="WCS756" s="125"/>
      <c r="WCT756" s="125"/>
      <c r="WCU756" s="125"/>
      <c r="WCV756" s="125"/>
      <c r="WCW756" s="125"/>
      <c r="WCX756" s="125"/>
      <c r="WCY756" s="125"/>
      <c r="WCZ756" s="125"/>
      <c r="WDA756" s="125"/>
      <c r="WDB756" s="125"/>
      <c r="WDC756" s="125"/>
      <c r="WDD756" s="125"/>
      <c r="WDE756" s="125"/>
      <c r="WDF756" s="125"/>
      <c r="WDG756" s="125"/>
      <c r="WDH756" s="125"/>
      <c r="WDI756" s="125"/>
      <c r="WDJ756" s="125"/>
      <c r="WDK756" s="125"/>
      <c r="WDL756" s="125"/>
      <c r="WDM756" s="125"/>
      <c r="WDN756" s="125"/>
      <c r="WDO756" s="125"/>
      <c r="WDP756" s="125"/>
      <c r="WDQ756" s="125"/>
      <c r="WDR756" s="125"/>
      <c r="WDS756" s="125"/>
      <c r="WDT756" s="125"/>
      <c r="WDU756" s="125"/>
      <c r="WDV756" s="125"/>
      <c r="WDW756" s="125"/>
      <c r="WDX756" s="125"/>
      <c r="WDY756" s="125"/>
      <c r="WDZ756" s="125"/>
      <c r="WEA756" s="125"/>
      <c r="WEB756" s="125"/>
      <c r="WEC756" s="125"/>
      <c r="WED756" s="125"/>
      <c r="WEE756" s="125"/>
      <c r="WEF756" s="125"/>
      <c r="WEG756" s="125"/>
      <c r="WEH756" s="125"/>
      <c r="WEI756" s="125"/>
      <c r="WEJ756" s="125"/>
      <c r="WEK756" s="125"/>
      <c r="WEL756" s="125"/>
      <c r="WEM756" s="125"/>
      <c r="WEN756" s="125"/>
      <c r="WEO756" s="125"/>
      <c r="WEP756" s="125"/>
      <c r="WEQ756" s="125"/>
      <c r="WER756" s="125"/>
      <c r="WES756" s="125"/>
      <c r="WET756" s="125"/>
      <c r="WEU756" s="125"/>
      <c r="WEV756" s="125"/>
      <c r="WEW756" s="125"/>
      <c r="WEX756" s="125"/>
      <c r="WEY756" s="125"/>
      <c r="WEZ756" s="125"/>
      <c r="WFA756" s="125"/>
      <c r="WFB756" s="125"/>
      <c r="WFC756" s="125"/>
      <c r="WFD756" s="125"/>
      <c r="WFE756" s="125"/>
      <c r="WFF756" s="125"/>
      <c r="WFG756" s="125"/>
      <c r="WFH756" s="125"/>
      <c r="WFI756" s="125"/>
      <c r="WFJ756" s="125"/>
      <c r="WFK756" s="125"/>
      <c r="WFL756" s="125"/>
      <c r="WFM756" s="125"/>
      <c r="WFN756" s="125"/>
      <c r="WFO756" s="125"/>
      <c r="WFP756" s="125"/>
      <c r="WFQ756" s="125"/>
      <c r="WFR756" s="125"/>
      <c r="WFS756" s="125"/>
      <c r="WFT756" s="125"/>
      <c r="WFU756" s="125"/>
      <c r="WFV756" s="125"/>
      <c r="WFW756" s="125"/>
      <c r="WFX756" s="125"/>
      <c r="WFY756" s="125"/>
      <c r="WFZ756" s="125"/>
      <c r="WGA756" s="125"/>
      <c r="WGB756" s="125"/>
      <c r="WGC756" s="125"/>
      <c r="WGD756" s="125"/>
      <c r="WGE756" s="125"/>
      <c r="WGF756" s="125"/>
      <c r="WGG756" s="125"/>
      <c r="WGH756" s="125"/>
      <c r="WGI756" s="125"/>
      <c r="WGJ756" s="125"/>
      <c r="WGK756" s="125"/>
      <c r="WGL756" s="125"/>
      <c r="WGM756" s="125"/>
      <c r="WGN756" s="125"/>
      <c r="WGO756" s="125"/>
      <c r="WGP756" s="125"/>
      <c r="WGQ756" s="125"/>
      <c r="WGR756" s="125"/>
      <c r="WGS756" s="125"/>
      <c r="WGT756" s="125"/>
      <c r="WGU756" s="125"/>
      <c r="WGV756" s="125"/>
      <c r="WGW756" s="125"/>
      <c r="WGX756" s="125"/>
      <c r="WGY756" s="125"/>
      <c r="WGZ756" s="125"/>
      <c r="WHA756" s="125"/>
      <c r="WHB756" s="125"/>
      <c r="WHC756" s="125"/>
      <c r="WHD756" s="125"/>
      <c r="WHE756" s="125"/>
      <c r="WHF756" s="125"/>
      <c r="WHG756" s="125"/>
      <c r="WHH756" s="125"/>
      <c r="WHI756" s="125"/>
      <c r="WHJ756" s="125"/>
      <c r="WHK756" s="125"/>
      <c r="WHL756" s="125"/>
      <c r="WHM756" s="125"/>
      <c r="WHN756" s="125"/>
      <c r="WHO756" s="125"/>
      <c r="WHP756" s="125"/>
      <c r="WHQ756" s="125"/>
      <c r="WHR756" s="125"/>
      <c r="WHS756" s="125"/>
      <c r="WHT756" s="125"/>
      <c r="WHU756" s="125"/>
      <c r="WHV756" s="125"/>
      <c r="WHW756" s="125"/>
      <c r="WHX756" s="125"/>
      <c r="WHY756" s="125"/>
      <c r="WHZ756" s="125"/>
      <c r="WIA756" s="125"/>
      <c r="WIB756" s="125"/>
      <c r="WIC756" s="125"/>
      <c r="WID756" s="125"/>
      <c r="WIE756" s="125"/>
      <c r="WIF756" s="125"/>
      <c r="WIG756" s="125"/>
      <c r="WIH756" s="125"/>
      <c r="WII756" s="125"/>
      <c r="WIJ756" s="125"/>
      <c r="WIK756" s="125"/>
      <c r="WIL756" s="125"/>
      <c r="WIM756" s="125"/>
      <c r="WIN756" s="125"/>
      <c r="WIO756" s="125"/>
      <c r="WIP756" s="125"/>
      <c r="WIQ756" s="125"/>
      <c r="WIR756" s="125"/>
      <c r="WIS756" s="125"/>
      <c r="WIT756" s="125"/>
      <c r="WIU756" s="125"/>
      <c r="WIV756" s="125"/>
      <c r="WIW756" s="125"/>
      <c r="WIX756" s="125"/>
      <c r="WIY756" s="125"/>
      <c r="WIZ756" s="125"/>
      <c r="WJA756" s="125"/>
      <c r="WJB756" s="125"/>
      <c r="WJC756" s="125"/>
      <c r="WJD756" s="125"/>
      <c r="WJE756" s="125"/>
      <c r="WJF756" s="125"/>
      <c r="WJG756" s="125"/>
      <c r="WJH756" s="125"/>
      <c r="WJI756" s="125"/>
      <c r="WJJ756" s="125"/>
      <c r="WJK756" s="125"/>
      <c r="WJL756" s="125"/>
      <c r="WJM756" s="125"/>
      <c r="WJN756" s="125"/>
      <c r="WJO756" s="125"/>
      <c r="WJP756" s="125"/>
      <c r="WJQ756" s="125"/>
      <c r="WJR756" s="125"/>
      <c r="WJS756" s="125"/>
      <c r="WJT756" s="125"/>
      <c r="WJU756" s="125"/>
      <c r="WJV756" s="125"/>
      <c r="WJW756" s="125"/>
      <c r="WJX756" s="125"/>
      <c r="WJY756" s="125"/>
      <c r="WJZ756" s="125"/>
      <c r="WKA756" s="125"/>
      <c r="WKB756" s="125"/>
      <c r="WKC756" s="125"/>
      <c r="WKD756" s="125"/>
      <c r="WKE756" s="125"/>
      <c r="WKF756" s="125"/>
      <c r="WKG756" s="125"/>
      <c r="WKH756" s="125"/>
      <c r="WKI756" s="125"/>
      <c r="WKJ756" s="125"/>
      <c r="WKK756" s="125"/>
      <c r="WKL756" s="125"/>
      <c r="WKM756" s="125"/>
      <c r="WKN756" s="125"/>
      <c r="WKO756" s="125"/>
      <c r="WKP756" s="125"/>
      <c r="WKQ756" s="125"/>
      <c r="WKR756" s="125"/>
      <c r="WKS756" s="125"/>
      <c r="WKT756" s="125"/>
      <c r="WKU756" s="125"/>
      <c r="WKV756" s="125"/>
      <c r="WKW756" s="125"/>
      <c r="WKX756" s="125"/>
      <c r="WKY756" s="125"/>
      <c r="WKZ756" s="125"/>
      <c r="WLA756" s="125"/>
      <c r="WLB756" s="125"/>
      <c r="WLC756" s="125"/>
      <c r="WLD756" s="125"/>
      <c r="WLE756" s="125"/>
      <c r="WLF756" s="125"/>
      <c r="WLG756" s="125"/>
      <c r="WLH756" s="125"/>
      <c r="WLI756" s="125"/>
      <c r="WLJ756" s="125"/>
      <c r="WLK756" s="125"/>
      <c r="WLL756" s="125"/>
      <c r="WLM756" s="125"/>
      <c r="WLN756" s="125"/>
      <c r="WLO756" s="125"/>
      <c r="WLP756" s="125"/>
      <c r="WLQ756" s="125"/>
      <c r="WLR756" s="125"/>
      <c r="WLS756" s="125"/>
      <c r="WLT756" s="125"/>
      <c r="WLU756" s="125"/>
      <c r="WLV756" s="125"/>
      <c r="WLW756" s="125"/>
      <c r="WLX756" s="125"/>
      <c r="WLY756" s="125"/>
      <c r="WLZ756" s="125"/>
      <c r="WMA756" s="125"/>
      <c r="WMB756" s="125"/>
      <c r="WMC756" s="125"/>
      <c r="WMD756" s="125"/>
      <c r="WME756" s="125"/>
      <c r="WMF756" s="125"/>
      <c r="WMG756" s="125"/>
      <c r="WMH756" s="125"/>
      <c r="WMI756" s="125"/>
      <c r="WMJ756" s="125"/>
      <c r="WMK756" s="125"/>
      <c r="WML756" s="125"/>
      <c r="WMM756" s="125"/>
      <c r="WMN756" s="125"/>
      <c r="WMO756" s="125"/>
      <c r="WMP756" s="125"/>
      <c r="WMQ756" s="125"/>
      <c r="WMR756" s="125"/>
      <c r="WMS756" s="125"/>
      <c r="WMT756" s="125"/>
      <c r="WMU756" s="125"/>
      <c r="WMV756" s="125"/>
      <c r="WMW756" s="125"/>
      <c r="WMX756" s="125"/>
      <c r="WMY756" s="125"/>
      <c r="WMZ756" s="125"/>
      <c r="WNA756" s="125"/>
      <c r="WNB756" s="125"/>
      <c r="WNC756" s="125"/>
      <c r="WND756" s="125"/>
      <c r="WNE756" s="125"/>
      <c r="WNF756" s="125"/>
      <c r="WNG756" s="125"/>
      <c r="WNH756" s="125"/>
      <c r="WNI756" s="125"/>
      <c r="WNJ756" s="125"/>
      <c r="WNK756" s="125"/>
      <c r="WNL756" s="125"/>
      <c r="WNM756" s="125"/>
      <c r="WNN756" s="125"/>
      <c r="WNO756" s="125"/>
      <c r="WNP756" s="125"/>
      <c r="WNQ756" s="125"/>
      <c r="WNR756" s="125"/>
      <c r="WNS756" s="125"/>
      <c r="WNT756" s="125"/>
      <c r="WNU756" s="125"/>
      <c r="WNV756" s="125"/>
      <c r="WNW756" s="125"/>
      <c r="WNX756" s="125"/>
      <c r="WNY756" s="125"/>
      <c r="WNZ756" s="125"/>
      <c r="WOA756" s="125"/>
      <c r="WOB756" s="125"/>
      <c r="WOC756" s="125"/>
      <c r="WOD756" s="125"/>
      <c r="WOE756" s="125"/>
      <c r="WOF756" s="125"/>
      <c r="WOG756" s="125"/>
      <c r="WOH756" s="125"/>
      <c r="WOI756" s="125"/>
      <c r="WOJ756" s="125"/>
      <c r="WOK756" s="125"/>
      <c r="WOL756" s="125"/>
      <c r="WOM756" s="125"/>
      <c r="WON756" s="125"/>
      <c r="WOO756" s="125"/>
      <c r="WOP756" s="125"/>
      <c r="WOQ756" s="125"/>
      <c r="WOR756" s="125"/>
      <c r="WOS756" s="125"/>
      <c r="WOT756" s="125"/>
      <c r="WOU756" s="125"/>
      <c r="WOV756" s="125"/>
      <c r="WOW756" s="125"/>
      <c r="WOX756" s="125"/>
      <c r="WOY756" s="125"/>
      <c r="WOZ756" s="125"/>
      <c r="WPA756" s="125"/>
      <c r="WPB756" s="125"/>
      <c r="WPC756" s="125"/>
      <c r="WPD756" s="125"/>
      <c r="WPE756" s="125"/>
      <c r="WPF756" s="125"/>
      <c r="WPG756" s="125"/>
      <c r="WPH756" s="125"/>
      <c r="WPI756" s="125"/>
      <c r="WPJ756" s="125"/>
      <c r="WPK756" s="125"/>
      <c r="WPL756" s="125"/>
      <c r="WPM756" s="125"/>
      <c r="WPN756" s="125"/>
      <c r="WPO756" s="125"/>
      <c r="WPP756" s="125"/>
      <c r="WPQ756" s="125"/>
      <c r="WPR756" s="125"/>
      <c r="WPS756" s="125"/>
      <c r="WPT756" s="125"/>
      <c r="WPU756" s="125"/>
      <c r="WPV756" s="125"/>
      <c r="WPW756" s="125"/>
      <c r="WPX756" s="125"/>
      <c r="WPY756" s="125"/>
      <c r="WPZ756" s="125"/>
      <c r="WQA756" s="125"/>
      <c r="WQB756" s="125"/>
      <c r="WQC756" s="125"/>
      <c r="WQD756" s="125"/>
      <c r="WQE756" s="125"/>
      <c r="WQF756" s="125"/>
      <c r="WQG756" s="125"/>
      <c r="WQH756" s="125"/>
      <c r="WQI756" s="125"/>
      <c r="WQJ756" s="125"/>
      <c r="WQK756" s="125"/>
      <c r="WQL756" s="125"/>
      <c r="WQM756" s="125"/>
      <c r="WQN756" s="125"/>
      <c r="WQO756" s="125"/>
      <c r="WQP756" s="125"/>
      <c r="WQQ756" s="125"/>
      <c r="WQR756" s="125"/>
      <c r="WQS756" s="125"/>
      <c r="WQT756" s="125"/>
      <c r="WQU756" s="125"/>
      <c r="WQV756" s="125"/>
      <c r="WQW756" s="125"/>
      <c r="WQX756" s="125"/>
      <c r="WQY756" s="125"/>
      <c r="WQZ756" s="125"/>
      <c r="WRA756" s="125"/>
      <c r="WRB756" s="125"/>
      <c r="WRC756" s="125"/>
      <c r="WRD756" s="125"/>
      <c r="WRE756" s="125"/>
      <c r="WRF756" s="125"/>
      <c r="WRG756" s="125"/>
      <c r="WRH756" s="125"/>
      <c r="WRI756" s="125"/>
      <c r="WRJ756" s="125"/>
      <c r="WRK756" s="125"/>
      <c r="WRL756" s="125"/>
      <c r="WRM756" s="125"/>
      <c r="WRN756" s="125"/>
      <c r="WRO756" s="125"/>
      <c r="WRP756" s="125"/>
      <c r="WRQ756" s="125"/>
      <c r="WRR756" s="125"/>
      <c r="WRS756" s="125"/>
      <c r="WRT756" s="125"/>
      <c r="WRU756" s="125"/>
      <c r="WRV756" s="125"/>
      <c r="WRW756" s="125"/>
      <c r="WRX756" s="125"/>
      <c r="WRY756" s="125"/>
      <c r="WRZ756" s="125"/>
      <c r="WSA756" s="125"/>
      <c r="WSB756" s="125"/>
      <c r="WSC756" s="125"/>
      <c r="WSD756" s="125"/>
      <c r="WSE756" s="125"/>
      <c r="WSF756" s="125"/>
      <c r="WSG756" s="125"/>
      <c r="WSH756" s="125"/>
      <c r="WSI756" s="125"/>
      <c r="WSJ756" s="125"/>
      <c r="WSK756" s="125"/>
      <c r="WSL756" s="125"/>
      <c r="WSM756" s="125"/>
      <c r="WSN756" s="125"/>
      <c r="WSO756" s="125"/>
      <c r="WSP756" s="125"/>
      <c r="WSQ756" s="125"/>
      <c r="WSR756" s="125"/>
      <c r="WSS756" s="125"/>
      <c r="WST756" s="125"/>
      <c r="WSU756" s="125"/>
      <c r="WSV756" s="125"/>
      <c r="WSW756" s="125"/>
      <c r="WSX756" s="125"/>
      <c r="WSY756" s="125"/>
      <c r="WSZ756" s="125"/>
      <c r="WTA756" s="125"/>
      <c r="WTB756" s="125"/>
      <c r="WTC756" s="125"/>
      <c r="WTD756" s="125"/>
      <c r="WTE756" s="125"/>
      <c r="WTF756" s="125"/>
      <c r="WTG756" s="125"/>
      <c r="WTH756" s="125"/>
      <c r="WTI756" s="125"/>
      <c r="WTJ756" s="125"/>
      <c r="WTK756" s="125"/>
      <c r="WTL756" s="125"/>
      <c r="WTM756" s="125"/>
      <c r="WTN756" s="125"/>
      <c r="WTO756" s="125"/>
      <c r="WTP756" s="125"/>
      <c r="WTQ756" s="125"/>
      <c r="WTR756" s="125"/>
      <c r="WTS756" s="125"/>
      <c r="WTT756" s="125"/>
      <c r="WTU756" s="125"/>
      <c r="WTV756" s="125"/>
      <c r="WTW756" s="125"/>
      <c r="WTX756" s="125"/>
      <c r="WTY756" s="125"/>
      <c r="WTZ756" s="125"/>
      <c r="WUA756" s="125"/>
      <c r="WUB756" s="125"/>
      <c r="WUC756" s="125"/>
      <c r="WUD756" s="125"/>
      <c r="WUE756" s="125"/>
      <c r="WUF756" s="125"/>
      <c r="WUG756" s="125"/>
      <c r="WUH756" s="125"/>
      <c r="WUI756" s="125"/>
      <c r="WUJ756" s="125"/>
      <c r="WUK756" s="125"/>
      <c r="WUL756" s="125"/>
      <c r="WUM756" s="125"/>
      <c r="WUN756" s="125"/>
      <c r="WUO756" s="125"/>
      <c r="WUP756" s="125"/>
      <c r="WUQ756" s="125"/>
      <c r="WUR756" s="125"/>
      <c r="WUS756" s="125"/>
      <c r="WUT756" s="125"/>
      <c r="WUU756" s="125"/>
      <c r="WUV756" s="125"/>
      <c r="WUW756" s="125"/>
      <c r="WUX756" s="125"/>
      <c r="WUY756" s="125"/>
      <c r="WUZ756" s="125"/>
      <c r="WVA756" s="125"/>
      <c r="WVB756" s="125"/>
      <c r="WVC756" s="125"/>
      <c r="WVD756" s="125"/>
      <c r="WVE756" s="125"/>
      <c r="WVF756" s="125"/>
      <c r="WVG756" s="125"/>
      <c r="WVH756" s="125"/>
      <c r="WVI756" s="125"/>
      <c r="WVJ756" s="125"/>
      <c r="WVK756" s="125"/>
      <c r="WVL756" s="125"/>
      <c r="WVM756" s="125"/>
      <c r="WVN756" s="125"/>
      <c r="WVO756" s="125"/>
      <c r="WVP756" s="125"/>
      <c r="WVQ756" s="125"/>
      <c r="WVR756" s="125"/>
      <c r="WVS756" s="125"/>
      <c r="WVT756" s="125"/>
      <c r="WVU756" s="125"/>
      <c r="WVV756" s="125"/>
      <c r="WVW756" s="125"/>
      <c r="WVX756" s="125"/>
      <c r="WVY756" s="125"/>
      <c r="WVZ756" s="125"/>
      <c r="WWA756" s="125"/>
      <c r="WWB756" s="125"/>
      <c r="WWC756" s="125"/>
      <c r="WWD756" s="125"/>
      <c r="WWE756" s="125"/>
      <c r="WWF756" s="125"/>
      <c r="WWG756" s="125"/>
      <c r="WWH756" s="125"/>
      <c r="WWI756" s="125"/>
      <c r="WWJ756" s="125"/>
      <c r="WWK756" s="125"/>
      <c r="WWL756" s="125"/>
      <c r="WWM756" s="125"/>
      <c r="WWN756" s="125"/>
      <c r="WWO756" s="125"/>
      <c r="WWP756" s="125"/>
      <c r="WWQ756" s="125"/>
      <c r="WWR756" s="125"/>
      <c r="WWS756" s="125"/>
      <c r="WWT756" s="125"/>
      <c r="WWU756" s="125"/>
      <c r="WWV756" s="125"/>
      <c r="WWW756" s="125"/>
      <c r="WWX756" s="125"/>
      <c r="WWY756" s="125"/>
      <c r="WWZ756" s="125"/>
      <c r="WXA756" s="125"/>
      <c r="WXB756" s="125"/>
      <c r="WXC756" s="125"/>
      <c r="WXD756" s="125"/>
      <c r="WXE756" s="125"/>
      <c r="WXF756" s="125"/>
      <c r="WXG756" s="125"/>
      <c r="WXH756" s="125"/>
      <c r="WXI756" s="125"/>
      <c r="WXJ756" s="125"/>
      <c r="WXK756" s="125"/>
      <c r="WXL756" s="125"/>
      <c r="WXM756" s="125"/>
      <c r="WXN756" s="125"/>
      <c r="WXO756" s="125"/>
      <c r="WXP756" s="125"/>
      <c r="WXQ756" s="125"/>
      <c r="WXR756" s="125"/>
      <c r="WXS756" s="125"/>
      <c r="WXT756" s="125"/>
      <c r="WXU756" s="125"/>
      <c r="WXV756" s="125"/>
      <c r="WXW756" s="125"/>
      <c r="WXX756" s="125"/>
      <c r="WXY756" s="125"/>
      <c r="WXZ756" s="125"/>
      <c r="WYA756" s="125"/>
      <c r="WYB756" s="125"/>
      <c r="WYC756" s="125"/>
      <c r="WYD756" s="125"/>
      <c r="WYE756" s="125"/>
      <c r="WYF756" s="125"/>
      <c r="WYG756" s="125"/>
      <c r="WYH756" s="125"/>
      <c r="WYI756" s="125"/>
      <c r="WYJ756" s="125"/>
      <c r="WYK756" s="125"/>
      <c r="WYL756" s="125"/>
      <c r="WYM756" s="125"/>
      <c r="WYN756" s="125"/>
      <c r="WYO756" s="125"/>
      <c r="WYP756" s="125"/>
      <c r="WYQ756" s="125"/>
      <c r="WYR756" s="125"/>
      <c r="WYS756" s="125"/>
      <c r="WYT756" s="125"/>
      <c r="WYU756" s="125"/>
      <c r="WYV756" s="125"/>
      <c r="WYW756" s="125"/>
      <c r="WYX756" s="125"/>
      <c r="WYY756" s="125"/>
      <c r="WYZ756" s="125"/>
      <c r="WZA756" s="125"/>
      <c r="WZB756" s="125"/>
      <c r="WZC756" s="125"/>
      <c r="WZD756" s="125"/>
      <c r="WZE756" s="125"/>
      <c r="WZF756" s="125"/>
      <c r="WZG756" s="125"/>
      <c r="WZH756" s="125"/>
      <c r="WZI756" s="125"/>
      <c r="WZJ756" s="125"/>
      <c r="WZK756" s="125"/>
      <c r="WZL756" s="125"/>
      <c r="WZM756" s="125"/>
      <c r="WZN756" s="125"/>
      <c r="WZO756" s="125"/>
      <c r="WZP756" s="125"/>
      <c r="WZQ756" s="125"/>
      <c r="WZR756" s="125"/>
      <c r="WZS756" s="125"/>
      <c r="WZT756" s="125"/>
      <c r="WZU756" s="125"/>
      <c r="WZV756" s="125"/>
      <c r="WZW756" s="125"/>
      <c r="WZX756" s="125"/>
      <c r="WZY756" s="125"/>
      <c r="WZZ756" s="125"/>
      <c r="XAA756" s="125"/>
      <c r="XAB756" s="125"/>
      <c r="XAC756" s="125"/>
      <c r="XAD756" s="125"/>
      <c r="XAE756" s="125"/>
      <c r="XAF756" s="125"/>
      <c r="XAG756" s="125"/>
      <c r="XAH756" s="125"/>
      <c r="XAI756" s="125"/>
      <c r="XAJ756" s="125"/>
      <c r="XAK756" s="125"/>
      <c r="XAL756" s="125"/>
      <c r="XAM756" s="125"/>
      <c r="XAN756" s="125"/>
      <c r="XAO756" s="125"/>
      <c r="XAP756" s="125"/>
      <c r="XAQ756" s="125"/>
      <c r="XAR756" s="125"/>
      <c r="XAS756" s="125"/>
      <c r="XAT756" s="125"/>
      <c r="XAU756" s="125"/>
      <c r="XAV756" s="125"/>
      <c r="XAW756" s="125"/>
      <c r="XAX756" s="125"/>
      <c r="XAY756" s="125"/>
      <c r="XAZ756" s="125"/>
      <c r="XBA756" s="125"/>
      <c r="XBB756" s="125"/>
      <c r="XBC756" s="125"/>
      <c r="XBD756" s="125"/>
      <c r="XBE756" s="125"/>
      <c r="XBF756" s="125"/>
      <c r="XBG756" s="125"/>
      <c r="XBH756" s="125"/>
      <c r="XBI756" s="125"/>
      <c r="XBJ756" s="125"/>
      <c r="XBK756" s="125"/>
      <c r="XBL756" s="125"/>
      <c r="XBM756" s="125"/>
      <c r="XBN756" s="125"/>
      <c r="XBO756" s="125"/>
      <c r="XBP756" s="125"/>
      <c r="XBQ756" s="125"/>
      <c r="XBR756" s="125"/>
      <c r="XBS756" s="125"/>
      <c r="XBT756" s="125"/>
      <c r="XBU756" s="125"/>
      <c r="XBV756" s="125"/>
      <c r="XBW756" s="125"/>
      <c r="XBX756" s="125"/>
      <c r="XBY756" s="125"/>
      <c r="XBZ756" s="125"/>
      <c r="XCA756" s="125"/>
      <c r="XCB756" s="125"/>
      <c r="XCC756" s="125"/>
      <c r="XCD756" s="125"/>
      <c r="XCE756" s="125"/>
      <c r="XCF756" s="125"/>
      <c r="XCG756" s="125"/>
      <c r="XCH756" s="125"/>
      <c r="XCI756" s="125"/>
      <c r="XCJ756" s="125"/>
      <c r="XCK756" s="125"/>
      <c r="XCL756" s="125"/>
      <c r="XCM756" s="125"/>
      <c r="XCN756" s="125"/>
      <c r="XCO756" s="125"/>
      <c r="XCP756" s="125"/>
      <c r="XCQ756" s="125"/>
      <c r="XCR756" s="125"/>
      <c r="XCS756" s="125"/>
      <c r="XCT756" s="125"/>
      <c r="XCU756" s="125"/>
      <c r="XCV756" s="125"/>
      <c r="XCW756" s="125"/>
      <c r="XCX756" s="125"/>
      <c r="XCY756" s="125"/>
      <c r="XCZ756" s="125"/>
      <c r="XDA756" s="125"/>
      <c r="XDB756" s="125"/>
      <c r="XDC756" s="125"/>
      <c r="XDD756" s="125"/>
      <c r="XDE756" s="125"/>
      <c r="XDF756" s="125"/>
      <c r="XDG756" s="125"/>
      <c r="XDH756" s="125"/>
      <c r="XDI756" s="125"/>
      <c r="XDJ756" s="125"/>
      <c r="XDK756" s="125"/>
      <c r="XDL756" s="125"/>
      <c r="XDM756" s="125"/>
      <c r="XDN756" s="125"/>
      <c r="XDO756" s="125"/>
      <c r="XDP756" s="125"/>
      <c r="XDQ756" s="125"/>
      <c r="XDR756" s="125"/>
      <c r="XDS756" s="125"/>
      <c r="XDT756" s="125"/>
      <c r="XDU756" s="125"/>
      <c r="XDV756" s="125"/>
      <c r="XDW756" s="125"/>
      <c r="XDX756" s="125"/>
      <c r="XDY756" s="125"/>
      <c r="XDZ756" s="125"/>
      <c r="XEA756" s="125"/>
      <c r="XEB756" s="125"/>
      <c r="XEC756" s="125"/>
      <c r="XED756" s="125"/>
      <c r="XEE756" s="125"/>
      <c r="XEF756" s="125"/>
      <c r="XEG756" s="125"/>
      <c r="XEH756" s="125"/>
      <c r="XEI756" s="125"/>
      <c r="XEJ756" s="125"/>
      <c r="XEK756" s="125"/>
      <c r="XEL756" s="125"/>
      <c r="XEM756" s="125"/>
      <c r="XEN756" s="125"/>
      <c r="XEO756" s="125"/>
      <c r="XEP756" s="125"/>
      <c r="XEQ756" s="125"/>
      <c r="XER756" s="125"/>
      <c r="XES756" s="125"/>
      <c r="XET756" s="125"/>
      <c r="XEU756" s="125"/>
      <c r="XEV756" s="125"/>
      <c r="XEW756" s="125"/>
      <c r="XEX756" s="125"/>
      <c r="XEY756" s="125"/>
      <c r="XEZ756" s="125"/>
      <c r="XFA756" s="125"/>
      <c r="XFB756" s="125"/>
      <c r="XFC756" s="125"/>
    </row>
    <row r="758" spans="1:16383">
      <c r="B758">
        <v>1</v>
      </c>
      <c r="D758" s="129">
        <f t="shared" ref="D758:D821" si="21">F18*INDEX($E$673:$CG$753,E18-1945,G18-1945)</f>
        <v>65971.540357294682</v>
      </c>
      <c r="E758" s="128">
        <f t="shared" ref="E758:E821" si="22">G18</f>
        <v>2020</v>
      </c>
      <c r="F758" s="127">
        <f>_xlfn.XLOOKUP(D18,'3. Input (des)investeringen '!$B$11:$B$81,'3. Input (des)investeringen '!$E$11:$E$81)</f>
        <v>1</v>
      </c>
    </row>
    <row r="759" spans="1:16383">
      <c r="B759">
        <v>2</v>
      </c>
      <c r="D759" s="129">
        <f t="shared" si="21"/>
        <v>10418.237040788192</v>
      </c>
      <c r="E759" s="128">
        <f t="shared" si="22"/>
        <v>2020</v>
      </c>
      <c r="F759" s="127">
        <f>_xlfn.XLOOKUP(D19,'3. Input (des)investeringen '!$B$11:$B$81,'3. Input (des)investeringen '!$E$11:$E$81)</f>
        <v>1</v>
      </c>
    </row>
    <row r="760" spans="1:16383">
      <c r="B760">
        <v>3</v>
      </c>
      <c r="D760" s="129">
        <f t="shared" si="21"/>
        <v>854933.1294840395</v>
      </c>
      <c r="E760" s="128">
        <f t="shared" si="22"/>
        <v>2020</v>
      </c>
      <c r="F760" s="127">
        <f>_xlfn.XLOOKUP(D20,'3. Input (des)investeringen '!$B$11:$B$81,'3. Input (des)investeringen '!$E$11:$E$81)</f>
        <v>1</v>
      </c>
    </row>
    <row r="761" spans="1:16383">
      <c r="B761">
        <v>4</v>
      </c>
      <c r="D761" s="129">
        <f t="shared" si="21"/>
        <v>11347.896858824235</v>
      </c>
      <c r="E761" s="128">
        <f t="shared" si="22"/>
        <v>2020</v>
      </c>
      <c r="F761" s="127">
        <f>_xlfn.XLOOKUP(D21,'3. Input (des)investeringen '!$B$11:$B$81,'3. Input (des)investeringen '!$E$11:$E$81)</f>
        <v>1</v>
      </c>
    </row>
    <row r="762" spans="1:16383">
      <c r="B762">
        <v>5</v>
      </c>
      <c r="D762" s="129">
        <f t="shared" si="21"/>
        <v>3517510.3440651735</v>
      </c>
      <c r="E762" s="128">
        <f t="shared" si="22"/>
        <v>2020</v>
      </c>
      <c r="F762" s="127">
        <f>_xlfn.XLOOKUP(D22,'3. Input (des)investeringen '!$B$11:$B$81,'3. Input (des)investeringen '!$E$11:$E$81)</f>
        <v>1</v>
      </c>
    </row>
    <row r="763" spans="1:16383">
      <c r="B763">
        <v>6</v>
      </c>
      <c r="D763" s="129">
        <f t="shared" si="21"/>
        <v>36014.029146678571</v>
      </c>
      <c r="E763" s="128">
        <f t="shared" si="22"/>
        <v>2020</v>
      </c>
      <c r="F763" s="127">
        <f>_xlfn.XLOOKUP(D23,'3. Input (des)investeringen '!$B$11:$B$81,'3. Input (des)investeringen '!$E$11:$E$81)</f>
        <v>1</v>
      </c>
    </row>
    <row r="764" spans="1:16383">
      <c r="B764">
        <v>7</v>
      </c>
      <c r="D764" s="129">
        <f t="shared" si="21"/>
        <v>2030273.1982919059</v>
      </c>
      <c r="E764" s="128">
        <f t="shared" si="22"/>
        <v>2020</v>
      </c>
      <c r="F764" s="127">
        <f>_xlfn.XLOOKUP(D24,'3. Input (des)investeringen '!$B$11:$B$81,'3. Input (des)investeringen '!$E$11:$E$81)</f>
        <v>1</v>
      </c>
    </row>
    <row r="765" spans="1:16383">
      <c r="B765">
        <v>8</v>
      </c>
      <c r="D765" s="129">
        <f t="shared" si="21"/>
        <v>2626856.2307547103</v>
      </c>
      <c r="E765" s="128">
        <f t="shared" si="22"/>
        <v>2020</v>
      </c>
      <c r="F765" s="127">
        <f>_xlfn.XLOOKUP(D25,'3. Input (des)investeringen '!$B$11:$B$81,'3. Input (des)investeringen '!$E$11:$E$81)</f>
        <v>1</v>
      </c>
    </row>
    <row r="766" spans="1:16383">
      <c r="B766">
        <v>9</v>
      </c>
      <c r="D766" s="129">
        <f t="shared" si="21"/>
        <v>2999487.0331639843</v>
      </c>
      <c r="E766" s="128">
        <f t="shared" si="22"/>
        <v>2020</v>
      </c>
      <c r="F766" s="127">
        <f>_xlfn.XLOOKUP(D26,'3. Input (des)investeringen '!$B$11:$B$81,'3. Input (des)investeringen '!$E$11:$E$81)</f>
        <v>1</v>
      </c>
    </row>
    <row r="767" spans="1:16383">
      <c r="B767">
        <v>10</v>
      </c>
      <c r="D767" s="129">
        <f t="shared" si="21"/>
        <v>1330117.5926660511</v>
      </c>
      <c r="E767" s="128">
        <f t="shared" si="22"/>
        <v>2020</v>
      </c>
      <c r="F767" s="127">
        <f>_xlfn.XLOOKUP(D27,'3. Input (des)investeringen '!$B$11:$B$81,'3. Input (des)investeringen '!$E$11:$E$81)</f>
        <v>1</v>
      </c>
    </row>
    <row r="768" spans="1:16383">
      <c r="B768">
        <v>11</v>
      </c>
      <c r="D768" s="129">
        <f t="shared" si="21"/>
        <v>831794.93402741617</v>
      </c>
      <c r="E768" s="128">
        <f t="shared" si="22"/>
        <v>2020</v>
      </c>
      <c r="F768" s="127">
        <f>_xlfn.XLOOKUP(D28,'3. Input (des)investeringen '!$B$11:$B$81,'3. Input (des)investeringen '!$E$11:$E$81)</f>
        <v>1</v>
      </c>
    </row>
    <row r="769" spans="2:6">
      <c r="B769">
        <v>12</v>
      </c>
      <c r="D769" s="129">
        <f t="shared" si="21"/>
        <v>922617.58994232956</v>
      </c>
      <c r="E769" s="128">
        <f t="shared" si="22"/>
        <v>2020</v>
      </c>
      <c r="F769" s="127">
        <f>_xlfn.XLOOKUP(D29,'3. Input (des)investeringen '!$B$11:$B$81,'3. Input (des)investeringen '!$E$11:$E$81)</f>
        <v>1</v>
      </c>
    </row>
    <row r="770" spans="2:6">
      <c r="B770">
        <v>13</v>
      </c>
      <c r="D770" s="129">
        <f t="shared" si="21"/>
        <v>760674.32352435426</v>
      </c>
      <c r="E770" s="128">
        <f t="shared" si="22"/>
        <v>2020</v>
      </c>
      <c r="F770" s="127">
        <f>_xlfn.XLOOKUP(D30,'3. Input (des)investeringen '!$B$11:$B$81,'3. Input (des)investeringen '!$E$11:$E$81)</f>
        <v>1</v>
      </c>
    </row>
    <row r="771" spans="2:6">
      <c r="B771">
        <v>14</v>
      </c>
      <c r="D771" s="129">
        <f t="shared" si="21"/>
        <v>1809144.9262669957</v>
      </c>
      <c r="E771" s="128">
        <f t="shared" si="22"/>
        <v>2020</v>
      </c>
      <c r="F771" s="127">
        <f>_xlfn.XLOOKUP(D31,'3. Input (des)investeringen '!$B$11:$B$81,'3. Input (des)investeringen '!$E$11:$E$81)</f>
        <v>1</v>
      </c>
    </row>
    <row r="772" spans="2:6">
      <c r="B772">
        <v>15</v>
      </c>
      <c r="D772" s="129">
        <f t="shared" si="21"/>
        <v>810767.9596087964</v>
      </c>
      <c r="E772" s="128">
        <f t="shared" si="22"/>
        <v>2020</v>
      </c>
      <c r="F772" s="127">
        <f>_xlfn.XLOOKUP(D32,'3. Input (des)investeringen '!$B$11:$B$81,'3. Input (des)investeringen '!$E$11:$E$81)</f>
        <v>1</v>
      </c>
    </row>
    <row r="773" spans="2:6">
      <c r="B773">
        <v>16</v>
      </c>
      <c r="D773" s="129">
        <f t="shared" si="21"/>
        <v>171552.72165034333</v>
      </c>
      <c r="E773" s="128">
        <f t="shared" si="22"/>
        <v>2020</v>
      </c>
      <c r="F773" s="127">
        <f>_xlfn.XLOOKUP(D33,'3. Input (des)investeringen '!$B$11:$B$81,'3. Input (des)investeringen '!$E$11:$E$81)</f>
        <v>1</v>
      </c>
    </row>
    <row r="774" spans="2:6">
      <c r="B774">
        <v>17</v>
      </c>
      <c r="D774" s="129">
        <f t="shared" si="21"/>
        <v>91246.024644601261</v>
      </c>
      <c r="E774" s="128">
        <f t="shared" si="22"/>
        <v>2020</v>
      </c>
      <c r="F774" s="127">
        <f>_xlfn.XLOOKUP(D34,'3. Input (des)investeringen '!$B$11:$B$81,'3. Input (des)investeringen '!$E$11:$E$81)</f>
        <v>1</v>
      </c>
    </row>
    <row r="775" spans="2:6">
      <c r="B775">
        <v>18</v>
      </c>
      <c r="D775" s="129">
        <f t="shared" si="21"/>
        <v>340746.27672134229</v>
      </c>
      <c r="E775" s="128">
        <f t="shared" si="22"/>
        <v>2020</v>
      </c>
      <c r="F775" s="127">
        <f>_xlfn.XLOOKUP(D35,'3. Input (des)investeringen '!$B$11:$B$81,'3. Input (des)investeringen '!$E$11:$E$81)</f>
        <v>1</v>
      </c>
    </row>
    <row r="776" spans="2:6">
      <c r="B776">
        <v>19</v>
      </c>
      <c r="D776" s="129">
        <f t="shared" si="21"/>
        <v>114290.70854834077</v>
      </c>
      <c r="E776" s="128">
        <f t="shared" si="22"/>
        <v>2020</v>
      </c>
      <c r="F776" s="127">
        <f>_xlfn.XLOOKUP(D36,'3. Input (des)investeringen '!$B$11:$B$81,'3. Input (des)investeringen '!$E$11:$E$81)</f>
        <v>1</v>
      </c>
    </row>
    <row r="777" spans="2:6">
      <c r="B777">
        <v>20</v>
      </c>
      <c r="D777" s="129">
        <f t="shared" si="21"/>
        <v>257687.63762762956</v>
      </c>
      <c r="E777" s="128">
        <f t="shared" si="22"/>
        <v>2020</v>
      </c>
      <c r="F777" s="127">
        <f>_xlfn.XLOOKUP(D37,'3. Input (des)investeringen '!$B$11:$B$81,'3. Input (des)investeringen '!$E$11:$E$81)</f>
        <v>1</v>
      </c>
    </row>
    <row r="778" spans="2:6">
      <c r="B778">
        <v>21</v>
      </c>
      <c r="D778" s="129">
        <f t="shared" si="21"/>
        <v>3164.8772080974418</v>
      </c>
      <c r="E778" s="128">
        <f t="shared" si="22"/>
        <v>2020</v>
      </c>
      <c r="F778" s="127">
        <f>_xlfn.XLOOKUP(D38,'3. Input (des)investeringen '!$B$11:$B$81,'3. Input (des)investeringen '!$E$11:$E$81)</f>
        <v>1</v>
      </c>
    </row>
    <row r="779" spans="2:6">
      <c r="B779">
        <v>22</v>
      </c>
      <c r="D779" s="129">
        <f t="shared" si="21"/>
        <v>68190.529569318343</v>
      </c>
      <c r="E779" s="128">
        <f t="shared" si="22"/>
        <v>2020</v>
      </c>
      <c r="F779" s="127">
        <f>_xlfn.XLOOKUP(D39,'3. Input (des)investeringen '!$B$11:$B$81,'3. Input (des)investeringen '!$E$11:$E$81)</f>
        <v>1</v>
      </c>
    </row>
    <row r="780" spans="2:6">
      <c r="B780">
        <v>23</v>
      </c>
      <c r="D780" s="129">
        <f t="shared" si="21"/>
        <v>9161.1991360213215</v>
      </c>
      <c r="E780" s="128">
        <f t="shared" si="22"/>
        <v>2020</v>
      </c>
      <c r="F780" s="127">
        <f>_xlfn.XLOOKUP(D40,'3. Input (des)investeringen '!$B$11:$B$81,'3. Input (des)investeringen '!$E$11:$E$81)</f>
        <v>1</v>
      </c>
    </row>
    <row r="781" spans="2:6">
      <c r="B781">
        <v>24</v>
      </c>
      <c r="D781" s="129">
        <f t="shared" si="21"/>
        <v>46805.036504867581</v>
      </c>
      <c r="E781" s="128">
        <f t="shared" si="22"/>
        <v>2020</v>
      </c>
      <c r="F781" s="127">
        <f>_xlfn.XLOOKUP(D41,'3. Input (des)investeringen '!$B$11:$B$81,'3. Input (des)investeringen '!$E$11:$E$81)</f>
        <v>1</v>
      </c>
    </row>
    <row r="782" spans="2:6">
      <c r="B782">
        <v>25</v>
      </c>
      <c r="D782" s="129">
        <f t="shared" si="21"/>
        <v>40084.467968826939</v>
      </c>
      <c r="E782" s="128">
        <f t="shared" si="22"/>
        <v>2020</v>
      </c>
      <c r="F782" s="127">
        <f>_xlfn.XLOOKUP(D42,'3. Input (des)investeringen '!$B$11:$B$81,'3. Input (des)investeringen '!$E$11:$E$81)</f>
        <v>1</v>
      </c>
    </row>
    <row r="783" spans="2:6">
      <c r="B783">
        <v>26</v>
      </c>
      <c r="D783" s="129">
        <f t="shared" si="21"/>
        <v>93182.452122152143</v>
      </c>
      <c r="E783" s="128">
        <f t="shared" si="22"/>
        <v>2020</v>
      </c>
      <c r="F783" s="127">
        <f>_xlfn.XLOOKUP(D43,'3. Input (des)investeringen '!$B$11:$B$81,'3. Input (des)investeringen '!$E$11:$E$81)</f>
        <v>1</v>
      </c>
    </row>
    <row r="784" spans="2:6">
      <c r="B784">
        <v>27</v>
      </c>
      <c r="D784" s="129">
        <f t="shared" si="21"/>
        <v>268344.63701932121</v>
      </c>
      <c r="E784" s="128">
        <f t="shared" si="22"/>
        <v>2020</v>
      </c>
      <c r="F784" s="127">
        <f>_xlfn.XLOOKUP(D44,'3. Input (des)investeringen '!$B$11:$B$81,'3. Input (des)investeringen '!$E$11:$E$81)</f>
        <v>1</v>
      </c>
    </row>
    <row r="785" spans="2:6">
      <c r="B785">
        <v>28</v>
      </c>
      <c r="D785" s="129">
        <f t="shared" si="21"/>
        <v>106238.45888432344</v>
      </c>
      <c r="E785" s="128">
        <f t="shared" si="22"/>
        <v>2020</v>
      </c>
      <c r="F785" s="127">
        <f>_xlfn.XLOOKUP(D45,'3. Input (des)investeringen '!$B$11:$B$81,'3. Input (des)investeringen '!$E$11:$E$81)</f>
        <v>1</v>
      </c>
    </row>
    <row r="786" spans="2:6">
      <c r="B786">
        <v>29</v>
      </c>
      <c r="D786" s="129">
        <f t="shared" si="21"/>
        <v>133036.96947395953</v>
      </c>
      <c r="E786" s="128">
        <f t="shared" si="22"/>
        <v>2020</v>
      </c>
      <c r="F786" s="127">
        <f>_xlfn.XLOOKUP(D46,'3. Input (des)investeringen '!$B$11:$B$81,'3. Input (des)investeringen '!$E$11:$E$81)</f>
        <v>1</v>
      </c>
    </row>
    <row r="787" spans="2:6">
      <c r="B787">
        <v>30</v>
      </c>
      <c r="D787" s="129">
        <f t="shared" si="21"/>
        <v>154343.3001910657</v>
      </c>
      <c r="E787" s="128">
        <f t="shared" si="22"/>
        <v>2020</v>
      </c>
      <c r="F787" s="127">
        <f>_xlfn.XLOOKUP(D47,'3. Input (des)investeringen '!$B$11:$B$81,'3. Input (des)investeringen '!$E$11:$E$81)</f>
        <v>1</v>
      </c>
    </row>
    <row r="788" spans="2:6">
      <c r="B788">
        <v>31</v>
      </c>
      <c r="D788" s="129">
        <f t="shared" si="21"/>
        <v>34143.730074277388</v>
      </c>
      <c r="E788" s="128">
        <f t="shared" si="22"/>
        <v>2020</v>
      </c>
      <c r="F788" s="127">
        <f>_xlfn.XLOOKUP(D48,'3. Input (des)investeringen '!$B$11:$B$81,'3. Input (des)investeringen '!$E$11:$E$81)</f>
        <v>1</v>
      </c>
    </row>
    <row r="789" spans="2:6">
      <c r="B789">
        <v>32</v>
      </c>
      <c r="D789" s="129">
        <f t="shared" si="21"/>
        <v>3511.4554836606476</v>
      </c>
      <c r="E789" s="128">
        <f t="shared" si="22"/>
        <v>2020</v>
      </c>
      <c r="F789" s="127">
        <f>_xlfn.XLOOKUP(D49,'3. Input (des)investeringen '!$B$11:$B$81,'3. Input (des)investeringen '!$E$11:$E$81)</f>
        <v>1</v>
      </c>
    </row>
    <row r="790" spans="2:6">
      <c r="B790">
        <v>33</v>
      </c>
      <c r="D790" s="129">
        <f t="shared" si="21"/>
        <v>7181.457765698261</v>
      </c>
      <c r="E790" s="128">
        <f t="shared" si="22"/>
        <v>2020</v>
      </c>
      <c r="F790" s="127">
        <f>_xlfn.XLOOKUP(D50,'3. Input (des)investeringen '!$B$11:$B$81,'3. Input (des)investeringen '!$E$11:$E$81)</f>
        <v>1</v>
      </c>
    </row>
    <row r="791" spans="2:6">
      <c r="B791">
        <v>34</v>
      </c>
      <c r="D791" s="129">
        <f t="shared" si="21"/>
        <v>884026.28992311645</v>
      </c>
      <c r="E791" s="128">
        <f t="shared" si="22"/>
        <v>2020</v>
      </c>
      <c r="F791" s="127">
        <f>_xlfn.XLOOKUP(D51,'3. Input (des)investeringen '!$B$11:$B$81,'3. Input (des)investeringen '!$E$11:$E$81)</f>
        <v>1</v>
      </c>
    </row>
    <row r="792" spans="2:6">
      <c r="B792">
        <v>35</v>
      </c>
      <c r="D792" s="129">
        <f t="shared" si="21"/>
        <v>1116.3576548659616</v>
      </c>
      <c r="E792" s="128">
        <f t="shared" si="22"/>
        <v>2020</v>
      </c>
      <c r="F792" s="127">
        <f>_xlfn.XLOOKUP(D52,'3. Input (des)investeringen '!$B$11:$B$81,'3. Input (des)investeringen '!$E$11:$E$81)</f>
        <v>0</v>
      </c>
    </row>
    <row r="793" spans="2:6">
      <c r="B793">
        <v>36</v>
      </c>
      <c r="D793" s="129">
        <f t="shared" si="21"/>
        <v>88537.809838823887</v>
      </c>
      <c r="E793" s="128">
        <f t="shared" si="22"/>
        <v>2020</v>
      </c>
      <c r="F793" s="127">
        <f>_xlfn.XLOOKUP(D53,'3. Input (des)investeringen '!$B$11:$B$81,'3. Input (des)investeringen '!$E$11:$E$81)</f>
        <v>0</v>
      </c>
    </row>
    <row r="794" spans="2:6">
      <c r="B794">
        <v>37</v>
      </c>
      <c r="D794" s="129">
        <f t="shared" si="21"/>
        <v>98402.82977106719</v>
      </c>
      <c r="E794" s="128">
        <f t="shared" si="22"/>
        <v>2020</v>
      </c>
      <c r="F794" s="127">
        <f>_xlfn.XLOOKUP(D54,'3. Input (des)investeringen '!$B$11:$B$81,'3. Input (des)investeringen '!$E$11:$E$81)</f>
        <v>0</v>
      </c>
    </row>
    <row r="795" spans="2:6">
      <c r="B795">
        <v>38</v>
      </c>
      <c r="D795" s="129">
        <f t="shared" si="21"/>
        <v>178982.44585064959</v>
      </c>
      <c r="E795" s="128">
        <f t="shared" si="22"/>
        <v>2020</v>
      </c>
      <c r="F795" s="127">
        <f>_xlfn.XLOOKUP(D55,'3. Input (des)investeringen '!$B$11:$B$81,'3. Input (des)investeringen '!$E$11:$E$81)</f>
        <v>0</v>
      </c>
    </row>
    <row r="796" spans="2:6">
      <c r="B796">
        <v>39</v>
      </c>
      <c r="D796" s="129">
        <f t="shared" si="21"/>
        <v>50003.305627282651</v>
      </c>
      <c r="E796" s="128">
        <f t="shared" si="22"/>
        <v>2020</v>
      </c>
      <c r="F796" s="127">
        <f>_xlfn.XLOOKUP(D56,'3. Input (des)investeringen '!$B$11:$B$81,'3. Input (des)investeringen '!$E$11:$E$81)</f>
        <v>0</v>
      </c>
    </row>
    <row r="797" spans="2:6">
      <c r="B797">
        <v>40</v>
      </c>
      <c r="D797" s="129">
        <f t="shared" si="21"/>
        <v>45774.93431054215</v>
      </c>
      <c r="E797" s="128">
        <f t="shared" si="22"/>
        <v>2020</v>
      </c>
      <c r="F797" s="127">
        <f>_xlfn.XLOOKUP(D57,'3. Input (des)investeringen '!$B$11:$B$81,'3. Input (des)investeringen '!$E$11:$E$81)</f>
        <v>0</v>
      </c>
    </row>
    <row r="798" spans="2:6">
      <c r="B798">
        <v>41</v>
      </c>
      <c r="D798" s="129">
        <f t="shared" si="21"/>
        <v>118717.77880424444</v>
      </c>
      <c r="E798" s="128">
        <f t="shared" si="22"/>
        <v>2020</v>
      </c>
      <c r="F798" s="127">
        <f>_xlfn.XLOOKUP(D58,'3. Input (des)investeringen '!$B$11:$B$81,'3. Input (des)investeringen '!$E$11:$E$81)</f>
        <v>0</v>
      </c>
    </row>
    <row r="799" spans="2:6">
      <c r="B799">
        <v>42</v>
      </c>
      <c r="D799" s="129">
        <f t="shared" si="21"/>
        <v>1020378.4183405952</v>
      </c>
      <c r="E799" s="128">
        <f t="shared" si="22"/>
        <v>2020</v>
      </c>
      <c r="F799" s="127">
        <f>_xlfn.XLOOKUP(D59,'3. Input (des)investeringen '!$B$11:$B$81,'3. Input (des)investeringen '!$E$11:$E$81)</f>
        <v>0</v>
      </c>
    </row>
    <row r="800" spans="2:6">
      <c r="B800">
        <v>43</v>
      </c>
      <c r="D800" s="129">
        <f t="shared" si="21"/>
        <v>1695531.0999208845</v>
      </c>
      <c r="E800" s="128">
        <f t="shared" si="22"/>
        <v>2020</v>
      </c>
      <c r="F800" s="127">
        <f>_xlfn.XLOOKUP(D60,'3. Input (des)investeringen '!$B$11:$B$81,'3. Input (des)investeringen '!$E$11:$E$81)</f>
        <v>0</v>
      </c>
    </row>
    <row r="801" spans="2:6">
      <c r="B801">
        <v>44</v>
      </c>
      <c r="D801" s="129">
        <f t="shared" si="21"/>
        <v>2217785.5845449823</v>
      </c>
      <c r="E801" s="128">
        <f t="shared" si="22"/>
        <v>2020</v>
      </c>
      <c r="F801" s="127">
        <f>_xlfn.XLOOKUP(D61,'3. Input (des)investeringen '!$B$11:$B$81,'3. Input (des)investeringen '!$E$11:$E$81)</f>
        <v>0</v>
      </c>
    </row>
    <row r="802" spans="2:6">
      <c r="B802">
        <v>45</v>
      </c>
      <c r="D802" s="129">
        <f t="shared" si="21"/>
        <v>1848040.6593128797</v>
      </c>
      <c r="E802" s="128">
        <f t="shared" si="22"/>
        <v>2020</v>
      </c>
      <c r="F802" s="127">
        <f>_xlfn.XLOOKUP(D62,'3. Input (des)investeringen '!$B$11:$B$81,'3. Input (des)investeringen '!$E$11:$E$81)</f>
        <v>0</v>
      </c>
    </row>
    <row r="803" spans="2:6">
      <c r="B803">
        <v>46</v>
      </c>
      <c r="D803" s="129">
        <f t="shared" si="21"/>
        <v>104452.05756534761</v>
      </c>
      <c r="E803" s="128">
        <f t="shared" si="22"/>
        <v>2020</v>
      </c>
      <c r="F803" s="127">
        <f>_xlfn.XLOOKUP(D63,'3. Input (des)investeringen '!$B$11:$B$81,'3. Input (des)investeringen '!$E$11:$E$81)</f>
        <v>0</v>
      </c>
    </row>
    <row r="804" spans="2:6">
      <c r="B804">
        <v>47</v>
      </c>
      <c r="D804" s="129">
        <f t="shared" si="21"/>
        <v>838717.57884401153</v>
      </c>
      <c r="E804" s="128">
        <f t="shared" si="22"/>
        <v>2020</v>
      </c>
      <c r="F804" s="127">
        <f>_xlfn.XLOOKUP(D64,'3. Input (des)investeringen '!$B$11:$B$81,'3. Input (des)investeringen '!$E$11:$E$81)</f>
        <v>0</v>
      </c>
    </row>
    <row r="805" spans="2:6">
      <c r="B805">
        <v>48</v>
      </c>
      <c r="D805" s="129">
        <f t="shared" si="21"/>
        <v>946547.48386907566</v>
      </c>
      <c r="E805" s="128">
        <f t="shared" si="22"/>
        <v>2020</v>
      </c>
      <c r="F805" s="127">
        <f>_xlfn.XLOOKUP(D65,'3. Input (des)investeringen '!$B$11:$B$81,'3. Input (des)investeringen '!$E$11:$E$81)</f>
        <v>0</v>
      </c>
    </row>
    <row r="806" spans="2:6">
      <c r="B806">
        <v>49</v>
      </c>
      <c r="D806" s="129">
        <f t="shared" si="21"/>
        <v>644836.48467939708</v>
      </c>
      <c r="E806" s="128">
        <f t="shared" si="22"/>
        <v>2020</v>
      </c>
      <c r="F806" s="127">
        <f>_xlfn.XLOOKUP(D66,'3. Input (des)investeringen '!$B$11:$B$81,'3. Input (des)investeringen '!$E$11:$E$81)</f>
        <v>0</v>
      </c>
    </row>
    <row r="807" spans="2:6">
      <c r="B807">
        <v>50</v>
      </c>
      <c r="D807" s="129">
        <f t="shared" si="21"/>
        <v>103187.86270413175</v>
      </c>
      <c r="E807" s="128">
        <f t="shared" si="22"/>
        <v>2020</v>
      </c>
      <c r="F807" s="127">
        <f>_xlfn.XLOOKUP(D67,'3. Input (des)investeringen '!$B$11:$B$81,'3. Input (des)investeringen '!$E$11:$E$81)</f>
        <v>0</v>
      </c>
    </row>
    <row r="808" spans="2:6">
      <c r="B808">
        <v>51</v>
      </c>
      <c r="D808" s="129">
        <f t="shared" si="21"/>
        <v>102765.71921635757</v>
      </c>
      <c r="E808" s="128">
        <f t="shared" si="22"/>
        <v>2020</v>
      </c>
      <c r="F808" s="127">
        <f>_xlfn.XLOOKUP(D68,'3. Input (des)investeringen '!$B$11:$B$81,'3. Input (des)investeringen '!$E$11:$E$81)</f>
        <v>0</v>
      </c>
    </row>
    <row r="809" spans="2:6">
      <c r="B809">
        <v>52</v>
      </c>
      <c r="D809" s="129">
        <f t="shared" si="21"/>
        <v>222798.30724413577</v>
      </c>
      <c r="E809" s="128">
        <f t="shared" si="22"/>
        <v>2020</v>
      </c>
      <c r="F809" s="127">
        <f>_xlfn.XLOOKUP(D69,'3. Input (des)investeringen '!$B$11:$B$81,'3. Input (des)investeringen '!$E$11:$E$81)</f>
        <v>0</v>
      </c>
    </row>
    <row r="810" spans="2:6">
      <c r="B810">
        <v>53</v>
      </c>
      <c r="D810" s="129">
        <f t="shared" si="21"/>
        <v>298662.93665395869</v>
      </c>
      <c r="E810" s="128">
        <f t="shared" si="22"/>
        <v>2020</v>
      </c>
      <c r="F810" s="127">
        <f>_xlfn.XLOOKUP(D70,'3. Input (des)investeringen '!$B$11:$B$81,'3. Input (des)investeringen '!$E$11:$E$81)</f>
        <v>0</v>
      </c>
    </row>
    <row r="811" spans="2:6">
      <c r="B811">
        <v>54</v>
      </c>
      <c r="D811" s="129">
        <f t="shared" si="21"/>
        <v>262349.11477001454</v>
      </c>
      <c r="E811" s="128">
        <f t="shared" si="22"/>
        <v>2020</v>
      </c>
      <c r="F811" s="127">
        <f>_xlfn.XLOOKUP(D71,'3. Input (des)investeringen '!$B$11:$B$81,'3. Input (des)investeringen '!$E$11:$E$81)</f>
        <v>0</v>
      </c>
    </row>
    <row r="812" spans="2:6">
      <c r="B812">
        <v>55</v>
      </c>
      <c r="D812" s="129">
        <f t="shared" si="21"/>
        <v>189333.02773128528</v>
      </c>
      <c r="E812" s="128">
        <f t="shared" si="22"/>
        <v>2020</v>
      </c>
      <c r="F812" s="127">
        <f>_xlfn.XLOOKUP(D72,'3. Input (des)investeringen '!$B$11:$B$81,'3. Input (des)investeringen '!$E$11:$E$81)</f>
        <v>0</v>
      </c>
    </row>
    <row r="813" spans="2:6">
      <c r="B813">
        <v>56</v>
      </c>
      <c r="D813" s="129">
        <f t="shared" si="21"/>
        <v>61490.61044017315</v>
      </c>
      <c r="E813" s="128">
        <f t="shared" si="22"/>
        <v>2020</v>
      </c>
      <c r="F813" s="127">
        <f>_xlfn.XLOOKUP(D73,'3. Input (des)investeringen '!$B$11:$B$81,'3. Input (des)investeringen '!$E$11:$E$81)</f>
        <v>0</v>
      </c>
    </row>
    <row r="814" spans="2:6">
      <c r="B814">
        <v>57</v>
      </c>
      <c r="D814" s="129">
        <f t="shared" si="21"/>
        <v>75038.027032218612</v>
      </c>
      <c r="E814" s="128">
        <f t="shared" si="22"/>
        <v>2020</v>
      </c>
      <c r="F814" s="127">
        <f>_xlfn.XLOOKUP(D74,'3. Input (des)investeringen '!$B$11:$B$81,'3. Input (des)investeringen '!$E$11:$E$81)</f>
        <v>0</v>
      </c>
    </row>
    <row r="815" spans="2:6">
      <c r="B815">
        <v>58</v>
      </c>
      <c r="D815" s="129">
        <f t="shared" si="21"/>
        <v>15568.327853298582</v>
      </c>
      <c r="E815" s="128">
        <f t="shared" si="22"/>
        <v>2020</v>
      </c>
      <c r="F815" s="127">
        <f>_xlfn.XLOOKUP(D75,'3. Input (des)investeringen '!$B$11:$B$81,'3. Input (des)investeringen '!$E$11:$E$81)</f>
        <v>0</v>
      </c>
    </row>
    <row r="816" spans="2:6">
      <c r="B816">
        <v>59</v>
      </c>
      <c r="D816" s="129">
        <f t="shared" si="21"/>
        <v>139159.19469639403</v>
      </c>
      <c r="E816" s="128">
        <f t="shared" si="22"/>
        <v>2020</v>
      </c>
      <c r="F816" s="127">
        <f>_xlfn.XLOOKUP(D76,'3. Input (des)investeringen '!$B$11:$B$81,'3. Input (des)investeringen '!$E$11:$E$81)</f>
        <v>0</v>
      </c>
    </row>
    <row r="817" spans="2:6">
      <c r="B817">
        <v>60</v>
      </c>
      <c r="D817" s="129">
        <f t="shared" si="21"/>
        <v>195602.61673343295</v>
      </c>
      <c r="E817" s="128">
        <f t="shared" si="22"/>
        <v>2020</v>
      </c>
      <c r="F817" s="127">
        <f>_xlfn.XLOOKUP(D77,'3. Input (des)investeringen '!$B$11:$B$81,'3. Input (des)investeringen '!$E$11:$E$81)</f>
        <v>0</v>
      </c>
    </row>
    <row r="818" spans="2:6">
      <c r="B818">
        <v>61</v>
      </c>
      <c r="D818" s="129">
        <f t="shared" si="21"/>
        <v>68987.421631756384</v>
      </c>
      <c r="E818" s="128">
        <f t="shared" si="22"/>
        <v>2020</v>
      </c>
      <c r="F818" s="127">
        <f>_xlfn.XLOOKUP(D78,'3. Input (des)investeringen '!$B$11:$B$81,'3. Input (des)investeringen '!$E$11:$E$81)</f>
        <v>0</v>
      </c>
    </row>
    <row r="819" spans="2:6">
      <c r="B819">
        <v>62</v>
      </c>
      <c r="D819" s="129">
        <f t="shared" si="21"/>
        <v>14017.585527295665</v>
      </c>
      <c r="E819" s="128">
        <f t="shared" si="22"/>
        <v>2020</v>
      </c>
      <c r="F819" s="127">
        <f>_xlfn.XLOOKUP(D79,'3. Input (des)investeringen '!$B$11:$B$81,'3. Input (des)investeringen '!$E$11:$E$81)</f>
        <v>0</v>
      </c>
    </row>
    <row r="820" spans="2:6">
      <c r="B820">
        <v>63</v>
      </c>
      <c r="D820" s="129">
        <f t="shared" si="21"/>
        <v>13850.760694758967</v>
      </c>
      <c r="E820" s="128">
        <f t="shared" si="22"/>
        <v>2020</v>
      </c>
      <c r="F820" s="127">
        <f>_xlfn.XLOOKUP(D80,'3. Input (des)investeringen '!$B$11:$B$81,'3. Input (des)investeringen '!$E$11:$E$81)</f>
        <v>0</v>
      </c>
    </row>
    <row r="821" spans="2:6">
      <c r="B821">
        <v>64</v>
      </c>
      <c r="D821" s="129">
        <f t="shared" si="21"/>
        <v>84133.673674020334</v>
      </c>
      <c r="E821" s="128">
        <f t="shared" si="22"/>
        <v>2020</v>
      </c>
      <c r="F821" s="127">
        <f>_xlfn.XLOOKUP(D81,'3. Input (des)investeringen '!$B$11:$B$81,'3. Input (des)investeringen '!$E$11:$E$81)</f>
        <v>0</v>
      </c>
    </row>
    <row r="822" spans="2:6">
      <c r="B822">
        <v>65</v>
      </c>
      <c r="D822" s="129">
        <f t="shared" ref="D822:D885" si="23">F82*INDEX($E$673:$CG$753,E82-1945,G82-1945)</f>
        <v>35929.792062961962</v>
      </c>
      <c r="E822" s="128">
        <f t="shared" ref="E822:E885" si="24">G82</f>
        <v>2020</v>
      </c>
      <c r="F822" s="127">
        <f>_xlfn.XLOOKUP(D82,'3. Input (des)investeringen '!$B$11:$B$81,'3. Input (des)investeringen '!$E$11:$E$81)</f>
        <v>0</v>
      </c>
    </row>
    <row r="823" spans="2:6">
      <c r="B823">
        <v>66</v>
      </c>
      <c r="D823" s="129">
        <f t="shared" si="23"/>
        <v>194556.62172449686</v>
      </c>
      <c r="E823" s="128">
        <f t="shared" si="24"/>
        <v>2020</v>
      </c>
      <c r="F823" s="127">
        <f>_xlfn.XLOOKUP(D83,'3. Input (des)investeringen '!$B$11:$B$81,'3. Input (des)investeringen '!$E$11:$E$81)</f>
        <v>0</v>
      </c>
    </row>
    <row r="824" spans="2:6">
      <c r="B824">
        <v>67</v>
      </c>
      <c r="D824" s="129">
        <f t="shared" si="23"/>
        <v>62778.725667823048</v>
      </c>
      <c r="E824" s="128">
        <f t="shared" si="24"/>
        <v>2020</v>
      </c>
      <c r="F824" s="127">
        <f>_xlfn.XLOOKUP(D84,'3. Input (des)investeringen '!$B$11:$B$81,'3. Input (des)investeringen '!$E$11:$E$81)</f>
        <v>0</v>
      </c>
    </row>
    <row r="825" spans="2:6">
      <c r="B825">
        <v>68</v>
      </c>
      <c r="D825" s="129">
        <f t="shared" si="23"/>
        <v>19044.179567605603</v>
      </c>
      <c r="E825" s="128">
        <f t="shared" si="24"/>
        <v>2020</v>
      </c>
      <c r="F825" s="127">
        <f>_xlfn.XLOOKUP(D85,'3. Input (des)investeringen '!$B$11:$B$81,'3. Input (des)investeringen '!$E$11:$E$81)</f>
        <v>0</v>
      </c>
    </row>
    <row r="826" spans="2:6">
      <c r="B826">
        <v>69</v>
      </c>
      <c r="D826" s="129">
        <f t="shared" si="23"/>
        <v>16243.59232368206</v>
      </c>
      <c r="E826" s="128">
        <f t="shared" si="24"/>
        <v>2020</v>
      </c>
      <c r="F826" s="127">
        <f>_xlfn.XLOOKUP(D86,'3. Input (des)investeringen '!$B$11:$B$81,'3. Input (des)investeringen '!$E$11:$E$81)</f>
        <v>0</v>
      </c>
    </row>
    <row r="827" spans="2:6">
      <c r="B827">
        <v>70</v>
      </c>
      <c r="D827" s="129">
        <f t="shared" si="23"/>
        <v>420548.3780368499</v>
      </c>
      <c r="E827" s="128">
        <f t="shared" si="24"/>
        <v>2020</v>
      </c>
      <c r="F827" s="127">
        <f>_xlfn.XLOOKUP(D87,'3. Input (des)investeringen '!$B$11:$B$81,'3. Input (des)investeringen '!$E$11:$E$81)</f>
        <v>0</v>
      </c>
    </row>
    <row r="828" spans="2:6">
      <c r="B828">
        <v>71</v>
      </c>
      <c r="D828" s="129">
        <f t="shared" si="23"/>
        <v>678889.94025137217</v>
      </c>
      <c r="E828" s="128">
        <f t="shared" si="24"/>
        <v>2020</v>
      </c>
      <c r="F828" s="127">
        <f>_xlfn.XLOOKUP(D88,'3. Input (des)investeringen '!$B$11:$B$81,'3. Input (des)investeringen '!$E$11:$E$81)</f>
        <v>0</v>
      </c>
    </row>
    <row r="829" spans="2:6">
      <c r="B829">
        <v>72</v>
      </c>
      <c r="D829" s="129">
        <f t="shared" si="23"/>
        <v>839133.50408215157</v>
      </c>
      <c r="E829" s="128">
        <f t="shared" si="24"/>
        <v>2020</v>
      </c>
      <c r="F829" s="127">
        <f>_xlfn.XLOOKUP(D89,'3. Input (des)investeringen '!$B$11:$B$81,'3. Input (des)investeringen '!$E$11:$E$81)</f>
        <v>0</v>
      </c>
    </row>
    <row r="830" spans="2:6">
      <c r="B830">
        <v>73</v>
      </c>
      <c r="D830" s="129">
        <f t="shared" si="23"/>
        <v>466144.55323262321</v>
      </c>
      <c r="E830" s="128">
        <f t="shared" si="24"/>
        <v>2020</v>
      </c>
      <c r="F830" s="127">
        <f>_xlfn.XLOOKUP(D90,'3. Input (des)investeringen '!$B$11:$B$81,'3. Input (des)investeringen '!$E$11:$E$81)</f>
        <v>0</v>
      </c>
    </row>
    <row r="831" spans="2:6">
      <c r="B831">
        <v>74</v>
      </c>
      <c r="D831" s="129">
        <f t="shared" si="23"/>
        <v>52695.014543283847</v>
      </c>
      <c r="E831" s="128">
        <f t="shared" si="24"/>
        <v>2020</v>
      </c>
      <c r="F831" s="127">
        <f>_xlfn.XLOOKUP(D91,'3. Input (des)investeringen '!$B$11:$B$81,'3. Input (des)investeringen '!$E$11:$E$81)</f>
        <v>0</v>
      </c>
    </row>
    <row r="832" spans="2:6">
      <c r="B832">
        <v>75</v>
      </c>
      <c r="D832" s="129">
        <f t="shared" si="23"/>
        <v>236374.02269672992</v>
      </c>
      <c r="E832" s="128">
        <f t="shared" si="24"/>
        <v>2020</v>
      </c>
      <c r="F832" s="127">
        <f>_xlfn.XLOOKUP(D92,'3. Input (des)investeringen '!$B$11:$B$81,'3. Input (des)investeringen '!$E$11:$E$81)</f>
        <v>0</v>
      </c>
    </row>
    <row r="833" spans="2:6">
      <c r="B833">
        <v>76</v>
      </c>
      <c r="D833" s="129">
        <f t="shared" si="23"/>
        <v>285825.23173650069</v>
      </c>
      <c r="E833" s="128">
        <f t="shared" si="24"/>
        <v>2020</v>
      </c>
      <c r="F833" s="127">
        <f>_xlfn.XLOOKUP(D93,'3. Input (des)investeringen '!$B$11:$B$81,'3. Input (des)investeringen '!$E$11:$E$81)</f>
        <v>0</v>
      </c>
    </row>
    <row r="834" spans="2:6">
      <c r="B834">
        <v>77</v>
      </c>
      <c r="D834" s="129">
        <f t="shared" si="23"/>
        <v>176761.46807564</v>
      </c>
      <c r="E834" s="128">
        <f t="shared" si="24"/>
        <v>2020</v>
      </c>
      <c r="F834" s="127">
        <f>_xlfn.XLOOKUP(D94,'3. Input (des)investeringen '!$B$11:$B$81,'3. Input (des)investeringen '!$E$11:$E$81)</f>
        <v>0</v>
      </c>
    </row>
    <row r="835" spans="2:6">
      <c r="B835">
        <v>78</v>
      </c>
      <c r="D835" s="129">
        <f t="shared" si="23"/>
        <v>43746.070987545623</v>
      </c>
      <c r="E835" s="128">
        <f t="shared" si="24"/>
        <v>2020</v>
      </c>
      <c r="F835" s="127">
        <f>_xlfn.XLOOKUP(D95,'3. Input (des)investeringen '!$B$11:$B$81,'3. Input (des)investeringen '!$E$11:$E$81)</f>
        <v>0</v>
      </c>
    </row>
    <row r="836" spans="2:6">
      <c r="B836">
        <v>79</v>
      </c>
      <c r="D836" s="129">
        <f t="shared" si="23"/>
        <v>7279.2095916837961</v>
      </c>
      <c r="E836" s="128">
        <f t="shared" si="24"/>
        <v>2020</v>
      </c>
      <c r="F836" s="127">
        <f>_xlfn.XLOOKUP(D96,'3. Input (des)investeringen '!$B$11:$B$81,'3. Input (des)investeringen '!$E$11:$E$81)</f>
        <v>1</v>
      </c>
    </row>
    <row r="837" spans="2:6">
      <c r="B837">
        <v>80</v>
      </c>
      <c r="D837" s="129">
        <f t="shared" si="23"/>
        <v>556191.94794048101</v>
      </c>
      <c r="E837" s="128">
        <f t="shared" si="24"/>
        <v>2020</v>
      </c>
      <c r="F837" s="127">
        <f>_xlfn.XLOOKUP(D97,'3. Input (des)investeringen '!$B$11:$B$81,'3. Input (des)investeringen '!$E$11:$E$81)</f>
        <v>1</v>
      </c>
    </row>
    <row r="838" spans="2:6">
      <c r="B838">
        <v>81</v>
      </c>
      <c r="D838" s="129">
        <f t="shared" si="23"/>
        <v>400794.95961332711</v>
      </c>
      <c r="E838" s="128">
        <f t="shared" si="24"/>
        <v>2020</v>
      </c>
      <c r="F838" s="127">
        <f>_xlfn.XLOOKUP(D98,'3. Input (des)investeringen '!$B$11:$B$81,'3. Input (des)investeringen '!$E$11:$E$81)</f>
        <v>1</v>
      </c>
    </row>
    <row r="839" spans="2:6">
      <c r="B839">
        <v>82</v>
      </c>
      <c r="D839" s="129">
        <f t="shared" si="23"/>
        <v>134478.71159135591</v>
      </c>
      <c r="E839" s="128">
        <f t="shared" si="24"/>
        <v>2020</v>
      </c>
      <c r="F839" s="127">
        <f>_xlfn.XLOOKUP(D99,'3. Input (des)investeringen '!$B$11:$B$81,'3. Input (des)investeringen '!$E$11:$E$81)</f>
        <v>1</v>
      </c>
    </row>
    <row r="840" spans="2:6">
      <c r="B840">
        <v>83</v>
      </c>
      <c r="D840" s="129">
        <f t="shared" si="23"/>
        <v>3474396.3025643122</v>
      </c>
      <c r="E840" s="128">
        <f t="shared" si="24"/>
        <v>2020</v>
      </c>
      <c r="F840" s="127">
        <f>_xlfn.XLOOKUP(D100,'3. Input (des)investeringen '!$B$11:$B$81,'3. Input (des)investeringen '!$E$11:$E$81)</f>
        <v>1</v>
      </c>
    </row>
    <row r="841" spans="2:6">
      <c r="B841">
        <v>84</v>
      </c>
      <c r="D841" s="129">
        <f t="shared" si="23"/>
        <v>194769.36815296905</v>
      </c>
      <c r="E841" s="128">
        <f t="shared" si="24"/>
        <v>2020</v>
      </c>
      <c r="F841" s="127">
        <f>_xlfn.XLOOKUP(D101,'3. Input (des)investeringen '!$B$11:$B$81,'3. Input (des)investeringen '!$E$11:$E$81)</f>
        <v>1</v>
      </c>
    </row>
    <row r="842" spans="2:6">
      <c r="B842">
        <v>85</v>
      </c>
      <c r="D842" s="129">
        <f t="shared" si="23"/>
        <v>621379.6226425051</v>
      </c>
      <c r="E842" s="128">
        <f t="shared" si="24"/>
        <v>2020</v>
      </c>
      <c r="F842" s="127">
        <f>_xlfn.XLOOKUP(D102,'3. Input (des)investeringen '!$B$11:$B$81,'3. Input (des)investeringen '!$E$11:$E$81)</f>
        <v>1</v>
      </c>
    </row>
    <row r="843" spans="2:6">
      <c r="B843">
        <v>86</v>
      </c>
      <c r="D843" s="129">
        <f t="shared" si="23"/>
        <v>1917866.939989456</v>
      </c>
      <c r="E843" s="128">
        <f t="shared" si="24"/>
        <v>2020</v>
      </c>
      <c r="F843" s="127">
        <f>_xlfn.XLOOKUP(D103,'3. Input (des)investeringen '!$B$11:$B$81,'3. Input (des)investeringen '!$E$11:$E$81)</f>
        <v>1</v>
      </c>
    </row>
    <row r="844" spans="2:6">
      <c r="B844">
        <v>87</v>
      </c>
      <c r="D844" s="129">
        <f t="shared" si="23"/>
        <v>95593.658163605258</v>
      </c>
      <c r="E844" s="128">
        <f t="shared" si="24"/>
        <v>2020</v>
      </c>
      <c r="F844" s="127">
        <f>_xlfn.XLOOKUP(D104,'3. Input (des)investeringen '!$B$11:$B$81,'3. Input (des)investeringen '!$E$11:$E$81)</f>
        <v>1</v>
      </c>
    </row>
    <row r="845" spans="2:6">
      <c r="B845">
        <v>88</v>
      </c>
      <c r="D845" s="129">
        <f t="shared" si="23"/>
        <v>177648.51548607223</v>
      </c>
      <c r="E845" s="128">
        <f t="shared" si="24"/>
        <v>2020</v>
      </c>
      <c r="F845" s="127">
        <f>_xlfn.XLOOKUP(D105,'3. Input (des)investeringen '!$B$11:$B$81,'3. Input (des)investeringen '!$E$11:$E$81)</f>
        <v>1</v>
      </c>
    </row>
    <row r="846" spans="2:6">
      <c r="B846">
        <v>89</v>
      </c>
      <c r="D846" s="129">
        <f t="shared" si="23"/>
        <v>640974.00509533472</v>
      </c>
      <c r="E846" s="128">
        <f t="shared" si="24"/>
        <v>2020</v>
      </c>
      <c r="F846" s="127">
        <f>_xlfn.XLOOKUP(D106,'3. Input (des)investeringen '!$B$11:$B$81,'3. Input (des)investeringen '!$E$11:$E$81)</f>
        <v>1</v>
      </c>
    </row>
    <row r="847" spans="2:6">
      <c r="B847">
        <v>90</v>
      </c>
      <c r="D847" s="129">
        <f t="shared" si="23"/>
        <v>574221.57553211425</v>
      </c>
      <c r="E847" s="128">
        <f t="shared" si="24"/>
        <v>2020</v>
      </c>
      <c r="F847" s="127">
        <f>_xlfn.XLOOKUP(D107,'3. Input (des)investeringen '!$B$11:$B$81,'3. Input (des)investeringen '!$E$11:$E$81)</f>
        <v>1</v>
      </c>
    </row>
    <row r="848" spans="2:6">
      <c r="B848">
        <v>91</v>
      </c>
      <c r="D848" s="129">
        <f t="shared" si="23"/>
        <v>101299.14611083685</v>
      </c>
      <c r="E848" s="128">
        <f t="shared" si="24"/>
        <v>2020</v>
      </c>
      <c r="F848" s="127">
        <f>_xlfn.XLOOKUP(D108,'3. Input (des)investeringen '!$B$11:$B$81,'3. Input (des)investeringen '!$E$11:$E$81)</f>
        <v>1</v>
      </c>
    </row>
    <row r="849" spans="2:6">
      <c r="B849">
        <v>92</v>
      </c>
      <c r="D849" s="129">
        <f t="shared" si="23"/>
        <v>193795.32414373165</v>
      </c>
      <c r="E849" s="128">
        <f t="shared" si="24"/>
        <v>2020</v>
      </c>
      <c r="F849" s="127">
        <f>_xlfn.XLOOKUP(D109,'3. Input (des)investeringen '!$B$11:$B$81,'3. Input (des)investeringen '!$E$11:$E$81)</f>
        <v>0</v>
      </c>
    </row>
    <row r="850" spans="2:6">
      <c r="B850">
        <v>93</v>
      </c>
      <c r="D850" s="129">
        <f t="shared" si="23"/>
        <v>417533.58819327998</v>
      </c>
      <c r="E850" s="128">
        <f t="shared" si="24"/>
        <v>2020</v>
      </c>
      <c r="F850" s="127">
        <f>_xlfn.XLOOKUP(D110,'3. Input (des)investeringen '!$B$11:$B$81,'3. Input (des)investeringen '!$E$11:$E$81)</f>
        <v>0</v>
      </c>
    </row>
    <row r="851" spans="2:6">
      <c r="B851">
        <v>94</v>
      </c>
      <c r="D851" s="129">
        <f t="shared" si="23"/>
        <v>3823402.407878554</v>
      </c>
      <c r="E851" s="128">
        <f t="shared" si="24"/>
        <v>2020</v>
      </c>
      <c r="F851" s="127">
        <f>_xlfn.XLOOKUP(D111,'3. Input (des)investeringen '!$B$11:$B$81,'3. Input (des)investeringen '!$E$11:$E$81)</f>
        <v>0</v>
      </c>
    </row>
    <row r="852" spans="2:6">
      <c r="B852">
        <v>95</v>
      </c>
      <c r="D852" s="129">
        <f t="shared" si="23"/>
        <v>7488.7980339025535</v>
      </c>
      <c r="E852" s="128">
        <f t="shared" si="24"/>
        <v>2020</v>
      </c>
      <c r="F852" s="127">
        <f>_xlfn.XLOOKUP(D112,'3. Input (des)investeringen '!$B$11:$B$81,'3. Input (des)investeringen '!$E$11:$E$81)</f>
        <v>0</v>
      </c>
    </row>
    <row r="853" spans="2:6">
      <c r="B853">
        <v>96</v>
      </c>
      <c r="D853" s="129">
        <f t="shared" si="23"/>
        <v>742382.84893713472</v>
      </c>
      <c r="E853" s="128">
        <f t="shared" si="24"/>
        <v>2020</v>
      </c>
      <c r="F853" s="127">
        <f>_xlfn.XLOOKUP(D113,'3. Input (des)investeringen '!$B$11:$B$81,'3. Input (des)investeringen '!$E$11:$E$81)</f>
        <v>1</v>
      </c>
    </row>
    <row r="854" spans="2:6">
      <c r="B854">
        <v>97</v>
      </c>
      <c r="D854" s="129">
        <f t="shared" si="23"/>
        <v>497559.24646460399</v>
      </c>
      <c r="E854" s="128">
        <f t="shared" si="24"/>
        <v>2020</v>
      </c>
      <c r="F854" s="127">
        <f>_xlfn.XLOOKUP(D114,'3. Input (des)investeringen '!$B$11:$B$81,'3. Input (des)investeringen '!$E$11:$E$81)</f>
        <v>1</v>
      </c>
    </row>
    <row r="855" spans="2:6">
      <c r="B855">
        <v>98</v>
      </c>
      <c r="D855" s="129">
        <f t="shared" si="23"/>
        <v>847051.65790449153</v>
      </c>
      <c r="E855" s="128">
        <f t="shared" si="24"/>
        <v>2020</v>
      </c>
      <c r="F855" s="127">
        <f>_xlfn.XLOOKUP(D115,'3. Input (des)investeringen '!$B$11:$B$81,'3. Input (des)investeringen '!$E$11:$E$81)</f>
        <v>1</v>
      </c>
    </row>
    <row r="856" spans="2:6">
      <c r="B856">
        <v>99</v>
      </c>
      <c r="D856" s="129">
        <f t="shared" si="23"/>
        <v>8144.057006494264</v>
      </c>
      <c r="E856" s="128">
        <f t="shared" si="24"/>
        <v>2020</v>
      </c>
      <c r="F856" s="127">
        <f>_xlfn.XLOOKUP(D116,'3. Input (des)investeringen '!$B$11:$B$81,'3. Input (des)investeringen '!$E$11:$E$81)</f>
        <v>1</v>
      </c>
    </row>
    <row r="857" spans="2:6">
      <c r="B857">
        <v>100</v>
      </c>
      <c r="D857" s="129">
        <f t="shared" si="23"/>
        <v>491817.1821266273</v>
      </c>
      <c r="E857" s="128">
        <f t="shared" si="24"/>
        <v>2020</v>
      </c>
      <c r="F857" s="127">
        <f>_xlfn.XLOOKUP(D117,'3. Input (des)investeringen '!$B$11:$B$81,'3. Input (des)investeringen '!$E$11:$E$81)</f>
        <v>1</v>
      </c>
    </row>
    <row r="858" spans="2:6">
      <c r="B858">
        <v>101</v>
      </c>
      <c r="D858" s="129">
        <f t="shared" si="23"/>
        <v>29842.132392463594</v>
      </c>
      <c r="E858" s="128">
        <f t="shared" si="24"/>
        <v>2020</v>
      </c>
      <c r="F858" s="127">
        <f>_xlfn.XLOOKUP(D118,'3. Input (des)investeringen '!$B$11:$B$81,'3. Input (des)investeringen '!$E$11:$E$81)</f>
        <v>1</v>
      </c>
    </row>
    <row r="859" spans="2:6">
      <c r="B859">
        <v>102</v>
      </c>
      <c r="D859" s="129">
        <f t="shared" si="23"/>
        <v>296132.66621760983</v>
      </c>
      <c r="E859" s="128">
        <f t="shared" si="24"/>
        <v>2020</v>
      </c>
      <c r="F859" s="127">
        <f>_xlfn.XLOOKUP(D119,'3. Input (des)investeringen '!$B$11:$B$81,'3. Input (des)investeringen '!$E$11:$E$81)</f>
        <v>1</v>
      </c>
    </row>
    <row r="860" spans="2:6">
      <c r="B860">
        <v>103</v>
      </c>
      <c r="D860" s="129">
        <f t="shared" si="23"/>
        <v>30464.280867373902</v>
      </c>
      <c r="E860" s="128">
        <f t="shared" si="24"/>
        <v>2020</v>
      </c>
      <c r="F860" s="127">
        <f>_xlfn.XLOOKUP(D120,'3. Input (des)investeringen '!$B$11:$B$81,'3. Input (des)investeringen '!$E$11:$E$81)</f>
        <v>1</v>
      </c>
    </row>
    <row r="861" spans="2:6">
      <c r="B861">
        <v>104</v>
      </c>
      <c r="D861" s="129">
        <f t="shared" si="23"/>
        <v>466951.00937448401</v>
      </c>
      <c r="E861" s="128">
        <f t="shared" si="24"/>
        <v>2020</v>
      </c>
      <c r="F861" s="127">
        <f>_xlfn.XLOOKUP(D121,'3. Input (des)investeringen '!$B$11:$B$81,'3. Input (des)investeringen '!$E$11:$E$81)</f>
        <v>1</v>
      </c>
    </row>
    <row r="862" spans="2:6">
      <c r="B862">
        <v>105</v>
      </c>
      <c r="D862" s="129">
        <f t="shared" si="23"/>
        <v>29207.343065497258</v>
      </c>
      <c r="E862" s="128">
        <f t="shared" si="24"/>
        <v>2020</v>
      </c>
      <c r="F862" s="127">
        <f>_xlfn.XLOOKUP(D122,'3. Input (des)investeringen '!$B$11:$B$81,'3. Input (des)investeringen '!$E$11:$E$81)</f>
        <v>1</v>
      </c>
    </row>
    <row r="863" spans="2:6">
      <c r="B863">
        <v>106</v>
      </c>
      <c r="D863" s="129">
        <f t="shared" si="23"/>
        <v>85681.109144716596</v>
      </c>
      <c r="E863" s="128">
        <f t="shared" si="24"/>
        <v>2020</v>
      </c>
      <c r="F863" s="127">
        <f>_xlfn.XLOOKUP(D123,'3. Input (des)investeringen '!$B$11:$B$81,'3. Input (des)investeringen '!$E$11:$E$81)</f>
        <v>1</v>
      </c>
    </row>
    <row r="864" spans="2:6">
      <c r="B864">
        <v>107</v>
      </c>
      <c r="D864" s="129">
        <f t="shared" si="23"/>
        <v>12094.992137610618</v>
      </c>
      <c r="E864" s="128">
        <f t="shared" si="24"/>
        <v>2020</v>
      </c>
      <c r="F864" s="127">
        <f>_xlfn.XLOOKUP(D124,'3. Input (des)investeringen '!$B$11:$B$81,'3. Input (des)investeringen '!$E$11:$E$81)</f>
        <v>1</v>
      </c>
    </row>
    <row r="865" spans="2:6">
      <c r="B865">
        <v>108</v>
      </c>
      <c r="D865" s="129">
        <f t="shared" si="23"/>
        <v>241190.94996912093</v>
      </c>
      <c r="E865" s="128">
        <f t="shared" si="24"/>
        <v>2020</v>
      </c>
      <c r="F865" s="127">
        <f>_xlfn.XLOOKUP(D125,'3. Input (des)investeringen '!$B$11:$B$81,'3. Input (des)investeringen '!$E$11:$E$81)</f>
        <v>1</v>
      </c>
    </row>
    <row r="866" spans="2:6">
      <c r="B866">
        <v>109</v>
      </c>
      <c r="D866" s="129">
        <f t="shared" si="23"/>
        <v>103365.52678590667</v>
      </c>
      <c r="E866" s="128">
        <f t="shared" si="24"/>
        <v>2020</v>
      </c>
      <c r="F866" s="127">
        <f>_xlfn.XLOOKUP(D126,'3. Input (des)investeringen '!$B$11:$B$81,'3. Input (des)investeringen '!$E$11:$E$81)</f>
        <v>0</v>
      </c>
    </row>
    <row r="867" spans="2:6">
      <c r="B867">
        <v>110</v>
      </c>
      <c r="D867" s="129">
        <f t="shared" si="23"/>
        <v>2605.9297428298378</v>
      </c>
      <c r="E867" s="128">
        <f t="shared" si="24"/>
        <v>2020</v>
      </c>
      <c r="F867" s="127">
        <f>_xlfn.XLOOKUP(D127,'3. Input (des)investeringen '!$B$11:$B$81,'3. Input (des)investeringen '!$E$11:$E$81)</f>
        <v>1</v>
      </c>
    </row>
    <row r="868" spans="2:6">
      <c r="B868">
        <v>111</v>
      </c>
      <c r="D868" s="129">
        <f t="shared" si="23"/>
        <v>699507.92606819642</v>
      </c>
      <c r="E868" s="128">
        <f t="shared" si="24"/>
        <v>2020</v>
      </c>
      <c r="F868" s="127">
        <f>_xlfn.XLOOKUP(D128,'3. Input (des)investeringen '!$B$11:$B$81,'3. Input (des)investeringen '!$E$11:$E$81)</f>
        <v>1</v>
      </c>
    </row>
    <row r="869" spans="2:6">
      <c r="B869">
        <v>112</v>
      </c>
      <c r="D869" s="129">
        <f t="shared" si="23"/>
        <v>758579.68905049388</v>
      </c>
      <c r="E869" s="128">
        <f t="shared" si="24"/>
        <v>2020</v>
      </c>
      <c r="F869" s="127">
        <f>_xlfn.XLOOKUP(D129,'3. Input (des)investeringen '!$B$11:$B$81,'3. Input (des)investeringen '!$E$11:$E$81)</f>
        <v>1</v>
      </c>
    </row>
    <row r="870" spans="2:6">
      <c r="B870">
        <v>113</v>
      </c>
      <c r="D870" s="129">
        <f t="shared" si="23"/>
        <v>58484.431866942861</v>
      </c>
      <c r="E870" s="128">
        <f t="shared" si="24"/>
        <v>2020</v>
      </c>
      <c r="F870" s="127">
        <f>_xlfn.XLOOKUP(D130,'3. Input (des)investeringen '!$B$11:$B$81,'3. Input (des)investeringen '!$E$11:$E$81)</f>
        <v>1</v>
      </c>
    </row>
    <row r="871" spans="2:6">
      <c r="B871">
        <v>114</v>
      </c>
      <c r="D871" s="129">
        <f t="shared" si="23"/>
        <v>12654.139058755578</v>
      </c>
      <c r="E871" s="128">
        <f t="shared" si="24"/>
        <v>2020</v>
      </c>
      <c r="F871" s="127">
        <f>_xlfn.XLOOKUP(D131,'3. Input (des)investeringen '!$B$11:$B$81,'3. Input (des)investeringen '!$E$11:$E$81)</f>
        <v>1</v>
      </c>
    </row>
    <row r="872" spans="2:6">
      <c r="B872">
        <v>115</v>
      </c>
      <c r="D872" s="129">
        <f t="shared" si="23"/>
        <v>903016.7979884313</v>
      </c>
      <c r="E872" s="128">
        <f t="shared" si="24"/>
        <v>2020</v>
      </c>
      <c r="F872" s="127">
        <f>_xlfn.XLOOKUP(D132,'3. Input (des)investeringen '!$B$11:$B$81,'3. Input (des)investeringen '!$E$11:$E$81)</f>
        <v>1</v>
      </c>
    </row>
    <row r="873" spans="2:6">
      <c r="B873">
        <v>116</v>
      </c>
      <c r="D873" s="129">
        <f t="shared" si="23"/>
        <v>821582.77845572378</v>
      </c>
      <c r="E873" s="128">
        <f t="shared" si="24"/>
        <v>2020</v>
      </c>
      <c r="F873" s="127">
        <f>_xlfn.XLOOKUP(D133,'3. Input (des)investeringen '!$B$11:$B$81,'3. Input (des)investeringen '!$E$11:$E$81)</f>
        <v>1</v>
      </c>
    </row>
    <row r="874" spans="2:6">
      <c r="B874">
        <v>117</v>
      </c>
      <c r="D874" s="129">
        <f t="shared" si="23"/>
        <v>5515976.1618402852</v>
      </c>
      <c r="E874" s="128">
        <f t="shared" si="24"/>
        <v>2020</v>
      </c>
      <c r="F874" s="127">
        <f>_xlfn.XLOOKUP(D134,'3. Input (des)investeringen '!$B$11:$B$81,'3. Input (des)investeringen '!$E$11:$E$81)</f>
        <v>0</v>
      </c>
    </row>
    <row r="875" spans="2:6">
      <c r="B875">
        <v>118</v>
      </c>
      <c r="D875" s="129">
        <f t="shared" si="23"/>
        <v>382268.73025159683</v>
      </c>
      <c r="E875" s="128">
        <f t="shared" si="24"/>
        <v>2020</v>
      </c>
      <c r="F875" s="127">
        <f>_xlfn.XLOOKUP(D135,'3. Input (des)investeringen '!$B$11:$B$81,'3. Input (des)investeringen '!$E$11:$E$81)</f>
        <v>1</v>
      </c>
    </row>
    <row r="876" spans="2:6">
      <c r="B876">
        <v>119</v>
      </c>
      <c r="D876" s="129">
        <f t="shared" si="23"/>
        <v>2577767.7699642316</v>
      </c>
      <c r="E876" s="128">
        <f t="shared" si="24"/>
        <v>2020</v>
      </c>
      <c r="F876" s="127">
        <f>_xlfn.XLOOKUP(D136,'3. Input (des)investeringen '!$B$11:$B$81,'3. Input (des)investeringen '!$E$11:$E$81)</f>
        <v>0</v>
      </c>
    </row>
    <row r="877" spans="2:6">
      <c r="B877">
        <v>120</v>
      </c>
      <c r="D877" s="129">
        <f t="shared" si="23"/>
        <v>1082540.7671306636</v>
      </c>
      <c r="E877" s="128">
        <f t="shared" si="24"/>
        <v>2021</v>
      </c>
      <c r="F877" s="127">
        <f>_xlfn.XLOOKUP(D137,'3. Input (des)investeringen '!$B$11:$B$81,'3. Input (des)investeringen '!$E$11:$E$81)</f>
        <v>1</v>
      </c>
    </row>
    <row r="878" spans="2:6">
      <c r="B878">
        <v>121</v>
      </c>
      <c r="D878" s="129">
        <f t="shared" si="23"/>
        <v>511401.65758878307</v>
      </c>
      <c r="E878" s="128">
        <f t="shared" si="24"/>
        <v>2021</v>
      </c>
      <c r="F878" s="127">
        <f>_xlfn.XLOOKUP(D138,'3. Input (des)investeringen '!$B$11:$B$81,'3. Input (des)investeringen '!$E$11:$E$81)</f>
        <v>1</v>
      </c>
    </row>
    <row r="879" spans="2:6">
      <c r="B879">
        <v>122</v>
      </c>
      <c r="D879" s="129">
        <f t="shared" si="23"/>
        <v>292220.68125933275</v>
      </c>
      <c r="E879" s="128">
        <f t="shared" si="24"/>
        <v>2021</v>
      </c>
      <c r="F879" s="127">
        <f>_xlfn.XLOOKUP(D139,'3. Input (des)investeringen '!$B$11:$B$81,'3. Input (des)investeringen '!$E$11:$E$81)</f>
        <v>1</v>
      </c>
    </row>
    <row r="880" spans="2:6">
      <c r="B880">
        <v>123</v>
      </c>
      <c r="D880" s="129">
        <f t="shared" si="23"/>
        <v>163737.84090666575</v>
      </c>
      <c r="E880" s="128">
        <f t="shared" si="24"/>
        <v>2021</v>
      </c>
      <c r="F880" s="127">
        <f>_xlfn.XLOOKUP(D140,'3. Input (des)investeringen '!$B$11:$B$81,'3. Input (des)investeringen '!$E$11:$E$81)</f>
        <v>1</v>
      </c>
    </row>
    <row r="881" spans="2:6">
      <c r="B881">
        <v>124</v>
      </c>
      <c r="D881" s="129">
        <f t="shared" si="23"/>
        <v>668403.90783952852</v>
      </c>
      <c r="E881" s="128">
        <f t="shared" si="24"/>
        <v>2021</v>
      </c>
      <c r="F881" s="127">
        <f>_xlfn.XLOOKUP(D141,'3. Input (des)investeringen '!$B$11:$B$81,'3. Input (des)investeringen '!$E$11:$E$81)</f>
        <v>1</v>
      </c>
    </row>
    <row r="882" spans="2:6">
      <c r="B882">
        <v>125</v>
      </c>
      <c r="D882" s="129">
        <f t="shared" si="23"/>
        <v>1100763.5582718961</v>
      </c>
      <c r="E882" s="128">
        <f t="shared" si="24"/>
        <v>2021</v>
      </c>
      <c r="F882" s="127">
        <f>_xlfn.XLOOKUP(D142,'3. Input (des)investeringen '!$B$11:$B$81,'3. Input (des)investeringen '!$E$11:$E$81)</f>
        <v>1</v>
      </c>
    </row>
    <row r="883" spans="2:6">
      <c r="B883">
        <v>126</v>
      </c>
      <c r="D883" s="129">
        <f t="shared" si="23"/>
        <v>550425.76082445181</v>
      </c>
      <c r="E883" s="128">
        <f t="shared" si="24"/>
        <v>2021</v>
      </c>
      <c r="F883" s="127">
        <f>_xlfn.XLOOKUP(D143,'3. Input (des)investeringen '!$B$11:$B$81,'3. Input (des)investeringen '!$E$11:$E$81)</f>
        <v>1</v>
      </c>
    </row>
    <row r="884" spans="2:6">
      <c r="B884">
        <v>127</v>
      </c>
      <c r="D884" s="129">
        <f t="shared" si="23"/>
        <v>493535.1567090468</v>
      </c>
      <c r="E884" s="128">
        <f t="shared" si="24"/>
        <v>2021</v>
      </c>
      <c r="F884" s="127">
        <f>_xlfn.XLOOKUP(D144,'3. Input (des)investeringen '!$B$11:$B$81,'3. Input (des)investeringen '!$E$11:$E$81)</f>
        <v>1</v>
      </c>
    </row>
    <row r="885" spans="2:6">
      <c r="B885">
        <v>128</v>
      </c>
      <c r="D885" s="129">
        <f t="shared" si="23"/>
        <v>1141043.6057034757</v>
      </c>
      <c r="E885" s="128">
        <f t="shared" si="24"/>
        <v>2021</v>
      </c>
      <c r="F885" s="127">
        <f>_xlfn.XLOOKUP(D145,'3. Input (des)investeringen '!$B$11:$B$81,'3. Input (des)investeringen '!$E$11:$E$81)</f>
        <v>1</v>
      </c>
    </row>
    <row r="886" spans="2:6">
      <c r="B886">
        <v>129</v>
      </c>
      <c r="D886" s="129">
        <f t="shared" ref="D886:D949" si="25">F146*INDEX($E$673:$CG$753,E146-1945,G146-1945)</f>
        <v>1340871.0177292731</v>
      </c>
      <c r="E886" s="128">
        <f t="shared" ref="E886:E949" si="26">G146</f>
        <v>2021</v>
      </c>
      <c r="F886" s="127">
        <f>_xlfn.XLOOKUP(D146,'3. Input (des)investeringen '!$B$11:$B$81,'3. Input (des)investeringen '!$E$11:$E$81)</f>
        <v>1</v>
      </c>
    </row>
    <row r="887" spans="2:6">
      <c r="B887">
        <v>130</v>
      </c>
      <c r="D887" s="129">
        <f t="shared" si="25"/>
        <v>503640.04308366589</v>
      </c>
      <c r="E887" s="128">
        <f t="shared" si="26"/>
        <v>2021</v>
      </c>
      <c r="F887" s="127">
        <f>_xlfn.XLOOKUP(D147,'3. Input (des)investeringen '!$B$11:$B$81,'3. Input (des)investeringen '!$E$11:$E$81)</f>
        <v>1</v>
      </c>
    </row>
    <row r="888" spans="2:6">
      <c r="B888">
        <v>131</v>
      </c>
      <c r="D888" s="129">
        <f t="shared" si="25"/>
        <v>294963.8965371729</v>
      </c>
      <c r="E888" s="128">
        <f t="shared" si="26"/>
        <v>2021</v>
      </c>
      <c r="F888" s="127">
        <f>_xlfn.XLOOKUP(D148,'3. Input (des)investeringen '!$B$11:$B$81,'3. Input (des)investeringen '!$E$11:$E$81)</f>
        <v>1</v>
      </c>
    </row>
    <row r="889" spans="2:6">
      <c r="B889">
        <v>132</v>
      </c>
      <c r="D889" s="129">
        <f t="shared" si="25"/>
        <v>66815.699025118025</v>
      </c>
      <c r="E889" s="128">
        <f t="shared" si="26"/>
        <v>2021</v>
      </c>
      <c r="F889" s="127">
        <f>_xlfn.XLOOKUP(D149,'3. Input (des)investeringen '!$B$11:$B$81,'3. Input (des)investeringen '!$E$11:$E$81)</f>
        <v>1</v>
      </c>
    </row>
    <row r="890" spans="2:6">
      <c r="B890">
        <v>133</v>
      </c>
      <c r="D890" s="129">
        <f t="shared" si="25"/>
        <v>109772.84528112932</v>
      </c>
      <c r="E890" s="128">
        <f t="shared" si="26"/>
        <v>2021</v>
      </c>
      <c r="F890" s="127">
        <f>_xlfn.XLOOKUP(D150,'3. Input (des)investeringen '!$B$11:$B$81,'3. Input (des)investeringen '!$E$11:$E$81)</f>
        <v>1</v>
      </c>
    </row>
    <row r="891" spans="2:6">
      <c r="B891">
        <v>134</v>
      </c>
      <c r="D891" s="129">
        <f t="shared" si="25"/>
        <v>71760.577142878115</v>
      </c>
      <c r="E891" s="128">
        <f t="shared" si="26"/>
        <v>2021</v>
      </c>
      <c r="F891" s="127">
        <f>_xlfn.XLOOKUP(D151,'3. Input (des)investeringen '!$B$11:$B$81,'3. Input (des)investeringen '!$E$11:$E$81)</f>
        <v>1</v>
      </c>
    </row>
    <row r="892" spans="2:6">
      <c r="B892">
        <v>135</v>
      </c>
      <c r="D892" s="129">
        <f t="shared" si="25"/>
        <v>98357.91620714216</v>
      </c>
      <c r="E892" s="128">
        <f t="shared" si="26"/>
        <v>2021</v>
      </c>
      <c r="F892" s="127">
        <f>_xlfn.XLOOKUP(D152,'3. Input (des)investeringen '!$B$11:$B$81,'3. Input (des)investeringen '!$E$11:$E$81)</f>
        <v>1</v>
      </c>
    </row>
    <row r="893" spans="2:6">
      <c r="B893">
        <v>136</v>
      </c>
      <c r="D893" s="129">
        <f t="shared" si="25"/>
        <v>38685.240317018492</v>
      </c>
      <c r="E893" s="128">
        <f t="shared" si="26"/>
        <v>2021</v>
      </c>
      <c r="F893" s="127">
        <f>_xlfn.XLOOKUP(D153,'3. Input (des)investeringen '!$B$11:$B$81,'3. Input (des)investeringen '!$E$11:$E$81)</f>
        <v>1</v>
      </c>
    </row>
    <row r="894" spans="2:6">
      <c r="B894">
        <v>137</v>
      </c>
      <c r="D894" s="129">
        <f t="shared" si="25"/>
        <v>43273.531147319729</v>
      </c>
      <c r="E894" s="128">
        <f t="shared" si="26"/>
        <v>2021</v>
      </c>
      <c r="F894" s="127">
        <f>_xlfn.XLOOKUP(D154,'3. Input (des)investeringen '!$B$11:$B$81,'3. Input (des)investeringen '!$E$11:$E$81)</f>
        <v>1</v>
      </c>
    </row>
    <row r="895" spans="2:6">
      <c r="B895">
        <v>138</v>
      </c>
      <c r="D895" s="129">
        <f t="shared" si="25"/>
        <v>197935.88660477666</v>
      </c>
      <c r="E895" s="128">
        <f t="shared" si="26"/>
        <v>2021</v>
      </c>
      <c r="F895" s="127">
        <f>_xlfn.XLOOKUP(D155,'3. Input (des)investeringen '!$B$11:$B$81,'3. Input (des)investeringen '!$E$11:$E$81)</f>
        <v>1</v>
      </c>
    </row>
    <row r="896" spans="2:6">
      <c r="B896">
        <v>139</v>
      </c>
      <c r="D896" s="129">
        <f t="shared" si="25"/>
        <v>3536.1721082700515</v>
      </c>
      <c r="E896" s="128">
        <f t="shared" si="26"/>
        <v>2021</v>
      </c>
      <c r="F896" s="127">
        <f>_xlfn.XLOOKUP(D156,'3. Input (des)investeringen '!$B$11:$B$81,'3. Input (des)investeringen '!$E$11:$E$81)</f>
        <v>1</v>
      </c>
    </row>
    <row r="897" spans="2:6">
      <c r="B897">
        <v>140</v>
      </c>
      <c r="D897" s="129">
        <f t="shared" si="25"/>
        <v>149008.91551010619</v>
      </c>
      <c r="E897" s="128">
        <f t="shared" si="26"/>
        <v>2021</v>
      </c>
      <c r="F897" s="127">
        <f>_xlfn.XLOOKUP(D157,'3. Input (des)investeringen '!$B$11:$B$81,'3. Input (des)investeringen '!$E$11:$E$81)</f>
        <v>1</v>
      </c>
    </row>
    <row r="898" spans="2:6">
      <c r="B898">
        <v>141</v>
      </c>
      <c r="D898" s="129">
        <f t="shared" si="25"/>
        <v>320750.25625020906</v>
      </c>
      <c r="E898" s="128">
        <f t="shared" si="26"/>
        <v>2021</v>
      </c>
      <c r="F898" s="127">
        <f>_xlfn.XLOOKUP(D158,'3. Input (des)investeringen '!$B$11:$B$81,'3. Input (des)investeringen '!$E$11:$E$81)</f>
        <v>1</v>
      </c>
    </row>
    <row r="899" spans="2:6">
      <c r="B899">
        <v>142</v>
      </c>
      <c r="D899" s="129">
        <f t="shared" si="25"/>
        <v>75796.301285625028</v>
      </c>
      <c r="E899" s="128">
        <f t="shared" si="26"/>
        <v>2021</v>
      </c>
      <c r="F899" s="127">
        <f>_xlfn.XLOOKUP(D159,'3. Input (des)investeringen '!$B$11:$B$81,'3. Input (des)investeringen '!$E$11:$E$81)</f>
        <v>1</v>
      </c>
    </row>
    <row r="900" spans="2:6">
      <c r="B900">
        <v>143</v>
      </c>
      <c r="D900" s="129">
        <f t="shared" si="25"/>
        <v>447507.68906529818</v>
      </c>
      <c r="E900" s="128">
        <f t="shared" si="26"/>
        <v>2021</v>
      </c>
      <c r="F900" s="127">
        <f>_xlfn.XLOOKUP(D160,'3. Input (des)investeringen '!$B$11:$B$81,'3. Input (des)investeringen '!$E$11:$E$81)</f>
        <v>1</v>
      </c>
    </row>
    <row r="901" spans="2:6">
      <c r="B901">
        <v>144</v>
      </c>
      <c r="D901" s="129">
        <f t="shared" si="25"/>
        <v>585.89540720010632</v>
      </c>
      <c r="E901" s="128">
        <f t="shared" si="26"/>
        <v>2021</v>
      </c>
      <c r="F901" s="127">
        <f>_xlfn.XLOOKUP(D161,'3. Input (des)investeringen '!$B$11:$B$81,'3. Input (des)investeringen '!$E$11:$E$81)</f>
        <v>1</v>
      </c>
    </row>
    <row r="902" spans="2:6">
      <c r="B902">
        <v>145</v>
      </c>
      <c r="D902" s="129">
        <f t="shared" si="25"/>
        <v>1076368.1896706892</v>
      </c>
      <c r="E902" s="128">
        <f t="shared" si="26"/>
        <v>2021</v>
      </c>
      <c r="F902" s="127">
        <f>_xlfn.XLOOKUP(D162,'3. Input (des)investeringen '!$B$11:$B$81,'3. Input (des)investeringen '!$E$11:$E$81)</f>
        <v>1</v>
      </c>
    </row>
    <row r="903" spans="2:6">
      <c r="B903">
        <v>146</v>
      </c>
      <c r="D903" s="129">
        <f t="shared" si="25"/>
        <v>12458.301884420251</v>
      </c>
      <c r="E903" s="128">
        <f t="shared" si="26"/>
        <v>2021</v>
      </c>
      <c r="F903" s="127">
        <f>_xlfn.XLOOKUP(D163,'3. Input (des)investeringen '!$B$11:$B$81,'3. Input (des)investeringen '!$E$11:$E$81)</f>
        <v>1</v>
      </c>
    </row>
    <row r="904" spans="2:6">
      <c r="B904">
        <v>147</v>
      </c>
      <c r="D904" s="129">
        <f t="shared" si="25"/>
        <v>236253.64868884979</v>
      </c>
      <c r="E904" s="128">
        <f t="shared" si="26"/>
        <v>2021</v>
      </c>
      <c r="F904" s="127">
        <f>_xlfn.XLOOKUP(D164,'3. Input (des)investeringen '!$B$11:$B$81,'3. Input (des)investeringen '!$E$11:$E$81)</f>
        <v>0</v>
      </c>
    </row>
    <row r="905" spans="2:6">
      <c r="B905">
        <v>148</v>
      </c>
      <c r="D905" s="129">
        <f t="shared" si="25"/>
        <v>1167992.7901493718</v>
      </c>
      <c r="E905" s="128">
        <f t="shared" si="26"/>
        <v>2021</v>
      </c>
      <c r="F905" s="127">
        <f>_xlfn.XLOOKUP(D165,'3. Input (des)investeringen '!$B$11:$B$81,'3. Input (des)investeringen '!$E$11:$E$81)</f>
        <v>0</v>
      </c>
    </row>
    <row r="906" spans="2:6">
      <c r="B906">
        <v>149</v>
      </c>
      <c r="D906" s="129">
        <f t="shared" si="25"/>
        <v>1278744.1282753907</v>
      </c>
      <c r="E906" s="128">
        <f t="shared" si="26"/>
        <v>2021</v>
      </c>
      <c r="F906" s="127">
        <f>_xlfn.XLOOKUP(D166,'3. Input (des)investeringen '!$B$11:$B$81,'3. Input (des)investeringen '!$E$11:$E$81)</f>
        <v>0</v>
      </c>
    </row>
    <row r="907" spans="2:6">
      <c r="B907">
        <v>150</v>
      </c>
      <c r="D907" s="129">
        <f t="shared" si="25"/>
        <v>770495.64099103538</v>
      </c>
      <c r="E907" s="128">
        <f t="shared" si="26"/>
        <v>2021</v>
      </c>
      <c r="F907" s="127">
        <f>_xlfn.XLOOKUP(D167,'3. Input (des)investeringen '!$B$11:$B$81,'3. Input (des)investeringen '!$E$11:$E$81)</f>
        <v>0</v>
      </c>
    </row>
    <row r="908" spans="2:6">
      <c r="B908">
        <v>151</v>
      </c>
      <c r="D908" s="129">
        <f t="shared" si="25"/>
        <v>1359018.3003866887</v>
      </c>
      <c r="E908" s="128">
        <f t="shared" si="26"/>
        <v>2021</v>
      </c>
      <c r="F908" s="127">
        <f>_xlfn.XLOOKUP(D168,'3. Input (des)investeringen '!$B$11:$B$81,'3. Input (des)investeringen '!$E$11:$E$81)</f>
        <v>0</v>
      </c>
    </row>
    <row r="909" spans="2:6">
      <c r="B909">
        <v>152</v>
      </c>
      <c r="D909" s="129">
        <f t="shared" si="25"/>
        <v>563287.27093052329</v>
      </c>
      <c r="E909" s="128">
        <f t="shared" si="26"/>
        <v>2021</v>
      </c>
      <c r="F909" s="127">
        <f>_xlfn.XLOOKUP(D169,'3. Input (des)investeringen '!$B$11:$B$81,'3. Input (des)investeringen '!$E$11:$E$81)</f>
        <v>0</v>
      </c>
    </row>
    <row r="910" spans="2:6">
      <c r="B910">
        <v>153</v>
      </c>
      <c r="D910" s="129">
        <f t="shared" si="25"/>
        <v>758025.33866394043</v>
      </c>
      <c r="E910" s="128">
        <f t="shared" si="26"/>
        <v>2021</v>
      </c>
      <c r="F910" s="127">
        <f>_xlfn.XLOOKUP(D170,'3. Input (des)investeringen '!$B$11:$B$81,'3. Input (des)investeringen '!$E$11:$E$81)</f>
        <v>0</v>
      </c>
    </row>
    <row r="911" spans="2:6">
      <c r="B911">
        <v>154</v>
      </c>
      <c r="D911" s="129">
        <f t="shared" si="25"/>
        <v>1072746.2175645537</v>
      </c>
      <c r="E911" s="128">
        <f t="shared" si="26"/>
        <v>2021</v>
      </c>
      <c r="F911" s="127">
        <f>_xlfn.XLOOKUP(D171,'3. Input (des)investeringen '!$B$11:$B$81,'3. Input (des)investeringen '!$E$11:$E$81)</f>
        <v>0</v>
      </c>
    </row>
    <row r="912" spans="2:6">
      <c r="B912">
        <v>155</v>
      </c>
      <c r="D912" s="129">
        <f t="shared" si="25"/>
        <v>69883.751406690964</v>
      </c>
      <c r="E912" s="128">
        <f t="shared" si="26"/>
        <v>2021</v>
      </c>
      <c r="F912" s="127">
        <f>_xlfn.XLOOKUP(D172,'3. Input (des)investeringen '!$B$11:$B$81,'3. Input (des)investeringen '!$E$11:$E$81)</f>
        <v>0</v>
      </c>
    </row>
    <row r="913" spans="2:6">
      <c r="B913">
        <v>156</v>
      </c>
      <c r="D913" s="129">
        <f t="shared" si="25"/>
        <v>74510.976145309935</v>
      </c>
      <c r="E913" s="128">
        <f t="shared" si="26"/>
        <v>2021</v>
      </c>
      <c r="F913" s="127">
        <f>_xlfn.XLOOKUP(D173,'3. Input (des)investeringen '!$B$11:$B$81,'3. Input (des)investeringen '!$E$11:$E$81)</f>
        <v>0</v>
      </c>
    </row>
    <row r="914" spans="2:6">
      <c r="B914">
        <v>157</v>
      </c>
      <c r="D914" s="129">
        <f t="shared" si="25"/>
        <v>474585.39415796031</v>
      </c>
      <c r="E914" s="128">
        <f t="shared" si="26"/>
        <v>2021</v>
      </c>
      <c r="F914" s="127">
        <f>_xlfn.XLOOKUP(D174,'3. Input (des)investeringen '!$B$11:$B$81,'3. Input (des)investeringen '!$E$11:$E$81)</f>
        <v>0</v>
      </c>
    </row>
    <row r="915" spans="2:6">
      <c r="B915">
        <v>158</v>
      </c>
      <c r="D915" s="129">
        <f t="shared" si="25"/>
        <v>300052.12258130778</v>
      </c>
      <c r="E915" s="128">
        <f t="shared" si="26"/>
        <v>2021</v>
      </c>
      <c r="F915" s="127">
        <f>_xlfn.XLOOKUP(D175,'3. Input (des)investeringen '!$B$11:$B$81,'3. Input (des)investeringen '!$E$11:$E$81)</f>
        <v>0</v>
      </c>
    </row>
    <row r="916" spans="2:6">
      <c r="B916">
        <v>159</v>
      </c>
      <c r="D916" s="129">
        <f t="shared" si="25"/>
        <v>174219.76869315104</v>
      </c>
      <c r="E916" s="128">
        <f t="shared" si="26"/>
        <v>2021</v>
      </c>
      <c r="F916" s="127">
        <f>_xlfn.XLOOKUP(D176,'3. Input (des)investeringen '!$B$11:$B$81,'3. Input (des)investeringen '!$E$11:$E$81)</f>
        <v>0</v>
      </c>
    </row>
    <row r="917" spans="2:6">
      <c r="B917">
        <v>160</v>
      </c>
      <c r="D917" s="129">
        <f t="shared" si="25"/>
        <v>44878.31143522395</v>
      </c>
      <c r="E917" s="128">
        <f t="shared" si="26"/>
        <v>2021</v>
      </c>
      <c r="F917" s="127">
        <f>_xlfn.XLOOKUP(D177,'3. Input (des)investeringen '!$B$11:$B$81,'3. Input (des)investeringen '!$E$11:$E$81)</f>
        <v>0</v>
      </c>
    </row>
    <row r="918" spans="2:6">
      <c r="B918">
        <v>161</v>
      </c>
      <c r="D918" s="129">
        <f t="shared" si="25"/>
        <v>99537.263491634294</v>
      </c>
      <c r="E918" s="128">
        <f t="shared" si="26"/>
        <v>2021</v>
      </c>
      <c r="F918" s="127">
        <f>_xlfn.XLOOKUP(D178,'3. Input (des)investeringen '!$B$11:$B$81,'3. Input (des)investeringen '!$E$11:$E$81)</f>
        <v>0</v>
      </c>
    </row>
    <row r="919" spans="2:6">
      <c r="B919">
        <v>162</v>
      </c>
      <c r="D919" s="129">
        <f t="shared" si="25"/>
        <v>211807.13784127281</v>
      </c>
      <c r="E919" s="128">
        <f t="shared" si="26"/>
        <v>2021</v>
      </c>
      <c r="F919" s="127">
        <f>_xlfn.XLOOKUP(D179,'3. Input (des)investeringen '!$B$11:$B$81,'3. Input (des)investeringen '!$E$11:$E$81)</f>
        <v>0</v>
      </c>
    </row>
    <row r="920" spans="2:6">
      <c r="B920">
        <v>163</v>
      </c>
      <c r="D920" s="129">
        <f t="shared" si="25"/>
        <v>25424.944825862574</v>
      </c>
      <c r="E920" s="128">
        <f t="shared" si="26"/>
        <v>2021</v>
      </c>
      <c r="F920" s="127">
        <f>_xlfn.XLOOKUP(D180,'3. Input (des)investeringen '!$B$11:$B$81,'3. Input (des)investeringen '!$E$11:$E$81)</f>
        <v>0</v>
      </c>
    </row>
    <row r="921" spans="2:6">
      <c r="B921">
        <v>164</v>
      </c>
      <c r="D921" s="129">
        <f t="shared" si="25"/>
        <v>15024.675380202731</v>
      </c>
      <c r="E921" s="128">
        <f t="shared" si="26"/>
        <v>2021</v>
      </c>
      <c r="F921" s="127">
        <f>_xlfn.XLOOKUP(D181,'3. Input (des)investeringen '!$B$11:$B$81,'3. Input (des)investeringen '!$E$11:$E$81)</f>
        <v>0</v>
      </c>
    </row>
    <row r="922" spans="2:6">
      <c r="B922">
        <v>165</v>
      </c>
      <c r="D922" s="129">
        <f t="shared" si="25"/>
        <v>1553156.491253328</v>
      </c>
      <c r="E922" s="128">
        <f t="shared" si="26"/>
        <v>2021</v>
      </c>
      <c r="F922" s="127">
        <f>_xlfn.XLOOKUP(D182,'3. Input (des)investeringen '!$B$11:$B$81,'3. Input (des)investeringen '!$E$11:$E$81)</f>
        <v>0</v>
      </c>
    </row>
    <row r="923" spans="2:6">
      <c r="B923">
        <v>166</v>
      </c>
      <c r="D923" s="129">
        <f t="shared" si="25"/>
        <v>10601.673798685901</v>
      </c>
      <c r="E923" s="128">
        <f t="shared" si="26"/>
        <v>2021</v>
      </c>
      <c r="F923" s="127">
        <f>_xlfn.XLOOKUP(D183,'3. Input (des)investeringen '!$B$11:$B$81,'3. Input (des)investeringen '!$E$11:$E$81)</f>
        <v>0</v>
      </c>
    </row>
    <row r="924" spans="2:6">
      <c r="B924">
        <v>167</v>
      </c>
      <c r="D924" s="129">
        <f t="shared" si="25"/>
        <v>13806.096316082207</v>
      </c>
      <c r="E924" s="128">
        <f t="shared" si="26"/>
        <v>2021</v>
      </c>
      <c r="F924" s="127">
        <f>_xlfn.XLOOKUP(D184,'3. Input (des)investeringen '!$B$11:$B$81,'3. Input (des)investeringen '!$E$11:$E$81)</f>
        <v>0</v>
      </c>
    </row>
    <row r="925" spans="2:6">
      <c r="B925">
        <v>168</v>
      </c>
      <c r="D925" s="129">
        <f t="shared" si="25"/>
        <v>10690.975721830873</v>
      </c>
      <c r="E925" s="128">
        <f t="shared" si="26"/>
        <v>2021</v>
      </c>
      <c r="F925" s="127">
        <f>_xlfn.XLOOKUP(D185,'3. Input (des)investeringen '!$B$11:$B$81,'3. Input (des)investeringen '!$E$11:$E$81)</f>
        <v>0</v>
      </c>
    </row>
    <row r="926" spans="2:6">
      <c r="B926">
        <v>169</v>
      </c>
      <c r="D926" s="129">
        <f t="shared" si="25"/>
        <v>15986.781599403323</v>
      </c>
      <c r="E926" s="128">
        <f t="shared" si="26"/>
        <v>2021</v>
      </c>
      <c r="F926" s="127">
        <f>_xlfn.XLOOKUP(D186,'3. Input (des)investeringen '!$B$11:$B$81,'3. Input (des)investeringen '!$E$11:$E$81)</f>
        <v>0</v>
      </c>
    </row>
    <row r="927" spans="2:6">
      <c r="B927">
        <v>170</v>
      </c>
      <c r="D927" s="129">
        <f t="shared" si="25"/>
        <v>7180.1720234295535</v>
      </c>
      <c r="E927" s="128">
        <f t="shared" si="26"/>
        <v>2021</v>
      </c>
      <c r="F927" s="127">
        <f>_xlfn.XLOOKUP(D187,'3. Input (des)investeringen '!$B$11:$B$81,'3. Input (des)investeringen '!$E$11:$E$81)</f>
        <v>0</v>
      </c>
    </row>
    <row r="928" spans="2:6">
      <c r="B928">
        <v>171</v>
      </c>
      <c r="D928" s="129">
        <f t="shared" si="25"/>
        <v>68385.256874844577</v>
      </c>
      <c r="E928" s="128">
        <f t="shared" si="26"/>
        <v>2021</v>
      </c>
      <c r="F928" s="127">
        <f>_xlfn.XLOOKUP(D188,'3. Input (des)investeringen '!$B$11:$B$81,'3. Input (des)investeringen '!$E$11:$E$81)</f>
        <v>0</v>
      </c>
    </row>
    <row r="929" spans="2:6">
      <c r="B929">
        <v>172</v>
      </c>
      <c r="D929" s="129">
        <f t="shared" si="25"/>
        <v>57231.902287510849</v>
      </c>
      <c r="E929" s="128">
        <f t="shared" si="26"/>
        <v>2021</v>
      </c>
      <c r="F929" s="127">
        <f>_xlfn.XLOOKUP(D189,'3. Input (des)investeringen '!$B$11:$B$81,'3. Input (des)investeringen '!$E$11:$E$81)</f>
        <v>0</v>
      </c>
    </row>
    <row r="930" spans="2:6">
      <c r="B930">
        <v>173</v>
      </c>
      <c r="D930" s="129">
        <f t="shared" si="25"/>
        <v>139666.15519997373</v>
      </c>
      <c r="E930" s="128">
        <f t="shared" si="26"/>
        <v>2021</v>
      </c>
      <c r="F930" s="127">
        <f>_xlfn.XLOOKUP(D190,'3. Input (des)investeringen '!$B$11:$B$81,'3. Input (des)investeringen '!$E$11:$E$81)</f>
        <v>0</v>
      </c>
    </row>
    <row r="931" spans="2:6">
      <c r="B931">
        <v>174</v>
      </c>
      <c r="D931" s="129">
        <f t="shared" si="25"/>
        <v>261877.80964518842</v>
      </c>
      <c r="E931" s="128">
        <f t="shared" si="26"/>
        <v>2021</v>
      </c>
      <c r="F931" s="127">
        <f>_xlfn.XLOOKUP(D191,'3. Input (des)investeringen '!$B$11:$B$81,'3. Input (des)investeringen '!$E$11:$E$81)</f>
        <v>0</v>
      </c>
    </row>
    <row r="932" spans="2:6">
      <c r="B932">
        <v>175</v>
      </c>
      <c r="D932" s="129">
        <f t="shared" si="25"/>
        <v>384106.38797041745</v>
      </c>
      <c r="E932" s="128">
        <f t="shared" si="26"/>
        <v>2021</v>
      </c>
      <c r="F932" s="127">
        <f>_xlfn.XLOOKUP(D192,'3. Input (des)investeringen '!$B$11:$B$81,'3. Input (des)investeringen '!$E$11:$E$81)</f>
        <v>0</v>
      </c>
    </row>
    <row r="933" spans="2:6">
      <c r="B933">
        <v>176</v>
      </c>
      <c r="D933" s="129">
        <f t="shared" si="25"/>
        <v>349737.18217299768</v>
      </c>
      <c r="E933" s="128">
        <f t="shared" si="26"/>
        <v>2021</v>
      </c>
      <c r="F933" s="127">
        <f>_xlfn.XLOOKUP(D193,'3. Input (des)investeringen '!$B$11:$B$81,'3. Input (des)investeringen '!$E$11:$E$81)</f>
        <v>0</v>
      </c>
    </row>
    <row r="934" spans="2:6">
      <c r="B934">
        <v>177</v>
      </c>
      <c r="D934" s="129">
        <f t="shared" si="25"/>
        <v>43685.695437945156</v>
      </c>
      <c r="E934" s="128">
        <f t="shared" si="26"/>
        <v>2021</v>
      </c>
      <c r="F934" s="127">
        <f>_xlfn.XLOOKUP(D194,'3. Input (des)investeringen '!$B$11:$B$81,'3. Input (des)investeringen '!$E$11:$E$81)</f>
        <v>0</v>
      </c>
    </row>
    <row r="935" spans="2:6">
      <c r="B935">
        <v>178</v>
      </c>
      <c r="D935" s="129">
        <f t="shared" si="25"/>
        <v>26142.883444457802</v>
      </c>
      <c r="E935" s="128">
        <f t="shared" si="26"/>
        <v>2021</v>
      </c>
      <c r="F935" s="127">
        <f>_xlfn.XLOOKUP(D195,'3. Input (des)investeringen '!$B$11:$B$81,'3. Input (des)investeringen '!$E$11:$E$81)</f>
        <v>0</v>
      </c>
    </row>
    <row r="936" spans="2:6">
      <c r="B936">
        <v>179</v>
      </c>
      <c r="D936" s="129">
        <f t="shared" si="25"/>
        <v>91685.903273300093</v>
      </c>
      <c r="E936" s="128">
        <f t="shared" si="26"/>
        <v>2021</v>
      </c>
      <c r="F936" s="127">
        <f>_xlfn.XLOOKUP(D196,'3. Input (des)investeringen '!$B$11:$B$81,'3. Input (des)investeringen '!$E$11:$E$81)</f>
        <v>0</v>
      </c>
    </row>
    <row r="937" spans="2:6">
      <c r="B937">
        <v>180</v>
      </c>
      <c r="D937" s="129">
        <f t="shared" si="25"/>
        <v>406564.28543185152</v>
      </c>
      <c r="E937" s="128">
        <f t="shared" si="26"/>
        <v>2021</v>
      </c>
      <c r="F937" s="127">
        <f>_xlfn.XLOOKUP(D197,'3. Input (des)investeringen '!$B$11:$B$81,'3. Input (des)investeringen '!$E$11:$E$81)</f>
        <v>0</v>
      </c>
    </row>
    <row r="938" spans="2:6">
      <c r="B938">
        <v>181</v>
      </c>
      <c r="D938" s="129">
        <f t="shared" si="25"/>
        <v>4343.1703706661292</v>
      </c>
      <c r="E938" s="128">
        <f t="shared" si="26"/>
        <v>2021</v>
      </c>
      <c r="F938" s="127">
        <f>_xlfn.XLOOKUP(D198,'3. Input (des)investeringen '!$B$11:$B$81,'3. Input (des)investeringen '!$E$11:$E$81)</f>
        <v>0</v>
      </c>
    </row>
    <row r="939" spans="2:6">
      <c r="B939">
        <v>182</v>
      </c>
      <c r="D939" s="129">
        <f t="shared" si="25"/>
        <v>417969.94669647992</v>
      </c>
      <c r="E939" s="128">
        <f t="shared" si="26"/>
        <v>2021</v>
      </c>
      <c r="F939" s="127">
        <f>_xlfn.XLOOKUP(D199,'3. Input (des)investeringen '!$B$11:$B$81,'3. Input (des)investeringen '!$E$11:$E$81)</f>
        <v>0</v>
      </c>
    </row>
    <row r="940" spans="2:6">
      <c r="B940">
        <v>183</v>
      </c>
      <c r="D940" s="129">
        <f t="shared" si="25"/>
        <v>565140.25960966269</v>
      </c>
      <c r="E940" s="128">
        <f t="shared" si="26"/>
        <v>2021</v>
      </c>
      <c r="F940" s="127">
        <f>_xlfn.XLOOKUP(D200,'3. Input (des)investeringen '!$B$11:$B$81,'3. Input (des)investeringen '!$E$11:$E$81)</f>
        <v>0</v>
      </c>
    </row>
    <row r="941" spans="2:6">
      <c r="B941">
        <v>184</v>
      </c>
      <c r="D941" s="129">
        <f t="shared" si="25"/>
        <v>146891.26988423668</v>
      </c>
      <c r="E941" s="128">
        <f t="shared" si="26"/>
        <v>2021</v>
      </c>
      <c r="F941" s="127">
        <f>_xlfn.XLOOKUP(D201,'3. Input (des)investeringen '!$B$11:$B$81,'3. Input (des)investeringen '!$E$11:$E$81)</f>
        <v>0</v>
      </c>
    </row>
    <row r="942" spans="2:6">
      <c r="B942">
        <v>185</v>
      </c>
      <c r="D942" s="129">
        <f t="shared" si="25"/>
        <v>17125.53813751788</v>
      </c>
      <c r="E942" s="128">
        <f t="shared" si="26"/>
        <v>2021</v>
      </c>
      <c r="F942" s="127">
        <f>_xlfn.XLOOKUP(D202,'3. Input (des)investeringen '!$B$11:$B$81,'3. Input (des)investeringen '!$E$11:$E$81)</f>
        <v>0</v>
      </c>
    </row>
    <row r="943" spans="2:6">
      <c r="B943">
        <v>186</v>
      </c>
      <c r="D943" s="129">
        <f t="shared" si="25"/>
        <v>34968.302630908467</v>
      </c>
      <c r="E943" s="128">
        <f t="shared" si="26"/>
        <v>2021</v>
      </c>
      <c r="F943" s="127">
        <f>_xlfn.XLOOKUP(D203,'3. Input (des)investeringen '!$B$11:$B$81,'3. Input (des)investeringen '!$E$11:$E$81)</f>
        <v>0</v>
      </c>
    </row>
    <row r="944" spans="2:6">
      <c r="B944">
        <v>187</v>
      </c>
      <c r="D944" s="129">
        <f t="shared" si="25"/>
        <v>568322.42919150752</v>
      </c>
      <c r="E944" s="128">
        <f t="shared" si="26"/>
        <v>2021</v>
      </c>
      <c r="F944" s="127">
        <f>_xlfn.XLOOKUP(D204,'3. Input (des)investeringen '!$B$11:$B$81,'3. Input (des)investeringen '!$E$11:$E$81)</f>
        <v>0</v>
      </c>
    </row>
    <row r="945" spans="2:6">
      <c r="B945">
        <v>188</v>
      </c>
      <c r="D945" s="129">
        <f t="shared" si="25"/>
        <v>39042.787781114006</v>
      </c>
      <c r="E945" s="128">
        <f t="shared" si="26"/>
        <v>2021</v>
      </c>
      <c r="F945" s="127">
        <f>_xlfn.XLOOKUP(D205,'3. Input (des)investeringen '!$B$11:$B$81,'3. Input (des)investeringen '!$E$11:$E$81)</f>
        <v>0</v>
      </c>
    </row>
    <row r="946" spans="2:6">
      <c r="B946">
        <v>189</v>
      </c>
      <c r="D946" s="129">
        <f t="shared" si="25"/>
        <v>123253.28439898259</v>
      </c>
      <c r="E946" s="128">
        <f t="shared" si="26"/>
        <v>2021</v>
      </c>
      <c r="F946" s="127">
        <f>_xlfn.XLOOKUP(D206,'3. Input (des)investeringen '!$B$11:$B$81,'3. Input (des)investeringen '!$E$11:$E$81)</f>
        <v>0</v>
      </c>
    </row>
    <row r="947" spans="2:6">
      <c r="B947">
        <v>190</v>
      </c>
      <c r="D947" s="129">
        <f t="shared" si="25"/>
        <v>55481.291015903735</v>
      </c>
      <c r="E947" s="128">
        <f t="shared" si="26"/>
        <v>2021</v>
      </c>
      <c r="F947" s="127">
        <f>_xlfn.XLOOKUP(D207,'3. Input (des)investeringen '!$B$11:$B$81,'3. Input (des)investeringen '!$E$11:$E$81)</f>
        <v>0</v>
      </c>
    </row>
    <row r="948" spans="2:6">
      <c r="B948">
        <v>191</v>
      </c>
      <c r="D948" s="129">
        <f t="shared" si="25"/>
        <v>10091.637804543583</v>
      </c>
      <c r="E948" s="128">
        <f t="shared" si="26"/>
        <v>2021</v>
      </c>
      <c r="F948" s="127">
        <f>_xlfn.XLOOKUP(D208,'3. Input (des)investeringen '!$B$11:$B$81,'3. Input (des)investeringen '!$E$11:$E$81)</f>
        <v>0</v>
      </c>
    </row>
    <row r="949" spans="2:6">
      <c r="B949">
        <v>192</v>
      </c>
      <c r="D949" s="129">
        <f t="shared" si="25"/>
        <v>270121.01778384193</v>
      </c>
      <c r="E949" s="128">
        <f t="shared" si="26"/>
        <v>2021</v>
      </c>
      <c r="F949" s="127">
        <f>_xlfn.XLOOKUP(D209,'3. Input (des)investeringen '!$B$11:$B$81,'3. Input (des)investeringen '!$E$11:$E$81)</f>
        <v>0</v>
      </c>
    </row>
    <row r="950" spans="2:6">
      <c r="B950">
        <v>193</v>
      </c>
      <c r="D950" s="129">
        <f t="shared" ref="D950:D1013" si="27">F210*INDEX($E$673:$CG$753,E210-1945,G210-1945)</f>
        <v>35012.560970798419</v>
      </c>
      <c r="E950" s="128">
        <f t="shared" ref="E950:E1013" si="28">G210</f>
        <v>2021</v>
      </c>
      <c r="F950" s="127">
        <f>_xlfn.XLOOKUP(D210,'3. Input (des)investeringen '!$B$11:$B$81,'3. Input (des)investeringen '!$E$11:$E$81)</f>
        <v>0</v>
      </c>
    </row>
    <row r="951" spans="2:6">
      <c r="B951">
        <v>194</v>
      </c>
      <c r="D951" s="129">
        <f t="shared" si="27"/>
        <v>62541.855255277696</v>
      </c>
      <c r="E951" s="128">
        <f t="shared" si="28"/>
        <v>2021</v>
      </c>
      <c r="F951" s="127">
        <f>_xlfn.XLOOKUP(D211,'3. Input (des)investeringen '!$B$11:$B$81,'3. Input (des)investeringen '!$E$11:$E$81)</f>
        <v>0</v>
      </c>
    </row>
    <row r="952" spans="2:6">
      <c r="B952">
        <v>195</v>
      </c>
      <c r="D952" s="129">
        <f t="shared" si="27"/>
        <v>33394.539172533448</v>
      </c>
      <c r="E952" s="128">
        <f t="shared" si="28"/>
        <v>2021</v>
      </c>
      <c r="F952" s="127">
        <f>_xlfn.XLOOKUP(D212,'3. Input (des)investeringen '!$B$11:$B$81,'3. Input (des)investeringen '!$E$11:$E$81)</f>
        <v>0</v>
      </c>
    </row>
    <row r="953" spans="2:6">
      <c r="B953">
        <v>196</v>
      </c>
      <c r="D953" s="129">
        <f t="shared" si="27"/>
        <v>90699.603627050601</v>
      </c>
      <c r="E953" s="128">
        <f t="shared" si="28"/>
        <v>2021</v>
      </c>
      <c r="F953" s="127">
        <f>_xlfn.XLOOKUP(D213,'3. Input (des)investeringen '!$B$11:$B$81,'3. Input (des)investeringen '!$E$11:$E$81)</f>
        <v>0</v>
      </c>
    </row>
    <row r="954" spans="2:6">
      <c r="B954">
        <v>197</v>
      </c>
      <c r="D954" s="129">
        <f t="shared" si="27"/>
        <v>52450.485618818253</v>
      </c>
      <c r="E954" s="128">
        <f t="shared" si="28"/>
        <v>2021</v>
      </c>
      <c r="F954" s="127">
        <f>_xlfn.XLOOKUP(D214,'3. Input (des)investeringen '!$B$11:$B$81,'3. Input (des)investeringen '!$E$11:$E$81)</f>
        <v>0</v>
      </c>
    </row>
    <row r="955" spans="2:6">
      <c r="B955">
        <v>198</v>
      </c>
      <c r="D955" s="129">
        <f t="shared" si="27"/>
        <v>97120.363411276601</v>
      </c>
      <c r="E955" s="128">
        <f t="shared" si="28"/>
        <v>2021</v>
      </c>
      <c r="F955" s="127">
        <f>_xlfn.XLOOKUP(D215,'3. Input (des)investeringen '!$B$11:$B$81,'3. Input (des)investeringen '!$E$11:$E$81)</f>
        <v>0</v>
      </c>
    </row>
    <row r="956" spans="2:6">
      <c r="B956">
        <v>199</v>
      </c>
      <c r="D956" s="129">
        <f t="shared" si="27"/>
        <v>35812.951397548226</v>
      </c>
      <c r="E956" s="128">
        <f t="shared" si="28"/>
        <v>2021</v>
      </c>
      <c r="F956" s="127">
        <f>_xlfn.XLOOKUP(D216,'3. Input (des)investeringen '!$B$11:$B$81,'3. Input (des)investeringen '!$E$11:$E$81)</f>
        <v>1</v>
      </c>
    </row>
    <row r="957" spans="2:6">
      <c r="B957">
        <v>200</v>
      </c>
      <c r="D957" s="129">
        <f t="shared" si="27"/>
        <v>7395.676945150738</v>
      </c>
      <c r="E957" s="128">
        <f t="shared" si="28"/>
        <v>2021</v>
      </c>
      <c r="F957" s="127">
        <f>_xlfn.XLOOKUP(D217,'3. Input (des)investeringen '!$B$11:$B$81,'3. Input (des)investeringen '!$E$11:$E$81)</f>
        <v>1</v>
      </c>
    </row>
    <row r="958" spans="2:6">
      <c r="B958">
        <v>201</v>
      </c>
      <c r="D958" s="129">
        <f t="shared" si="27"/>
        <v>9234.2532207256827</v>
      </c>
      <c r="E958" s="128">
        <f t="shared" si="28"/>
        <v>2021</v>
      </c>
      <c r="F958" s="127">
        <f>_xlfn.XLOOKUP(D218,'3. Input (des)investeringen '!$B$11:$B$81,'3. Input (des)investeringen '!$E$11:$E$81)</f>
        <v>1</v>
      </c>
    </row>
    <row r="959" spans="2:6">
      <c r="B959">
        <v>202</v>
      </c>
      <c r="D959" s="129">
        <f t="shared" si="27"/>
        <v>38374.048222204416</v>
      </c>
      <c r="E959" s="128">
        <f t="shared" si="28"/>
        <v>2021</v>
      </c>
      <c r="F959" s="127">
        <f>_xlfn.XLOOKUP(D219,'3. Input (des)investeringen '!$B$11:$B$81,'3. Input (des)investeringen '!$E$11:$E$81)</f>
        <v>1</v>
      </c>
    </row>
    <row r="960" spans="2:6">
      <c r="B960">
        <v>203</v>
      </c>
      <c r="D960" s="129">
        <f t="shared" si="27"/>
        <v>54618.312856535376</v>
      </c>
      <c r="E960" s="128">
        <f t="shared" si="28"/>
        <v>2021</v>
      </c>
      <c r="F960" s="127">
        <f>_xlfn.XLOOKUP(D220,'3. Input (des)investeringen '!$B$11:$B$81,'3. Input (des)investeringen '!$E$11:$E$81)</f>
        <v>1</v>
      </c>
    </row>
    <row r="961" spans="2:6">
      <c r="B961">
        <v>204</v>
      </c>
      <c r="D961" s="129">
        <f t="shared" si="27"/>
        <v>32933.043087597522</v>
      </c>
      <c r="E961" s="128">
        <f t="shared" si="28"/>
        <v>2021</v>
      </c>
      <c r="F961" s="127">
        <f>_xlfn.XLOOKUP(D221,'3. Input (des)investeringen '!$B$11:$B$81,'3. Input (des)investeringen '!$E$11:$E$81)</f>
        <v>1</v>
      </c>
    </row>
    <row r="962" spans="2:6">
      <c r="B962">
        <v>205</v>
      </c>
      <c r="D962" s="129">
        <f t="shared" si="27"/>
        <v>15991.4120397446</v>
      </c>
      <c r="E962" s="128">
        <f t="shared" si="28"/>
        <v>2021</v>
      </c>
      <c r="F962" s="127">
        <f>_xlfn.XLOOKUP(D222,'3. Input (des)investeringen '!$B$11:$B$81,'3. Input (des)investeringen '!$E$11:$E$81)</f>
        <v>1</v>
      </c>
    </row>
    <row r="963" spans="2:6">
      <c r="B963">
        <v>206</v>
      </c>
      <c r="D963" s="129">
        <f t="shared" si="27"/>
        <v>385081.50137901091</v>
      </c>
      <c r="E963" s="128">
        <f t="shared" si="28"/>
        <v>2021</v>
      </c>
      <c r="F963" s="127">
        <f>_xlfn.XLOOKUP(D223,'3. Input (des)investeringen '!$B$11:$B$81,'3. Input (des)investeringen '!$E$11:$E$81)</f>
        <v>1</v>
      </c>
    </row>
    <row r="964" spans="2:6">
      <c r="B964">
        <v>207</v>
      </c>
      <c r="D964" s="129">
        <f t="shared" si="27"/>
        <v>240431.96093370012</v>
      </c>
      <c r="E964" s="128">
        <f t="shared" si="28"/>
        <v>2021</v>
      </c>
      <c r="F964" s="127">
        <f>_xlfn.XLOOKUP(D224,'3. Input (des)investeringen '!$B$11:$B$81,'3. Input (des)investeringen '!$E$11:$E$81)</f>
        <v>1</v>
      </c>
    </row>
    <row r="965" spans="2:6">
      <c r="B965">
        <v>208</v>
      </c>
      <c r="D965" s="129">
        <f t="shared" si="27"/>
        <v>1009696.3117501126</v>
      </c>
      <c r="E965" s="128">
        <f t="shared" si="28"/>
        <v>2021</v>
      </c>
      <c r="F965" s="127">
        <f>_xlfn.XLOOKUP(D225,'3. Input (des)investeringen '!$B$11:$B$81,'3. Input (des)investeringen '!$E$11:$E$81)</f>
        <v>1</v>
      </c>
    </row>
    <row r="966" spans="2:6">
      <c r="B966">
        <v>209</v>
      </c>
      <c r="D966" s="129">
        <f t="shared" si="27"/>
        <v>150181.49791814786</v>
      </c>
      <c r="E966" s="128">
        <f t="shared" si="28"/>
        <v>2021</v>
      </c>
      <c r="F966" s="127">
        <f>_xlfn.XLOOKUP(D226,'3. Input (des)investeringen '!$B$11:$B$81,'3. Input (des)investeringen '!$E$11:$E$81)</f>
        <v>1</v>
      </c>
    </row>
    <row r="967" spans="2:6">
      <c r="B967">
        <v>210</v>
      </c>
      <c r="D967" s="129">
        <f t="shared" si="27"/>
        <v>142565.19188129232</v>
      </c>
      <c r="E967" s="128">
        <f t="shared" si="28"/>
        <v>2021</v>
      </c>
      <c r="F967" s="127">
        <f>_xlfn.XLOOKUP(D227,'3. Input (des)investeringen '!$B$11:$B$81,'3. Input (des)investeringen '!$E$11:$E$81)</f>
        <v>1</v>
      </c>
    </row>
    <row r="968" spans="2:6">
      <c r="B968">
        <v>211</v>
      </c>
      <c r="D968" s="129">
        <f t="shared" si="27"/>
        <v>165452.03127582563</v>
      </c>
      <c r="E968" s="128">
        <f t="shared" si="28"/>
        <v>2021</v>
      </c>
      <c r="F968" s="127">
        <f>_xlfn.XLOOKUP(D228,'3. Input (des)investeringen '!$B$11:$B$81,'3. Input (des)investeringen '!$E$11:$E$81)</f>
        <v>1</v>
      </c>
    </row>
    <row r="969" spans="2:6">
      <c r="B969">
        <v>212</v>
      </c>
      <c r="D969" s="129">
        <f t="shared" si="27"/>
        <v>58464.304990344099</v>
      </c>
      <c r="E969" s="128">
        <f t="shared" si="28"/>
        <v>2021</v>
      </c>
      <c r="F969" s="127">
        <f>_xlfn.XLOOKUP(D229,'3. Input (des)investeringen '!$B$11:$B$81,'3. Input (des)investeringen '!$E$11:$E$81)</f>
        <v>1</v>
      </c>
    </row>
    <row r="970" spans="2:6">
      <c r="B970">
        <v>213</v>
      </c>
      <c r="D970" s="129">
        <f t="shared" si="27"/>
        <v>280032.44418820832</v>
      </c>
      <c r="E970" s="128">
        <f t="shared" si="28"/>
        <v>2021</v>
      </c>
      <c r="F970" s="127">
        <f>_xlfn.XLOOKUP(D230,'3. Input (des)investeringen '!$B$11:$B$81,'3. Input (des)investeringen '!$E$11:$E$81)</f>
        <v>1</v>
      </c>
    </row>
    <row r="971" spans="2:6">
      <c r="B971">
        <v>214</v>
      </c>
      <c r="D971" s="129">
        <f t="shared" si="27"/>
        <v>148341.65621620402</v>
      </c>
      <c r="E971" s="128">
        <f t="shared" si="28"/>
        <v>2021</v>
      </c>
      <c r="F971" s="127">
        <f>_xlfn.XLOOKUP(D231,'3. Input (des)investeringen '!$B$11:$B$81,'3. Input (des)investeringen '!$E$11:$E$81)</f>
        <v>1</v>
      </c>
    </row>
    <row r="972" spans="2:6">
      <c r="B972">
        <v>215</v>
      </c>
      <c r="D972" s="129">
        <f t="shared" si="27"/>
        <v>44049.749833951413</v>
      </c>
      <c r="E972" s="128">
        <f t="shared" si="28"/>
        <v>2021</v>
      </c>
      <c r="F972" s="127">
        <f>_xlfn.XLOOKUP(D232,'3. Input (des)investeringen '!$B$11:$B$81,'3. Input (des)investeringen '!$E$11:$E$81)</f>
        <v>1</v>
      </c>
    </row>
    <row r="973" spans="2:6">
      <c r="B973">
        <v>216</v>
      </c>
      <c r="D973" s="129">
        <f t="shared" si="27"/>
        <v>20139.757063131787</v>
      </c>
      <c r="E973" s="128">
        <f t="shared" si="28"/>
        <v>2021</v>
      </c>
      <c r="F973" s="127">
        <f>_xlfn.XLOOKUP(D233,'3. Input (des)investeringen '!$B$11:$B$81,'3. Input (des)investeringen '!$E$11:$E$81)</f>
        <v>1</v>
      </c>
    </row>
    <row r="974" spans="2:6">
      <c r="B974">
        <v>217</v>
      </c>
      <c r="D974" s="129">
        <f t="shared" si="27"/>
        <v>189844.78929481862</v>
      </c>
      <c r="E974" s="128">
        <f t="shared" si="28"/>
        <v>2021</v>
      </c>
      <c r="F974" s="127">
        <f>_xlfn.XLOOKUP(D234,'3. Input (des)investeringen '!$B$11:$B$81,'3. Input (des)investeringen '!$E$11:$E$81)</f>
        <v>1</v>
      </c>
    </row>
    <row r="975" spans="2:6">
      <c r="B975">
        <v>218</v>
      </c>
      <c r="D975" s="129">
        <f t="shared" si="27"/>
        <v>104010926.97902162</v>
      </c>
      <c r="E975" s="128">
        <f t="shared" si="28"/>
        <v>2021</v>
      </c>
      <c r="F975" s="127">
        <f>_xlfn.XLOOKUP(D235,'3. Input (des)investeringen '!$B$11:$B$81,'3. Input (des)investeringen '!$E$11:$E$81)</f>
        <v>0</v>
      </c>
    </row>
    <row r="976" spans="2:6">
      <c r="B976">
        <v>219</v>
      </c>
      <c r="D976" s="129">
        <f t="shared" si="27"/>
        <v>116891.95984626604</v>
      </c>
      <c r="E976" s="128">
        <f t="shared" si="28"/>
        <v>2021</v>
      </c>
      <c r="F976" s="127">
        <f>_xlfn.XLOOKUP(D236,'3. Input (des)investeringen '!$B$11:$B$81,'3. Input (des)investeringen '!$E$11:$E$81)</f>
        <v>0</v>
      </c>
    </row>
    <row r="977" spans="2:6">
      <c r="B977">
        <v>220</v>
      </c>
      <c r="D977" s="129">
        <f t="shared" si="27"/>
        <v>911799.99730978173</v>
      </c>
      <c r="E977" s="128">
        <f t="shared" si="28"/>
        <v>2021</v>
      </c>
      <c r="F977" s="127">
        <f>_xlfn.XLOOKUP(D237,'3. Input (des)investeringen '!$B$11:$B$81,'3. Input (des)investeringen '!$E$11:$E$81)</f>
        <v>0</v>
      </c>
    </row>
    <row r="978" spans="2:6">
      <c r="B978">
        <v>221</v>
      </c>
      <c r="D978" s="129">
        <f t="shared" si="27"/>
        <v>170454.15687331129</v>
      </c>
      <c r="E978" s="128">
        <f t="shared" si="28"/>
        <v>2021</v>
      </c>
      <c r="F978" s="127">
        <f>_xlfn.XLOOKUP(D238,'3. Input (des)investeringen '!$B$11:$B$81,'3. Input (des)investeringen '!$E$11:$E$81)</f>
        <v>0</v>
      </c>
    </row>
    <row r="979" spans="2:6">
      <c r="B979">
        <v>222</v>
      </c>
      <c r="D979" s="129">
        <f t="shared" si="27"/>
        <v>369982.18838464137</v>
      </c>
      <c r="E979" s="128">
        <f t="shared" si="28"/>
        <v>2021</v>
      </c>
      <c r="F979" s="127">
        <f>_xlfn.XLOOKUP(D239,'3. Input (des)investeringen '!$B$11:$B$81,'3. Input (des)investeringen '!$E$11:$E$81)</f>
        <v>0</v>
      </c>
    </row>
    <row r="980" spans="2:6">
      <c r="B980">
        <v>223</v>
      </c>
      <c r="D980" s="129">
        <f t="shared" si="27"/>
        <v>522874.68696638738</v>
      </c>
      <c r="E980" s="128">
        <f t="shared" si="28"/>
        <v>2021</v>
      </c>
      <c r="F980" s="127">
        <f>_xlfn.XLOOKUP(D240,'3. Input (des)investeringen '!$B$11:$B$81,'3. Input (des)investeringen '!$E$11:$E$81)</f>
        <v>0</v>
      </c>
    </row>
    <row r="981" spans="2:6">
      <c r="B981">
        <v>224</v>
      </c>
      <c r="D981" s="129">
        <f t="shared" si="27"/>
        <v>8992226.8388336189</v>
      </c>
      <c r="E981" s="128">
        <f t="shared" si="28"/>
        <v>2021</v>
      </c>
      <c r="F981" s="127">
        <f>_xlfn.XLOOKUP(D241,'3. Input (des)investeringen '!$B$11:$B$81,'3. Input (des)investeringen '!$E$11:$E$81)</f>
        <v>0</v>
      </c>
    </row>
    <row r="982" spans="2:6">
      <c r="B982">
        <v>225</v>
      </c>
      <c r="D982" s="129">
        <f t="shared" si="27"/>
        <v>1248165.1609976974</v>
      </c>
      <c r="E982" s="128">
        <f t="shared" si="28"/>
        <v>2021</v>
      </c>
      <c r="F982" s="127">
        <f>_xlfn.XLOOKUP(D242,'3. Input (des)investeringen '!$B$11:$B$81,'3. Input (des)investeringen '!$E$11:$E$81)</f>
        <v>0</v>
      </c>
    </row>
    <row r="983" spans="2:6">
      <c r="B983">
        <v>226</v>
      </c>
      <c r="D983" s="129">
        <f t="shared" si="27"/>
        <v>65321.486835707648</v>
      </c>
      <c r="E983" s="128">
        <f t="shared" si="28"/>
        <v>2021</v>
      </c>
      <c r="F983" s="127">
        <f>_xlfn.XLOOKUP(D243,'3. Input (des)investeringen '!$B$11:$B$81,'3. Input (des)investeringen '!$E$11:$E$81)</f>
        <v>0</v>
      </c>
    </row>
    <row r="984" spans="2:6">
      <c r="B984">
        <v>227</v>
      </c>
      <c r="D984" s="129">
        <f t="shared" si="27"/>
        <v>4156569.4731986006</v>
      </c>
      <c r="E984" s="128">
        <f t="shared" si="28"/>
        <v>2021</v>
      </c>
      <c r="F984" s="127">
        <f>_xlfn.XLOOKUP(D244,'3. Input (des)investeringen '!$B$11:$B$81,'3. Input (des)investeringen '!$E$11:$E$81)</f>
        <v>0</v>
      </c>
    </row>
    <row r="985" spans="2:6">
      <c r="B985">
        <v>228</v>
      </c>
      <c r="D985" s="129">
        <f t="shared" si="27"/>
        <v>4146788.7842293433</v>
      </c>
      <c r="E985" s="128">
        <f t="shared" si="28"/>
        <v>2021</v>
      </c>
      <c r="F985" s="127">
        <f>_xlfn.XLOOKUP(D245,'3. Input (des)investeringen '!$B$11:$B$81,'3. Input (des)investeringen '!$E$11:$E$81)</f>
        <v>0</v>
      </c>
    </row>
    <row r="986" spans="2:6">
      <c r="B986">
        <v>229</v>
      </c>
      <c r="D986" s="129">
        <f t="shared" si="27"/>
        <v>-230531.07145305187</v>
      </c>
      <c r="E986" s="128">
        <f t="shared" si="28"/>
        <v>2021</v>
      </c>
      <c r="F986" s="127">
        <f>_xlfn.XLOOKUP(D246,'3. Input (des)investeringen '!$B$11:$B$81,'3. Input (des)investeringen '!$E$11:$E$81)</f>
        <v>0</v>
      </c>
    </row>
    <row r="987" spans="2:6">
      <c r="B987">
        <v>230</v>
      </c>
      <c r="D987" s="129">
        <f t="shared" si="27"/>
        <v>1523751.932813362</v>
      </c>
      <c r="E987" s="128">
        <f t="shared" si="28"/>
        <v>2021</v>
      </c>
      <c r="F987" s="127">
        <f>_xlfn.XLOOKUP(D247,'3. Input (des)investeringen '!$B$11:$B$81,'3. Input (des)investeringen '!$E$11:$E$81)</f>
        <v>0</v>
      </c>
    </row>
    <row r="988" spans="2:6">
      <c r="B988">
        <v>231</v>
      </c>
      <c r="D988" s="129">
        <f t="shared" si="27"/>
        <v>1297007.6448952188</v>
      </c>
      <c r="E988" s="128">
        <f t="shared" si="28"/>
        <v>2021</v>
      </c>
      <c r="F988" s="127">
        <f>_xlfn.XLOOKUP(D248,'3. Input (des)investeringen '!$B$11:$B$81,'3. Input (des)investeringen '!$E$11:$E$81)</f>
        <v>0</v>
      </c>
    </row>
    <row r="989" spans="2:6">
      <c r="B989">
        <v>232</v>
      </c>
      <c r="D989" s="129">
        <f t="shared" si="27"/>
        <v>4783603.0620347345</v>
      </c>
      <c r="E989" s="128">
        <f t="shared" si="28"/>
        <v>2021</v>
      </c>
      <c r="F989" s="127">
        <f>_xlfn.XLOOKUP(D249,'3. Input (des)investeringen '!$B$11:$B$81,'3. Input (des)investeringen '!$E$11:$E$81)</f>
        <v>0</v>
      </c>
    </row>
    <row r="990" spans="2:6">
      <c r="B990">
        <v>233</v>
      </c>
      <c r="D990" s="129">
        <f t="shared" si="27"/>
        <v>12349.860653952734</v>
      </c>
      <c r="E990" s="128">
        <f t="shared" si="28"/>
        <v>2021</v>
      </c>
      <c r="F990" s="127">
        <f>_xlfn.XLOOKUP(D250,'3. Input (des)investeringen '!$B$11:$B$81,'3. Input (des)investeringen '!$E$11:$E$81)</f>
        <v>0</v>
      </c>
    </row>
    <row r="991" spans="2:6">
      <c r="B991">
        <v>234</v>
      </c>
      <c r="D991" s="129">
        <f t="shared" si="27"/>
        <v>114981.28949244491</v>
      </c>
      <c r="E991" s="128">
        <f t="shared" si="28"/>
        <v>2021</v>
      </c>
      <c r="F991" s="127">
        <f>_xlfn.XLOOKUP(D251,'3. Input (des)investeringen '!$B$11:$B$81,'3. Input (des)investeringen '!$E$11:$E$81)</f>
        <v>0</v>
      </c>
    </row>
    <row r="992" spans="2:6">
      <c r="B992">
        <v>235</v>
      </c>
      <c r="D992" s="129">
        <f t="shared" si="27"/>
        <v>19331.1200477034</v>
      </c>
      <c r="E992" s="128">
        <f t="shared" si="28"/>
        <v>2021</v>
      </c>
      <c r="F992" s="127">
        <f>_xlfn.XLOOKUP(D252,'3. Input (des)investeringen '!$B$11:$B$81,'3. Input (des)investeringen '!$E$11:$E$81)</f>
        <v>0</v>
      </c>
    </row>
    <row r="993" spans="2:6">
      <c r="B993">
        <v>236</v>
      </c>
      <c r="D993" s="129">
        <f t="shared" si="27"/>
        <v>20851.224859054288</v>
      </c>
      <c r="E993" s="128">
        <f t="shared" si="28"/>
        <v>2021</v>
      </c>
      <c r="F993" s="127">
        <f>_xlfn.XLOOKUP(D253,'3. Input (des)investeringen '!$B$11:$B$81,'3. Input (des)investeringen '!$E$11:$E$81)</f>
        <v>0</v>
      </c>
    </row>
    <row r="994" spans="2:6">
      <c r="B994">
        <v>237</v>
      </c>
      <c r="D994" s="129">
        <f t="shared" si="27"/>
        <v>1765293.8649986126</v>
      </c>
      <c r="E994" s="128">
        <f t="shared" si="28"/>
        <v>2021</v>
      </c>
      <c r="F994" s="127">
        <f>_xlfn.XLOOKUP(D254,'3. Input (des)investeringen '!$B$11:$B$81,'3. Input (des)investeringen '!$E$11:$E$81)</f>
        <v>0</v>
      </c>
    </row>
    <row r="995" spans="2:6">
      <c r="B995">
        <v>238</v>
      </c>
      <c r="D995" s="129">
        <f t="shared" si="27"/>
        <v>285321.61534912506</v>
      </c>
      <c r="E995" s="128">
        <f t="shared" si="28"/>
        <v>2021</v>
      </c>
      <c r="F995" s="127">
        <f>_xlfn.XLOOKUP(D255,'3. Input (des)investeringen '!$B$11:$B$81,'3. Input (des)investeringen '!$E$11:$E$81)</f>
        <v>0</v>
      </c>
    </row>
    <row r="996" spans="2:6">
      <c r="B996">
        <v>239</v>
      </c>
      <c r="D996" s="129">
        <f t="shared" si="27"/>
        <v>149378.05172204439</v>
      </c>
      <c r="E996" s="128">
        <f t="shared" si="28"/>
        <v>2021</v>
      </c>
      <c r="F996" s="127">
        <f>_xlfn.XLOOKUP(D256,'3. Input (des)investeringen '!$B$11:$B$81,'3. Input (des)investeringen '!$E$11:$E$81)</f>
        <v>0</v>
      </c>
    </row>
    <row r="997" spans="2:6">
      <c r="B997">
        <v>240</v>
      </c>
      <c r="D997" s="129">
        <f t="shared" si="27"/>
        <v>243984.22373602603</v>
      </c>
      <c r="E997" s="128">
        <f t="shared" si="28"/>
        <v>2021</v>
      </c>
      <c r="F997" s="127">
        <f>_xlfn.XLOOKUP(D257,'3. Input (des)investeringen '!$B$11:$B$81,'3. Input (des)investeringen '!$E$11:$E$81)</f>
        <v>0</v>
      </c>
    </row>
    <row r="998" spans="2:6">
      <c r="B998">
        <v>241</v>
      </c>
      <c r="D998" s="129">
        <f t="shared" si="27"/>
        <v>104610.26629596196</v>
      </c>
      <c r="E998" s="128">
        <f t="shared" si="28"/>
        <v>2021</v>
      </c>
      <c r="F998" s="127">
        <f>_xlfn.XLOOKUP(D258,'3. Input (des)investeringen '!$B$11:$B$81,'3. Input (des)investeringen '!$E$11:$E$81)</f>
        <v>0</v>
      </c>
    </row>
    <row r="999" spans="2:6">
      <c r="B999">
        <v>242</v>
      </c>
      <c r="D999" s="129">
        <f t="shared" si="27"/>
        <v>195391.21351023228</v>
      </c>
      <c r="E999" s="128">
        <f t="shared" si="28"/>
        <v>2021</v>
      </c>
      <c r="F999" s="127">
        <f>_xlfn.XLOOKUP(D259,'3. Input (des)investeringen '!$B$11:$B$81,'3. Input (des)investeringen '!$E$11:$E$81)</f>
        <v>0</v>
      </c>
    </row>
    <row r="1000" spans="2:6">
      <c r="B1000">
        <v>243</v>
      </c>
      <c r="D1000" s="129">
        <f t="shared" si="27"/>
        <v>163915.44571076255</v>
      </c>
      <c r="E1000" s="128">
        <f t="shared" si="28"/>
        <v>2021</v>
      </c>
      <c r="F1000" s="127">
        <f>_xlfn.XLOOKUP(D260,'3. Input (des)investeringen '!$B$11:$B$81,'3. Input (des)investeringen '!$E$11:$E$81)</f>
        <v>0</v>
      </c>
    </row>
    <row r="1001" spans="2:6">
      <c r="B1001">
        <v>244</v>
      </c>
      <c r="D1001" s="129">
        <f t="shared" si="27"/>
        <v>32969.87889546567</v>
      </c>
      <c r="E1001" s="128">
        <f t="shared" si="28"/>
        <v>2021</v>
      </c>
      <c r="F1001" s="127">
        <f>_xlfn.XLOOKUP(D261,'3. Input (des)investeringen '!$B$11:$B$81,'3. Input (des)investeringen '!$E$11:$E$81)</f>
        <v>0</v>
      </c>
    </row>
    <row r="1002" spans="2:6">
      <c r="B1002">
        <v>245</v>
      </c>
      <c r="D1002" s="129">
        <f t="shared" si="27"/>
        <v>480037.33780433988</v>
      </c>
      <c r="E1002" s="128">
        <f t="shared" si="28"/>
        <v>2021</v>
      </c>
      <c r="F1002" s="127">
        <f>_xlfn.XLOOKUP(D262,'3. Input (des)investeringen '!$B$11:$B$81,'3. Input (des)investeringen '!$E$11:$E$81)</f>
        <v>0</v>
      </c>
    </row>
    <row r="1003" spans="2:6">
      <c r="B1003">
        <v>246</v>
      </c>
      <c r="D1003" s="129">
        <f t="shared" si="27"/>
        <v>39584.037201071034</v>
      </c>
      <c r="E1003" s="128">
        <f t="shared" si="28"/>
        <v>2021</v>
      </c>
      <c r="F1003" s="127">
        <f>_xlfn.XLOOKUP(D263,'3. Input (des)investeringen '!$B$11:$B$81,'3. Input (des)investeringen '!$E$11:$E$81)</f>
        <v>0</v>
      </c>
    </row>
    <row r="1004" spans="2:6">
      <c r="B1004">
        <v>247</v>
      </c>
      <c r="D1004" s="129">
        <f t="shared" si="27"/>
        <v>130083.06844424587</v>
      </c>
      <c r="E1004" s="128">
        <f t="shared" si="28"/>
        <v>2021</v>
      </c>
      <c r="F1004" s="127">
        <f>_xlfn.XLOOKUP(D264,'3. Input (des)investeringen '!$B$11:$B$81,'3. Input (des)investeringen '!$E$11:$E$81)</f>
        <v>0</v>
      </c>
    </row>
    <row r="1005" spans="2:6">
      <c r="B1005">
        <v>248</v>
      </c>
      <c r="D1005" s="129">
        <f t="shared" si="27"/>
        <v>93719.44025903086</v>
      </c>
      <c r="E1005" s="128">
        <f t="shared" si="28"/>
        <v>2021</v>
      </c>
      <c r="F1005" s="127">
        <f>_xlfn.XLOOKUP(D265,'3. Input (des)investeringen '!$B$11:$B$81,'3. Input (des)investeringen '!$E$11:$E$81)</f>
        <v>0</v>
      </c>
    </row>
    <row r="1006" spans="2:6">
      <c r="B1006">
        <v>249</v>
      </c>
      <c r="D1006" s="129">
        <f t="shared" si="27"/>
        <v>935644.29138639243</v>
      </c>
      <c r="E1006" s="128">
        <f t="shared" si="28"/>
        <v>2021</v>
      </c>
      <c r="F1006" s="127">
        <f>_xlfn.XLOOKUP(D266,'3. Input (des)investeringen '!$B$11:$B$81,'3. Input (des)investeringen '!$E$11:$E$81)</f>
        <v>0</v>
      </c>
    </row>
    <row r="1007" spans="2:6">
      <c r="B1007">
        <v>250</v>
      </c>
      <c r="D1007" s="129">
        <f t="shared" si="27"/>
        <v>335934.63931652613</v>
      </c>
      <c r="E1007" s="128">
        <f t="shared" si="28"/>
        <v>2021</v>
      </c>
      <c r="F1007" s="127">
        <f>_xlfn.XLOOKUP(D267,'3. Input (des)investeringen '!$B$11:$B$81,'3. Input (des)investeringen '!$E$11:$E$81)</f>
        <v>0</v>
      </c>
    </row>
    <row r="1008" spans="2:6">
      <c r="B1008">
        <v>251</v>
      </c>
      <c r="D1008" s="129">
        <f t="shared" si="27"/>
        <v>490147.87998982042</v>
      </c>
      <c r="E1008" s="128">
        <f t="shared" si="28"/>
        <v>2021</v>
      </c>
      <c r="F1008" s="127">
        <f>_xlfn.XLOOKUP(D268,'3. Input (des)investeringen '!$B$11:$B$81,'3. Input (des)investeringen '!$E$11:$E$81)</f>
        <v>0</v>
      </c>
    </row>
    <row r="1009" spans="2:6">
      <c r="B1009">
        <v>252</v>
      </c>
      <c r="D1009" s="129">
        <f t="shared" si="27"/>
        <v>13148.18159183512</v>
      </c>
      <c r="E1009" s="128">
        <f t="shared" si="28"/>
        <v>2021</v>
      </c>
      <c r="F1009" s="127">
        <f>_xlfn.XLOOKUP(D269,'3. Input (des)investeringen '!$B$11:$B$81,'3. Input (des)investeringen '!$E$11:$E$81)</f>
        <v>1</v>
      </c>
    </row>
    <row r="1010" spans="2:6">
      <c r="B1010">
        <v>253</v>
      </c>
      <c r="D1010" s="129">
        <f t="shared" si="27"/>
        <v>2198.8097783725052</v>
      </c>
      <c r="E1010" s="128">
        <f t="shared" si="28"/>
        <v>2021</v>
      </c>
      <c r="F1010" s="127">
        <f>_xlfn.XLOOKUP(D270,'3. Input (des)investeringen '!$B$11:$B$81,'3. Input (des)investeringen '!$E$11:$E$81)</f>
        <v>1</v>
      </c>
    </row>
    <row r="1011" spans="2:6">
      <c r="B1011">
        <v>254</v>
      </c>
      <c r="D1011" s="129">
        <f t="shared" si="27"/>
        <v>969.85938554552843</v>
      </c>
      <c r="E1011" s="128">
        <f t="shared" si="28"/>
        <v>2021</v>
      </c>
      <c r="F1011" s="127">
        <f>_xlfn.XLOOKUP(D271,'3. Input (des)investeringen '!$B$11:$B$81,'3. Input (des)investeringen '!$E$11:$E$81)</f>
        <v>1</v>
      </c>
    </row>
    <row r="1012" spans="2:6">
      <c r="B1012">
        <v>255</v>
      </c>
      <c r="D1012" s="129">
        <f t="shared" si="27"/>
        <v>59918.898744918304</v>
      </c>
      <c r="E1012" s="128">
        <f t="shared" si="28"/>
        <v>2021</v>
      </c>
      <c r="F1012" s="127">
        <f>_xlfn.XLOOKUP(D272,'3. Input (des)investeringen '!$B$11:$B$81,'3. Input (des)investeringen '!$E$11:$E$81)</f>
        <v>1</v>
      </c>
    </row>
    <row r="1013" spans="2:6">
      <c r="B1013">
        <v>256</v>
      </c>
      <c r="D1013" s="129">
        <f t="shared" si="27"/>
        <v>2839.9947986221796</v>
      </c>
      <c r="E1013" s="128">
        <f t="shared" si="28"/>
        <v>2021</v>
      </c>
      <c r="F1013" s="127">
        <f>_xlfn.XLOOKUP(D273,'3. Input (des)investeringen '!$B$11:$B$81,'3. Input (des)investeringen '!$E$11:$E$81)</f>
        <v>1</v>
      </c>
    </row>
    <row r="1014" spans="2:6">
      <c r="B1014">
        <v>257</v>
      </c>
      <c r="D1014" s="129">
        <f t="shared" ref="D1014:D1077" si="29">F274*INDEX($E$673:$CG$753,E274-1945,G274-1945)</f>
        <v>637836.07775882166</v>
      </c>
      <c r="E1014" s="128">
        <f t="shared" ref="E1014:E1077" si="30">G274</f>
        <v>2021</v>
      </c>
      <c r="F1014" s="127">
        <f>_xlfn.XLOOKUP(D274,'3. Input (des)investeringen '!$B$11:$B$81,'3. Input (des)investeringen '!$E$11:$E$81)</f>
        <v>1</v>
      </c>
    </row>
    <row r="1015" spans="2:6">
      <c r="B1015">
        <v>258</v>
      </c>
      <c r="D1015" s="129">
        <f t="shared" si="29"/>
        <v>64198.222918813022</v>
      </c>
      <c r="E1015" s="128">
        <f t="shared" si="30"/>
        <v>2021</v>
      </c>
      <c r="F1015" s="127">
        <f>_xlfn.XLOOKUP(D275,'3. Input (des)investeringen '!$B$11:$B$81,'3. Input (des)investeringen '!$E$11:$E$81)</f>
        <v>1</v>
      </c>
    </row>
    <row r="1016" spans="2:6">
      <c r="B1016">
        <v>259</v>
      </c>
      <c r="D1016" s="129">
        <f t="shared" si="29"/>
        <v>13522.842733938553</v>
      </c>
      <c r="E1016" s="128">
        <f t="shared" si="30"/>
        <v>2021</v>
      </c>
      <c r="F1016" s="127">
        <f>_xlfn.XLOOKUP(D276,'3. Input (des)investeringen '!$B$11:$B$81,'3. Input (des)investeringen '!$E$11:$E$81)</f>
        <v>1</v>
      </c>
    </row>
    <row r="1017" spans="2:6">
      <c r="B1017">
        <v>260</v>
      </c>
      <c r="D1017" s="129">
        <f t="shared" si="29"/>
        <v>892.28276518311873</v>
      </c>
      <c r="E1017" s="128">
        <f t="shared" si="30"/>
        <v>2021</v>
      </c>
      <c r="F1017" s="127">
        <f>_xlfn.XLOOKUP(D277,'3. Input (des)investeringen '!$B$11:$B$81,'3. Input (des)investeringen '!$E$11:$E$81)</f>
        <v>1</v>
      </c>
    </row>
    <row r="1018" spans="2:6">
      <c r="B1018">
        <v>261</v>
      </c>
      <c r="D1018" s="129">
        <f t="shared" si="29"/>
        <v>14093.341376277704</v>
      </c>
      <c r="E1018" s="128">
        <f t="shared" si="30"/>
        <v>2021</v>
      </c>
      <c r="F1018" s="127">
        <f>_xlfn.XLOOKUP(D278,'3. Input (des)investeringen '!$B$11:$B$81,'3. Input (des)investeringen '!$E$11:$E$81)</f>
        <v>1</v>
      </c>
    </row>
    <row r="1019" spans="2:6">
      <c r="B1019">
        <v>262</v>
      </c>
      <c r="D1019" s="129">
        <f t="shared" si="29"/>
        <v>15593.002667778068</v>
      </c>
      <c r="E1019" s="128">
        <f t="shared" si="30"/>
        <v>2021</v>
      </c>
      <c r="F1019" s="127">
        <f>_xlfn.XLOOKUP(D279,'3. Input (des)investeringen '!$B$11:$B$81,'3. Input (des)investeringen '!$E$11:$E$81)</f>
        <v>1</v>
      </c>
    </row>
    <row r="1020" spans="2:6">
      <c r="B1020">
        <v>263</v>
      </c>
      <c r="D1020" s="129">
        <f t="shared" si="29"/>
        <v>2163.7971819391896</v>
      </c>
      <c r="E1020" s="128">
        <f t="shared" si="30"/>
        <v>2021</v>
      </c>
      <c r="F1020" s="127">
        <f>_xlfn.XLOOKUP(D280,'3. Input (des)investeringen '!$B$11:$B$81,'3. Input (des)investeringen '!$E$11:$E$81)</f>
        <v>1</v>
      </c>
    </row>
    <row r="1021" spans="2:6">
      <c r="B1021">
        <v>264</v>
      </c>
      <c r="D1021" s="129">
        <f t="shared" si="29"/>
        <v>70198.665179236268</v>
      </c>
      <c r="E1021" s="128">
        <f t="shared" si="30"/>
        <v>2021</v>
      </c>
      <c r="F1021" s="127">
        <f>_xlfn.XLOOKUP(D281,'3. Input (des)investeringen '!$B$11:$B$81,'3. Input (des)investeringen '!$E$11:$E$81)</f>
        <v>1</v>
      </c>
    </row>
    <row r="1022" spans="2:6">
      <c r="B1022">
        <v>265</v>
      </c>
      <c r="D1022" s="129">
        <f t="shared" si="29"/>
        <v>4210.7603497279788</v>
      </c>
      <c r="E1022" s="128">
        <f t="shared" si="30"/>
        <v>2021</v>
      </c>
      <c r="F1022" s="127">
        <f>_xlfn.XLOOKUP(D282,'3. Input (des)investeringen '!$B$11:$B$81,'3. Input (des)investeringen '!$E$11:$E$81)</f>
        <v>1</v>
      </c>
    </row>
    <row r="1023" spans="2:6">
      <c r="B1023">
        <v>266</v>
      </c>
      <c r="D1023" s="129">
        <f t="shared" si="29"/>
        <v>5034.7947985725787</v>
      </c>
      <c r="E1023" s="128">
        <f t="shared" si="30"/>
        <v>2021</v>
      </c>
      <c r="F1023" s="127">
        <f>_xlfn.XLOOKUP(D283,'3. Input (des)investeringen '!$B$11:$B$81,'3. Input (des)investeringen '!$E$11:$E$81)</f>
        <v>1</v>
      </c>
    </row>
    <row r="1024" spans="2:6">
      <c r="B1024">
        <v>267</v>
      </c>
      <c r="D1024" s="129">
        <f t="shared" si="29"/>
        <v>99834.624732352502</v>
      </c>
      <c r="E1024" s="128">
        <f t="shared" si="30"/>
        <v>2021</v>
      </c>
      <c r="F1024" s="127">
        <f>_xlfn.XLOOKUP(D284,'3. Input (des)investeringen '!$B$11:$B$81,'3. Input (des)investeringen '!$E$11:$E$81)</f>
        <v>1</v>
      </c>
    </row>
    <row r="1025" spans="2:6">
      <c r="B1025">
        <v>268</v>
      </c>
      <c r="D1025" s="129">
        <f t="shared" si="29"/>
        <v>6147.3001511106786</v>
      </c>
      <c r="E1025" s="128">
        <f t="shared" si="30"/>
        <v>2021</v>
      </c>
      <c r="F1025" s="127">
        <f>_xlfn.XLOOKUP(D285,'3. Input (des)investeringen '!$B$11:$B$81,'3. Input (des)investeringen '!$E$11:$E$81)</f>
        <v>1</v>
      </c>
    </row>
    <row r="1026" spans="2:6">
      <c r="B1026">
        <v>269</v>
      </c>
      <c r="D1026" s="129">
        <f t="shared" si="29"/>
        <v>10192.952624599267</v>
      </c>
      <c r="E1026" s="128">
        <f t="shared" si="30"/>
        <v>2021</v>
      </c>
      <c r="F1026" s="127">
        <f>_xlfn.XLOOKUP(D286,'3. Input (des)investeringen '!$B$11:$B$81,'3. Input (des)investeringen '!$E$11:$E$81)</f>
        <v>1</v>
      </c>
    </row>
    <row r="1027" spans="2:6">
      <c r="B1027">
        <v>270</v>
      </c>
      <c r="D1027" s="129">
        <f t="shared" si="29"/>
        <v>11818921.881351909</v>
      </c>
      <c r="E1027" s="128">
        <f t="shared" si="30"/>
        <v>2021</v>
      </c>
      <c r="F1027" s="127">
        <f>_xlfn.XLOOKUP(D287,'3. Input (des)investeringen '!$B$11:$B$81,'3. Input (des)investeringen '!$E$11:$E$81)</f>
        <v>1</v>
      </c>
    </row>
    <row r="1028" spans="2:6">
      <c r="B1028">
        <v>271</v>
      </c>
      <c r="D1028" s="129">
        <f t="shared" si="29"/>
        <v>11191.738605549699</v>
      </c>
      <c r="E1028" s="128">
        <f t="shared" si="30"/>
        <v>2021</v>
      </c>
      <c r="F1028" s="127">
        <f>_xlfn.XLOOKUP(D288,'3. Input (des)investeringen '!$B$11:$B$81,'3. Input (des)investeringen '!$E$11:$E$81)</f>
        <v>1</v>
      </c>
    </row>
    <row r="1029" spans="2:6">
      <c r="B1029">
        <v>272</v>
      </c>
      <c r="D1029" s="129">
        <f t="shared" si="29"/>
        <v>4358.6895977904169</v>
      </c>
      <c r="E1029" s="128">
        <f t="shared" si="30"/>
        <v>2021</v>
      </c>
      <c r="F1029" s="127">
        <f>_xlfn.XLOOKUP(D289,'3. Input (des)investeringen '!$B$11:$B$81,'3. Input (des)investeringen '!$E$11:$E$81)</f>
        <v>1</v>
      </c>
    </row>
    <row r="1030" spans="2:6">
      <c r="B1030">
        <v>273</v>
      </c>
      <c r="D1030" s="129">
        <f t="shared" si="29"/>
        <v>4298.2967550578487</v>
      </c>
      <c r="E1030" s="128">
        <f t="shared" si="30"/>
        <v>2021</v>
      </c>
      <c r="F1030" s="127">
        <f>_xlfn.XLOOKUP(D290,'3. Input (des)investeringen '!$B$11:$B$81,'3. Input (des)investeringen '!$E$11:$E$81)</f>
        <v>1</v>
      </c>
    </row>
    <row r="1031" spans="2:6">
      <c r="B1031">
        <v>274</v>
      </c>
      <c r="D1031" s="129">
        <f t="shared" si="29"/>
        <v>392969.28707945748</v>
      </c>
      <c r="E1031" s="128">
        <f t="shared" si="30"/>
        <v>2021</v>
      </c>
      <c r="F1031" s="127">
        <f>_xlfn.XLOOKUP(D291,'3. Input (des)investeringen '!$B$11:$B$81,'3. Input (des)investeringen '!$E$11:$E$81)</f>
        <v>1</v>
      </c>
    </row>
    <row r="1032" spans="2:6">
      <c r="B1032">
        <v>275</v>
      </c>
      <c r="D1032" s="129">
        <f t="shared" si="29"/>
        <v>30500.195074069827</v>
      </c>
      <c r="E1032" s="128">
        <f t="shared" si="30"/>
        <v>2021</v>
      </c>
      <c r="F1032" s="127">
        <f>_xlfn.XLOOKUP(D292,'3. Input (des)investeringen '!$B$11:$B$81,'3. Input (des)investeringen '!$E$11:$E$81)</f>
        <v>1</v>
      </c>
    </row>
    <row r="1033" spans="2:6">
      <c r="B1033">
        <v>276</v>
      </c>
      <c r="D1033" s="129">
        <f t="shared" si="29"/>
        <v>1634.829629192873</v>
      </c>
      <c r="E1033" s="128">
        <f t="shared" si="30"/>
        <v>2021</v>
      </c>
      <c r="F1033" s="127">
        <f>_xlfn.XLOOKUP(D293,'3. Input (des)investeringen '!$B$11:$B$81,'3. Input (des)investeringen '!$E$11:$E$81)</f>
        <v>1</v>
      </c>
    </row>
    <row r="1034" spans="2:6">
      <c r="B1034">
        <v>277</v>
      </c>
      <c r="D1034" s="129">
        <f t="shared" si="29"/>
        <v>3718.1735391030879</v>
      </c>
      <c r="E1034" s="128">
        <f t="shared" si="30"/>
        <v>2021</v>
      </c>
      <c r="F1034" s="127">
        <f>_xlfn.XLOOKUP(D294,'3. Input (des)investeringen '!$B$11:$B$81,'3. Input (des)investeringen '!$E$11:$E$81)</f>
        <v>1</v>
      </c>
    </row>
    <row r="1035" spans="2:6">
      <c r="B1035">
        <v>278</v>
      </c>
      <c r="D1035" s="129">
        <f t="shared" si="29"/>
        <v>3603.5041513126812</v>
      </c>
      <c r="E1035" s="128">
        <f t="shared" si="30"/>
        <v>2021</v>
      </c>
      <c r="F1035" s="127">
        <f>_xlfn.XLOOKUP(D295,'3. Input (des)investeringen '!$B$11:$B$81,'3. Input (des)investeringen '!$E$11:$E$81)</f>
        <v>1</v>
      </c>
    </row>
    <row r="1036" spans="2:6">
      <c r="B1036">
        <v>279</v>
      </c>
      <c r="D1036" s="129">
        <f t="shared" si="29"/>
        <v>41793.8888539033</v>
      </c>
      <c r="E1036" s="128">
        <f t="shared" si="30"/>
        <v>2021</v>
      </c>
      <c r="F1036" s="127">
        <f>_xlfn.XLOOKUP(D296,'3. Input (des)investeringen '!$B$11:$B$81,'3. Input (des)investeringen '!$E$11:$E$81)</f>
        <v>1</v>
      </c>
    </row>
    <row r="1037" spans="2:6">
      <c r="B1037">
        <v>280</v>
      </c>
      <c r="D1037" s="129">
        <f t="shared" si="29"/>
        <v>336.29464010461714</v>
      </c>
      <c r="E1037" s="128">
        <f t="shared" si="30"/>
        <v>2021</v>
      </c>
      <c r="F1037" s="127">
        <f>_xlfn.XLOOKUP(D297,'3. Input (des)investeringen '!$B$11:$B$81,'3. Input (des)investeringen '!$E$11:$E$81)</f>
        <v>1</v>
      </c>
    </row>
    <row r="1038" spans="2:6">
      <c r="B1038">
        <v>281</v>
      </c>
      <c r="D1038" s="129">
        <f t="shared" si="29"/>
        <v>4928.815060077477</v>
      </c>
      <c r="E1038" s="128">
        <f t="shared" si="30"/>
        <v>2021</v>
      </c>
      <c r="F1038" s="127">
        <f>_xlfn.XLOOKUP(D298,'3. Input (des)investeringen '!$B$11:$B$81,'3. Input (des)investeringen '!$E$11:$E$81)</f>
        <v>1</v>
      </c>
    </row>
    <row r="1039" spans="2:6">
      <c r="B1039">
        <v>282</v>
      </c>
      <c r="D1039" s="129">
        <f t="shared" si="29"/>
        <v>10568.050386272796</v>
      </c>
      <c r="E1039" s="128">
        <f t="shared" si="30"/>
        <v>2021</v>
      </c>
      <c r="F1039" s="127">
        <f>_xlfn.XLOOKUP(D299,'3. Input (des)investeringen '!$B$11:$B$81,'3. Input (des)investeringen '!$E$11:$E$81)</f>
        <v>1</v>
      </c>
    </row>
    <row r="1040" spans="2:6">
      <c r="B1040">
        <v>283</v>
      </c>
      <c r="D1040" s="129">
        <f t="shared" si="29"/>
        <v>42378.464875823673</v>
      </c>
      <c r="E1040" s="128">
        <f t="shared" si="30"/>
        <v>2021</v>
      </c>
      <c r="F1040" s="127">
        <f>_xlfn.XLOOKUP(D300,'3. Input (des)investeringen '!$B$11:$B$81,'3. Input (des)investeringen '!$E$11:$E$81)</f>
        <v>1</v>
      </c>
    </row>
    <row r="1041" spans="2:6">
      <c r="B1041">
        <v>284</v>
      </c>
      <c r="D1041" s="129">
        <f t="shared" si="29"/>
        <v>45895.075538151323</v>
      </c>
      <c r="E1041" s="128">
        <f t="shared" si="30"/>
        <v>2021</v>
      </c>
      <c r="F1041" s="127">
        <f>_xlfn.XLOOKUP(D301,'3. Input (des)investeringen '!$B$11:$B$81,'3. Input (des)investeringen '!$E$11:$E$81)</f>
        <v>1</v>
      </c>
    </row>
    <row r="1042" spans="2:6">
      <c r="B1042">
        <v>285</v>
      </c>
      <c r="D1042" s="129">
        <f t="shared" si="29"/>
        <v>1019.0795676930163</v>
      </c>
      <c r="E1042" s="128">
        <f t="shared" si="30"/>
        <v>2021</v>
      </c>
      <c r="F1042" s="127">
        <f>_xlfn.XLOOKUP(D302,'3. Input (des)investeringen '!$B$11:$B$81,'3. Input (des)investeringen '!$E$11:$E$81)</f>
        <v>1</v>
      </c>
    </row>
    <row r="1043" spans="2:6">
      <c r="B1043">
        <v>286</v>
      </c>
      <c r="D1043" s="129">
        <f t="shared" si="29"/>
        <v>2100.2142001328425</v>
      </c>
      <c r="E1043" s="128">
        <f t="shared" si="30"/>
        <v>2021</v>
      </c>
      <c r="F1043" s="127">
        <f>_xlfn.XLOOKUP(D303,'3. Input (des)investeringen '!$B$11:$B$81,'3. Input (des)investeringen '!$E$11:$E$81)</f>
        <v>1</v>
      </c>
    </row>
    <row r="1044" spans="2:6">
      <c r="B1044">
        <v>287</v>
      </c>
      <c r="D1044" s="129">
        <f t="shared" si="29"/>
        <v>366.99055079584537</v>
      </c>
      <c r="E1044" s="128">
        <f t="shared" si="30"/>
        <v>2021</v>
      </c>
      <c r="F1044" s="127">
        <f>_xlfn.XLOOKUP(D304,'3. Input (des)investeringen '!$B$11:$B$81,'3. Input (des)investeringen '!$E$11:$E$81)</f>
        <v>1</v>
      </c>
    </row>
    <row r="1045" spans="2:6">
      <c r="B1045">
        <v>288</v>
      </c>
      <c r="D1045" s="129">
        <f t="shared" si="29"/>
        <v>124607.29559635933</v>
      </c>
      <c r="E1045" s="128">
        <f t="shared" si="30"/>
        <v>2021</v>
      </c>
      <c r="F1045" s="127">
        <f>_xlfn.XLOOKUP(D305,'3. Input (des)investeringen '!$B$11:$B$81,'3. Input (des)investeringen '!$E$11:$E$81)</f>
        <v>1</v>
      </c>
    </row>
    <row r="1046" spans="2:6">
      <c r="B1046">
        <v>289</v>
      </c>
      <c r="D1046" s="129">
        <f t="shared" si="29"/>
        <v>11394.787114572611</v>
      </c>
      <c r="E1046" s="128">
        <f t="shared" si="30"/>
        <v>2021</v>
      </c>
      <c r="F1046" s="127">
        <f>_xlfn.XLOOKUP(D306,'3. Input (des)investeringen '!$B$11:$B$81,'3. Input (des)investeringen '!$E$11:$E$81)</f>
        <v>1</v>
      </c>
    </row>
    <row r="1047" spans="2:6">
      <c r="B1047">
        <v>290</v>
      </c>
      <c r="D1047" s="129">
        <f t="shared" si="29"/>
        <v>25202.921441979426</v>
      </c>
      <c r="E1047" s="128">
        <f t="shared" si="30"/>
        <v>2021</v>
      </c>
      <c r="F1047" s="127">
        <f>_xlfn.XLOOKUP(D307,'3. Input (des)investeringen '!$B$11:$B$81,'3. Input (des)investeringen '!$E$11:$E$81)</f>
        <v>1</v>
      </c>
    </row>
    <row r="1048" spans="2:6">
      <c r="B1048">
        <v>291</v>
      </c>
      <c r="D1048" s="129">
        <f t="shared" si="29"/>
        <v>1593.8026855964886</v>
      </c>
      <c r="E1048" s="128">
        <f t="shared" si="30"/>
        <v>2021</v>
      </c>
      <c r="F1048" s="127">
        <f>_xlfn.XLOOKUP(D308,'3. Input (des)investeringen '!$B$11:$B$81,'3. Input (des)investeringen '!$E$11:$E$81)</f>
        <v>1</v>
      </c>
    </row>
    <row r="1049" spans="2:6">
      <c r="B1049">
        <v>292</v>
      </c>
      <c r="D1049" s="129">
        <f t="shared" si="29"/>
        <v>5358.9077232865529</v>
      </c>
      <c r="E1049" s="128">
        <f t="shared" si="30"/>
        <v>2021</v>
      </c>
      <c r="F1049" s="127">
        <f>_xlfn.XLOOKUP(D309,'3. Input (des)investeringen '!$B$11:$B$81,'3. Input (des)investeringen '!$E$11:$E$81)</f>
        <v>1</v>
      </c>
    </row>
    <row r="1050" spans="2:6">
      <c r="B1050">
        <v>293</v>
      </c>
      <c r="D1050" s="129">
        <f t="shared" si="29"/>
        <v>42724.477449178637</v>
      </c>
      <c r="E1050" s="128">
        <f t="shared" si="30"/>
        <v>2021</v>
      </c>
      <c r="F1050" s="127">
        <f>_xlfn.XLOOKUP(D310,'3. Input (des)investeringen '!$B$11:$B$81,'3. Input (des)investeringen '!$E$11:$E$81)</f>
        <v>1</v>
      </c>
    </row>
    <row r="1051" spans="2:6">
      <c r="B1051">
        <v>294</v>
      </c>
      <c r="D1051" s="129">
        <f t="shared" si="29"/>
        <v>5769.3714682024574</v>
      </c>
      <c r="E1051" s="128">
        <f t="shared" si="30"/>
        <v>2021</v>
      </c>
      <c r="F1051" s="127">
        <f>_xlfn.XLOOKUP(D311,'3. Input (des)investeringen '!$B$11:$B$81,'3. Input (des)investeringen '!$E$11:$E$81)</f>
        <v>1</v>
      </c>
    </row>
    <row r="1052" spans="2:6">
      <c r="B1052">
        <v>295</v>
      </c>
      <c r="D1052" s="129">
        <f t="shared" si="29"/>
        <v>32593.798813292055</v>
      </c>
      <c r="E1052" s="128">
        <f t="shared" si="30"/>
        <v>2021</v>
      </c>
      <c r="F1052" s="127">
        <f>_xlfn.XLOOKUP(D312,'3. Input (des)investeringen '!$B$11:$B$81,'3. Input (des)investeringen '!$E$11:$E$81)</f>
        <v>1</v>
      </c>
    </row>
    <row r="1053" spans="2:6">
      <c r="B1053">
        <v>296</v>
      </c>
      <c r="D1053" s="129">
        <f t="shared" si="29"/>
        <v>147471.83523486831</v>
      </c>
      <c r="E1053" s="128">
        <f t="shared" si="30"/>
        <v>2021</v>
      </c>
      <c r="F1053" s="127">
        <f>_xlfn.XLOOKUP(D313,'3. Input (des)investeringen '!$B$11:$B$81,'3. Input (des)investeringen '!$E$11:$E$81)</f>
        <v>1</v>
      </c>
    </row>
    <row r="1054" spans="2:6">
      <c r="B1054">
        <v>297</v>
      </c>
      <c r="D1054" s="129">
        <f t="shared" si="29"/>
        <v>521013.98608091858</v>
      </c>
      <c r="E1054" s="128">
        <f t="shared" si="30"/>
        <v>2021</v>
      </c>
      <c r="F1054" s="127">
        <f>_xlfn.XLOOKUP(D314,'3. Input (des)investeringen '!$B$11:$B$81,'3. Input (des)investeringen '!$E$11:$E$81)</f>
        <v>1</v>
      </c>
    </row>
    <row r="1055" spans="2:6">
      <c r="B1055">
        <v>298</v>
      </c>
      <c r="D1055" s="129">
        <f t="shared" si="29"/>
        <v>47308.343375890465</v>
      </c>
      <c r="E1055" s="128">
        <f t="shared" si="30"/>
        <v>2021</v>
      </c>
      <c r="F1055" s="127">
        <f>_xlfn.XLOOKUP(D315,'3. Input (des)investeringen '!$B$11:$B$81,'3. Input (des)investeringen '!$E$11:$E$81)</f>
        <v>1</v>
      </c>
    </row>
    <row r="1056" spans="2:6">
      <c r="B1056">
        <v>299</v>
      </c>
      <c r="D1056" s="129">
        <f t="shared" si="29"/>
        <v>6986.0961518104068</v>
      </c>
      <c r="E1056" s="128">
        <f t="shared" si="30"/>
        <v>2021</v>
      </c>
      <c r="F1056" s="127">
        <f>_xlfn.XLOOKUP(D316,'3. Input (des)investeringen '!$B$11:$B$81,'3. Input (des)investeringen '!$E$11:$E$81)</f>
        <v>1</v>
      </c>
    </row>
    <row r="1057" spans="2:6">
      <c r="B1057">
        <v>300</v>
      </c>
      <c r="D1057" s="129">
        <f t="shared" si="29"/>
        <v>4256.1290103364654</v>
      </c>
      <c r="E1057" s="128">
        <f t="shared" si="30"/>
        <v>2021</v>
      </c>
      <c r="F1057" s="127">
        <f>_xlfn.XLOOKUP(D317,'3. Input (des)investeringen '!$B$11:$B$81,'3. Input (des)investeringen '!$E$11:$E$81)</f>
        <v>1</v>
      </c>
    </row>
    <row r="1058" spans="2:6">
      <c r="B1058">
        <v>301</v>
      </c>
      <c r="D1058" s="129">
        <f t="shared" si="29"/>
        <v>8389.0335760579055</v>
      </c>
      <c r="E1058" s="128">
        <f t="shared" si="30"/>
        <v>2021</v>
      </c>
      <c r="F1058" s="127">
        <f>_xlfn.XLOOKUP(D318,'3. Input (des)investeringen '!$B$11:$B$81,'3. Input (des)investeringen '!$E$11:$E$81)</f>
        <v>1</v>
      </c>
    </row>
    <row r="1059" spans="2:6">
      <c r="B1059">
        <v>302</v>
      </c>
      <c r="D1059" s="129">
        <f t="shared" si="29"/>
        <v>59207.289824187035</v>
      </c>
      <c r="E1059" s="128">
        <f t="shared" si="30"/>
        <v>2021</v>
      </c>
      <c r="F1059" s="127">
        <f>_xlfn.XLOOKUP(D319,'3. Input (des)investeringen '!$B$11:$B$81,'3. Input (des)investeringen '!$E$11:$E$81)</f>
        <v>1</v>
      </c>
    </row>
    <row r="1060" spans="2:6">
      <c r="B1060">
        <v>303</v>
      </c>
      <c r="D1060" s="129">
        <f t="shared" si="29"/>
        <v>144489.30413571815</v>
      </c>
      <c r="E1060" s="128">
        <f t="shared" si="30"/>
        <v>2021</v>
      </c>
      <c r="F1060" s="127">
        <f>_xlfn.XLOOKUP(D320,'3. Input (des)investeringen '!$B$11:$B$81,'3. Input (des)investeringen '!$E$11:$E$81)</f>
        <v>1</v>
      </c>
    </row>
    <row r="1061" spans="2:6">
      <c r="B1061">
        <v>304</v>
      </c>
      <c r="D1061" s="129">
        <f t="shared" si="29"/>
        <v>24627.505284401475</v>
      </c>
      <c r="E1061" s="128">
        <f t="shared" si="30"/>
        <v>2021</v>
      </c>
      <c r="F1061" s="127">
        <f>_xlfn.XLOOKUP(D321,'3. Input (des)investeringen '!$B$11:$B$81,'3. Input (des)investeringen '!$E$11:$E$81)</f>
        <v>1</v>
      </c>
    </row>
    <row r="1062" spans="2:6">
      <c r="B1062">
        <v>305</v>
      </c>
      <c r="D1062" s="129">
        <f t="shared" si="29"/>
        <v>129644.58151460749</v>
      </c>
      <c r="E1062" s="128">
        <f t="shared" si="30"/>
        <v>2021</v>
      </c>
      <c r="F1062" s="127">
        <f>_xlfn.XLOOKUP(D322,'3. Input (des)investeringen '!$B$11:$B$81,'3. Input (des)investeringen '!$E$11:$E$81)</f>
        <v>1</v>
      </c>
    </row>
    <row r="1063" spans="2:6">
      <c r="B1063">
        <v>306</v>
      </c>
      <c r="D1063" s="129">
        <f t="shared" si="29"/>
        <v>22146.107560498778</v>
      </c>
      <c r="E1063" s="128">
        <f t="shared" si="30"/>
        <v>2021</v>
      </c>
      <c r="F1063" s="127">
        <f>_xlfn.XLOOKUP(D323,'3. Input (des)investeringen '!$B$11:$B$81,'3. Input (des)investeringen '!$E$11:$E$81)</f>
        <v>1</v>
      </c>
    </row>
    <row r="1064" spans="2:6">
      <c r="B1064">
        <v>307</v>
      </c>
      <c r="D1064" s="129">
        <f t="shared" si="29"/>
        <v>4986.3759054118091</v>
      </c>
      <c r="E1064" s="128">
        <f t="shared" si="30"/>
        <v>2021</v>
      </c>
      <c r="F1064" s="127">
        <f>_xlfn.XLOOKUP(D324,'3. Input (des)investeringen '!$B$11:$B$81,'3. Input (des)investeringen '!$E$11:$E$81)</f>
        <v>1</v>
      </c>
    </row>
    <row r="1065" spans="2:6">
      <c r="B1065">
        <v>308</v>
      </c>
      <c r="D1065" s="129">
        <f t="shared" si="29"/>
        <v>49793.54833839096</v>
      </c>
      <c r="E1065" s="128">
        <f t="shared" si="30"/>
        <v>2021</v>
      </c>
      <c r="F1065" s="127">
        <f>_xlfn.XLOOKUP(D325,'3. Input (des)investeringen '!$B$11:$B$81,'3. Input (des)investeringen '!$E$11:$E$81)</f>
        <v>1</v>
      </c>
    </row>
    <row r="1066" spans="2:6">
      <c r="B1066">
        <v>309</v>
      </c>
      <c r="D1066" s="129">
        <f t="shared" si="29"/>
        <v>2281.2143132879228</v>
      </c>
      <c r="E1066" s="128">
        <f t="shared" si="30"/>
        <v>2021</v>
      </c>
      <c r="F1066" s="127">
        <f>_xlfn.XLOOKUP(D326,'3. Input (des)investeringen '!$B$11:$B$81,'3. Input (des)investeringen '!$E$11:$E$81)</f>
        <v>1</v>
      </c>
    </row>
    <row r="1067" spans="2:6">
      <c r="B1067">
        <v>310</v>
      </c>
      <c r="D1067" s="129">
        <f t="shared" si="29"/>
        <v>425378.17598325771</v>
      </c>
      <c r="E1067" s="128">
        <f t="shared" si="30"/>
        <v>2021</v>
      </c>
      <c r="F1067" s="127">
        <f>_xlfn.XLOOKUP(D327,'3. Input (des)investeringen '!$B$11:$B$81,'3. Input (des)investeringen '!$E$11:$E$81)</f>
        <v>1</v>
      </c>
    </row>
    <row r="1068" spans="2:6">
      <c r="B1068">
        <v>311</v>
      </c>
      <c r="D1068" s="129">
        <f t="shared" si="29"/>
        <v>7185524.2223373363</v>
      </c>
      <c r="E1068" s="128">
        <f t="shared" si="30"/>
        <v>2021</v>
      </c>
      <c r="F1068" s="127">
        <f>_xlfn.XLOOKUP(D328,'3. Input (des)investeringen '!$B$11:$B$81,'3. Input (des)investeringen '!$E$11:$E$81)</f>
        <v>1</v>
      </c>
    </row>
    <row r="1069" spans="2:6">
      <c r="B1069">
        <v>312</v>
      </c>
      <c r="D1069" s="129">
        <f t="shared" si="29"/>
        <v>732448.55317733798</v>
      </c>
      <c r="E1069" s="128">
        <f t="shared" si="30"/>
        <v>2021</v>
      </c>
      <c r="F1069" s="127">
        <f>_xlfn.XLOOKUP(D329,'3. Input (des)investeringen '!$B$11:$B$81,'3. Input (des)investeringen '!$E$11:$E$81)</f>
        <v>1</v>
      </c>
    </row>
    <row r="1070" spans="2:6">
      <c r="B1070">
        <v>313</v>
      </c>
      <c r="D1070" s="129">
        <f t="shared" si="29"/>
        <v>521090.13683721371</v>
      </c>
      <c r="E1070" s="128">
        <f t="shared" si="30"/>
        <v>2021</v>
      </c>
      <c r="F1070" s="127">
        <f>_xlfn.XLOOKUP(D330,'3. Input (des)investeringen '!$B$11:$B$81,'3. Input (des)investeringen '!$E$11:$E$81)</f>
        <v>1</v>
      </c>
    </row>
    <row r="1071" spans="2:6">
      <c r="B1071">
        <v>314</v>
      </c>
      <c r="D1071" s="129">
        <f t="shared" si="29"/>
        <v>928647.3485637689</v>
      </c>
      <c r="E1071" s="128">
        <f t="shared" si="30"/>
        <v>2021</v>
      </c>
      <c r="F1071" s="127">
        <f>_xlfn.XLOOKUP(D331,'3. Input (des)investeringen '!$B$11:$B$81,'3. Input (des)investeringen '!$E$11:$E$81)</f>
        <v>1</v>
      </c>
    </row>
    <row r="1072" spans="2:6">
      <c r="B1072">
        <v>315</v>
      </c>
      <c r="D1072" s="129">
        <f t="shared" si="29"/>
        <v>220417.58622530752</v>
      </c>
      <c r="E1072" s="128">
        <f t="shared" si="30"/>
        <v>2021</v>
      </c>
      <c r="F1072" s="127">
        <f>_xlfn.XLOOKUP(D332,'3. Input (des)investeringen '!$B$11:$B$81,'3. Input (des)investeringen '!$E$11:$E$81)</f>
        <v>1</v>
      </c>
    </row>
    <row r="1073" spans="2:6">
      <c r="B1073">
        <v>316</v>
      </c>
      <c r="D1073" s="129">
        <f t="shared" si="29"/>
        <v>1794467.5130827182</v>
      </c>
      <c r="E1073" s="128">
        <f t="shared" si="30"/>
        <v>2022</v>
      </c>
      <c r="F1073" s="127">
        <f>_xlfn.XLOOKUP(D333,'3. Input (des)investeringen '!$B$11:$B$81,'3. Input (des)investeringen '!$E$11:$E$81)</f>
        <v>1</v>
      </c>
    </row>
    <row r="1074" spans="2:6">
      <c r="B1074">
        <v>317</v>
      </c>
      <c r="D1074" s="129">
        <f t="shared" si="29"/>
        <v>788860.63503546279</v>
      </c>
      <c r="E1074" s="128">
        <f t="shared" si="30"/>
        <v>2022</v>
      </c>
      <c r="F1074" s="127">
        <f>_xlfn.XLOOKUP(D334,'3. Input (des)investeringen '!$B$11:$B$81,'3. Input (des)investeringen '!$E$11:$E$81)</f>
        <v>1</v>
      </c>
    </row>
    <row r="1075" spans="2:6">
      <c r="B1075">
        <v>318</v>
      </c>
      <c r="D1075" s="129">
        <f t="shared" si="29"/>
        <v>1273.3351239778597</v>
      </c>
      <c r="E1075" s="128">
        <f t="shared" si="30"/>
        <v>2022</v>
      </c>
      <c r="F1075" s="127">
        <f>_xlfn.XLOOKUP(D335,'3. Input (des)investeringen '!$B$11:$B$81,'3. Input (des)investeringen '!$E$11:$E$81)</f>
        <v>1</v>
      </c>
    </row>
    <row r="1076" spans="2:6">
      <c r="B1076">
        <v>319</v>
      </c>
      <c r="D1076" s="129">
        <f t="shared" si="29"/>
        <v>7.7062133580083972E-2</v>
      </c>
      <c r="E1076" s="128">
        <f t="shared" si="30"/>
        <v>2022</v>
      </c>
      <c r="F1076" s="127">
        <f>_xlfn.XLOOKUP(D336,'3. Input (des)investeringen '!$B$11:$B$81,'3. Input (des)investeringen '!$E$11:$E$81)</f>
        <v>1</v>
      </c>
    </row>
    <row r="1077" spans="2:6">
      <c r="B1077">
        <v>320</v>
      </c>
      <c r="D1077" s="129">
        <f t="shared" si="29"/>
        <v>210895.72784382594</v>
      </c>
      <c r="E1077" s="128">
        <f t="shared" si="30"/>
        <v>2022</v>
      </c>
      <c r="F1077" s="127">
        <f>_xlfn.XLOOKUP(D337,'3. Input (des)investeringen '!$B$11:$B$81,'3. Input (des)investeringen '!$E$11:$E$81)</f>
        <v>1</v>
      </c>
    </row>
    <row r="1078" spans="2:6">
      <c r="B1078">
        <v>321</v>
      </c>
      <c r="D1078" s="129">
        <f t="shared" ref="D1078:D1141" si="31">F338*INDEX($E$673:$CG$753,E338-1945,G338-1945)</f>
        <v>897712.16634437081</v>
      </c>
      <c r="E1078" s="128">
        <f t="shared" ref="E1078:E1141" si="32">G338</f>
        <v>2022</v>
      </c>
      <c r="F1078" s="127">
        <f>_xlfn.XLOOKUP(D338,'3. Input (des)investeringen '!$B$11:$B$81,'3. Input (des)investeringen '!$E$11:$E$81)</f>
        <v>1</v>
      </c>
    </row>
    <row r="1079" spans="2:6">
      <c r="B1079">
        <v>322</v>
      </c>
      <c r="D1079" s="129">
        <f t="shared" si="31"/>
        <v>1456756.073943085</v>
      </c>
      <c r="E1079" s="128">
        <f t="shared" si="32"/>
        <v>2022</v>
      </c>
      <c r="F1079" s="127">
        <f>_xlfn.XLOOKUP(D339,'3. Input (des)investeringen '!$B$11:$B$81,'3. Input (des)investeringen '!$E$11:$E$81)</f>
        <v>1</v>
      </c>
    </row>
    <row r="1080" spans="2:6">
      <c r="B1080">
        <v>323</v>
      </c>
      <c r="D1080" s="129">
        <f t="shared" si="31"/>
        <v>537510.92809868616</v>
      </c>
      <c r="E1080" s="128">
        <f t="shared" si="32"/>
        <v>2022</v>
      </c>
      <c r="F1080" s="127">
        <f>_xlfn.XLOOKUP(D340,'3. Input (des)investeringen '!$B$11:$B$81,'3. Input (des)investeringen '!$E$11:$E$81)</f>
        <v>1</v>
      </c>
    </row>
    <row r="1081" spans="2:6">
      <c r="B1081">
        <v>324</v>
      </c>
      <c r="D1081" s="129">
        <f t="shared" si="31"/>
        <v>274815.80469335237</v>
      </c>
      <c r="E1081" s="128">
        <f t="shared" si="32"/>
        <v>2022</v>
      </c>
      <c r="F1081" s="127">
        <f>_xlfn.XLOOKUP(D341,'3. Input (des)investeringen '!$B$11:$B$81,'3. Input (des)investeringen '!$E$11:$E$81)</f>
        <v>1</v>
      </c>
    </row>
    <row r="1082" spans="2:6">
      <c r="B1082">
        <v>325</v>
      </c>
      <c r="D1082" s="129">
        <f t="shared" si="31"/>
        <v>427908.4118906298</v>
      </c>
      <c r="E1082" s="128">
        <f t="shared" si="32"/>
        <v>2022</v>
      </c>
      <c r="F1082" s="127">
        <f>_xlfn.XLOOKUP(D342,'3. Input (des)investeringen '!$B$11:$B$81,'3. Input (des)investeringen '!$E$11:$E$81)</f>
        <v>1</v>
      </c>
    </row>
    <row r="1083" spans="2:6">
      <c r="B1083">
        <v>326</v>
      </c>
      <c r="D1083" s="129">
        <f t="shared" si="31"/>
        <v>549678.59229549393</v>
      </c>
      <c r="E1083" s="128">
        <f t="shared" si="32"/>
        <v>2022</v>
      </c>
      <c r="F1083" s="127">
        <f>_xlfn.XLOOKUP(D343,'3. Input (des)investeringen '!$B$11:$B$81,'3. Input (des)investeringen '!$E$11:$E$81)</f>
        <v>1</v>
      </c>
    </row>
    <row r="1084" spans="2:6">
      <c r="B1084">
        <v>327</v>
      </c>
      <c r="D1084" s="129">
        <f t="shared" si="31"/>
        <v>307195.76641828933</v>
      </c>
      <c r="E1084" s="128">
        <f t="shared" si="32"/>
        <v>2022</v>
      </c>
      <c r="F1084" s="127">
        <f>_xlfn.XLOOKUP(D344,'3. Input (des)investeringen '!$B$11:$B$81,'3. Input (des)investeringen '!$E$11:$E$81)</f>
        <v>1</v>
      </c>
    </row>
    <row r="1085" spans="2:6">
      <c r="B1085">
        <v>328</v>
      </c>
      <c r="D1085" s="129">
        <f t="shared" si="31"/>
        <v>863222.8872694883</v>
      </c>
      <c r="E1085" s="128">
        <f t="shared" si="32"/>
        <v>2022</v>
      </c>
      <c r="F1085" s="127">
        <f>_xlfn.XLOOKUP(D345,'3. Input (des)investeringen '!$B$11:$B$81,'3. Input (des)investeringen '!$E$11:$E$81)</f>
        <v>1</v>
      </c>
    </row>
    <row r="1086" spans="2:6">
      <c r="B1086">
        <v>329</v>
      </c>
      <c r="D1086" s="129">
        <f t="shared" si="31"/>
        <v>630047.23089903092</v>
      </c>
      <c r="E1086" s="128">
        <f t="shared" si="32"/>
        <v>2022</v>
      </c>
      <c r="F1086" s="127">
        <f>_xlfn.XLOOKUP(D346,'3. Input (des)investeringen '!$B$11:$B$81,'3. Input (des)investeringen '!$E$11:$E$81)</f>
        <v>1</v>
      </c>
    </row>
    <row r="1087" spans="2:6">
      <c r="B1087">
        <v>330</v>
      </c>
      <c r="D1087" s="129">
        <f t="shared" si="31"/>
        <v>213886.93735114989</v>
      </c>
      <c r="E1087" s="128">
        <f t="shared" si="32"/>
        <v>2022</v>
      </c>
      <c r="F1087" s="127">
        <f>_xlfn.XLOOKUP(D347,'3. Input (des)investeringen '!$B$11:$B$81,'3. Input (des)investeringen '!$E$11:$E$81)</f>
        <v>1</v>
      </c>
    </row>
    <row r="1088" spans="2:6">
      <c r="B1088">
        <v>331</v>
      </c>
      <c r="D1088" s="129">
        <f t="shared" si="31"/>
        <v>150944.69489504979</v>
      </c>
      <c r="E1088" s="128">
        <f t="shared" si="32"/>
        <v>2022</v>
      </c>
      <c r="F1088" s="127">
        <f>_xlfn.XLOOKUP(D348,'3. Input (des)investeringen '!$B$11:$B$81,'3. Input (des)investeringen '!$E$11:$E$81)</f>
        <v>1</v>
      </c>
    </row>
    <row r="1089" spans="2:6">
      <c r="B1089">
        <v>332</v>
      </c>
      <c r="D1089" s="129">
        <f t="shared" si="31"/>
        <v>308372.44933566521</v>
      </c>
      <c r="E1089" s="128">
        <f t="shared" si="32"/>
        <v>2022</v>
      </c>
      <c r="F1089" s="127">
        <f>_xlfn.XLOOKUP(D349,'3. Input (des)investeringen '!$B$11:$B$81,'3. Input (des)investeringen '!$E$11:$E$81)</f>
        <v>1</v>
      </c>
    </row>
    <row r="1090" spans="2:6">
      <c r="B1090">
        <v>333</v>
      </c>
      <c r="D1090" s="129">
        <f t="shared" si="31"/>
        <v>118209.50836304629</v>
      </c>
      <c r="E1090" s="128">
        <f t="shared" si="32"/>
        <v>2022</v>
      </c>
      <c r="F1090" s="127">
        <f>_xlfn.XLOOKUP(D350,'3. Input (des)investeringen '!$B$11:$B$81,'3. Input (des)investeringen '!$E$11:$E$81)</f>
        <v>1</v>
      </c>
    </row>
    <row r="1091" spans="2:6">
      <c r="B1091">
        <v>334</v>
      </c>
      <c r="D1091" s="129">
        <f t="shared" si="31"/>
        <v>308127.28612936393</v>
      </c>
      <c r="E1091" s="128">
        <f t="shared" si="32"/>
        <v>2022</v>
      </c>
      <c r="F1091" s="127">
        <f>_xlfn.XLOOKUP(D351,'3. Input (des)investeringen '!$B$11:$B$81,'3. Input (des)investeringen '!$E$11:$E$81)</f>
        <v>1</v>
      </c>
    </row>
    <row r="1092" spans="2:6">
      <c r="B1092">
        <v>335</v>
      </c>
      <c r="D1092" s="129">
        <f t="shared" si="31"/>
        <v>1026.437999083824</v>
      </c>
      <c r="E1092" s="128">
        <f t="shared" si="32"/>
        <v>2022</v>
      </c>
      <c r="F1092" s="127">
        <f>_xlfn.XLOOKUP(D352,'3. Input (des)investeringen '!$B$11:$B$81,'3. Input (des)investeringen '!$E$11:$E$81)</f>
        <v>1</v>
      </c>
    </row>
    <row r="1093" spans="2:6">
      <c r="B1093">
        <v>336</v>
      </c>
      <c r="D1093" s="129">
        <f t="shared" si="31"/>
        <v>106287.18474987785</v>
      </c>
      <c r="E1093" s="128">
        <f t="shared" si="32"/>
        <v>2022</v>
      </c>
      <c r="F1093" s="127">
        <f>_xlfn.XLOOKUP(D353,'3. Input (des)investeringen '!$B$11:$B$81,'3. Input (des)investeringen '!$E$11:$E$81)</f>
        <v>1</v>
      </c>
    </row>
    <row r="1094" spans="2:6">
      <c r="B1094">
        <v>337</v>
      </c>
      <c r="D1094" s="129">
        <f t="shared" si="31"/>
        <v>51523.01013098735</v>
      </c>
      <c r="E1094" s="128">
        <f t="shared" si="32"/>
        <v>2022</v>
      </c>
      <c r="F1094" s="127">
        <f>_xlfn.XLOOKUP(D354,'3. Input (des)investeringen '!$B$11:$B$81,'3. Input (des)investeringen '!$E$11:$E$81)</f>
        <v>1</v>
      </c>
    </row>
    <row r="1095" spans="2:6">
      <c r="B1095">
        <v>338</v>
      </c>
      <c r="D1095" s="129">
        <f t="shared" si="31"/>
        <v>185537.31457817764</v>
      </c>
      <c r="E1095" s="128">
        <f t="shared" si="32"/>
        <v>2022</v>
      </c>
      <c r="F1095" s="127">
        <f>_xlfn.XLOOKUP(D355,'3. Input (des)investeringen '!$B$11:$B$81,'3. Input (des)investeringen '!$E$11:$E$81)</f>
        <v>1</v>
      </c>
    </row>
    <row r="1096" spans="2:6">
      <c r="B1096">
        <v>339</v>
      </c>
      <c r="D1096" s="129">
        <f t="shared" si="31"/>
        <v>38260.827551339469</v>
      </c>
      <c r="E1096" s="128">
        <f t="shared" si="32"/>
        <v>2022</v>
      </c>
      <c r="F1096" s="127">
        <f>_xlfn.XLOOKUP(D356,'3. Input (des)investeringen '!$B$11:$B$81,'3. Input (des)investeringen '!$E$11:$E$81)</f>
        <v>1</v>
      </c>
    </row>
    <row r="1097" spans="2:6">
      <c r="B1097">
        <v>340</v>
      </c>
      <c r="D1097" s="129">
        <f t="shared" si="31"/>
        <v>7830.8705971603458</v>
      </c>
      <c r="E1097" s="128">
        <f t="shared" si="32"/>
        <v>2022</v>
      </c>
      <c r="F1097" s="127">
        <f>_xlfn.XLOOKUP(D357,'3. Input (des)investeringen '!$B$11:$B$81,'3. Input (des)investeringen '!$E$11:$E$81)</f>
        <v>1</v>
      </c>
    </row>
    <row r="1098" spans="2:6">
      <c r="B1098">
        <v>341</v>
      </c>
      <c r="D1098" s="129">
        <f t="shared" si="31"/>
        <v>9842.9371162809311</v>
      </c>
      <c r="E1098" s="128">
        <f t="shared" si="32"/>
        <v>2022</v>
      </c>
      <c r="F1098" s="127">
        <f>_xlfn.XLOOKUP(D358,'3. Input (des)investeringen '!$B$11:$B$81,'3. Input (des)investeringen '!$E$11:$E$81)</f>
        <v>1</v>
      </c>
    </row>
    <row r="1099" spans="2:6">
      <c r="B1099">
        <v>342</v>
      </c>
      <c r="D1099" s="129">
        <f t="shared" si="31"/>
        <v>6250.3975099607405</v>
      </c>
      <c r="E1099" s="128">
        <f t="shared" si="32"/>
        <v>2022</v>
      </c>
      <c r="F1099" s="127">
        <f>_xlfn.XLOOKUP(D359,'3. Input (des)investeringen '!$B$11:$B$81,'3. Input (des)investeringen '!$E$11:$E$81)</f>
        <v>1</v>
      </c>
    </row>
    <row r="1100" spans="2:6">
      <c r="B1100">
        <v>343</v>
      </c>
      <c r="D1100" s="129">
        <f t="shared" si="31"/>
        <v>148391.15704561133</v>
      </c>
      <c r="E1100" s="128">
        <f t="shared" si="32"/>
        <v>2022</v>
      </c>
      <c r="F1100" s="127">
        <f>_xlfn.XLOOKUP(D360,'3. Input (des)investeringen '!$B$11:$B$81,'3. Input (des)investeringen '!$E$11:$E$81)</f>
        <v>1</v>
      </c>
    </row>
    <row r="1101" spans="2:6">
      <c r="B1101">
        <v>344</v>
      </c>
      <c r="D1101" s="129">
        <f t="shared" si="31"/>
        <v>31594.263591809497</v>
      </c>
      <c r="E1101" s="128">
        <f t="shared" si="32"/>
        <v>2022</v>
      </c>
      <c r="F1101" s="127">
        <f>_xlfn.XLOOKUP(D361,'3. Input (des)investeringen '!$B$11:$B$81,'3. Input (des)investeringen '!$E$11:$E$81)</f>
        <v>1</v>
      </c>
    </row>
    <row r="1102" spans="2:6">
      <c r="B1102">
        <v>345</v>
      </c>
      <c r="D1102" s="129">
        <f t="shared" si="31"/>
        <v>466562.22269198875</v>
      </c>
      <c r="E1102" s="128">
        <f t="shared" si="32"/>
        <v>2022</v>
      </c>
      <c r="F1102" s="127">
        <f>_xlfn.XLOOKUP(D362,'3. Input (des)investeringen '!$B$11:$B$81,'3. Input (des)investeringen '!$E$11:$E$81)</f>
        <v>1</v>
      </c>
    </row>
    <row r="1103" spans="2:6">
      <c r="B1103">
        <v>346</v>
      </c>
      <c r="D1103" s="129">
        <f t="shared" si="31"/>
        <v>196256.8092562297</v>
      </c>
      <c r="E1103" s="128">
        <f t="shared" si="32"/>
        <v>2022</v>
      </c>
      <c r="F1103" s="127">
        <f>_xlfn.XLOOKUP(D363,'3. Input (des)investeringen '!$B$11:$B$81,'3. Input (des)investeringen '!$E$11:$E$81)</f>
        <v>1</v>
      </c>
    </row>
    <row r="1104" spans="2:6">
      <c r="B1104">
        <v>347</v>
      </c>
      <c r="D1104" s="129">
        <f t="shared" si="31"/>
        <v>70571.308074204644</v>
      </c>
      <c r="E1104" s="128">
        <f t="shared" si="32"/>
        <v>2022</v>
      </c>
      <c r="F1104" s="127">
        <f>_xlfn.XLOOKUP(D364,'3. Input (des)investeringen '!$B$11:$B$81,'3. Input (des)investeringen '!$E$11:$E$81)</f>
        <v>1</v>
      </c>
    </row>
    <row r="1105" spans="2:6">
      <c r="B1105">
        <v>348</v>
      </c>
      <c r="D1105" s="129">
        <f t="shared" si="31"/>
        <v>109759.1915322928</v>
      </c>
      <c r="E1105" s="128">
        <f t="shared" si="32"/>
        <v>2022</v>
      </c>
      <c r="F1105" s="127">
        <f>_xlfn.XLOOKUP(D365,'3. Input (des)investeringen '!$B$11:$B$81,'3. Input (des)investeringen '!$E$11:$E$81)</f>
        <v>1</v>
      </c>
    </row>
    <row r="1106" spans="2:6">
      <c r="B1106">
        <v>349</v>
      </c>
      <c r="D1106" s="129">
        <f t="shared" si="31"/>
        <v>192941.64705577045</v>
      </c>
      <c r="E1106" s="128">
        <f t="shared" si="32"/>
        <v>2022</v>
      </c>
      <c r="F1106" s="127">
        <f>_xlfn.XLOOKUP(D366,'3. Input (des)investeringen '!$B$11:$B$81,'3. Input (des)investeringen '!$E$11:$E$81)</f>
        <v>1</v>
      </c>
    </row>
    <row r="1107" spans="2:6">
      <c r="B1107">
        <v>350</v>
      </c>
      <c r="D1107" s="129">
        <f t="shared" si="31"/>
        <v>388863.18766669295</v>
      </c>
      <c r="E1107" s="128">
        <f t="shared" si="32"/>
        <v>2022</v>
      </c>
      <c r="F1107" s="127">
        <f>_xlfn.XLOOKUP(D367,'3. Input (des)investeringen '!$B$11:$B$81,'3. Input (des)investeringen '!$E$11:$E$81)</f>
        <v>0</v>
      </c>
    </row>
    <row r="1108" spans="2:6">
      <c r="B1108">
        <v>351</v>
      </c>
      <c r="D1108" s="129">
        <f t="shared" si="31"/>
        <v>1977539.2597640657</v>
      </c>
      <c r="E1108" s="128">
        <f t="shared" si="32"/>
        <v>2022</v>
      </c>
      <c r="F1108" s="127">
        <f>_xlfn.XLOOKUP(D368,'3. Input (des)investeringen '!$B$11:$B$81,'3. Input (des)investeringen '!$E$11:$E$81)</f>
        <v>0</v>
      </c>
    </row>
    <row r="1109" spans="2:6">
      <c r="B1109">
        <v>352</v>
      </c>
      <c r="D1109" s="129">
        <f t="shared" si="31"/>
        <v>643355.23241316131</v>
      </c>
      <c r="E1109" s="128">
        <f t="shared" si="32"/>
        <v>2022</v>
      </c>
      <c r="F1109" s="127">
        <f>_xlfn.XLOOKUP(D369,'3. Input (des)investeringen '!$B$11:$B$81,'3. Input (des)investeringen '!$E$11:$E$81)</f>
        <v>0</v>
      </c>
    </row>
    <row r="1110" spans="2:6">
      <c r="B1110">
        <v>353</v>
      </c>
      <c r="D1110" s="129">
        <f t="shared" si="31"/>
        <v>1160431.8736152633</v>
      </c>
      <c r="E1110" s="128">
        <f t="shared" si="32"/>
        <v>2022</v>
      </c>
      <c r="F1110" s="127">
        <f>_xlfn.XLOOKUP(D370,'3. Input (des)investeringen '!$B$11:$B$81,'3. Input (des)investeringen '!$E$11:$E$81)</f>
        <v>0</v>
      </c>
    </row>
    <row r="1111" spans="2:6">
      <c r="B1111">
        <v>354</v>
      </c>
      <c r="D1111" s="129">
        <f t="shared" si="31"/>
        <v>2103852.2340272423</v>
      </c>
      <c r="E1111" s="128">
        <f t="shared" si="32"/>
        <v>2022</v>
      </c>
      <c r="F1111" s="127">
        <f>_xlfn.XLOOKUP(D371,'3. Input (des)investeringen '!$B$11:$B$81,'3. Input (des)investeringen '!$E$11:$E$81)</f>
        <v>0</v>
      </c>
    </row>
    <row r="1112" spans="2:6">
      <c r="B1112">
        <v>355</v>
      </c>
      <c r="D1112" s="129">
        <f t="shared" si="31"/>
        <v>813729.55566402408</v>
      </c>
      <c r="E1112" s="128">
        <f t="shared" si="32"/>
        <v>2022</v>
      </c>
      <c r="F1112" s="127">
        <f>_xlfn.XLOOKUP(D372,'3. Input (des)investeringen '!$B$11:$B$81,'3. Input (des)investeringen '!$E$11:$E$81)</f>
        <v>0</v>
      </c>
    </row>
    <row r="1113" spans="2:6">
      <c r="B1113">
        <v>356</v>
      </c>
      <c r="D1113" s="129">
        <f t="shared" si="31"/>
        <v>1277165.2332752666</v>
      </c>
      <c r="E1113" s="128">
        <f t="shared" si="32"/>
        <v>2022</v>
      </c>
      <c r="F1113" s="127">
        <f>_xlfn.XLOOKUP(D373,'3. Input (des)investeringen '!$B$11:$B$81,'3. Input (des)investeringen '!$E$11:$E$81)</f>
        <v>0</v>
      </c>
    </row>
    <row r="1114" spans="2:6">
      <c r="B1114">
        <v>357</v>
      </c>
      <c r="D1114" s="129">
        <f t="shared" si="31"/>
        <v>519332.19948556297</v>
      </c>
      <c r="E1114" s="128">
        <f t="shared" si="32"/>
        <v>2022</v>
      </c>
      <c r="F1114" s="127">
        <f>_xlfn.XLOOKUP(D374,'3. Input (des)investeringen '!$B$11:$B$81,'3. Input (des)investeringen '!$E$11:$E$81)</f>
        <v>0</v>
      </c>
    </row>
    <row r="1115" spans="2:6">
      <c r="B1115">
        <v>358</v>
      </c>
      <c r="D1115" s="129">
        <f t="shared" si="31"/>
        <v>505021.85753779247</v>
      </c>
      <c r="E1115" s="128">
        <f t="shared" si="32"/>
        <v>2022</v>
      </c>
      <c r="F1115" s="127">
        <f>_xlfn.XLOOKUP(D375,'3. Input (des)investeringen '!$B$11:$B$81,'3. Input (des)investeringen '!$E$11:$E$81)</f>
        <v>0</v>
      </c>
    </row>
    <row r="1116" spans="2:6">
      <c r="B1116">
        <v>359</v>
      </c>
      <c r="D1116" s="129">
        <f t="shared" si="31"/>
        <v>362464.81670923793</v>
      </c>
      <c r="E1116" s="128">
        <f t="shared" si="32"/>
        <v>2022</v>
      </c>
      <c r="F1116" s="127">
        <f>_xlfn.XLOOKUP(D376,'3. Input (des)investeringen '!$B$11:$B$81,'3. Input (des)investeringen '!$E$11:$E$81)</f>
        <v>0</v>
      </c>
    </row>
    <row r="1117" spans="2:6">
      <c r="B1117">
        <v>360</v>
      </c>
      <c r="D1117" s="129">
        <f t="shared" si="31"/>
        <v>17338.166812593641</v>
      </c>
      <c r="E1117" s="128">
        <f t="shared" si="32"/>
        <v>2022</v>
      </c>
      <c r="F1117" s="127">
        <f>_xlfn.XLOOKUP(D377,'3. Input (des)investeringen '!$B$11:$B$81,'3. Input (des)investeringen '!$E$11:$E$81)</f>
        <v>0</v>
      </c>
    </row>
    <row r="1118" spans="2:6">
      <c r="B1118">
        <v>361</v>
      </c>
      <c r="D1118" s="129">
        <f t="shared" si="31"/>
        <v>70506.165110192131</v>
      </c>
      <c r="E1118" s="128">
        <f t="shared" si="32"/>
        <v>2022</v>
      </c>
      <c r="F1118" s="127">
        <f>_xlfn.XLOOKUP(D378,'3. Input (des)investeringen '!$B$11:$B$81,'3. Input (des)investeringen '!$E$11:$E$81)</f>
        <v>0</v>
      </c>
    </row>
    <row r="1119" spans="2:6">
      <c r="B1119">
        <v>362</v>
      </c>
      <c r="D1119" s="129">
        <f t="shared" si="31"/>
        <v>138478.44947640147</v>
      </c>
      <c r="E1119" s="128">
        <f t="shared" si="32"/>
        <v>2022</v>
      </c>
      <c r="F1119" s="127">
        <f>_xlfn.XLOOKUP(D379,'3. Input (des)investeringen '!$B$11:$B$81,'3. Input (des)investeringen '!$E$11:$E$81)</f>
        <v>0</v>
      </c>
    </row>
    <row r="1120" spans="2:6">
      <c r="B1120">
        <v>363</v>
      </c>
      <c r="D1120" s="129">
        <f t="shared" si="31"/>
        <v>15682.711488823004</v>
      </c>
      <c r="E1120" s="128">
        <f t="shared" si="32"/>
        <v>2022</v>
      </c>
      <c r="F1120" s="127">
        <f>_xlfn.XLOOKUP(D380,'3. Input (des)investeringen '!$B$11:$B$81,'3. Input (des)investeringen '!$E$11:$E$81)</f>
        <v>0</v>
      </c>
    </row>
    <row r="1121" spans="2:6">
      <c r="B1121">
        <v>364</v>
      </c>
      <c r="D1121" s="129">
        <f t="shared" si="31"/>
        <v>385836.14338180138</v>
      </c>
      <c r="E1121" s="128">
        <f t="shared" si="32"/>
        <v>2022</v>
      </c>
      <c r="F1121" s="127">
        <f>_xlfn.XLOOKUP(D381,'3. Input (des)investeringen '!$B$11:$B$81,'3. Input (des)investeringen '!$E$11:$E$81)</f>
        <v>0</v>
      </c>
    </row>
    <row r="1122" spans="2:6">
      <c r="B1122">
        <v>365</v>
      </c>
      <c r="D1122" s="129">
        <f t="shared" si="31"/>
        <v>77193.88157794677</v>
      </c>
      <c r="E1122" s="128">
        <f t="shared" si="32"/>
        <v>2022</v>
      </c>
      <c r="F1122" s="127">
        <f>_xlfn.XLOOKUP(D382,'3. Input (des)investeringen '!$B$11:$B$81,'3. Input (des)investeringen '!$E$11:$E$81)</f>
        <v>0</v>
      </c>
    </row>
    <row r="1123" spans="2:6">
      <c r="B1123">
        <v>366</v>
      </c>
      <c r="D1123" s="129">
        <f t="shared" si="31"/>
        <v>19862.696379872996</v>
      </c>
      <c r="E1123" s="128">
        <f t="shared" si="32"/>
        <v>2022</v>
      </c>
      <c r="F1123" s="127">
        <f>_xlfn.XLOOKUP(D383,'3. Input (des)investeringen '!$B$11:$B$81,'3. Input (des)investeringen '!$E$11:$E$81)</f>
        <v>0</v>
      </c>
    </row>
    <row r="1124" spans="2:6">
      <c r="B1124">
        <v>367</v>
      </c>
      <c r="D1124" s="129">
        <f t="shared" si="31"/>
        <v>10229.85170534904</v>
      </c>
      <c r="E1124" s="128">
        <f t="shared" si="32"/>
        <v>2022</v>
      </c>
      <c r="F1124" s="127">
        <f>_xlfn.XLOOKUP(D384,'3. Input (des)investeringen '!$B$11:$B$81,'3. Input (des)investeringen '!$E$11:$E$81)</f>
        <v>0</v>
      </c>
    </row>
    <row r="1125" spans="2:6">
      <c r="B1125">
        <v>368</v>
      </c>
      <c r="D1125" s="129">
        <f t="shared" si="31"/>
        <v>99628.511605417822</v>
      </c>
      <c r="E1125" s="128">
        <f t="shared" si="32"/>
        <v>2022</v>
      </c>
      <c r="F1125" s="127">
        <f>_xlfn.XLOOKUP(D385,'3. Input (des)investeringen '!$B$11:$B$81,'3. Input (des)investeringen '!$E$11:$E$81)</f>
        <v>0</v>
      </c>
    </row>
    <row r="1126" spans="2:6">
      <c r="B1126">
        <v>369</v>
      </c>
      <c r="D1126" s="129">
        <f t="shared" si="31"/>
        <v>309186.17603035166</v>
      </c>
      <c r="E1126" s="128">
        <f t="shared" si="32"/>
        <v>2022</v>
      </c>
      <c r="F1126" s="127">
        <f>_xlfn.XLOOKUP(D386,'3. Input (des)investeringen '!$B$11:$B$81,'3. Input (des)investeringen '!$E$11:$E$81)</f>
        <v>0</v>
      </c>
    </row>
    <row r="1127" spans="2:6">
      <c r="B1127">
        <v>370</v>
      </c>
      <c r="D1127" s="129">
        <f t="shared" si="31"/>
        <v>15157.227938060447</v>
      </c>
      <c r="E1127" s="128">
        <f t="shared" si="32"/>
        <v>2022</v>
      </c>
      <c r="F1127" s="127">
        <f>_xlfn.XLOOKUP(D387,'3. Input (des)investeringen '!$B$11:$B$81,'3. Input (des)investeringen '!$E$11:$E$81)</f>
        <v>0</v>
      </c>
    </row>
    <row r="1128" spans="2:6">
      <c r="B1128">
        <v>371</v>
      </c>
      <c r="D1128" s="129">
        <f t="shared" si="31"/>
        <v>39512.042797715359</v>
      </c>
      <c r="E1128" s="128">
        <f t="shared" si="32"/>
        <v>2022</v>
      </c>
      <c r="F1128" s="127">
        <f>_xlfn.XLOOKUP(D388,'3. Input (des)investeringen '!$B$11:$B$81,'3. Input (des)investeringen '!$E$11:$E$81)</f>
        <v>0</v>
      </c>
    </row>
    <row r="1129" spans="2:6">
      <c r="B1129">
        <v>372</v>
      </c>
      <c r="D1129" s="129">
        <f t="shared" si="31"/>
        <v>27643.942446618013</v>
      </c>
      <c r="E1129" s="128">
        <f t="shared" si="32"/>
        <v>2022</v>
      </c>
      <c r="F1129" s="127">
        <f>_xlfn.XLOOKUP(D389,'3. Input (des)investeringen '!$B$11:$B$81,'3. Input (des)investeringen '!$E$11:$E$81)</f>
        <v>0</v>
      </c>
    </row>
    <row r="1130" spans="2:6">
      <c r="B1130">
        <v>373</v>
      </c>
      <c r="D1130" s="129">
        <f t="shared" si="31"/>
        <v>87900.92410999391</v>
      </c>
      <c r="E1130" s="128">
        <f t="shared" si="32"/>
        <v>2022</v>
      </c>
      <c r="F1130" s="127">
        <f>_xlfn.XLOOKUP(D390,'3. Input (des)investeringen '!$B$11:$B$81,'3. Input (des)investeringen '!$E$11:$E$81)</f>
        <v>0</v>
      </c>
    </row>
    <row r="1131" spans="2:6">
      <c r="B1131">
        <v>374</v>
      </c>
      <c r="D1131" s="129">
        <f t="shared" si="31"/>
        <v>104111.78172504251</v>
      </c>
      <c r="E1131" s="128">
        <f t="shared" si="32"/>
        <v>2022</v>
      </c>
      <c r="F1131" s="127">
        <f>_xlfn.XLOOKUP(D391,'3. Input (des)investeringen '!$B$11:$B$81,'3. Input (des)investeringen '!$E$11:$E$81)</f>
        <v>0</v>
      </c>
    </row>
    <row r="1132" spans="2:6">
      <c r="B1132">
        <v>375</v>
      </c>
      <c r="D1132" s="129">
        <f t="shared" si="31"/>
        <v>27205.276684575805</v>
      </c>
      <c r="E1132" s="128">
        <f t="shared" si="32"/>
        <v>2022</v>
      </c>
      <c r="F1132" s="127">
        <f>_xlfn.XLOOKUP(D392,'3. Input (des)investeringen '!$B$11:$B$81,'3. Input (des)investeringen '!$E$11:$E$81)</f>
        <v>0</v>
      </c>
    </row>
    <row r="1133" spans="2:6">
      <c r="B1133">
        <v>376</v>
      </c>
      <c r="D1133" s="129">
        <f t="shared" si="31"/>
        <v>26002.568135894431</v>
      </c>
      <c r="E1133" s="128">
        <f t="shared" si="32"/>
        <v>2022</v>
      </c>
      <c r="F1133" s="127">
        <f>_xlfn.XLOOKUP(D393,'3. Input (des)investeringen '!$B$11:$B$81,'3. Input (des)investeringen '!$E$11:$E$81)</f>
        <v>0</v>
      </c>
    </row>
    <row r="1134" spans="2:6">
      <c r="B1134">
        <v>377</v>
      </c>
      <c r="D1134" s="129">
        <f t="shared" si="31"/>
        <v>16624.018660402588</v>
      </c>
      <c r="E1134" s="128">
        <f t="shared" si="32"/>
        <v>2022</v>
      </c>
      <c r="F1134" s="127">
        <f>_xlfn.XLOOKUP(D394,'3. Input (des)investeringen '!$B$11:$B$81,'3. Input (des)investeringen '!$E$11:$E$81)</f>
        <v>0</v>
      </c>
    </row>
    <row r="1135" spans="2:6">
      <c r="B1135">
        <v>378</v>
      </c>
      <c r="D1135" s="129">
        <f t="shared" si="31"/>
        <v>13413.383324644565</v>
      </c>
      <c r="E1135" s="128">
        <f t="shared" si="32"/>
        <v>2022</v>
      </c>
      <c r="F1135" s="127">
        <f>_xlfn.XLOOKUP(D395,'3. Input (des)investeringen '!$B$11:$B$81,'3. Input (des)investeringen '!$E$11:$E$81)</f>
        <v>0</v>
      </c>
    </row>
    <row r="1136" spans="2:6">
      <c r="B1136">
        <v>379</v>
      </c>
      <c r="D1136" s="129">
        <f t="shared" si="31"/>
        <v>50682.596958467213</v>
      </c>
      <c r="E1136" s="128">
        <f t="shared" si="32"/>
        <v>2022</v>
      </c>
      <c r="F1136" s="127">
        <f>_xlfn.XLOOKUP(D396,'3. Input (des)investeringen '!$B$11:$B$81,'3. Input (des)investeringen '!$E$11:$E$81)</f>
        <v>0</v>
      </c>
    </row>
    <row r="1137" spans="2:6">
      <c r="B1137">
        <v>380</v>
      </c>
      <c r="D1137" s="129">
        <f t="shared" si="31"/>
        <v>17898.901808781233</v>
      </c>
      <c r="E1137" s="128">
        <f t="shared" si="32"/>
        <v>2022</v>
      </c>
      <c r="F1137" s="127">
        <f>_xlfn.XLOOKUP(D397,'3. Input (des)investeringen '!$B$11:$B$81,'3. Input (des)investeringen '!$E$11:$E$81)</f>
        <v>0</v>
      </c>
    </row>
    <row r="1138" spans="2:6">
      <c r="B1138">
        <v>381</v>
      </c>
      <c r="D1138" s="129">
        <f t="shared" si="31"/>
        <v>403437.44663486362</v>
      </c>
      <c r="E1138" s="128">
        <f t="shared" si="32"/>
        <v>2022</v>
      </c>
      <c r="F1138" s="127">
        <f>_xlfn.XLOOKUP(D398,'3. Input (des)investeringen '!$B$11:$B$81,'3. Input (des)investeringen '!$E$11:$E$81)</f>
        <v>0</v>
      </c>
    </row>
    <row r="1139" spans="2:6">
      <c r="B1139">
        <v>382</v>
      </c>
      <c r="D1139" s="129">
        <f t="shared" si="31"/>
        <v>188217.0689445266</v>
      </c>
      <c r="E1139" s="128">
        <f t="shared" si="32"/>
        <v>2022</v>
      </c>
      <c r="F1139" s="127">
        <f>_xlfn.XLOOKUP(D399,'3. Input (des)investeringen '!$B$11:$B$81,'3. Input (des)investeringen '!$E$11:$E$81)</f>
        <v>0</v>
      </c>
    </row>
    <row r="1140" spans="2:6">
      <c r="B1140">
        <v>383</v>
      </c>
      <c r="D1140" s="129">
        <f t="shared" si="31"/>
        <v>48823.521113041956</v>
      </c>
      <c r="E1140" s="128">
        <f t="shared" si="32"/>
        <v>2022</v>
      </c>
      <c r="F1140" s="127">
        <f>_xlfn.XLOOKUP(D400,'3. Input (des)investeringen '!$B$11:$B$81,'3. Input (des)investeringen '!$E$11:$E$81)</f>
        <v>0</v>
      </c>
    </row>
    <row r="1141" spans="2:6">
      <c r="B1141">
        <v>384</v>
      </c>
      <c r="D1141" s="129">
        <f t="shared" si="31"/>
        <v>120450.03732565988</v>
      </c>
      <c r="E1141" s="128">
        <f t="shared" si="32"/>
        <v>2022</v>
      </c>
      <c r="F1141" s="127">
        <f>_xlfn.XLOOKUP(D401,'3. Input (des)investeringen '!$B$11:$B$81,'3. Input (des)investeringen '!$E$11:$E$81)</f>
        <v>0</v>
      </c>
    </row>
    <row r="1142" spans="2:6">
      <c r="B1142">
        <v>385</v>
      </c>
      <c r="D1142" s="129">
        <f t="shared" ref="D1142:D1164" si="33">F402*INDEX($E$673:$CG$753,E402-1945,G402-1945)</f>
        <v>416421.94666146499</v>
      </c>
      <c r="E1142" s="128">
        <f t="shared" ref="E1142:E1164" si="34">G402</f>
        <v>2022</v>
      </c>
      <c r="F1142" s="127">
        <f>_xlfn.XLOOKUP(D402,'3. Input (des)investeringen '!$B$11:$B$81,'3. Input (des)investeringen '!$E$11:$E$81)</f>
        <v>1</v>
      </c>
    </row>
    <row r="1143" spans="2:6">
      <c r="B1143">
        <v>386</v>
      </c>
      <c r="D1143" s="129">
        <f t="shared" si="33"/>
        <v>421406.95898024359</v>
      </c>
      <c r="E1143" s="128">
        <f t="shared" si="34"/>
        <v>2022</v>
      </c>
      <c r="F1143" s="127">
        <f>_xlfn.XLOOKUP(D403,'3. Input (des)investeringen '!$B$11:$B$81,'3. Input (des)investeringen '!$E$11:$E$81)</f>
        <v>1</v>
      </c>
    </row>
    <row r="1144" spans="2:6">
      <c r="B1144">
        <v>387</v>
      </c>
      <c r="D1144" s="129">
        <f t="shared" si="33"/>
        <v>692157.2316583636</v>
      </c>
      <c r="E1144" s="128">
        <f t="shared" si="34"/>
        <v>2022</v>
      </c>
      <c r="F1144" s="127">
        <f>_xlfn.XLOOKUP(D404,'3. Input (des)investeringen '!$B$11:$B$81,'3. Input (des)investeringen '!$E$11:$E$81)</f>
        <v>1</v>
      </c>
    </row>
    <row r="1145" spans="2:6">
      <c r="B1145">
        <v>388</v>
      </c>
      <c r="D1145" s="129">
        <f t="shared" si="33"/>
        <v>25209.605468598776</v>
      </c>
      <c r="E1145" s="128">
        <f t="shared" si="34"/>
        <v>2022</v>
      </c>
      <c r="F1145" s="127">
        <f>_xlfn.XLOOKUP(D405,'3. Input (des)investeringen '!$B$11:$B$81,'3. Input (des)investeringen '!$E$11:$E$81)</f>
        <v>1</v>
      </c>
    </row>
    <row r="1146" spans="2:6">
      <c r="B1146">
        <v>389</v>
      </c>
      <c r="D1146" s="129">
        <f t="shared" si="33"/>
        <v>140714.3745480834</v>
      </c>
      <c r="E1146" s="128">
        <f t="shared" si="34"/>
        <v>2022</v>
      </c>
      <c r="F1146" s="127">
        <f>_xlfn.XLOOKUP(D406,'3. Input (des)investeringen '!$B$11:$B$81,'3. Input (des)investeringen '!$E$11:$E$81)</f>
        <v>1</v>
      </c>
    </row>
    <row r="1147" spans="2:6">
      <c r="B1147">
        <v>390</v>
      </c>
      <c r="D1147" s="129">
        <f t="shared" si="33"/>
        <v>3286060.4941140958</v>
      </c>
      <c r="E1147" s="128">
        <f t="shared" si="34"/>
        <v>2022</v>
      </c>
      <c r="F1147" s="127">
        <f>_xlfn.XLOOKUP(D407,'3. Input (des)investeringen '!$B$11:$B$81,'3. Input (des)investeringen '!$E$11:$E$81)</f>
        <v>0</v>
      </c>
    </row>
    <row r="1148" spans="2:6">
      <c r="B1148">
        <v>391</v>
      </c>
      <c r="D1148" s="129">
        <f t="shared" si="33"/>
        <v>2889336.0511362744</v>
      </c>
      <c r="E1148" s="128">
        <f t="shared" si="34"/>
        <v>2022</v>
      </c>
      <c r="F1148" s="127">
        <f>_xlfn.XLOOKUP(D408,'3. Input (des)investeringen '!$B$11:$B$81,'3. Input (des)investeringen '!$E$11:$E$81)</f>
        <v>0</v>
      </c>
    </row>
    <row r="1149" spans="2:6">
      <c r="B1149">
        <v>392</v>
      </c>
      <c r="D1149" s="129">
        <f t="shared" si="33"/>
        <v>68228.736381040857</v>
      </c>
      <c r="E1149" s="128">
        <f t="shared" si="34"/>
        <v>2022</v>
      </c>
      <c r="F1149" s="127">
        <f>_xlfn.XLOOKUP(D409,'3. Input (des)investeringen '!$B$11:$B$81,'3. Input (des)investeringen '!$E$11:$E$81)</f>
        <v>0</v>
      </c>
    </row>
    <row r="1150" spans="2:6">
      <c r="B1150">
        <v>393</v>
      </c>
      <c r="D1150" s="129">
        <f t="shared" si="33"/>
        <v>10160.534376059844</v>
      </c>
      <c r="E1150" s="128">
        <f t="shared" si="34"/>
        <v>2022</v>
      </c>
      <c r="F1150" s="127">
        <f>_xlfn.XLOOKUP(D410,'3. Input (des)investeringen '!$B$11:$B$81,'3. Input (des)investeringen '!$E$11:$E$81)</f>
        <v>1</v>
      </c>
    </row>
    <row r="1151" spans="2:6">
      <c r="B1151">
        <v>394</v>
      </c>
      <c r="D1151" s="129">
        <f t="shared" si="33"/>
        <v>147761.88545380786</v>
      </c>
      <c r="E1151" s="128">
        <f t="shared" si="34"/>
        <v>2022</v>
      </c>
      <c r="F1151" s="127">
        <f>_xlfn.XLOOKUP(D411,'3. Input (des)investeringen '!$B$11:$B$81,'3. Input (des)investeringen '!$E$11:$E$81)</f>
        <v>1</v>
      </c>
    </row>
    <row r="1152" spans="2:6">
      <c r="B1152">
        <v>395</v>
      </c>
      <c r="D1152" s="129">
        <f t="shared" si="33"/>
        <v>45540.794182929996</v>
      </c>
      <c r="E1152" s="128">
        <f t="shared" si="34"/>
        <v>2022</v>
      </c>
      <c r="F1152" s="127">
        <f>_xlfn.XLOOKUP(D412,'3. Input (des)investeringen '!$B$11:$B$81,'3. Input (des)investeringen '!$E$11:$E$81)</f>
        <v>1</v>
      </c>
    </row>
    <row r="1153" spans="2:9">
      <c r="B1153">
        <v>396</v>
      </c>
      <c r="D1153" s="129">
        <f t="shared" si="33"/>
        <v>93894.172378139556</v>
      </c>
      <c r="E1153" s="128">
        <f t="shared" si="34"/>
        <v>2022</v>
      </c>
      <c r="F1153" s="127">
        <f>_xlfn.XLOOKUP(D413,'3. Input (des)investeringen '!$B$11:$B$81,'3. Input (des)investeringen '!$E$11:$E$81)</f>
        <v>1</v>
      </c>
    </row>
    <row r="1154" spans="2:9">
      <c r="B1154">
        <v>397</v>
      </c>
      <c r="D1154" s="129">
        <f t="shared" si="33"/>
        <v>177718.38388286164</v>
      </c>
      <c r="E1154" s="128">
        <f t="shared" si="34"/>
        <v>2022</v>
      </c>
      <c r="F1154" s="127">
        <f>_xlfn.XLOOKUP(D414,'3. Input (des)investeringen '!$B$11:$B$81,'3. Input (des)investeringen '!$E$11:$E$81)</f>
        <v>1</v>
      </c>
    </row>
    <row r="1155" spans="2:9">
      <c r="B1155">
        <v>398</v>
      </c>
      <c r="D1155" s="129">
        <f t="shared" si="33"/>
        <v>1294499.6997653714</v>
      </c>
      <c r="E1155" s="128">
        <f t="shared" si="34"/>
        <v>2022</v>
      </c>
      <c r="F1155" s="127">
        <f>_xlfn.XLOOKUP(D415,'3. Input (des)investeringen '!$B$11:$B$81,'3. Input (des)investeringen '!$E$11:$E$81)</f>
        <v>1</v>
      </c>
    </row>
    <row r="1156" spans="2:9">
      <c r="B1156">
        <v>399</v>
      </c>
      <c r="D1156" s="129">
        <f t="shared" si="33"/>
        <v>2808385.7094326685</v>
      </c>
      <c r="E1156" s="128">
        <f t="shared" si="34"/>
        <v>2022</v>
      </c>
      <c r="F1156" s="127">
        <f>_xlfn.XLOOKUP(D416,'3. Input (des)investeringen '!$B$11:$B$81,'3. Input (des)investeringen '!$E$11:$E$81)</f>
        <v>1</v>
      </c>
    </row>
    <row r="1157" spans="2:9">
      <c r="B1157">
        <v>400</v>
      </c>
      <c r="D1157" s="129">
        <f t="shared" si="33"/>
        <v>45194.667709534398</v>
      </c>
      <c r="E1157" s="128">
        <f t="shared" si="34"/>
        <v>2022</v>
      </c>
      <c r="F1157" s="127">
        <f>_xlfn.XLOOKUP(D417,'3. Input (des)investeringen '!$B$11:$B$81,'3. Input (des)investeringen '!$E$11:$E$81)</f>
        <v>1</v>
      </c>
    </row>
    <row r="1158" spans="2:9">
      <c r="B1158">
        <v>401</v>
      </c>
      <c r="D1158" s="129">
        <f t="shared" si="33"/>
        <v>352203.69724490831</v>
      </c>
      <c r="E1158" s="128">
        <f t="shared" si="34"/>
        <v>2022</v>
      </c>
      <c r="F1158" s="127">
        <f>_xlfn.XLOOKUP(D418,'3. Input (des)investeringen '!$B$11:$B$81,'3. Input (des)investeringen '!$E$11:$E$81)</f>
        <v>1</v>
      </c>
    </row>
    <row r="1159" spans="2:9">
      <c r="B1159">
        <v>402</v>
      </c>
      <c r="D1159" s="129">
        <f t="shared" si="33"/>
        <v>263048.27140793024</v>
      </c>
      <c r="E1159" s="128">
        <f t="shared" si="34"/>
        <v>2022</v>
      </c>
      <c r="F1159" s="127">
        <f>_xlfn.XLOOKUP(D419,'3. Input (des)investeringen '!$B$11:$B$81,'3. Input (des)investeringen '!$E$11:$E$81)</f>
        <v>1</v>
      </c>
    </row>
    <row r="1160" spans="2:9">
      <c r="B1160">
        <v>403</v>
      </c>
      <c r="D1160" s="129">
        <f t="shared" si="33"/>
        <v>458832.76437743992</v>
      </c>
      <c r="E1160" s="128">
        <f t="shared" si="34"/>
        <v>2022</v>
      </c>
      <c r="F1160" s="127">
        <f>_xlfn.XLOOKUP(D420,'3. Input (des)investeringen '!$B$11:$B$81,'3. Input (des)investeringen '!$E$11:$E$81)</f>
        <v>1</v>
      </c>
    </row>
    <row r="1161" spans="2:9">
      <c r="B1161">
        <v>404</v>
      </c>
      <c r="D1161" s="129">
        <f t="shared" si="33"/>
        <v>3568467.7964144056</v>
      </c>
      <c r="E1161" s="128">
        <f t="shared" si="34"/>
        <v>2022</v>
      </c>
      <c r="F1161" s="127">
        <f>_xlfn.XLOOKUP(D421,'3. Input (des)investeringen '!$B$11:$B$81,'3. Input (des)investeringen '!$E$11:$E$81)</f>
        <v>1</v>
      </c>
    </row>
    <row r="1162" spans="2:9">
      <c r="B1162">
        <v>405</v>
      </c>
      <c r="D1162" s="129">
        <f t="shared" si="33"/>
        <v>26233.757086429297</v>
      </c>
      <c r="E1162" s="128">
        <f t="shared" si="34"/>
        <v>2022</v>
      </c>
      <c r="F1162" s="127">
        <f>_xlfn.XLOOKUP(D422,'3. Input (des)investeringen '!$B$11:$B$81,'3. Input (des)investeringen '!$E$11:$E$81)</f>
        <v>1</v>
      </c>
    </row>
    <row r="1163" spans="2:9">
      <c r="B1163">
        <v>406</v>
      </c>
      <c r="D1163" s="129">
        <f t="shared" si="33"/>
        <v>452051.40390749951</v>
      </c>
      <c r="E1163" s="128">
        <f t="shared" si="34"/>
        <v>2022</v>
      </c>
      <c r="F1163" s="127">
        <f>_xlfn.XLOOKUP(D423,'3. Input (des)investeringen '!$B$11:$B$81,'3. Input (des)investeringen '!$E$11:$E$81)</f>
        <v>1</v>
      </c>
    </row>
    <row r="1164" spans="2:9">
      <c r="B1164">
        <v>407</v>
      </c>
      <c r="D1164" s="129">
        <f t="shared" si="33"/>
        <v>57956.278680094474</v>
      </c>
      <c r="E1164" s="128">
        <f t="shared" si="34"/>
        <v>2022</v>
      </c>
      <c r="F1164" s="127">
        <f>_xlfn.XLOOKUP(D424,'3. Input (des)investeringen '!$B$11:$B$81,'3. Input (des)investeringen '!$E$11:$E$81)</f>
        <v>1</v>
      </c>
    </row>
    <row r="1165" spans="2:9">
      <c r="B1165">
        <v>408</v>
      </c>
      <c r="D1165" s="129">
        <f t="shared" ref="D1165:D1228" si="35">F425*INDEX($E$673:$CG$753,E425-1945,G425-1945)</f>
        <v>285635.79568697215</v>
      </c>
      <c r="E1165" s="128">
        <f t="shared" ref="E1165:E1228" si="36">G425</f>
        <v>2023</v>
      </c>
      <c r="F1165" s="127">
        <f>_xlfn.XLOOKUP(D425,'3. Input (des)investeringen '!$B$11:$B$81,'3. Input (des)investeringen '!$E$11:$E$81)</f>
        <v>1</v>
      </c>
    </row>
    <row r="1166" spans="2:9">
      <c r="B1166">
        <v>409</v>
      </c>
      <c r="D1166" s="129">
        <f t="shared" si="35"/>
        <v>249266.83112068888</v>
      </c>
      <c r="E1166" s="128">
        <f t="shared" si="36"/>
        <v>2023</v>
      </c>
      <c r="F1166" s="127">
        <f>_xlfn.XLOOKUP(D426,'3. Input (des)investeringen '!$B$11:$B$81,'3. Input (des)investeringen '!$E$11:$E$81)</f>
        <v>1</v>
      </c>
    </row>
    <row r="1167" spans="2:9">
      <c r="B1167">
        <v>410</v>
      </c>
      <c r="D1167" s="129">
        <f t="shared" si="35"/>
        <v>347574.85703515873</v>
      </c>
      <c r="E1167" s="128">
        <f t="shared" si="36"/>
        <v>2023</v>
      </c>
      <c r="F1167" s="127">
        <f>_xlfn.XLOOKUP(D427,'3. Input (des)investeringen '!$B$11:$B$81,'3. Input (des)investeringen '!$E$11:$E$81)</f>
        <v>1</v>
      </c>
      <c r="I1167" s="327"/>
    </row>
    <row r="1168" spans="2:9">
      <c r="B1168">
        <v>411</v>
      </c>
      <c r="D1168" s="129">
        <f t="shared" si="35"/>
        <v>321100.81484869617</v>
      </c>
      <c r="E1168" s="128">
        <f t="shared" si="36"/>
        <v>2023</v>
      </c>
      <c r="F1168" s="127">
        <f>_xlfn.XLOOKUP(D428,'3. Input (des)investeringen '!$B$11:$B$81,'3. Input (des)investeringen '!$E$11:$E$81)</f>
        <v>1</v>
      </c>
    </row>
    <row r="1169" spans="2:6">
      <c r="B1169">
        <v>412</v>
      </c>
      <c r="D1169" s="129">
        <f t="shared" si="35"/>
        <v>861524.88487694261</v>
      </c>
      <c r="E1169" s="128">
        <f t="shared" si="36"/>
        <v>2023</v>
      </c>
      <c r="F1169" s="127">
        <f>_xlfn.XLOOKUP(D429,'3. Input (des)investeringen '!$B$11:$B$81,'3. Input (des)investeringen '!$E$11:$E$81)</f>
        <v>1</v>
      </c>
    </row>
    <row r="1170" spans="2:6">
      <c r="B1170">
        <v>413</v>
      </c>
      <c r="D1170" s="129">
        <f t="shared" si="35"/>
        <v>469490.76539010642</v>
      </c>
      <c r="E1170" s="128">
        <f t="shared" si="36"/>
        <v>2023</v>
      </c>
      <c r="F1170" s="127">
        <f>_xlfn.XLOOKUP(D430,'3. Input (des)investeringen '!$B$11:$B$81,'3. Input (des)investeringen '!$E$11:$E$81)</f>
        <v>1</v>
      </c>
    </row>
    <row r="1171" spans="2:6">
      <c r="B1171">
        <v>414</v>
      </c>
      <c r="D1171" s="129">
        <f t="shared" si="35"/>
        <v>483622.21037156548</v>
      </c>
      <c r="E1171" s="128">
        <f t="shared" si="36"/>
        <v>2023</v>
      </c>
      <c r="F1171" s="127">
        <f>_xlfn.XLOOKUP(D431,'3. Input (des)investeringen '!$B$11:$B$81,'3. Input (des)investeringen '!$E$11:$E$81)</f>
        <v>1</v>
      </c>
    </row>
    <row r="1172" spans="2:6">
      <c r="B1172">
        <v>415</v>
      </c>
      <c r="D1172" s="129">
        <f t="shared" si="35"/>
        <v>2866585.2646686863</v>
      </c>
      <c r="E1172" s="128">
        <f t="shared" si="36"/>
        <v>2023</v>
      </c>
      <c r="F1172" s="127">
        <f>_xlfn.XLOOKUP(D432,'3. Input (des)investeringen '!$B$11:$B$81,'3. Input (des)investeringen '!$E$11:$E$81)</f>
        <v>1</v>
      </c>
    </row>
    <row r="1173" spans="2:6">
      <c r="B1173">
        <v>416</v>
      </c>
      <c r="D1173" s="129">
        <f t="shared" si="35"/>
        <v>932820.72214634728</v>
      </c>
      <c r="E1173" s="128">
        <f t="shared" si="36"/>
        <v>2023</v>
      </c>
      <c r="F1173" s="127">
        <f>_xlfn.XLOOKUP(D433,'3. Input (des)investeringen '!$B$11:$B$81,'3. Input (des)investeringen '!$E$11:$E$81)</f>
        <v>1</v>
      </c>
    </row>
    <row r="1174" spans="2:6">
      <c r="B1174">
        <v>417</v>
      </c>
      <c r="D1174" s="129">
        <f t="shared" si="35"/>
        <v>1185977.7434346818</v>
      </c>
      <c r="E1174" s="128">
        <f t="shared" si="36"/>
        <v>2023</v>
      </c>
      <c r="F1174" s="127">
        <f>_xlfn.XLOOKUP(D434,'3. Input (des)investeringen '!$B$11:$B$81,'3. Input (des)investeringen '!$E$11:$E$81)</f>
        <v>1</v>
      </c>
    </row>
    <row r="1175" spans="2:6">
      <c r="B1175">
        <v>418</v>
      </c>
      <c r="D1175" s="129">
        <f t="shared" si="35"/>
        <v>509869.90481401538</v>
      </c>
      <c r="E1175" s="128">
        <f t="shared" si="36"/>
        <v>2023</v>
      </c>
      <c r="F1175" s="127">
        <f>_xlfn.XLOOKUP(D435,'3. Input (des)investeringen '!$B$11:$B$81,'3. Input (des)investeringen '!$E$11:$E$81)</f>
        <v>1</v>
      </c>
    </row>
    <row r="1176" spans="2:6">
      <c r="B1176">
        <v>419</v>
      </c>
      <c r="D1176" s="129">
        <f t="shared" si="35"/>
        <v>236808.48168715212</v>
      </c>
      <c r="E1176" s="128">
        <f t="shared" si="36"/>
        <v>2023</v>
      </c>
      <c r="F1176" s="127">
        <f>_xlfn.XLOOKUP(D436,'3. Input (des)investeringen '!$B$11:$B$81,'3. Input (des)investeringen '!$E$11:$E$81)</f>
        <v>1</v>
      </c>
    </row>
    <row r="1177" spans="2:6">
      <c r="B1177">
        <v>420</v>
      </c>
      <c r="D1177" s="129">
        <f t="shared" si="35"/>
        <v>157003.07208654779</v>
      </c>
      <c r="E1177" s="128">
        <f t="shared" si="36"/>
        <v>2023</v>
      </c>
      <c r="F1177" s="127">
        <f>_xlfn.XLOOKUP(D437,'3. Input (des)investeringen '!$B$11:$B$81,'3. Input (des)investeringen '!$E$11:$E$81)</f>
        <v>1</v>
      </c>
    </row>
    <row r="1178" spans="2:6">
      <c r="B1178">
        <v>421</v>
      </c>
      <c r="D1178" s="129">
        <f t="shared" si="35"/>
        <v>9486.0875217443881</v>
      </c>
      <c r="E1178" s="128">
        <f t="shared" si="36"/>
        <v>2023</v>
      </c>
      <c r="F1178" s="127">
        <f>_xlfn.XLOOKUP(D438,'3. Input (des)investeringen '!$B$11:$B$81,'3. Input (des)investeringen '!$E$11:$E$81)</f>
        <v>1</v>
      </c>
    </row>
    <row r="1179" spans="2:6">
      <c r="B1179">
        <v>422</v>
      </c>
      <c r="D1179" s="129">
        <f t="shared" si="35"/>
        <v>2884.0040012863105</v>
      </c>
      <c r="E1179" s="128">
        <f t="shared" si="36"/>
        <v>2023</v>
      </c>
      <c r="F1179" s="127">
        <f>_xlfn.XLOOKUP(D439,'3. Input (des)investeringen '!$B$11:$B$81,'3. Input (des)investeringen '!$E$11:$E$81)</f>
        <v>1</v>
      </c>
    </row>
    <row r="1180" spans="2:6">
      <c r="B1180">
        <v>423</v>
      </c>
      <c r="D1180" s="129">
        <f t="shared" si="35"/>
        <v>4183.7080719061742</v>
      </c>
      <c r="E1180" s="128">
        <f t="shared" si="36"/>
        <v>2023</v>
      </c>
      <c r="F1180" s="127">
        <f>_xlfn.XLOOKUP(D440,'3. Input (des)investeringen '!$B$11:$B$81,'3. Input (des)investeringen '!$E$11:$E$81)</f>
        <v>1</v>
      </c>
    </row>
    <row r="1181" spans="2:6">
      <c r="B1181">
        <v>424</v>
      </c>
      <c r="D1181" s="129">
        <f t="shared" si="35"/>
        <v>17193.152762402715</v>
      </c>
      <c r="E1181" s="128">
        <f t="shared" si="36"/>
        <v>2023</v>
      </c>
      <c r="F1181" s="127">
        <f>_xlfn.XLOOKUP(D441,'3. Input (des)investeringen '!$B$11:$B$81,'3. Input (des)investeringen '!$E$11:$E$81)</f>
        <v>1</v>
      </c>
    </row>
    <row r="1182" spans="2:6">
      <c r="B1182">
        <v>425</v>
      </c>
      <c r="D1182" s="129">
        <f t="shared" si="35"/>
        <v>310985.27946651384</v>
      </c>
      <c r="E1182" s="128">
        <f t="shared" si="36"/>
        <v>2023</v>
      </c>
      <c r="F1182" s="127">
        <f>_xlfn.XLOOKUP(D442,'3. Input (des)investeringen '!$B$11:$B$81,'3. Input (des)investeringen '!$E$11:$E$81)</f>
        <v>1</v>
      </c>
    </row>
    <row r="1183" spans="2:6">
      <c r="B1183">
        <v>426</v>
      </c>
      <c r="D1183" s="129">
        <f t="shared" si="35"/>
        <v>0</v>
      </c>
      <c r="E1183" s="128">
        <f t="shared" si="36"/>
        <v>2023</v>
      </c>
      <c r="F1183" s="127">
        <f>_xlfn.XLOOKUP(D443,'3. Input (des)investeringen '!$B$11:$B$81,'3. Input (des)investeringen '!$E$11:$E$81)</f>
        <v>1</v>
      </c>
    </row>
    <row r="1184" spans="2:6">
      <c r="B1184">
        <v>427</v>
      </c>
      <c r="D1184" s="129">
        <f t="shared" si="35"/>
        <v>56189.66023157903</v>
      </c>
      <c r="E1184" s="128">
        <f t="shared" si="36"/>
        <v>2023</v>
      </c>
      <c r="F1184" s="127">
        <f>_xlfn.XLOOKUP(D444,'3. Input (des)investeringen '!$B$11:$B$81,'3. Input (des)investeringen '!$E$11:$E$81)</f>
        <v>1</v>
      </c>
    </row>
    <row r="1185" spans="2:6">
      <c r="B1185">
        <v>428</v>
      </c>
      <c r="D1185" s="129">
        <f t="shared" si="35"/>
        <v>23066.943191521783</v>
      </c>
      <c r="E1185" s="128">
        <f t="shared" si="36"/>
        <v>2023</v>
      </c>
      <c r="F1185" s="127">
        <f>_xlfn.XLOOKUP(D445,'3. Input (des)investeringen '!$B$11:$B$81,'3. Input (des)investeringen '!$E$11:$E$81)</f>
        <v>1</v>
      </c>
    </row>
    <row r="1186" spans="2:6">
      <c r="B1186">
        <v>429</v>
      </c>
      <c r="D1186" s="129">
        <f t="shared" si="35"/>
        <v>61765.863576058793</v>
      </c>
      <c r="E1186" s="128">
        <f t="shared" si="36"/>
        <v>2023</v>
      </c>
      <c r="F1186" s="127">
        <f>_xlfn.XLOOKUP(D446,'3. Input (des)investeringen '!$B$11:$B$81,'3. Input (des)investeringen '!$E$11:$E$81)</f>
        <v>1</v>
      </c>
    </row>
    <row r="1187" spans="2:6">
      <c r="B1187">
        <v>430</v>
      </c>
      <c r="D1187" s="129">
        <f t="shared" si="35"/>
        <v>76760.168932161934</v>
      </c>
      <c r="E1187" s="128">
        <f t="shared" si="36"/>
        <v>2023</v>
      </c>
      <c r="F1187" s="127">
        <f>_xlfn.XLOOKUP(D447,'3. Input (des)investeringen '!$B$11:$B$81,'3. Input (des)investeringen '!$E$11:$E$81)</f>
        <v>1</v>
      </c>
    </row>
    <row r="1188" spans="2:6">
      <c r="B1188">
        <v>431</v>
      </c>
      <c r="D1188" s="129">
        <f t="shared" si="35"/>
        <v>13814.065455958173</v>
      </c>
      <c r="E1188" s="128">
        <f t="shared" si="36"/>
        <v>2023</v>
      </c>
      <c r="F1188" s="127">
        <f>_xlfn.XLOOKUP(D448,'3. Input (des)investeringen '!$B$11:$B$81,'3. Input (des)investeringen '!$E$11:$E$81)</f>
        <v>1</v>
      </c>
    </row>
    <row r="1189" spans="2:6">
      <c r="B1189">
        <v>432</v>
      </c>
      <c r="D1189" s="129">
        <f t="shared" si="35"/>
        <v>489924.0047235713</v>
      </c>
      <c r="E1189" s="128">
        <f t="shared" si="36"/>
        <v>2023</v>
      </c>
      <c r="F1189" s="127">
        <f>_xlfn.XLOOKUP(D449,'3. Input (des)investeringen '!$B$11:$B$81,'3. Input (des)investeringen '!$E$11:$E$81)</f>
        <v>1</v>
      </c>
    </row>
    <row r="1190" spans="2:6">
      <c r="B1190">
        <v>433</v>
      </c>
      <c r="D1190" s="129">
        <f t="shared" si="35"/>
        <v>22437.577813218642</v>
      </c>
      <c r="E1190" s="128">
        <f t="shared" si="36"/>
        <v>2023</v>
      </c>
      <c r="F1190" s="127">
        <f>_xlfn.XLOOKUP(D450,'3. Input (des)investeringen '!$B$11:$B$81,'3. Input (des)investeringen '!$E$11:$E$81)</f>
        <v>1</v>
      </c>
    </row>
    <row r="1191" spans="2:6">
      <c r="B1191">
        <v>434</v>
      </c>
      <c r="D1191" s="129">
        <f t="shared" si="35"/>
        <v>482022.08869529201</v>
      </c>
      <c r="E1191" s="128">
        <f t="shared" si="36"/>
        <v>2023</v>
      </c>
      <c r="F1191" s="127">
        <f>_xlfn.XLOOKUP(D451,'3. Input (des)investeringen '!$B$11:$B$81,'3. Input (des)investeringen '!$E$11:$E$81)</f>
        <v>1</v>
      </c>
    </row>
    <row r="1192" spans="2:6">
      <c r="B1192">
        <v>435</v>
      </c>
      <c r="D1192" s="129">
        <f t="shared" si="35"/>
        <v>109148.11117929975</v>
      </c>
      <c r="E1192" s="128">
        <f t="shared" si="36"/>
        <v>2023</v>
      </c>
      <c r="F1192" s="127">
        <f>_xlfn.XLOOKUP(D452,'3. Input (des)investeringen '!$B$11:$B$81,'3. Input (des)investeringen '!$E$11:$E$81)</f>
        <v>0</v>
      </c>
    </row>
    <row r="1193" spans="2:6">
      <c r="B1193">
        <v>436</v>
      </c>
      <c r="D1193" s="129">
        <f t="shared" si="35"/>
        <v>798682.37055175169</v>
      </c>
      <c r="E1193" s="128">
        <f t="shared" si="36"/>
        <v>2023</v>
      </c>
      <c r="F1193" s="127">
        <f>_xlfn.XLOOKUP(D453,'3. Input (des)investeringen '!$B$11:$B$81,'3. Input (des)investeringen '!$E$11:$E$81)</f>
        <v>0</v>
      </c>
    </row>
    <row r="1194" spans="2:6">
      <c r="B1194">
        <v>437</v>
      </c>
      <c r="D1194" s="129">
        <f t="shared" si="35"/>
        <v>1030761.6522493181</v>
      </c>
      <c r="E1194" s="128">
        <f t="shared" si="36"/>
        <v>2023</v>
      </c>
      <c r="F1194" s="127">
        <f>_xlfn.XLOOKUP(D454,'3. Input (des)investeringen '!$B$11:$B$81,'3. Input (des)investeringen '!$E$11:$E$81)</f>
        <v>0</v>
      </c>
    </row>
    <row r="1195" spans="2:6">
      <c r="B1195">
        <v>438</v>
      </c>
      <c r="D1195" s="129">
        <f t="shared" si="35"/>
        <v>173319.41485069564</v>
      </c>
      <c r="E1195" s="128">
        <f t="shared" si="36"/>
        <v>2023</v>
      </c>
      <c r="F1195" s="127">
        <f>_xlfn.XLOOKUP(D455,'3. Input (des)investeringen '!$B$11:$B$81,'3. Input (des)investeringen '!$E$11:$E$81)</f>
        <v>0</v>
      </c>
    </row>
    <row r="1196" spans="2:6">
      <c r="B1196">
        <v>439</v>
      </c>
      <c r="D1196" s="129">
        <f t="shared" si="35"/>
        <v>522403.79514717701</v>
      </c>
      <c r="E1196" s="128">
        <f t="shared" si="36"/>
        <v>2023</v>
      </c>
      <c r="F1196" s="127">
        <f>_xlfn.XLOOKUP(D456,'3. Input (des)investeringen '!$B$11:$B$81,'3. Input (des)investeringen '!$E$11:$E$81)</f>
        <v>0</v>
      </c>
    </row>
    <row r="1197" spans="2:6">
      <c r="B1197">
        <v>440</v>
      </c>
      <c r="D1197" s="129">
        <f t="shared" si="35"/>
        <v>393499.97479407035</v>
      </c>
      <c r="E1197" s="128">
        <f t="shared" si="36"/>
        <v>2023</v>
      </c>
      <c r="F1197" s="127">
        <f>_xlfn.XLOOKUP(D457,'3. Input (des)investeringen '!$B$11:$B$81,'3. Input (des)investeringen '!$E$11:$E$81)</f>
        <v>0</v>
      </c>
    </row>
    <row r="1198" spans="2:6">
      <c r="B1198">
        <v>441</v>
      </c>
      <c r="D1198" s="129">
        <f t="shared" si="35"/>
        <v>720079.2458849001</v>
      </c>
      <c r="E1198" s="128">
        <f t="shared" si="36"/>
        <v>2023</v>
      </c>
      <c r="F1198" s="127">
        <f>_xlfn.XLOOKUP(D458,'3. Input (des)investeringen '!$B$11:$B$81,'3. Input (des)investeringen '!$E$11:$E$81)</f>
        <v>0</v>
      </c>
    </row>
    <row r="1199" spans="2:6">
      <c r="B1199">
        <v>442</v>
      </c>
      <c r="D1199" s="129">
        <f t="shared" si="35"/>
        <v>324939.5513944648</v>
      </c>
      <c r="E1199" s="128">
        <f t="shared" si="36"/>
        <v>2023</v>
      </c>
      <c r="F1199" s="127">
        <f>_xlfn.XLOOKUP(D459,'3. Input (des)investeringen '!$B$11:$B$81,'3. Input (des)investeringen '!$E$11:$E$81)</f>
        <v>0</v>
      </c>
    </row>
    <row r="1200" spans="2:6">
      <c r="B1200">
        <v>443</v>
      </c>
      <c r="D1200" s="129">
        <f t="shared" si="35"/>
        <v>198849.71653117737</v>
      </c>
      <c r="E1200" s="128">
        <f t="shared" si="36"/>
        <v>2023</v>
      </c>
      <c r="F1200" s="127">
        <f>_xlfn.XLOOKUP(D460,'3. Input (des)investeringen '!$B$11:$B$81,'3. Input (des)investeringen '!$E$11:$E$81)</f>
        <v>0</v>
      </c>
    </row>
    <row r="1201" spans="2:6">
      <c r="B1201">
        <v>444</v>
      </c>
      <c r="D1201" s="129">
        <f t="shared" si="35"/>
        <v>164251.35459825987</v>
      </c>
      <c r="E1201" s="128">
        <f t="shared" si="36"/>
        <v>2023</v>
      </c>
      <c r="F1201" s="127">
        <f>_xlfn.XLOOKUP(D461,'3. Input (des)investeringen '!$B$11:$B$81,'3. Input (des)investeringen '!$E$11:$E$81)</f>
        <v>0</v>
      </c>
    </row>
    <row r="1202" spans="2:6">
      <c r="B1202">
        <v>445</v>
      </c>
      <c r="D1202" s="129">
        <f t="shared" si="35"/>
        <v>11733.192073654014</v>
      </c>
      <c r="E1202" s="128">
        <f t="shared" si="36"/>
        <v>2023</v>
      </c>
      <c r="F1202" s="127">
        <f>_xlfn.XLOOKUP(D462,'3. Input (des)investeringen '!$B$11:$B$81,'3. Input (des)investeringen '!$E$11:$E$81)</f>
        <v>0</v>
      </c>
    </row>
    <row r="1203" spans="2:6">
      <c r="B1203">
        <v>446</v>
      </c>
      <c r="D1203" s="129">
        <f t="shared" si="35"/>
        <v>125422.19335400098</v>
      </c>
      <c r="E1203" s="128">
        <f t="shared" si="36"/>
        <v>2023</v>
      </c>
      <c r="F1203" s="127">
        <f>_xlfn.XLOOKUP(D463,'3. Input (des)investeringen '!$B$11:$B$81,'3. Input (des)investeringen '!$E$11:$E$81)</f>
        <v>0</v>
      </c>
    </row>
    <row r="1204" spans="2:6">
      <c r="B1204">
        <v>447</v>
      </c>
      <c r="D1204" s="129">
        <f t="shared" si="35"/>
        <v>150583.87798958004</v>
      </c>
      <c r="E1204" s="128">
        <f t="shared" si="36"/>
        <v>2023</v>
      </c>
      <c r="F1204" s="127">
        <f>_xlfn.XLOOKUP(D464,'3. Input (des)investeringen '!$B$11:$B$81,'3. Input (des)investeringen '!$E$11:$E$81)</f>
        <v>0</v>
      </c>
    </row>
    <row r="1205" spans="2:6">
      <c r="B1205">
        <v>448</v>
      </c>
      <c r="D1205" s="129">
        <f t="shared" si="35"/>
        <v>187073.7124672959</v>
      </c>
      <c r="E1205" s="128">
        <f t="shared" si="36"/>
        <v>2023</v>
      </c>
      <c r="F1205" s="127">
        <f>_xlfn.XLOOKUP(D465,'3. Input (des)investeringen '!$B$11:$B$81,'3. Input (des)investeringen '!$E$11:$E$81)</f>
        <v>0</v>
      </c>
    </row>
    <row r="1206" spans="2:6">
      <c r="B1206">
        <v>449</v>
      </c>
      <c r="D1206" s="129">
        <f t="shared" si="35"/>
        <v>16141.872193424901</v>
      </c>
      <c r="E1206" s="128">
        <f t="shared" si="36"/>
        <v>2023</v>
      </c>
      <c r="F1206" s="127">
        <f>_xlfn.XLOOKUP(D466,'3. Input (des)investeringen '!$B$11:$B$81,'3. Input (des)investeringen '!$E$11:$E$81)</f>
        <v>0</v>
      </c>
    </row>
    <row r="1207" spans="2:6">
      <c r="B1207">
        <v>450</v>
      </c>
      <c r="D1207" s="129">
        <f t="shared" si="35"/>
        <v>6130.344945733591</v>
      </c>
      <c r="E1207" s="128">
        <f t="shared" si="36"/>
        <v>2023</v>
      </c>
      <c r="F1207" s="127">
        <f>_xlfn.XLOOKUP(D467,'3. Input (des)investeringen '!$B$11:$B$81,'3. Input (des)investeringen '!$E$11:$E$81)</f>
        <v>0</v>
      </c>
    </row>
    <row r="1208" spans="2:6">
      <c r="B1208">
        <v>451</v>
      </c>
      <c r="D1208" s="129">
        <f t="shared" si="35"/>
        <v>12506.026558124702</v>
      </c>
      <c r="E1208" s="128">
        <f t="shared" si="36"/>
        <v>2023</v>
      </c>
      <c r="F1208" s="127">
        <f>_xlfn.XLOOKUP(D468,'3. Input (des)investeringen '!$B$11:$B$81,'3. Input (des)investeringen '!$E$11:$E$81)</f>
        <v>0</v>
      </c>
    </row>
    <row r="1209" spans="2:6">
      <c r="B1209">
        <v>452</v>
      </c>
      <c r="D1209" s="129">
        <f t="shared" si="35"/>
        <v>378094.79162456573</v>
      </c>
      <c r="E1209" s="128">
        <f t="shared" si="36"/>
        <v>2023</v>
      </c>
      <c r="F1209" s="127">
        <f>_xlfn.XLOOKUP(D469,'3. Input (des)investeringen '!$B$11:$B$81,'3. Input (des)investeringen '!$E$11:$E$81)</f>
        <v>0</v>
      </c>
    </row>
    <row r="1210" spans="2:6">
      <c r="B1210">
        <v>453</v>
      </c>
      <c r="D1210" s="129">
        <f t="shared" si="35"/>
        <v>16053.69375893263</v>
      </c>
      <c r="E1210" s="128">
        <f t="shared" si="36"/>
        <v>2023</v>
      </c>
      <c r="F1210" s="127">
        <f>_xlfn.XLOOKUP(D470,'3. Input (des)investeringen '!$B$11:$B$81,'3. Input (des)investeringen '!$E$11:$E$81)</f>
        <v>0</v>
      </c>
    </row>
    <row r="1211" spans="2:6">
      <c r="B1211">
        <v>454</v>
      </c>
      <c r="D1211" s="129">
        <f t="shared" si="35"/>
        <v>16819.273813158587</v>
      </c>
      <c r="E1211" s="128">
        <f t="shared" si="36"/>
        <v>2023</v>
      </c>
      <c r="F1211" s="127">
        <f>_xlfn.XLOOKUP(D471,'3. Input (des)investeringen '!$B$11:$B$81,'3. Input (des)investeringen '!$E$11:$E$81)</f>
        <v>0</v>
      </c>
    </row>
    <row r="1212" spans="2:6">
      <c r="B1212">
        <v>455</v>
      </c>
      <c r="D1212" s="129">
        <f t="shared" si="35"/>
        <v>26274.547039751084</v>
      </c>
      <c r="E1212" s="128">
        <f t="shared" si="36"/>
        <v>2023</v>
      </c>
      <c r="F1212" s="127">
        <f>_xlfn.XLOOKUP(D472,'3. Input (des)investeringen '!$B$11:$B$81,'3. Input (des)investeringen '!$E$11:$E$81)</f>
        <v>0</v>
      </c>
    </row>
    <row r="1213" spans="2:6">
      <c r="B1213">
        <v>456</v>
      </c>
      <c r="D1213" s="129">
        <f t="shared" si="35"/>
        <v>34137.96127349008</v>
      </c>
      <c r="E1213" s="128">
        <f t="shared" si="36"/>
        <v>2023</v>
      </c>
      <c r="F1213" s="127">
        <f>_xlfn.XLOOKUP(D473,'3. Input (des)investeringen '!$B$11:$B$81,'3. Input (des)investeringen '!$E$11:$E$81)</f>
        <v>0</v>
      </c>
    </row>
    <row r="1214" spans="2:6">
      <c r="B1214">
        <v>457</v>
      </c>
      <c r="D1214" s="129">
        <f t="shared" si="35"/>
        <v>78535.654281385127</v>
      </c>
      <c r="E1214" s="128">
        <f t="shared" si="36"/>
        <v>2023</v>
      </c>
      <c r="F1214" s="127">
        <f>_xlfn.XLOOKUP(D474,'3. Input (des)investeringen '!$B$11:$B$81,'3. Input (des)investeringen '!$E$11:$E$81)</f>
        <v>0</v>
      </c>
    </row>
    <row r="1215" spans="2:6">
      <c r="B1215">
        <v>458</v>
      </c>
      <c r="D1215" s="129">
        <f t="shared" si="35"/>
        <v>34093.287733188481</v>
      </c>
      <c r="E1215" s="128">
        <f t="shared" si="36"/>
        <v>2023</v>
      </c>
      <c r="F1215" s="127">
        <f>_xlfn.XLOOKUP(D475,'3. Input (des)investeringen '!$B$11:$B$81,'3. Input (des)investeringen '!$E$11:$E$81)</f>
        <v>0</v>
      </c>
    </row>
    <row r="1216" spans="2:6">
      <c r="B1216">
        <v>459</v>
      </c>
      <c r="D1216" s="129">
        <f t="shared" si="35"/>
        <v>94879.334151807998</v>
      </c>
      <c r="E1216" s="128">
        <f t="shared" si="36"/>
        <v>2023</v>
      </c>
      <c r="F1216" s="127">
        <f>_xlfn.XLOOKUP(D476,'3. Input (des)investeringen '!$B$11:$B$81,'3. Input (des)investeringen '!$E$11:$E$81)</f>
        <v>0</v>
      </c>
    </row>
    <row r="1217" spans="2:6">
      <c r="B1217">
        <v>460</v>
      </c>
      <c r="D1217" s="129">
        <f t="shared" si="35"/>
        <v>7995.5990827184187</v>
      </c>
      <c r="E1217" s="128">
        <f t="shared" si="36"/>
        <v>2023</v>
      </c>
      <c r="F1217" s="127">
        <f>_xlfn.XLOOKUP(D477,'3. Input (des)investeringen '!$B$11:$B$81,'3. Input (des)investeringen '!$E$11:$E$81)</f>
        <v>1</v>
      </c>
    </row>
    <row r="1218" spans="2:6">
      <c r="B1218">
        <v>461</v>
      </c>
      <c r="D1218" s="129">
        <f t="shared" si="35"/>
        <v>202260.44489470436</v>
      </c>
      <c r="E1218" s="128">
        <f t="shared" si="36"/>
        <v>2023</v>
      </c>
      <c r="F1218" s="127">
        <f>_xlfn.XLOOKUP(D478,'3. Input (des)investeringen '!$B$11:$B$81,'3. Input (des)investeringen '!$E$11:$E$81)</f>
        <v>0</v>
      </c>
    </row>
    <row r="1219" spans="2:6">
      <c r="B1219">
        <v>462</v>
      </c>
      <c r="D1219" s="129">
        <f t="shared" si="35"/>
        <v>27363.85775491851</v>
      </c>
      <c r="E1219" s="128">
        <f t="shared" si="36"/>
        <v>2023</v>
      </c>
      <c r="F1219" s="127">
        <f>_xlfn.XLOOKUP(D479,'3. Input (des)investeringen '!$B$11:$B$81,'3. Input (des)investeringen '!$E$11:$E$81)</f>
        <v>0</v>
      </c>
    </row>
    <row r="1220" spans="2:6">
      <c r="B1220">
        <v>463</v>
      </c>
      <c r="D1220" s="129">
        <f t="shared" si="35"/>
        <v>2099990.2025125339</v>
      </c>
      <c r="E1220" s="128">
        <f t="shared" si="36"/>
        <v>2023</v>
      </c>
      <c r="F1220" s="127">
        <f>_xlfn.XLOOKUP(D480,'3. Input (des)investeringen '!$B$11:$B$81,'3. Input (des)investeringen '!$E$11:$E$81)</f>
        <v>1</v>
      </c>
    </row>
    <row r="1221" spans="2:6">
      <c r="B1221">
        <v>464</v>
      </c>
      <c r="D1221" s="129">
        <f t="shared" si="35"/>
        <v>88584.167202078708</v>
      </c>
      <c r="E1221" s="128">
        <f t="shared" si="36"/>
        <v>2023</v>
      </c>
      <c r="F1221" s="127">
        <f>_xlfn.XLOOKUP(D481,'3. Input (des)investeringen '!$B$11:$B$81,'3. Input (des)investeringen '!$E$11:$E$81)</f>
        <v>1</v>
      </c>
    </row>
    <row r="1222" spans="2:6">
      <c r="B1222">
        <v>465</v>
      </c>
      <c r="D1222" s="129">
        <f t="shared" si="35"/>
        <v>71192.88784331271</v>
      </c>
      <c r="E1222" s="128">
        <f t="shared" si="36"/>
        <v>2023</v>
      </c>
      <c r="F1222" s="127">
        <f>_xlfn.XLOOKUP(D482,'3. Input (des)investeringen '!$B$11:$B$81,'3. Input (des)investeringen '!$E$11:$E$81)</f>
        <v>1</v>
      </c>
    </row>
    <row r="1223" spans="2:6">
      <c r="B1223">
        <v>466</v>
      </c>
      <c r="D1223" s="129">
        <f t="shared" si="35"/>
        <v>59318.38290921889</v>
      </c>
      <c r="E1223" s="128">
        <f t="shared" si="36"/>
        <v>2023</v>
      </c>
      <c r="F1223" s="127">
        <f>_xlfn.XLOOKUP(D483,'3. Input (des)investeringen '!$B$11:$B$81,'3. Input (des)investeringen '!$E$11:$E$81)</f>
        <v>1</v>
      </c>
    </row>
    <row r="1224" spans="2:6">
      <c r="B1224">
        <v>467</v>
      </c>
      <c r="D1224" s="129">
        <f t="shared" si="35"/>
        <v>17242700.130181815</v>
      </c>
      <c r="E1224" s="128">
        <f t="shared" si="36"/>
        <v>2023</v>
      </c>
      <c r="F1224" s="127">
        <f>_xlfn.XLOOKUP(D484,'3. Input (des)investeringen '!$B$11:$B$81,'3. Input (des)investeringen '!$E$11:$E$81)</f>
        <v>1</v>
      </c>
    </row>
    <row r="1225" spans="2:6">
      <c r="B1225">
        <v>468</v>
      </c>
      <c r="D1225" s="129">
        <f t="shared" si="35"/>
        <v>1434168.6087925173</v>
      </c>
      <c r="E1225" s="128">
        <f t="shared" si="36"/>
        <v>2023</v>
      </c>
      <c r="F1225" s="127">
        <f>_xlfn.XLOOKUP(D485,'3. Input (des)investeringen '!$B$11:$B$81,'3. Input (des)investeringen '!$E$11:$E$81)</f>
        <v>1</v>
      </c>
    </row>
    <row r="1226" spans="2:6">
      <c r="B1226">
        <v>469</v>
      </c>
      <c r="D1226" s="129">
        <f t="shared" si="35"/>
        <v>3313494.6652734946</v>
      </c>
      <c r="E1226" s="128">
        <f t="shared" si="36"/>
        <v>2023</v>
      </c>
      <c r="F1226" s="127">
        <f>_xlfn.XLOOKUP(D486,'3. Input (des)investeringen '!$B$11:$B$81,'3. Input (des)investeringen '!$E$11:$E$81)</f>
        <v>1</v>
      </c>
    </row>
    <row r="1227" spans="2:6">
      <c r="B1227">
        <v>470</v>
      </c>
      <c r="D1227" s="129">
        <f t="shared" si="35"/>
        <v>1909058.9733587019</v>
      </c>
      <c r="E1227" s="128">
        <f t="shared" si="36"/>
        <v>2023</v>
      </c>
      <c r="F1227" s="127">
        <f>_xlfn.XLOOKUP(D487,'3. Input (des)investeringen '!$B$11:$B$81,'3. Input (des)investeringen '!$E$11:$E$81)</f>
        <v>1</v>
      </c>
    </row>
    <row r="1228" spans="2:6">
      <c r="B1228">
        <v>471</v>
      </c>
      <c r="D1228" s="129">
        <f t="shared" si="35"/>
        <v>36457.908194673997</v>
      </c>
      <c r="E1228" s="128">
        <f t="shared" si="36"/>
        <v>2023</v>
      </c>
      <c r="F1228" s="127">
        <f>_xlfn.XLOOKUP(D488,'3. Input (des)investeringen '!$B$11:$B$81,'3. Input (des)investeringen '!$E$11:$E$81)</f>
        <v>1</v>
      </c>
    </row>
    <row r="1229" spans="2:6">
      <c r="B1229">
        <v>472</v>
      </c>
      <c r="D1229" s="129">
        <f t="shared" ref="D1229:D1287" si="37">F489*INDEX($E$673:$CG$753,E489-1945,G489-1945)</f>
        <v>1335938.2338781792</v>
      </c>
      <c r="E1229" s="128">
        <f t="shared" ref="E1229:E1288" si="38">G489</f>
        <v>2023</v>
      </c>
      <c r="F1229" s="127">
        <f>_xlfn.XLOOKUP(D489,'3. Input (des)investeringen '!$B$11:$B$81,'3. Input (des)investeringen '!$E$11:$E$81)</f>
        <v>1</v>
      </c>
    </row>
    <row r="1230" spans="2:6">
      <c r="B1230">
        <v>473</v>
      </c>
      <c r="D1230" s="129">
        <f t="shared" si="37"/>
        <v>30104.760365369744</v>
      </c>
      <c r="E1230" s="128">
        <f t="shared" si="38"/>
        <v>2023</v>
      </c>
      <c r="F1230" s="127">
        <f>_xlfn.XLOOKUP(D490,'3. Input (des)investeringen '!$B$11:$B$81,'3. Input (des)investeringen '!$E$11:$E$81)</f>
        <v>1</v>
      </c>
    </row>
    <row r="1231" spans="2:6">
      <c r="B1231">
        <v>474</v>
      </c>
      <c r="D1231" s="129">
        <f t="shared" si="37"/>
        <v>353019.47498281603</v>
      </c>
      <c r="E1231" s="128">
        <f t="shared" si="38"/>
        <v>2023</v>
      </c>
      <c r="F1231" s="127">
        <f>_xlfn.XLOOKUP(D491,'3. Input (des)investeringen '!$B$11:$B$81,'3. Input (des)investeringen '!$E$11:$E$81)</f>
        <v>1</v>
      </c>
    </row>
    <row r="1232" spans="2:6">
      <c r="B1232">
        <v>475</v>
      </c>
      <c r="D1232" s="129">
        <f t="shared" si="37"/>
        <v>2622997.5830845321</v>
      </c>
      <c r="E1232" s="128">
        <f t="shared" si="38"/>
        <v>2023</v>
      </c>
      <c r="F1232" s="127">
        <f>_xlfn.XLOOKUP(D492,'3. Input (des)investeringen '!$B$11:$B$81,'3. Input (des)investeringen '!$E$11:$E$81)</f>
        <v>1</v>
      </c>
    </row>
    <row r="1233" spans="2:6">
      <c r="B1233">
        <v>476</v>
      </c>
      <c r="D1233" s="129">
        <f t="shared" si="37"/>
        <v>264545.47356776358</v>
      </c>
      <c r="E1233" s="128">
        <f t="shared" si="38"/>
        <v>2023</v>
      </c>
      <c r="F1233" s="127">
        <f>_xlfn.XLOOKUP(D493,'3. Input (des)investeringen '!$B$11:$B$81,'3. Input (des)investeringen '!$E$11:$E$81)</f>
        <v>1</v>
      </c>
    </row>
    <row r="1234" spans="2:6">
      <c r="B1234">
        <v>477</v>
      </c>
      <c r="D1234" s="129">
        <f t="shared" si="37"/>
        <v>59569.387064448449</v>
      </c>
      <c r="E1234" s="128">
        <f t="shared" si="38"/>
        <v>2023</v>
      </c>
      <c r="F1234" s="127">
        <f>_xlfn.XLOOKUP(D494,'3. Input (des)investeringen '!$B$11:$B$81,'3. Input (des)investeringen '!$E$11:$E$81)</f>
        <v>1</v>
      </c>
    </row>
    <row r="1235" spans="2:6">
      <c r="B1235">
        <v>478</v>
      </c>
      <c r="D1235" s="129">
        <f t="shared" si="37"/>
        <v>2874560.047436554</v>
      </c>
      <c r="E1235" s="128">
        <f t="shared" si="38"/>
        <v>2023</v>
      </c>
      <c r="F1235" s="127">
        <f>_xlfn.XLOOKUP(D495,'3. Input (des)investeringen '!$B$11:$B$81,'3. Input (des)investeringen '!$E$11:$E$81)</f>
        <v>1</v>
      </c>
    </row>
    <row r="1236" spans="2:6">
      <c r="B1236">
        <v>479</v>
      </c>
      <c r="D1236" s="129">
        <f t="shared" si="37"/>
        <v>49664.573050075967</v>
      </c>
      <c r="E1236" s="128">
        <f t="shared" si="38"/>
        <v>2023</v>
      </c>
      <c r="F1236" s="127">
        <f>_xlfn.XLOOKUP(D496,'3. Input (des)investeringen '!$B$11:$B$81,'3. Input (des)investeringen '!$E$11:$E$81)</f>
        <v>1</v>
      </c>
    </row>
    <row r="1237" spans="2:6">
      <c r="B1237">
        <v>480</v>
      </c>
      <c r="D1237" s="129">
        <f t="shared" si="37"/>
        <v>251474.2227041962</v>
      </c>
      <c r="E1237" s="128">
        <f t="shared" si="38"/>
        <v>2023</v>
      </c>
      <c r="F1237" s="127">
        <f>_xlfn.XLOOKUP(D497,'3. Input (des)investeringen '!$B$11:$B$81,'3. Input (des)investeringen '!$E$11:$E$81)</f>
        <v>1</v>
      </c>
    </row>
    <row r="1238" spans="2:6">
      <c r="B1238">
        <v>481</v>
      </c>
      <c r="D1238" s="129">
        <f t="shared" si="37"/>
        <v>62681.888254174031</v>
      </c>
      <c r="E1238" s="128">
        <f t="shared" si="38"/>
        <v>2023</v>
      </c>
      <c r="F1238" s="127">
        <f>_xlfn.XLOOKUP(D498,'3. Input (des)investeringen '!$B$11:$B$81,'3. Input (des)investeringen '!$E$11:$E$81)</f>
        <v>1</v>
      </c>
    </row>
    <row r="1239" spans="2:6">
      <c r="B1239">
        <v>482</v>
      </c>
      <c r="D1239" s="129">
        <f t="shared" si="37"/>
        <v>8998910.2149308864</v>
      </c>
      <c r="E1239" s="128">
        <f t="shared" si="38"/>
        <v>2023</v>
      </c>
      <c r="F1239" s="127">
        <f>_xlfn.XLOOKUP(D499,'3. Input (des)investeringen '!$B$11:$B$81,'3. Input (des)investeringen '!$E$11:$E$81)</f>
        <v>1</v>
      </c>
    </row>
    <row r="1240" spans="2:6">
      <c r="B1240">
        <v>483</v>
      </c>
      <c r="D1240" s="129">
        <f t="shared" si="37"/>
        <v>881158.02853810368</v>
      </c>
      <c r="E1240" s="128">
        <f t="shared" si="38"/>
        <v>2023</v>
      </c>
      <c r="F1240" s="127">
        <f>_xlfn.XLOOKUP(D500,'3. Input (des)investeringen '!$B$11:$B$81,'3. Input (des)investeringen '!$E$11:$E$81)</f>
        <v>1</v>
      </c>
    </row>
    <row r="1241" spans="2:6">
      <c r="B1241">
        <v>484</v>
      </c>
      <c r="D1241" s="129">
        <f t="shared" si="37"/>
        <v>480717.66049350589</v>
      </c>
      <c r="E1241" s="128">
        <f t="shared" si="38"/>
        <v>2023</v>
      </c>
      <c r="F1241" s="127">
        <f>_xlfn.XLOOKUP(D501,'3. Input (des)investeringen '!$B$11:$B$81,'3. Input (des)investeringen '!$E$11:$E$81)</f>
        <v>1</v>
      </c>
    </row>
    <row r="1242" spans="2:6">
      <c r="B1242">
        <v>485</v>
      </c>
      <c r="D1242" s="129">
        <f t="shared" si="37"/>
        <v>158468.43405476084</v>
      </c>
      <c r="E1242" s="128">
        <f t="shared" si="38"/>
        <v>2023</v>
      </c>
      <c r="F1242" s="127">
        <f>_xlfn.XLOOKUP(D502,'3. Input (des)investeringen '!$B$11:$B$81,'3. Input (des)investeringen '!$E$11:$E$81)</f>
        <v>1</v>
      </c>
    </row>
    <row r="1243" spans="2:6">
      <c r="B1243">
        <v>486</v>
      </c>
      <c r="D1243" s="129">
        <f t="shared" si="37"/>
        <v>2525665.1004047501</v>
      </c>
      <c r="E1243" s="128">
        <f t="shared" si="38"/>
        <v>2023</v>
      </c>
      <c r="F1243" s="127">
        <f>_xlfn.XLOOKUP(D503,'3. Input (des)investeringen '!$B$11:$B$81,'3. Input (des)investeringen '!$E$11:$E$81)</f>
        <v>0</v>
      </c>
    </row>
    <row r="1244" spans="2:6">
      <c r="B1244">
        <v>487</v>
      </c>
      <c r="D1244" s="129">
        <f t="shared" si="37"/>
        <v>16905407.599479198</v>
      </c>
      <c r="E1244" s="128">
        <f t="shared" si="38"/>
        <v>2023</v>
      </c>
      <c r="F1244" s="127">
        <f>_xlfn.XLOOKUP(D504,'3. Input (des)investeringen '!$B$11:$B$81,'3. Input (des)investeringen '!$E$11:$E$81)</f>
        <v>0</v>
      </c>
    </row>
    <row r="1245" spans="2:6">
      <c r="B1245">
        <v>488</v>
      </c>
      <c r="D1245" s="129">
        <f t="shared" si="37"/>
        <v>791759.55712817342</v>
      </c>
      <c r="E1245" s="128">
        <f t="shared" si="38"/>
        <v>2023</v>
      </c>
      <c r="F1245" s="127">
        <f>_xlfn.XLOOKUP(D505,'3. Input (des)investeringen '!$B$11:$B$81,'3. Input (des)investeringen '!$E$11:$E$81)</f>
        <v>0</v>
      </c>
    </row>
    <row r="1246" spans="2:6">
      <c r="B1246">
        <v>489</v>
      </c>
      <c r="D1246" s="129">
        <f t="shared" si="37"/>
        <v>61276.777943181114</v>
      </c>
      <c r="E1246" s="128">
        <f t="shared" si="38"/>
        <v>2023</v>
      </c>
      <c r="F1246" s="127">
        <f>_xlfn.XLOOKUP(D506,'3. Input (des)investeringen '!$B$11:$B$81,'3. Input (des)investeringen '!$E$11:$E$81)</f>
        <v>0</v>
      </c>
    </row>
    <row r="1247" spans="2:6">
      <c r="B1247">
        <v>490</v>
      </c>
      <c r="D1247" s="129">
        <f t="shared" si="37"/>
        <v>10738035.658221532</v>
      </c>
      <c r="E1247" s="128">
        <f t="shared" si="38"/>
        <v>2023</v>
      </c>
      <c r="F1247" s="127">
        <f>_xlfn.XLOOKUP(D507,'3. Input (des)investeringen '!$B$11:$B$81,'3. Input (des)investeringen '!$E$11:$E$81)</f>
        <v>0</v>
      </c>
    </row>
    <row r="1248" spans="2:6">
      <c r="B1248">
        <v>491</v>
      </c>
      <c r="D1248" s="129">
        <f t="shared" si="37"/>
        <v>4513096.8685017684</v>
      </c>
      <c r="E1248" s="128">
        <f t="shared" si="38"/>
        <v>2023</v>
      </c>
      <c r="F1248" s="127">
        <f>_xlfn.XLOOKUP(D508,'3. Input (des)investeringen '!$B$11:$B$81,'3. Input (des)investeringen '!$E$11:$E$81)</f>
        <v>0</v>
      </c>
    </row>
    <row r="1249" spans="2:6">
      <c r="B1249">
        <v>492</v>
      </c>
      <c r="D1249" s="129">
        <f t="shared" si="37"/>
        <v>20121.628884849415</v>
      </c>
      <c r="E1249" s="128">
        <f t="shared" si="38"/>
        <v>2023</v>
      </c>
      <c r="F1249" s="127">
        <f>_xlfn.XLOOKUP(D509,'3. Input (des)investeringen '!$B$11:$B$81,'3. Input (des)investeringen '!$E$11:$E$81)</f>
        <v>0</v>
      </c>
    </row>
    <row r="1250" spans="2:6">
      <c r="B1250">
        <v>493</v>
      </c>
      <c r="D1250" s="129">
        <f t="shared" si="37"/>
        <v>47146.071159517043</v>
      </c>
      <c r="E1250" s="128">
        <f t="shared" si="38"/>
        <v>2023</v>
      </c>
      <c r="F1250" s="127">
        <f>_xlfn.XLOOKUP(D510,'3. Input (des)investeringen '!$B$11:$B$81,'3. Input (des)investeringen '!$E$11:$E$81)</f>
        <v>0</v>
      </c>
    </row>
    <row r="1251" spans="2:6">
      <c r="B1251">
        <v>494</v>
      </c>
      <c r="D1251" s="129">
        <f t="shared" si="37"/>
        <v>426676.51950934849</v>
      </c>
      <c r="E1251" s="128">
        <f t="shared" si="38"/>
        <v>2023</v>
      </c>
      <c r="F1251" s="127">
        <f>_xlfn.XLOOKUP(D511,'3. Input (des)investeringen '!$B$11:$B$81,'3. Input (des)investeringen '!$E$11:$E$81)</f>
        <v>0</v>
      </c>
    </row>
    <row r="1252" spans="2:6">
      <c r="B1252">
        <v>495</v>
      </c>
      <c r="D1252" s="129">
        <f t="shared" si="37"/>
        <v>50955.736856891977</v>
      </c>
      <c r="E1252" s="128">
        <f t="shared" si="38"/>
        <v>2023</v>
      </c>
      <c r="F1252" s="127">
        <f>_xlfn.XLOOKUP(D512,'3. Input (des)investeringen '!$B$11:$B$81,'3. Input (des)investeringen '!$E$11:$E$81)</f>
        <v>0</v>
      </c>
    </row>
    <row r="1253" spans="2:6">
      <c r="B1253">
        <v>496</v>
      </c>
      <c r="D1253" s="129">
        <f t="shared" si="37"/>
        <v>64205.512183063081</v>
      </c>
      <c r="E1253" s="128">
        <f t="shared" si="38"/>
        <v>2023</v>
      </c>
      <c r="F1253" s="127">
        <f>_xlfn.XLOOKUP(D513,'3. Input (des)investeringen '!$B$11:$B$81,'3. Input (des)investeringen '!$E$11:$E$81)</f>
        <v>0</v>
      </c>
    </row>
    <row r="1254" spans="2:6">
      <c r="B1254">
        <v>497</v>
      </c>
      <c r="D1254" s="129">
        <f t="shared" si="37"/>
        <v>230655.94063060553</v>
      </c>
      <c r="E1254" s="128">
        <f t="shared" si="38"/>
        <v>2023</v>
      </c>
      <c r="F1254" s="127">
        <f>_xlfn.XLOOKUP(D514,'3. Input (des)investeringen '!$B$11:$B$81,'3. Input (des)investeringen '!$E$11:$E$81)</f>
        <v>0</v>
      </c>
    </row>
    <row r="1255" spans="2:6">
      <c r="B1255">
        <v>498</v>
      </c>
      <c r="D1255" s="129">
        <f t="shared" si="37"/>
        <v>574715.02689626382</v>
      </c>
      <c r="E1255" s="128">
        <f t="shared" si="38"/>
        <v>2023</v>
      </c>
      <c r="F1255" s="127">
        <f>_xlfn.XLOOKUP(D515,'3. Input (des)investeringen '!$B$11:$B$81,'3. Input (des)investeringen '!$E$11:$E$81)</f>
        <v>0</v>
      </c>
    </row>
    <row r="1256" spans="2:6">
      <c r="B1256">
        <v>499</v>
      </c>
      <c r="D1256" s="129">
        <f t="shared" si="37"/>
        <v>1469026.1382935997</v>
      </c>
      <c r="E1256" s="128">
        <f t="shared" si="38"/>
        <v>2023</v>
      </c>
      <c r="F1256" s="127">
        <f>_xlfn.XLOOKUP(D516,'3. Input (des)investeringen '!$B$11:$B$81,'3. Input (des)investeringen '!$E$11:$E$81)</f>
        <v>0</v>
      </c>
    </row>
    <row r="1257" spans="2:6">
      <c r="B1257">
        <v>500</v>
      </c>
      <c r="D1257" s="129">
        <f t="shared" si="37"/>
        <v>2050105.43100047</v>
      </c>
      <c r="E1257" s="128">
        <f t="shared" si="38"/>
        <v>2023</v>
      </c>
      <c r="F1257" s="127">
        <f>_xlfn.XLOOKUP(D517,'3. Input (des)investeringen '!$B$11:$B$81,'3. Input (des)investeringen '!$E$11:$E$81)</f>
        <v>0</v>
      </c>
    </row>
    <row r="1258" spans="2:6">
      <c r="B1258">
        <v>501</v>
      </c>
      <c r="D1258" s="129">
        <f t="shared" si="37"/>
        <v>129882.09166575248</v>
      </c>
      <c r="E1258" s="128">
        <f t="shared" si="38"/>
        <v>2023</v>
      </c>
      <c r="F1258" s="127">
        <f>_xlfn.XLOOKUP(D518,'3. Input (des)investeringen '!$B$11:$B$81,'3. Input (des)investeringen '!$E$11:$E$81)</f>
        <v>0</v>
      </c>
    </row>
    <row r="1259" spans="2:6">
      <c r="B1259">
        <v>502</v>
      </c>
      <c r="D1259" s="129">
        <f t="shared" si="37"/>
        <v>1235577.6025156102</v>
      </c>
      <c r="E1259" s="128">
        <f t="shared" si="38"/>
        <v>2023</v>
      </c>
      <c r="F1259" s="127">
        <f>_xlfn.XLOOKUP(D519,'3. Input (des)investeringen '!$B$11:$B$81,'3. Input (des)investeringen '!$E$11:$E$81)</f>
        <v>0</v>
      </c>
    </row>
    <row r="1260" spans="2:6">
      <c r="B1260">
        <v>503</v>
      </c>
      <c r="D1260" s="129">
        <f t="shared" si="37"/>
        <v>1703571.8543817492</v>
      </c>
      <c r="E1260" s="128">
        <f t="shared" si="38"/>
        <v>2023</v>
      </c>
      <c r="F1260" s="127">
        <f>_xlfn.XLOOKUP(D520,'3. Input (des)investeringen '!$B$11:$B$81,'3. Input (des)investeringen '!$E$11:$E$81)</f>
        <v>0</v>
      </c>
    </row>
    <row r="1261" spans="2:6">
      <c r="B1261">
        <v>504</v>
      </c>
      <c r="D1261" s="129">
        <f t="shared" si="37"/>
        <v>595505.82704552368</v>
      </c>
      <c r="E1261" s="128">
        <f t="shared" si="38"/>
        <v>2023</v>
      </c>
      <c r="F1261" s="127">
        <f>_xlfn.XLOOKUP(D521,'3. Input (des)investeringen '!$B$11:$B$81,'3. Input (des)investeringen '!$E$11:$E$81)</f>
        <v>0</v>
      </c>
    </row>
    <row r="1262" spans="2:6">
      <c r="B1262">
        <v>505</v>
      </c>
      <c r="D1262" s="129">
        <f t="shared" si="37"/>
        <v>776768.62070497498</v>
      </c>
      <c r="E1262" s="128">
        <f t="shared" si="38"/>
        <v>2023</v>
      </c>
      <c r="F1262" s="127">
        <f>_xlfn.XLOOKUP(D522,'3. Input (des)investeringen '!$B$11:$B$81,'3. Input (des)investeringen '!$E$11:$E$81)</f>
        <v>0</v>
      </c>
    </row>
    <row r="1263" spans="2:6">
      <c r="B1263">
        <v>506</v>
      </c>
      <c r="D1263" s="129">
        <f t="shared" si="37"/>
        <v>1876.9453947414813</v>
      </c>
      <c r="E1263" s="128">
        <f t="shared" si="38"/>
        <v>2023</v>
      </c>
      <c r="F1263" s="127">
        <f>_xlfn.XLOOKUP(D523,'3. Input (des)investeringen '!$B$11:$B$81,'3. Input (des)investeringen '!$E$11:$E$81)</f>
        <v>0</v>
      </c>
    </row>
    <row r="1264" spans="2:6">
      <c r="B1264">
        <v>507</v>
      </c>
      <c r="D1264" s="129">
        <f t="shared" si="37"/>
        <v>42851.542476290124</v>
      </c>
      <c r="E1264" s="128">
        <f t="shared" si="38"/>
        <v>2023</v>
      </c>
      <c r="F1264" s="127">
        <f>_xlfn.XLOOKUP(D524,'3. Input (des)investeringen '!$B$11:$B$81,'3. Input (des)investeringen '!$E$11:$E$81)</f>
        <v>0</v>
      </c>
    </row>
    <row r="1265" spans="2:6">
      <c r="B1265">
        <v>508</v>
      </c>
      <c r="D1265" s="129">
        <f t="shared" si="37"/>
        <v>22583.7690161561</v>
      </c>
      <c r="E1265" s="128">
        <f t="shared" si="38"/>
        <v>2023</v>
      </c>
      <c r="F1265" s="127">
        <f>_xlfn.XLOOKUP(D525,'3. Input (des)investeringen '!$B$11:$B$81,'3. Input (des)investeringen '!$E$11:$E$81)</f>
        <v>1</v>
      </c>
    </row>
    <row r="1266" spans="2:6">
      <c r="B1266">
        <v>509</v>
      </c>
      <c r="D1266" s="129">
        <f t="shared" si="37"/>
        <v>462227.19518013293</v>
      </c>
      <c r="E1266" s="128">
        <f t="shared" si="38"/>
        <v>2023</v>
      </c>
      <c r="F1266" s="127">
        <f>_xlfn.XLOOKUP(D526,'3. Input (des)investeringen '!$B$11:$B$81,'3. Input (des)investeringen '!$E$11:$E$81)</f>
        <v>1</v>
      </c>
    </row>
    <row r="1267" spans="2:6">
      <c r="B1267">
        <v>510</v>
      </c>
      <c r="D1267" s="129">
        <f t="shared" si="37"/>
        <v>46528.540913690129</v>
      </c>
      <c r="E1267" s="128">
        <f t="shared" si="38"/>
        <v>2023</v>
      </c>
      <c r="F1267" s="127">
        <f>_xlfn.XLOOKUP(D527,'3. Input (des)investeringen '!$B$11:$B$81,'3. Input (des)investeringen '!$E$11:$E$81)</f>
        <v>1</v>
      </c>
    </row>
    <row r="1268" spans="2:6">
      <c r="B1268">
        <v>511</v>
      </c>
      <c r="D1268" s="129">
        <f t="shared" si="37"/>
        <v>98655.140353137496</v>
      </c>
      <c r="E1268" s="128">
        <f t="shared" si="38"/>
        <v>2023</v>
      </c>
      <c r="F1268" s="127">
        <f>_xlfn.XLOOKUP(D528,'3. Input (des)investeringen '!$B$11:$B$81,'3. Input (des)investeringen '!$E$11:$E$81)</f>
        <v>1</v>
      </c>
    </row>
    <row r="1269" spans="2:6">
      <c r="B1269">
        <v>512</v>
      </c>
      <c r="D1269" s="129">
        <f t="shared" si="37"/>
        <v>50825.96589408478</v>
      </c>
      <c r="E1269" s="128">
        <f t="shared" si="38"/>
        <v>2023</v>
      </c>
      <c r="F1269" s="127">
        <f>_xlfn.XLOOKUP(D529,'3. Input (des)investeringen '!$B$11:$B$81,'3. Input (des)investeringen '!$E$11:$E$81)</f>
        <v>1</v>
      </c>
    </row>
    <row r="1270" spans="2:6">
      <c r="B1270">
        <v>513</v>
      </c>
      <c r="D1270" s="129">
        <f t="shared" si="37"/>
        <v>477279.97623645322</v>
      </c>
      <c r="E1270" s="128">
        <f t="shared" si="38"/>
        <v>2023</v>
      </c>
      <c r="F1270" s="127">
        <f>_xlfn.XLOOKUP(D530,'3. Input (des)investeringen '!$B$11:$B$81,'3. Input (des)investeringen '!$E$11:$E$81)</f>
        <v>1</v>
      </c>
    </row>
    <row r="1271" spans="2:6">
      <c r="B1271">
        <v>514</v>
      </c>
      <c r="D1271" s="129">
        <f t="shared" si="37"/>
        <v>116050.5147655762</v>
      </c>
      <c r="E1271" s="128">
        <f t="shared" si="38"/>
        <v>2023</v>
      </c>
      <c r="F1271" s="127">
        <f>_xlfn.XLOOKUP(D531,'3. Input (des)investeringen '!$B$11:$B$81,'3. Input (des)investeringen '!$E$11:$E$81)</f>
        <v>1</v>
      </c>
    </row>
    <row r="1272" spans="2:6">
      <c r="B1272">
        <v>515</v>
      </c>
      <c r="D1272" s="129">
        <f t="shared" si="37"/>
        <v>49918.596992368417</v>
      </c>
      <c r="E1272" s="128">
        <f t="shared" si="38"/>
        <v>2023</v>
      </c>
      <c r="F1272" s="127">
        <f>_xlfn.XLOOKUP(D532,'3. Input (des)investeringen '!$B$11:$B$81,'3. Input (des)investeringen '!$E$11:$E$81)</f>
        <v>1</v>
      </c>
    </row>
    <row r="1273" spans="2:6">
      <c r="B1273">
        <v>516</v>
      </c>
      <c r="D1273" s="129">
        <f t="shared" si="37"/>
        <v>50285.190780729419</v>
      </c>
      <c r="E1273" s="128">
        <f t="shared" si="38"/>
        <v>2023</v>
      </c>
      <c r="F1273" s="127">
        <f>_xlfn.XLOOKUP(D533,'3. Input (des)investeringen '!$B$11:$B$81,'3. Input (des)investeringen '!$E$11:$E$81)</f>
        <v>1</v>
      </c>
    </row>
    <row r="1274" spans="2:6">
      <c r="B1274">
        <v>517</v>
      </c>
      <c r="D1274" s="129">
        <f t="shared" si="37"/>
        <v>67645.586060743793</v>
      </c>
      <c r="E1274" s="128">
        <f t="shared" si="38"/>
        <v>2023</v>
      </c>
      <c r="F1274" s="127">
        <f>_xlfn.XLOOKUP(D534,'3. Input (des)investeringen '!$B$11:$B$81,'3. Input (des)investeringen '!$E$11:$E$81)</f>
        <v>1</v>
      </c>
    </row>
    <row r="1275" spans="2:6">
      <c r="B1275">
        <v>518</v>
      </c>
      <c r="D1275" s="129">
        <f t="shared" si="37"/>
        <v>46656.186949971663</v>
      </c>
      <c r="E1275" s="128">
        <f t="shared" si="38"/>
        <v>2023</v>
      </c>
      <c r="F1275" s="127">
        <f>_xlfn.XLOOKUP(D535,'3. Input (des)investeringen '!$B$11:$B$81,'3. Input (des)investeringen '!$E$11:$E$81)</f>
        <v>1</v>
      </c>
    </row>
    <row r="1276" spans="2:6">
      <c r="B1276">
        <v>519</v>
      </c>
      <c r="D1276" s="129">
        <f t="shared" si="37"/>
        <v>46412.506610726836</v>
      </c>
      <c r="E1276" s="128">
        <f t="shared" si="38"/>
        <v>2023</v>
      </c>
      <c r="F1276" s="127">
        <f>_xlfn.XLOOKUP(D536,'3. Input (des)investeringen '!$B$11:$B$81,'3. Input (des)investeringen '!$E$11:$E$81)</f>
        <v>1</v>
      </c>
    </row>
    <row r="1277" spans="2:6">
      <c r="B1277">
        <v>520</v>
      </c>
      <c r="D1277" s="129">
        <f t="shared" si="37"/>
        <v>45345.465415492457</v>
      </c>
      <c r="E1277" s="128">
        <f t="shared" si="38"/>
        <v>2023</v>
      </c>
      <c r="F1277" s="127">
        <f>_xlfn.XLOOKUP(D537,'3. Input (des)investeringen '!$B$11:$B$81,'3. Input (des)investeringen '!$E$11:$E$81)</f>
        <v>1</v>
      </c>
    </row>
    <row r="1278" spans="2:6">
      <c r="B1278">
        <v>521</v>
      </c>
      <c r="D1278" s="129">
        <f t="shared" si="37"/>
        <v>117969.99669176152</v>
      </c>
      <c r="E1278" s="128">
        <f t="shared" si="38"/>
        <v>2023</v>
      </c>
      <c r="F1278" s="127">
        <f>_xlfn.XLOOKUP(D538,'3. Input (des)investeringen '!$B$11:$B$81,'3. Input (des)investeringen '!$E$11:$E$81)</f>
        <v>1</v>
      </c>
    </row>
    <row r="1279" spans="2:6">
      <c r="B1279">
        <v>522</v>
      </c>
      <c r="D1279" s="129">
        <f t="shared" si="37"/>
        <v>414606.72511429584</v>
      </c>
      <c r="E1279" s="128">
        <f t="shared" si="38"/>
        <v>2023</v>
      </c>
      <c r="F1279" s="127">
        <f>_xlfn.XLOOKUP(D539,'3. Input (des)investeringen '!$B$11:$B$81,'3. Input (des)investeringen '!$E$11:$E$81)</f>
        <v>1</v>
      </c>
    </row>
    <row r="1280" spans="2:6">
      <c r="B1280">
        <v>523</v>
      </c>
      <c r="D1280" s="129">
        <f t="shared" si="37"/>
        <v>45563.426169294267</v>
      </c>
      <c r="E1280" s="128">
        <f t="shared" si="38"/>
        <v>2023</v>
      </c>
      <c r="F1280" s="127">
        <f>_xlfn.XLOOKUP(D540,'3. Input (des)investeringen '!$B$11:$B$81,'3. Input (des)investeringen '!$E$11:$E$81)</f>
        <v>1</v>
      </c>
    </row>
    <row r="1281" spans="1:6">
      <c r="B1281">
        <v>524</v>
      </c>
      <c r="D1281" s="129">
        <f t="shared" si="37"/>
        <v>377798.35934785003</v>
      </c>
      <c r="E1281" s="128">
        <f t="shared" si="38"/>
        <v>2023</v>
      </c>
      <c r="F1281" s="127">
        <f>_xlfn.XLOOKUP(D541,'3. Input (des)investeringen '!$B$11:$B$81,'3. Input (des)investeringen '!$E$11:$E$81)</f>
        <v>1</v>
      </c>
    </row>
    <row r="1282" spans="1:6">
      <c r="B1282">
        <v>525</v>
      </c>
      <c r="D1282" s="129">
        <f t="shared" si="37"/>
        <v>37420.593072654476</v>
      </c>
      <c r="E1282" s="128">
        <f t="shared" si="38"/>
        <v>2023</v>
      </c>
      <c r="F1282" s="127">
        <f>_xlfn.XLOOKUP(D542,'3. Input (des)investeringen '!$B$11:$B$81,'3. Input (des)investeringen '!$E$11:$E$81)</f>
        <v>1</v>
      </c>
    </row>
    <row r="1283" spans="1:6">
      <c r="B1283">
        <v>526</v>
      </c>
      <c r="D1283" s="129">
        <f t="shared" si="37"/>
        <v>84225.708870589981</v>
      </c>
      <c r="E1283" s="128">
        <f t="shared" si="38"/>
        <v>2023</v>
      </c>
      <c r="F1283" s="127">
        <f>_xlfn.XLOOKUP(D543,'3. Input (des)investeringen '!$B$11:$B$81,'3. Input (des)investeringen '!$E$11:$E$81)</f>
        <v>1</v>
      </c>
    </row>
    <row r="1284" spans="1:6">
      <c r="B1284">
        <v>527</v>
      </c>
      <c r="D1284" s="129">
        <f t="shared" si="37"/>
        <v>36582.979680944467</v>
      </c>
      <c r="E1284" s="128">
        <f t="shared" si="38"/>
        <v>2023</v>
      </c>
      <c r="F1284" s="127">
        <f>_xlfn.XLOOKUP(D544,'3. Input (des)investeringen '!$B$11:$B$81,'3. Input (des)investeringen '!$E$11:$E$81)</f>
        <v>1</v>
      </c>
    </row>
    <row r="1285" spans="1:6">
      <c r="B1285">
        <v>528</v>
      </c>
      <c r="D1285" s="129">
        <f t="shared" si="37"/>
        <v>51088.669943961613</v>
      </c>
      <c r="E1285" s="128">
        <f t="shared" si="38"/>
        <v>2023</v>
      </c>
      <c r="F1285" s="127">
        <f>_xlfn.XLOOKUP(D545,'3. Input (des)investeringen '!$B$11:$B$81,'3. Input (des)investeringen '!$E$11:$E$81)</f>
        <v>1</v>
      </c>
    </row>
    <row r="1286" spans="1:6">
      <c r="B1286">
        <v>529</v>
      </c>
      <c r="D1286" s="129">
        <f t="shared" si="37"/>
        <v>108379.16888467838</v>
      </c>
      <c r="E1286" s="128">
        <f t="shared" si="38"/>
        <v>2023</v>
      </c>
      <c r="F1286" s="127">
        <f>_xlfn.XLOOKUP(D546,'3. Input (des)investeringen '!$B$11:$B$81,'3. Input (des)investeringen '!$E$11:$E$81)</f>
        <v>1</v>
      </c>
    </row>
    <row r="1287" spans="1:6">
      <c r="B1287">
        <v>530</v>
      </c>
      <c r="D1287" s="129">
        <f t="shared" si="37"/>
        <v>5144.0217812537448</v>
      </c>
      <c r="E1287" s="128">
        <f t="shared" si="38"/>
        <v>2023</v>
      </c>
      <c r="F1287" s="127">
        <f>_xlfn.XLOOKUP(D547,'3. Input (des)investeringen '!$B$11:$B$81,'3. Input (des)investeringen '!$E$11:$E$81)</f>
        <v>1</v>
      </c>
    </row>
    <row r="1288" spans="1:6">
      <c r="B1288">
        <v>531</v>
      </c>
      <c r="D1288" s="129">
        <f>F548*INDEX($E$673:$CG$753,E548-1945,G548-1945)</f>
        <v>6096028.9926220421</v>
      </c>
      <c r="E1288" s="128">
        <f t="shared" si="38"/>
        <v>2023</v>
      </c>
      <c r="F1288" s="127">
        <f>_xlfn.XLOOKUP(D548,'3. Input (des)investeringen '!$B$11:$B$81,'3. Input (des)investeringen '!$E$11:$E$81)</f>
        <v>0</v>
      </c>
    </row>
    <row r="1289" spans="1:6" s="122" customFormat="1">
      <c r="A1289"/>
      <c r="B1289">
        <v>532</v>
      </c>
      <c r="D1289" s="129">
        <f t="shared" ref="D1289:D1352" si="39">F549*INDEX($E$673:$CG$753,E549-1945,G549-1945)</f>
        <v>12856.158995848822</v>
      </c>
      <c r="E1289" s="128">
        <f t="shared" ref="E1289:E1352" si="40">G549</f>
        <v>2024</v>
      </c>
      <c r="F1289" s="127">
        <f>_xlfn.XLOOKUP(D549,'3. Input (des)investeringen '!$B$11:$B$81,'3. Input (des)investeringen '!$E$11:$E$81)</f>
        <v>1</v>
      </c>
    </row>
    <row r="1290" spans="1:6" s="122" customFormat="1">
      <c r="A1290"/>
      <c r="B1290">
        <v>533</v>
      </c>
      <c r="D1290" s="129">
        <f t="shared" si="39"/>
        <v>53719.699487000042</v>
      </c>
      <c r="E1290" s="128">
        <f t="shared" si="40"/>
        <v>2024</v>
      </c>
      <c r="F1290" s="127">
        <f>_xlfn.XLOOKUP(D550,'3. Input (des)investeringen '!$B$11:$B$81,'3. Input (des)investeringen '!$E$11:$E$81)</f>
        <v>1</v>
      </c>
    </row>
    <row r="1291" spans="1:6" s="122" customFormat="1">
      <c r="A1291"/>
      <c r="B1291">
        <v>534</v>
      </c>
      <c r="D1291" s="129">
        <f t="shared" si="39"/>
        <v>692826.56726373767</v>
      </c>
      <c r="E1291" s="128">
        <f t="shared" si="40"/>
        <v>2024</v>
      </c>
      <c r="F1291" s="127">
        <f>_xlfn.XLOOKUP(D551,'3. Input (des)investeringen '!$B$11:$B$81,'3. Input (des)investeringen '!$E$11:$E$81)</f>
        <v>1</v>
      </c>
    </row>
    <row r="1292" spans="1:6" s="122" customFormat="1">
      <c r="A1292"/>
      <c r="B1292">
        <v>535</v>
      </c>
      <c r="D1292" s="129">
        <f t="shared" si="39"/>
        <v>381656.1070322321</v>
      </c>
      <c r="E1292" s="128">
        <f t="shared" si="40"/>
        <v>2024</v>
      </c>
      <c r="F1292" s="127">
        <f>_xlfn.XLOOKUP(D552,'3. Input (des)investeringen '!$B$11:$B$81,'3. Input (des)investeringen '!$E$11:$E$81)</f>
        <v>1</v>
      </c>
    </row>
    <row r="1293" spans="1:6" s="122" customFormat="1">
      <c r="A1293"/>
      <c r="B1293">
        <v>536</v>
      </c>
      <c r="D1293" s="129">
        <f t="shared" si="39"/>
        <v>483480.40161451563</v>
      </c>
      <c r="E1293" s="128">
        <f t="shared" si="40"/>
        <v>2024</v>
      </c>
      <c r="F1293" s="127">
        <f>_xlfn.XLOOKUP(D553,'3. Input (des)investeringen '!$B$11:$B$81,'3. Input (des)investeringen '!$E$11:$E$81)</f>
        <v>1</v>
      </c>
    </row>
    <row r="1294" spans="1:6" s="122" customFormat="1">
      <c r="A1294"/>
      <c r="B1294">
        <v>537</v>
      </c>
      <c r="D1294" s="129">
        <f t="shared" si="39"/>
        <v>606092.37218695239</v>
      </c>
      <c r="E1294" s="128">
        <f t="shared" si="40"/>
        <v>2024</v>
      </c>
      <c r="F1294" s="127">
        <f>_xlfn.XLOOKUP(D554,'3. Input (des)investeringen '!$B$11:$B$81,'3. Input (des)investeringen '!$E$11:$E$81)</f>
        <v>1</v>
      </c>
    </row>
    <row r="1295" spans="1:6" s="122" customFormat="1">
      <c r="A1295"/>
      <c r="B1295">
        <v>538</v>
      </c>
      <c r="D1295" s="129">
        <f t="shared" si="39"/>
        <v>202216.59632509193</v>
      </c>
      <c r="E1295" s="128">
        <f t="shared" si="40"/>
        <v>2024</v>
      </c>
      <c r="F1295" s="127">
        <f>_xlfn.XLOOKUP(D555,'3. Input (des)investeringen '!$B$11:$B$81,'3. Input (des)investeringen '!$E$11:$E$81)</f>
        <v>1</v>
      </c>
    </row>
    <row r="1296" spans="1:6" s="122" customFormat="1">
      <c r="A1296"/>
      <c r="B1296">
        <v>539</v>
      </c>
      <c r="D1296" s="129">
        <f t="shared" si="39"/>
        <v>876764.9703866177</v>
      </c>
      <c r="E1296" s="128">
        <f t="shared" si="40"/>
        <v>2024</v>
      </c>
      <c r="F1296" s="127">
        <f>_xlfn.XLOOKUP(D556,'3. Input (des)investeringen '!$B$11:$B$81,'3. Input (des)investeringen '!$E$11:$E$81)</f>
        <v>1</v>
      </c>
    </row>
    <row r="1297" spans="1:6" s="122" customFormat="1">
      <c r="A1297"/>
      <c r="B1297">
        <v>540</v>
      </c>
      <c r="D1297" s="129">
        <f t="shared" si="39"/>
        <v>651799.85873923323</v>
      </c>
      <c r="E1297" s="128">
        <f t="shared" si="40"/>
        <v>2024</v>
      </c>
      <c r="F1297" s="127">
        <f>_xlfn.XLOOKUP(D557,'3. Input (des)investeringen '!$B$11:$B$81,'3. Input (des)investeringen '!$E$11:$E$81)</f>
        <v>1</v>
      </c>
    </row>
    <row r="1298" spans="1:6" s="122" customFormat="1">
      <c r="A1298"/>
      <c r="B1298">
        <v>541</v>
      </c>
      <c r="D1298" s="129">
        <f t="shared" si="39"/>
        <v>358129.25655325659</v>
      </c>
      <c r="E1298" s="128">
        <f t="shared" si="40"/>
        <v>2024</v>
      </c>
      <c r="F1298" s="127">
        <f>_xlfn.XLOOKUP(D558,'3. Input (des)investeringen '!$B$11:$B$81,'3. Input (des)investeringen '!$E$11:$E$81)</f>
        <v>1</v>
      </c>
    </row>
    <row r="1299" spans="1:6" s="122" customFormat="1">
      <c r="A1299"/>
      <c r="B1299">
        <v>542</v>
      </c>
      <c r="D1299" s="129">
        <f t="shared" si="39"/>
        <v>1595481.1571613175</v>
      </c>
      <c r="E1299" s="128">
        <f t="shared" si="40"/>
        <v>2024</v>
      </c>
      <c r="F1299" s="127">
        <f>_xlfn.XLOOKUP(D559,'3. Input (des)investeringen '!$B$11:$B$81,'3. Input (des)investeringen '!$E$11:$E$81)</f>
        <v>1</v>
      </c>
    </row>
    <row r="1300" spans="1:6" s="122" customFormat="1">
      <c r="A1300"/>
      <c r="B1300">
        <v>543</v>
      </c>
      <c r="D1300" s="129">
        <f t="shared" si="39"/>
        <v>370132.64975453209</v>
      </c>
      <c r="E1300" s="128">
        <f t="shared" si="40"/>
        <v>2024</v>
      </c>
      <c r="F1300" s="127">
        <f>_xlfn.XLOOKUP(D560,'3. Input (des)investeringen '!$B$11:$B$81,'3. Input (des)investeringen '!$E$11:$E$81)</f>
        <v>1</v>
      </c>
    </row>
    <row r="1301" spans="1:6" s="122" customFormat="1">
      <c r="A1301"/>
      <c r="B1301">
        <v>544</v>
      </c>
      <c r="D1301" s="129">
        <f t="shared" si="39"/>
        <v>495676.67432364437</v>
      </c>
      <c r="E1301" s="128">
        <f t="shared" si="40"/>
        <v>2024</v>
      </c>
      <c r="F1301" s="127">
        <f>_xlfn.XLOOKUP(D561,'3. Input (des)investeringen '!$B$11:$B$81,'3. Input (des)investeringen '!$E$11:$E$81)</f>
        <v>1</v>
      </c>
    </row>
    <row r="1302" spans="1:6" s="122" customFormat="1">
      <c r="A1302"/>
      <c r="B1302">
        <v>545</v>
      </c>
      <c r="D1302" s="129">
        <f t="shared" si="39"/>
        <v>178457.85529071515</v>
      </c>
      <c r="E1302" s="128">
        <f t="shared" si="40"/>
        <v>2024</v>
      </c>
      <c r="F1302" s="127">
        <f>_xlfn.XLOOKUP(D562,'3. Input (des)investeringen '!$B$11:$B$81,'3. Input (des)investeringen '!$E$11:$E$81)</f>
        <v>1</v>
      </c>
    </row>
    <row r="1303" spans="1:6" s="122" customFormat="1">
      <c r="A1303"/>
      <c r="B1303">
        <v>546</v>
      </c>
      <c r="D1303" s="129">
        <f t="shared" si="39"/>
        <v>162529.92285128887</v>
      </c>
      <c r="E1303" s="128">
        <f t="shared" si="40"/>
        <v>2024</v>
      </c>
      <c r="F1303" s="127">
        <f>_xlfn.XLOOKUP(D563,'3. Input (des)investeringen '!$B$11:$B$81,'3. Input (des)investeringen '!$E$11:$E$81)</f>
        <v>1</v>
      </c>
    </row>
    <row r="1304" spans="1:6" s="122" customFormat="1">
      <c r="A1304"/>
      <c r="B1304">
        <v>547</v>
      </c>
      <c r="D1304" s="129">
        <f t="shared" si="39"/>
        <v>847064.54583361407</v>
      </c>
      <c r="E1304" s="128">
        <f t="shared" si="40"/>
        <v>2024</v>
      </c>
      <c r="F1304" s="127">
        <f>_xlfn.XLOOKUP(D564,'3. Input (des)investeringen '!$B$11:$B$81,'3. Input (des)investeringen '!$E$11:$E$81)</f>
        <v>1</v>
      </c>
    </row>
    <row r="1305" spans="1:6" s="122" customFormat="1">
      <c r="A1305"/>
      <c r="B1305">
        <v>548</v>
      </c>
      <c r="D1305" s="129">
        <f t="shared" si="39"/>
        <v>66882.392285368856</v>
      </c>
      <c r="E1305" s="128">
        <f t="shared" si="40"/>
        <v>2024</v>
      </c>
      <c r="F1305" s="127">
        <f>_xlfn.XLOOKUP(D565,'3. Input (des)investeringen '!$B$11:$B$81,'3. Input (des)investeringen '!$E$11:$E$81)</f>
        <v>1</v>
      </c>
    </row>
    <row r="1306" spans="1:6" s="122" customFormat="1">
      <c r="A1306"/>
      <c r="B1306">
        <v>549</v>
      </c>
      <c r="D1306" s="129">
        <f t="shared" si="39"/>
        <v>3216.3673032260263</v>
      </c>
      <c r="E1306" s="128">
        <f t="shared" si="40"/>
        <v>2024</v>
      </c>
      <c r="F1306" s="127">
        <f>_xlfn.XLOOKUP(D566,'3. Input (des)investeringen '!$B$11:$B$81,'3. Input (des)investeringen '!$E$11:$E$81)</f>
        <v>1</v>
      </c>
    </row>
    <row r="1307" spans="1:6" s="122" customFormat="1">
      <c r="A1307"/>
      <c r="B1307">
        <v>550</v>
      </c>
      <c r="D1307" s="129">
        <f t="shared" si="39"/>
        <v>6284.3835623351079</v>
      </c>
      <c r="E1307" s="128">
        <f t="shared" si="40"/>
        <v>2024</v>
      </c>
      <c r="F1307" s="127">
        <f>_xlfn.XLOOKUP(D567,'3. Input (des)investeringen '!$B$11:$B$81,'3. Input (des)investeringen '!$E$11:$E$81)</f>
        <v>1</v>
      </c>
    </row>
    <row r="1308" spans="1:6" s="122" customFormat="1">
      <c r="A1308"/>
      <c r="B1308">
        <v>551</v>
      </c>
      <c r="D1308" s="129">
        <f t="shared" si="39"/>
        <v>32415.284102353224</v>
      </c>
      <c r="E1308" s="128">
        <f t="shared" si="40"/>
        <v>2024</v>
      </c>
      <c r="F1308" s="127">
        <f>_xlfn.XLOOKUP(D568,'3. Input (des)investeringen '!$B$11:$B$81,'3. Input (des)investeringen '!$E$11:$E$81)</f>
        <v>1</v>
      </c>
    </row>
    <row r="1309" spans="1:6" s="122" customFormat="1">
      <c r="A1309"/>
      <c r="B1309">
        <v>552</v>
      </c>
      <c r="D1309" s="129">
        <f t="shared" si="39"/>
        <v>23015.382994458367</v>
      </c>
      <c r="E1309" s="128">
        <f t="shared" si="40"/>
        <v>2024</v>
      </c>
      <c r="F1309" s="127">
        <f>_xlfn.XLOOKUP(D569,'3. Input (des)investeringen '!$B$11:$B$81,'3. Input (des)investeringen '!$E$11:$E$81)</f>
        <v>1</v>
      </c>
    </row>
    <row r="1310" spans="1:6" s="122" customFormat="1">
      <c r="A1310"/>
      <c r="B1310">
        <v>553</v>
      </c>
      <c r="D1310" s="129">
        <f t="shared" si="39"/>
        <v>263456.56406587327</v>
      </c>
      <c r="E1310" s="128">
        <f t="shared" si="40"/>
        <v>2024</v>
      </c>
      <c r="F1310" s="127">
        <f>_xlfn.XLOOKUP(D570,'3. Input (des)investeringen '!$B$11:$B$81,'3. Input (des)investeringen '!$E$11:$E$81)</f>
        <v>1</v>
      </c>
    </row>
    <row r="1311" spans="1:6" s="122" customFormat="1">
      <c r="A1311"/>
      <c r="B1311">
        <v>554</v>
      </c>
      <c r="D1311" s="129">
        <f t="shared" si="39"/>
        <v>119924.33919369486</v>
      </c>
      <c r="E1311" s="128">
        <f t="shared" si="40"/>
        <v>2024</v>
      </c>
      <c r="F1311" s="127">
        <f>_xlfn.XLOOKUP(D571,'3. Input (des)investeringen '!$B$11:$B$81,'3. Input (des)investeringen '!$E$11:$E$81)</f>
        <v>1</v>
      </c>
    </row>
    <row r="1312" spans="1:6" s="122" customFormat="1">
      <c r="A1312"/>
      <c r="B1312">
        <v>555</v>
      </c>
      <c r="D1312" s="129">
        <f t="shared" si="39"/>
        <v>13764.766335803799</v>
      </c>
      <c r="E1312" s="128">
        <f t="shared" si="40"/>
        <v>2024</v>
      </c>
      <c r="F1312" s="127">
        <f>_xlfn.XLOOKUP(D572,'3. Input (des)investeringen '!$B$11:$B$81,'3. Input (des)investeringen '!$E$11:$E$81)</f>
        <v>1</v>
      </c>
    </row>
    <row r="1313" spans="1:6" s="122" customFormat="1">
      <c r="A1313"/>
      <c r="B1313">
        <v>556</v>
      </c>
      <c r="D1313" s="129">
        <f t="shared" si="39"/>
        <v>118333.76583087603</v>
      </c>
      <c r="E1313" s="128">
        <f t="shared" si="40"/>
        <v>2024</v>
      </c>
      <c r="F1313" s="127">
        <f>_xlfn.XLOOKUP(D573,'3. Input (des)investeringen '!$B$11:$B$81,'3. Input (des)investeringen '!$E$11:$E$81)</f>
        <v>1</v>
      </c>
    </row>
    <row r="1314" spans="1:6" s="122" customFormat="1">
      <c r="A1314"/>
      <c r="B1314">
        <v>557</v>
      </c>
      <c r="D1314" s="129">
        <f t="shared" si="39"/>
        <v>8682.6254684833093</v>
      </c>
      <c r="E1314" s="128">
        <f t="shared" si="40"/>
        <v>2024</v>
      </c>
      <c r="F1314" s="127">
        <f>_xlfn.XLOOKUP(D574,'3. Input (des)investeringen '!$B$11:$B$81,'3. Input (des)investeringen '!$E$11:$E$81)</f>
        <v>1</v>
      </c>
    </row>
    <row r="1315" spans="1:6" s="122" customFormat="1">
      <c r="A1315"/>
      <c r="B1315">
        <v>558</v>
      </c>
      <c r="D1315" s="129">
        <f t="shared" si="39"/>
        <v>9836.0613679468897</v>
      </c>
      <c r="E1315" s="128">
        <f t="shared" si="40"/>
        <v>2024</v>
      </c>
      <c r="F1315" s="127">
        <f>_xlfn.XLOOKUP(D575,'3. Input (des)investeringen '!$B$11:$B$81,'3. Input (des)investeringen '!$E$11:$E$81)</f>
        <v>1</v>
      </c>
    </row>
    <row r="1316" spans="1:6" s="122" customFormat="1">
      <c r="A1316"/>
      <c r="B1316">
        <v>559</v>
      </c>
      <c r="D1316" s="129">
        <f t="shared" si="39"/>
        <v>555220.92492177081</v>
      </c>
      <c r="E1316" s="128">
        <f t="shared" si="40"/>
        <v>2024</v>
      </c>
      <c r="F1316" s="127">
        <f>_xlfn.XLOOKUP(D576,'3. Input (des)investeringen '!$B$11:$B$81,'3. Input (des)investeringen '!$E$11:$E$81)</f>
        <v>1</v>
      </c>
    </row>
    <row r="1317" spans="1:6" s="122" customFormat="1">
      <c r="A1317"/>
      <c r="B1317">
        <v>560</v>
      </c>
      <c r="D1317" s="129">
        <f t="shared" si="39"/>
        <v>728226.26839461981</v>
      </c>
      <c r="E1317" s="128">
        <f t="shared" si="40"/>
        <v>2024</v>
      </c>
      <c r="F1317" s="127">
        <f>_xlfn.XLOOKUP(D577,'3. Input (des)investeringen '!$B$11:$B$81,'3. Input (des)investeringen '!$E$11:$E$81)</f>
        <v>1</v>
      </c>
    </row>
    <row r="1318" spans="1:6" s="122" customFormat="1">
      <c r="A1318"/>
      <c r="B1318">
        <v>561</v>
      </c>
      <c r="D1318" s="129">
        <f t="shared" si="39"/>
        <v>4903.706090913427</v>
      </c>
      <c r="E1318" s="128">
        <f t="shared" si="40"/>
        <v>2024</v>
      </c>
      <c r="F1318" s="127">
        <f>_xlfn.XLOOKUP(D578,'3. Input (des)investeringen '!$B$11:$B$81,'3. Input (des)investeringen '!$E$11:$E$81)</f>
        <v>1</v>
      </c>
    </row>
    <row r="1319" spans="1:6" s="122" customFormat="1">
      <c r="A1319"/>
      <c r="B1319">
        <v>562</v>
      </c>
      <c r="D1319" s="129">
        <f t="shared" si="39"/>
        <v>539292.01560998033</v>
      </c>
      <c r="E1319" s="128">
        <f t="shared" si="40"/>
        <v>2024</v>
      </c>
      <c r="F1319" s="127">
        <f>_xlfn.XLOOKUP(D579,'3. Input (des)investeringen '!$B$11:$B$81,'3. Input (des)investeringen '!$E$11:$E$81)</f>
        <v>1</v>
      </c>
    </row>
    <row r="1320" spans="1:6" s="122" customFormat="1">
      <c r="A1320"/>
      <c r="B1320">
        <v>563</v>
      </c>
      <c r="D1320" s="129">
        <f t="shared" si="39"/>
        <v>472229.67684477632</v>
      </c>
      <c r="E1320" s="128">
        <f t="shared" si="40"/>
        <v>2024</v>
      </c>
      <c r="F1320" s="127">
        <f>_xlfn.XLOOKUP(D580,'3. Input (des)investeringen '!$B$11:$B$81,'3. Input (des)investeringen '!$E$11:$E$81)</f>
        <v>0</v>
      </c>
    </row>
    <row r="1321" spans="1:6" s="122" customFormat="1">
      <c r="A1321"/>
      <c r="B1321">
        <v>564</v>
      </c>
      <c r="D1321" s="129">
        <f t="shared" si="39"/>
        <v>1341668.5157588478</v>
      </c>
      <c r="E1321" s="128">
        <f t="shared" si="40"/>
        <v>2024</v>
      </c>
      <c r="F1321" s="127">
        <f>_xlfn.XLOOKUP(D581,'3. Input (des)investeringen '!$B$11:$B$81,'3. Input (des)investeringen '!$E$11:$E$81)</f>
        <v>0</v>
      </c>
    </row>
    <row r="1322" spans="1:6" s="122" customFormat="1">
      <c r="A1322"/>
      <c r="B1322">
        <v>565</v>
      </c>
      <c r="D1322" s="129">
        <f t="shared" si="39"/>
        <v>251186.46384481736</v>
      </c>
      <c r="E1322" s="128">
        <f t="shared" si="40"/>
        <v>2024</v>
      </c>
      <c r="F1322" s="127">
        <f>_xlfn.XLOOKUP(D582,'3. Input (des)investeringen '!$B$11:$B$81,'3. Input (des)investeringen '!$E$11:$E$81)</f>
        <v>0</v>
      </c>
    </row>
    <row r="1323" spans="1:6" s="122" customFormat="1">
      <c r="A1323"/>
      <c r="B1323">
        <v>566</v>
      </c>
      <c r="D1323" s="129">
        <f t="shared" si="39"/>
        <v>307857.56495191442</v>
      </c>
      <c r="E1323" s="128">
        <f t="shared" si="40"/>
        <v>2024</v>
      </c>
      <c r="F1323" s="127">
        <f>_xlfn.XLOOKUP(D583,'3. Input (des)investeringen '!$B$11:$B$81,'3. Input (des)investeringen '!$E$11:$E$81)</f>
        <v>0</v>
      </c>
    </row>
    <row r="1324" spans="1:6" s="122" customFormat="1">
      <c r="A1324"/>
      <c r="B1324">
        <v>567</v>
      </c>
      <c r="D1324" s="129">
        <f t="shared" si="39"/>
        <v>854488.73977776384</v>
      </c>
      <c r="E1324" s="128">
        <f t="shared" si="40"/>
        <v>2024</v>
      </c>
      <c r="F1324" s="127">
        <f>_xlfn.XLOOKUP(D584,'3. Input (des)investeringen '!$B$11:$B$81,'3. Input (des)investeringen '!$E$11:$E$81)</f>
        <v>0</v>
      </c>
    </row>
    <row r="1325" spans="1:6" s="122" customFormat="1">
      <c r="A1325"/>
      <c r="B1325">
        <v>568</v>
      </c>
      <c r="D1325" s="129">
        <f t="shared" si="39"/>
        <v>124040.61942271306</v>
      </c>
      <c r="E1325" s="128">
        <f t="shared" si="40"/>
        <v>2024</v>
      </c>
      <c r="F1325" s="127">
        <f>_xlfn.XLOOKUP(D585,'3. Input (des)investeringen '!$B$11:$B$81,'3. Input (des)investeringen '!$E$11:$E$81)</f>
        <v>0</v>
      </c>
    </row>
    <row r="1326" spans="1:6" s="122" customFormat="1">
      <c r="A1326"/>
      <c r="B1326">
        <v>569</v>
      </c>
      <c r="D1326" s="129">
        <f t="shared" si="39"/>
        <v>126363.3983644284</v>
      </c>
      <c r="E1326" s="128">
        <f t="shared" si="40"/>
        <v>2024</v>
      </c>
      <c r="F1326" s="127">
        <f>_xlfn.XLOOKUP(D586,'3. Input (des)investeringen '!$B$11:$B$81,'3. Input (des)investeringen '!$E$11:$E$81)</f>
        <v>0</v>
      </c>
    </row>
    <row r="1327" spans="1:6" s="122" customFormat="1">
      <c r="A1327"/>
      <c r="B1327">
        <v>570</v>
      </c>
      <c r="D1327" s="129">
        <f t="shared" si="39"/>
        <v>45614.245736906945</v>
      </c>
      <c r="E1327" s="128">
        <f t="shared" si="40"/>
        <v>2024</v>
      </c>
      <c r="F1327" s="127">
        <f>_xlfn.XLOOKUP(D587,'3. Input (des)investeringen '!$B$11:$B$81,'3. Input (des)investeringen '!$E$11:$E$81)</f>
        <v>0</v>
      </c>
    </row>
    <row r="1328" spans="1:6" s="122" customFormat="1">
      <c r="A1328"/>
      <c r="B1328">
        <v>571</v>
      </c>
      <c r="D1328" s="129">
        <f t="shared" si="39"/>
        <v>95042.794204831822</v>
      </c>
      <c r="E1328" s="128">
        <f t="shared" si="40"/>
        <v>2024</v>
      </c>
      <c r="F1328" s="127">
        <f>_xlfn.XLOOKUP(D588,'3. Input (des)investeringen '!$B$11:$B$81,'3. Input (des)investeringen '!$E$11:$E$81)</f>
        <v>0</v>
      </c>
    </row>
    <row r="1329" spans="1:6" s="122" customFormat="1">
      <c r="A1329"/>
      <c r="B1329">
        <v>572</v>
      </c>
      <c r="D1329" s="129">
        <f t="shared" si="39"/>
        <v>176193.62627460301</v>
      </c>
      <c r="E1329" s="128">
        <f t="shared" si="40"/>
        <v>2024</v>
      </c>
      <c r="F1329" s="127">
        <f>_xlfn.XLOOKUP(D589,'3. Input (des)investeringen '!$B$11:$B$81,'3. Input (des)investeringen '!$E$11:$E$81)</f>
        <v>0</v>
      </c>
    </row>
    <row r="1330" spans="1:6" s="122" customFormat="1">
      <c r="A1330"/>
      <c r="B1330">
        <v>573</v>
      </c>
      <c r="D1330" s="129">
        <f t="shared" si="39"/>
        <v>340269.45129559742</v>
      </c>
      <c r="E1330" s="128">
        <f t="shared" si="40"/>
        <v>2024</v>
      </c>
      <c r="F1330" s="127">
        <f>_xlfn.XLOOKUP(D590,'3. Input (des)investeringen '!$B$11:$B$81,'3. Input (des)investeringen '!$E$11:$E$81)</f>
        <v>0</v>
      </c>
    </row>
    <row r="1331" spans="1:6" s="122" customFormat="1">
      <c r="A1331"/>
      <c r="B1331">
        <v>574</v>
      </c>
      <c r="D1331" s="129">
        <f t="shared" si="39"/>
        <v>37018.006536978632</v>
      </c>
      <c r="E1331" s="128">
        <f t="shared" si="40"/>
        <v>2024</v>
      </c>
      <c r="F1331" s="127">
        <f>_xlfn.XLOOKUP(D591,'3. Input (des)investeringen '!$B$11:$B$81,'3. Input (des)investeringen '!$E$11:$E$81)</f>
        <v>0</v>
      </c>
    </row>
    <row r="1332" spans="1:6" s="122" customFormat="1">
      <c r="A1332"/>
      <c r="B1332">
        <v>575</v>
      </c>
      <c r="D1332" s="129">
        <f t="shared" si="39"/>
        <v>19437.393612553362</v>
      </c>
      <c r="E1332" s="128">
        <f t="shared" si="40"/>
        <v>2024</v>
      </c>
      <c r="F1332" s="127">
        <f>_xlfn.XLOOKUP(D592,'3. Input (des)investeringen '!$B$11:$B$81,'3. Input (des)investeringen '!$E$11:$E$81)</f>
        <v>0</v>
      </c>
    </row>
    <row r="1333" spans="1:6" s="122" customFormat="1">
      <c r="A1333"/>
      <c r="B1333">
        <v>576</v>
      </c>
      <c r="D1333" s="129">
        <f t="shared" si="39"/>
        <v>243100.25504462249</v>
      </c>
      <c r="E1333" s="128">
        <f t="shared" si="40"/>
        <v>2024</v>
      </c>
      <c r="F1333" s="127">
        <f>_xlfn.XLOOKUP(D593,'3. Input (des)investeringen '!$B$11:$B$81,'3. Input (des)investeringen '!$E$11:$E$81)</f>
        <v>0</v>
      </c>
    </row>
    <row r="1334" spans="1:6" s="122" customFormat="1">
      <c r="A1334"/>
      <c r="B1334">
        <v>577</v>
      </c>
      <c r="D1334" s="129">
        <f t="shared" si="39"/>
        <v>56187.916475241742</v>
      </c>
      <c r="E1334" s="128">
        <f t="shared" si="40"/>
        <v>2024</v>
      </c>
      <c r="F1334" s="127">
        <f>_xlfn.XLOOKUP(D594,'3. Input (des)investeringen '!$B$11:$B$81,'3. Input (des)investeringen '!$E$11:$E$81)</f>
        <v>0</v>
      </c>
    </row>
    <row r="1335" spans="1:6" s="122" customFormat="1">
      <c r="A1335"/>
      <c r="B1335">
        <v>578</v>
      </c>
      <c r="D1335" s="129">
        <f t="shared" si="39"/>
        <v>40646.939390168955</v>
      </c>
      <c r="E1335" s="128">
        <f t="shared" si="40"/>
        <v>2024</v>
      </c>
      <c r="F1335" s="127">
        <f>_xlfn.XLOOKUP(D595,'3. Input (des)investeringen '!$B$11:$B$81,'3. Input (des)investeringen '!$E$11:$E$81)</f>
        <v>0</v>
      </c>
    </row>
    <row r="1336" spans="1:6" s="122" customFormat="1">
      <c r="A1336"/>
      <c r="B1336">
        <v>579</v>
      </c>
      <c r="D1336" s="129">
        <f t="shared" si="39"/>
        <v>149339.64013513218</v>
      </c>
      <c r="E1336" s="128">
        <f t="shared" si="40"/>
        <v>2024</v>
      </c>
      <c r="F1336" s="127">
        <f>_xlfn.XLOOKUP(D596,'3. Input (des)investeringen '!$B$11:$B$81,'3. Input (des)investeringen '!$E$11:$E$81)</f>
        <v>0</v>
      </c>
    </row>
    <row r="1337" spans="1:6" s="122" customFormat="1">
      <c r="A1337"/>
      <c r="B1337">
        <v>580</v>
      </c>
      <c r="D1337" s="129">
        <f t="shared" si="39"/>
        <v>57528.032366164291</v>
      </c>
      <c r="E1337" s="128">
        <f t="shared" si="40"/>
        <v>2024</v>
      </c>
      <c r="F1337" s="127">
        <f>_xlfn.XLOOKUP(D597,'3. Input (des)investeringen '!$B$11:$B$81,'3. Input (des)investeringen '!$E$11:$E$81)</f>
        <v>0</v>
      </c>
    </row>
    <row r="1338" spans="1:6" s="122" customFormat="1">
      <c r="A1338"/>
      <c r="B1338">
        <v>581</v>
      </c>
      <c r="D1338" s="129">
        <f t="shared" si="39"/>
        <v>20207.212152952325</v>
      </c>
      <c r="E1338" s="128">
        <f t="shared" si="40"/>
        <v>2024</v>
      </c>
      <c r="F1338" s="127">
        <f>_xlfn.XLOOKUP(D598,'3. Input (des)investeringen '!$B$11:$B$81,'3. Input (des)investeringen '!$E$11:$E$81)</f>
        <v>0</v>
      </c>
    </row>
    <row r="1339" spans="1:6" s="122" customFormat="1">
      <c r="A1339"/>
      <c r="B1339">
        <v>582</v>
      </c>
      <c r="D1339" s="129">
        <f t="shared" si="39"/>
        <v>111937.71473003626</v>
      </c>
      <c r="E1339" s="128">
        <f t="shared" si="40"/>
        <v>2024</v>
      </c>
      <c r="F1339" s="127">
        <f>_xlfn.XLOOKUP(D599,'3. Input (des)investeringen '!$B$11:$B$81,'3. Input (des)investeringen '!$E$11:$E$81)</f>
        <v>1</v>
      </c>
    </row>
    <row r="1340" spans="1:6" s="122" customFormat="1">
      <c r="A1340"/>
      <c r="B1340">
        <v>583</v>
      </c>
      <c r="D1340" s="129">
        <f t="shared" si="39"/>
        <v>1216263.6619135251</v>
      </c>
      <c r="E1340" s="128">
        <f t="shared" si="40"/>
        <v>2024</v>
      </c>
      <c r="F1340" s="127">
        <f>_xlfn.XLOOKUP(D600,'3. Input (des)investeringen '!$B$11:$B$81,'3. Input (des)investeringen '!$E$11:$E$81)</f>
        <v>0</v>
      </c>
    </row>
    <row r="1341" spans="1:6" s="122" customFormat="1">
      <c r="A1341"/>
      <c r="B1341">
        <v>584</v>
      </c>
      <c r="D1341" s="129">
        <f t="shared" si="39"/>
        <v>3078943.1772163478</v>
      </c>
      <c r="E1341" s="128">
        <f t="shared" si="40"/>
        <v>2024</v>
      </c>
      <c r="F1341" s="127">
        <f>_xlfn.XLOOKUP(D601,'3. Input (des)investeringen '!$B$11:$B$81,'3. Input (des)investeringen '!$E$11:$E$81)</f>
        <v>0</v>
      </c>
    </row>
    <row r="1342" spans="1:6" s="122" customFormat="1">
      <c r="A1342"/>
      <c r="B1342">
        <v>585</v>
      </c>
      <c r="D1342" s="129">
        <f t="shared" si="39"/>
        <v>43903.651261405612</v>
      </c>
      <c r="E1342" s="128">
        <f t="shared" si="40"/>
        <v>2024</v>
      </c>
      <c r="F1342" s="127">
        <f>_xlfn.XLOOKUP(D602,'3. Input (des)investeringen '!$B$11:$B$81,'3. Input (des)investeringen '!$E$11:$E$81)</f>
        <v>0</v>
      </c>
    </row>
    <row r="1343" spans="1:6" s="122" customFormat="1">
      <c r="A1343"/>
      <c r="B1343">
        <v>586</v>
      </c>
      <c r="D1343" s="129">
        <f t="shared" si="39"/>
        <v>364734.47275620163</v>
      </c>
      <c r="E1343" s="128">
        <f t="shared" si="40"/>
        <v>2024</v>
      </c>
      <c r="F1343" s="127">
        <f>_xlfn.XLOOKUP(D603,'3. Input (des)investeringen '!$B$11:$B$81,'3. Input (des)investeringen '!$E$11:$E$81)</f>
        <v>0</v>
      </c>
    </row>
    <row r="1344" spans="1:6" s="122" customFormat="1">
      <c r="A1344"/>
      <c r="B1344">
        <v>587</v>
      </c>
      <c r="D1344" s="129">
        <f t="shared" si="39"/>
        <v>227352.80382663046</v>
      </c>
      <c r="E1344" s="128">
        <f t="shared" si="40"/>
        <v>2024</v>
      </c>
      <c r="F1344" s="127">
        <f>_xlfn.XLOOKUP(D604,'3. Input (des)investeringen '!$B$11:$B$81,'3. Input (des)investeringen '!$E$11:$E$81)</f>
        <v>0</v>
      </c>
    </row>
    <row r="1345" spans="1:6" s="122" customFormat="1">
      <c r="A1345"/>
      <c r="B1345">
        <v>588</v>
      </c>
      <c r="D1345" s="129">
        <f t="shared" si="39"/>
        <v>135655.54482780391</v>
      </c>
      <c r="E1345" s="128">
        <f t="shared" si="40"/>
        <v>2024</v>
      </c>
      <c r="F1345" s="127">
        <f>_xlfn.XLOOKUP(D605,'3. Input (des)investeringen '!$B$11:$B$81,'3. Input (des)investeringen '!$E$11:$E$81)</f>
        <v>0</v>
      </c>
    </row>
    <row r="1346" spans="1:6" s="122" customFormat="1">
      <c r="A1346"/>
      <c r="B1346">
        <v>589</v>
      </c>
      <c r="D1346" s="129">
        <f t="shared" si="39"/>
        <v>985150.36757394136</v>
      </c>
      <c r="E1346" s="128">
        <f t="shared" si="40"/>
        <v>2024</v>
      </c>
      <c r="F1346" s="127">
        <f>_xlfn.XLOOKUP(D606,'3. Input (des)investeringen '!$B$11:$B$81,'3. Input (des)investeringen '!$E$11:$E$81)</f>
        <v>0</v>
      </c>
    </row>
    <row r="1347" spans="1:6" s="122" customFormat="1">
      <c r="A1347"/>
      <c r="B1347">
        <v>590</v>
      </c>
      <c r="D1347" s="129">
        <f t="shared" si="39"/>
        <v>153937.53000361333</v>
      </c>
      <c r="E1347" s="128">
        <f t="shared" si="40"/>
        <v>2024</v>
      </c>
      <c r="F1347" s="127">
        <f>_xlfn.XLOOKUP(D607,'3. Input (des)investeringen '!$B$11:$B$81,'3. Input (des)investeringen '!$E$11:$E$81)</f>
        <v>0</v>
      </c>
    </row>
    <row r="1348" spans="1:6" s="122" customFormat="1">
      <c r="A1348"/>
      <c r="B1348">
        <v>591</v>
      </c>
      <c r="D1348" s="129">
        <f t="shared" si="39"/>
        <v>37011.186320728681</v>
      </c>
      <c r="E1348" s="128">
        <f t="shared" si="40"/>
        <v>2024</v>
      </c>
      <c r="F1348" s="127">
        <f>_xlfn.XLOOKUP(D608,'3. Input (des)investeringen '!$B$11:$B$81,'3. Input (des)investeringen '!$E$11:$E$81)</f>
        <v>0</v>
      </c>
    </row>
    <row r="1349" spans="1:6" s="122" customFormat="1">
      <c r="A1349"/>
      <c r="B1349">
        <v>592</v>
      </c>
      <c r="D1349" s="129">
        <f t="shared" si="39"/>
        <v>17270.494018671787</v>
      </c>
      <c r="E1349" s="128">
        <f t="shared" si="40"/>
        <v>2024</v>
      </c>
      <c r="F1349" s="127">
        <f>_xlfn.XLOOKUP(D609,'3. Input (des)investeringen '!$B$11:$B$81,'3. Input (des)investeringen '!$E$11:$E$81)</f>
        <v>0</v>
      </c>
    </row>
    <row r="1350" spans="1:6" s="122" customFormat="1">
      <c r="A1350"/>
      <c r="B1350">
        <v>593</v>
      </c>
      <c r="D1350" s="129">
        <f t="shared" si="39"/>
        <v>5301815.8015589137</v>
      </c>
      <c r="E1350" s="128">
        <f t="shared" si="40"/>
        <v>2024</v>
      </c>
      <c r="F1350" s="127">
        <f>_xlfn.XLOOKUP(D610,'3. Input (des)investeringen '!$B$11:$B$81,'3. Input (des)investeringen '!$E$11:$E$81)</f>
        <v>1</v>
      </c>
    </row>
    <row r="1351" spans="1:6" s="122" customFormat="1">
      <c r="A1351"/>
      <c r="B1351">
        <v>594</v>
      </c>
      <c r="D1351" s="129">
        <f t="shared" si="39"/>
        <v>62852922.254831426</v>
      </c>
      <c r="E1351" s="128">
        <f t="shared" si="40"/>
        <v>2024</v>
      </c>
      <c r="F1351" s="127">
        <f>_xlfn.XLOOKUP(D611,'3. Input (des)investeringen '!$B$11:$B$81,'3. Input (des)investeringen '!$E$11:$E$81)</f>
        <v>1</v>
      </c>
    </row>
    <row r="1352" spans="1:6" s="122" customFormat="1">
      <c r="A1352"/>
      <c r="B1352">
        <v>595</v>
      </c>
      <c r="D1352" s="129">
        <f t="shared" si="39"/>
        <v>17159492.824191242</v>
      </c>
      <c r="E1352" s="128">
        <f t="shared" si="40"/>
        <v>2024</v>
      </c>
      <c r="F1352" s="127">
        <f>_xlfn.XLOOKUP(D612,'3. Input (des)investeringen '!$B$11:$B$81,'3. Input (des)investeringen '!$E$11:$E$81)</f>
        <v>1</v>
      </c>
    </row>
    <row r="1353" spans="1:6" s="122" customFormat="1">
      <c r="A1353"/>
      <c r="B1353">
        <v>596</v>
      </c>
      <c r="D1353" s="129">
        <f t="shared" ref="D1353:D1384" si="41">F613*INDEX($E$673:$CG$753,E613-1945,G613-1945)</f>
        <v>211911.94339047861</v>
      </c>
      <c r="E1353" s="128">
        <f t="shared" ref="E1353:E1384" si="42">G613</f>
        <v>2024</v>
      </c>
      <c r="F1353" s="127">
        <f>_xlfn.XLOOKUP(D613,'3. Input (des)investeringen '!$B$11:$B$81,'3. Input (des)investeringen '!$E$11:$E$81)</f>
        <v>1</v>
      </c>
    </row>
    <row r="1354" spans="1:6" s="122" customFormat="1">
      <c r="A1354"/>
      <c r="B1354">
        <v>597</v>
      </c>
      <c r="D1354" s="129">
        <f t="shared" si="41"/>
        <v>145611.22492333068</v>
      </c>
      <c r="E1354" s="128">
        <f t="shared" si="42"/>
        <v>2024</v>
      </c>
      <c r="F1354" s="127">
        <f>_xlfn.XLOOKUP(D614,'3. Input (des)investeringen '!$B$11:$B$81,'3. Input (des)investeringen '!$E$11:$E$81)</f>
        <v>1</v>
      </c>
    </row>
    <row r="1355" spans="1:6" s="122" customFormat="1">
      <c r="A1355"/>
      <c r="B1355">
        <v>598</v>
      </c>
      <c r="D1355" s="129">
        <f t="shared" si="41"/>
        <v>14127260.808909208</v>
      </c>
      <c r="E1355" s="128">
        <f t="shared" si="42"/>
        <v>2024</v>
      </c>
      <c r="F1355" s="127">
        <f>_xlfn.XLOOKUP(D615,'3. Input (des)investeringen '!$B$11:$B$81,'3. Input (des)investeringen '!$E$11:$E$81)</f>
        <v>1</v>
      </c>
    </row>
    <row r="1356" spans="1:6" s="122" customFormat="1">
      <c r="A1356"/>
      <c r="B1356">
        <v>599</v>
      </c>
      <c r="D1356" s="129">
        <f t="shared" si="41"/>
        <v>411732.03392921865</v>
      </c>
      <c r="E1356" s="128">
        <f t="shared" si="42"/>
        <v>2024</v>
      </c>
      <c r="F1356" s="127">
        <f>_xlfn.XLOOKUP(D616,'3. Input (des)investeringen '!$B$11:$B$81,'3. Input (des)investeringen '!$E$11:$E$81)</f>
        <v>1</v>
      </c>
    </row>
    <row r="1357" spans="1:6" s="122" customFormat="1">
      <c r="A1357"/>
      <c r="B1357">
        <v>600</v>
      </c>
      <c r="D1357" s="129">
        <f t="shared" si="41"/>
        <v>109663.09871307464</v>
      </c>
      <c r="E1357" s="128">
        <f t="shared" si="42"/>
        <v>2024</v>
      </c>
      <c r="F1357" s="127">
        <f>_xlfn.XLOOKUP(D617,'3. Input (des)investeringen '!$B$11:$B$81,'3. Input (des)investeringen '!$E$11:$E$81)</f>
        <v>1</v>
      </c>
    </row>
    <row r="1358" spans="1:6" s="122" customFormat="1">
      <c r="A1358"/>
      <c r="B1358">
        <v>601</v>
      </c>
      <c r="D1358" s="129">
        <f t="shared" si="41"/>
        <v>60347.123344159125</v>
      </c>
      <c r="E1358" s="128">
        <f t="shared" si="42"/>
        <v>2024</v>
      </c>
      <c r="F1358" s="127">
        <f>_xlfn.XLOOKUP(D618,'3. Input (des)investeringen '!$B$11:$B$81,'3. Input (des)investeringen '!$E$11:$E$81)</f>
        <v>1</v>
      </c>
    </row>
    <row r="1359" spans="1:6" s="122" customFormat="1">
      <c r="A1359"/>
      <c r="B1359">
        <v>602</v>
      </c>
      <c r="D1359" s="129">
        <f t="shared" si="41"/>
        <v>143984.07647664379</v>
      </c>
      <c r="E1359" s="128">
        <f t="shared" si="42"/>
        <v>2024</v>
      </c>
      <c r="F1359" s="127">
        <f>_xlfn.XLOOKUP(D619,'3. Input (des)investeringen '!$B$11:$B$81,'3. Input (des)investeringen '!$E$11:$E$81)</f>
        <v>1</v>
      </c>
    </row>
    <row r="1360" spans="1:6" s="122" customFormat="1">
      <c r="A1360"/>
      <c r="B1360">
        <v>603</v>
      </c>
      <c r="D1360" s="129">
        <f t="shared" si="41"/>
        <v>45668.030797308769</v>
      </c>
      <c r="E1360" s="128">
        <f t="shared" si="42"/>
        <v>2024</v>
      </c>
      <c r="F1360" s="127">
        <f>_xlfn.XLOOKUP(D620,'3. Input (des)investeringen '!$B$11:$B$81,'3. Input (des)investeringen '!$E$11:$E$81)</f>
        <v>1</v>
      </c>
    </row>
    <row r="1361" spans="1:6" s="122" customFormat="1">
      <c r="A1361"/>
      <c r="B1361">
        <v>604</v>
      </c>
      <c r="D1361" s="129">
        <f t="shared" si="41"/>
        <v>57799919.186389856</v>
      </c>
      <c r="E1361" s="128">
        <f t="shared" si="42"/>
        <v>2024</v>
      </c>
      <c r="F1361" s="127">
        <f>_xlfn.XLOOKUP(D621,'3. Input (des)investeringen '!$B$11:$B$81,'3. Input (des)investeringen '!$E$11:$E$81)</f>
        <v>1</v>
      </c>
    </row>
    <row r="1362" spans="1:6" s="122" customFormat="1">
      <c r="A1362"/>
      <c r="B1362">
        <v>605</v>
      </c>
      <c r="D1362" s="129">
        <f t="shared" si="41"/>
        <v>470626.14397873112</v>
      </c>
      <c r="E1362" s="128">
        <f t="shared" si="42"/>
        <v>2024</v>
      </c>
      <c r="F1362" s="127">
        <f>_xlfn.XLOOKUP(D622,'3. Input (des)investeringen '!$B$11:$B$81,'3. Input (des)investeringen '!$E$11:$E$81)</f>
        <v>1</v>
      </c>
    </row>
    <row r="1363" spans="1:6" s="122" customFormat="1">
      <c r="A1363"/>
      <c r="B1363">
        <v>606</v>
      </c>
      <c r="D1363" s="129">
        <f t="shared" si="41"/>
        <v>75589.04602804454</v>
      </c>
      <c r="E1363" s="128">
        <f t="shared" si="42"/>
        <v>2024</v>
      </c>
      <c r="F1363" s="127">
        <f>_xlfn.XLOOKUP(D623,'3. Input (des)investeringen '!$B$11:$B$81,'3. Input (des)investeringen '!$E$11:$E$81)</f>
        <v>1</v>
      </c>
    </row>
    <row r="1364" spans="1:6" s="122" customFormat="1">
      <c r="A1364"/>
      <c r="B1364">
        <v>607</v>
      </c>
      <c r="D1364" s="129">
        <f t="shared" si="41"/>
        <v>762522.0659628826</v>
      </c>
      <c r="E1364" s="128">
        <f t="shared" si="42"/>
        <v>2024</v>
      </c>
      <c r="F1364" s="127">
        <f>_xlfn.XLOOKUP(D624,'3. Input (des)investeringen '!$B$11:$B$81,'3. Input (des)investeringen '!$E$11:$E$81)</f>
        <v>1</v>
      </c>
    </row>
    <row r="1365" spans="1:6" s="122" customFormat="1">
      <c r="A1365"/>
      <c r="B1365">
        <v>608</v>
      </c>
      <c r="D1365" s="129">
        <f t="shared" si="41"/>
        <v>874582.48480662529</v>
      </c>
      <c r="E1365" s="128">
        <f t="shared" si="42"/>
        <v>2024</v>
      </c>
      <c r="F1365" s="127">
        <f>_xlfn.XLOOKUP(D625,'3. Input (des)investeringen '!$B$11:$B$81,'3. Input (des)investeringen '!$E$11:$E$81)</f>
        <v>1</v>
      </c>
    </row>
    <row r="1366" spans="1:6" s="122" customFormat="1">
      <c r="A1366"/>
      <c r="B1366">
        <v>609</v>
      </c>
      <c r="D1366" s="129">
        <f t="shared" si="41"/>
        <v>542520.05493636371</v>
      </c>
      <c r="E1366" s="128">
        <f t="shared" si="42"/>
        <v>2024</v>
      </c>
      <c r="F1366" s="127">
        <f>_xlfn.XLOOKUP(D626,'3. Input (des)investeringen '!$B$11:$B$81,'3. Input (des)investeringen '!$E$11:$E$81)</f>
        <v>1</v>
      </c>
    </row>
    <row r="1367" spans="1:6" s="122" customFormat="1">
      <c r="A1367"/>
      <c r="B1367">
        <v>610</v>
      </c>
      <c r="D1367" s="129">
        <f t="shared" si="41"/>
        <v>2078131.7841124595</v>
      </c>
      <c r="E1367" s="128">
        <f t="shared" si="42"/>
        <v>2024</v>
      </c>
      <c r="F1367" s="127">
        <f>_xlfn.XLOOKUP(D627,'3. Input (des)investeringen '!$B$11:$B$81,'3. Input (des)investeringen '!$E$11:$E$81)</f>
        <v>1</v>
      </c>
    </row>
    <row r="1368" spans="1:6" s="122" customFormat="1">
      <c r="A1368"/>
      <c r="B1368">
        <v>611</v>
      </c>
      <c r="D1368" s="129">
        <f t="shared" si="41"/>
        <v>1614100.6668574503</v>
      </c>
      <c r="E1368" s="128">
        <f t="shared" si="42"/>
        <v>2024</v>
      </c>
      <c r="F1368" s="127">
        <f>_xlfn.XLOOKUP(D628,'3. Input (des)investeringen '!$B$11:$B$81,'3. Input (des)investeringen '!$E$11:$E$81)</f>
        <v>1</v>
      </c>
    </row>
    <row r="1369" spans="1:6" s="122" customFormat="1">
      <c r="A1369"/>
      <c r="B1369">
        <v>612</v>
      </c>
      <c r="D1369" s="129">
        <f t="shared" si="41"/>
        <v>4231677.7396503771</v>
      </c>
      <c r="E1369" s="128">
        <f t="shared" si="42"/>
        <v>2024</v>
      </c>
      <c r="F1369" s="127">
        <f>_xlfn.XLOOKUP(D629,'3. Input (des)investeringen '!$B$11:$B$81,'3. Input (des)investeringen '!$E$11:$E$81)</f>
        <v>1</v>
      </c>
    </row>
    <row r="1370" spans="1:6" s="122" customFormat="1">
      <c r="A1370"/>
      <c r="B1370">
        <v>613</v>
      </c>
      <c r="D1370" s="129">
        <f t="shared" si="41"/>
        <v>4414757.8608861342</v>
      </c>
      <c r="E1370" s="128">
        <f t="shared" si="42"/>
        <v>2024</v>
      </c>
      <c r="F1370" s="127">
        <f>_xlfn.XLOOKUP(D630,'3. Input (des)investeringen '!$B$11:$B$81,'3. Input (des)investeringen '!$E$11:$E$81)</f>
        <v>1</v>
      </c>
    </row>
    <row r="1371" spans="1:6" s="122" customFormat="1">
      <c r="A1371"/>
      <c r="B1371">
        <v>614</v>
      </c>
      <c r="D1371" s="129">
        <f t="shared" si="41"/>
        <v>437708.67102006235</v>
      </c>
      <c r="E1371" s="128">
        <f t="shared" si="42"/>
        <v>2024</v>
      </c>
      <c r="F1371" s="127">
        <f>_xlfn.XLOOKUP(D631,'3. Input (des)investeringen '!$B$11:$B$81,'3. Input (des)investeringen '!$E$11:$E$81)</f>
        <v>1</v>
      </c>
    </row>
    <row r="1372" spans="1:6" s="122" customFormat="1">
      <c r="A1372"/>
      <c r="B1372">
        <v>615</v>
      </c>
      <c r="D1372" s="129">
        <f t="shared" si="41"/>
        <v>333386.71316266886</v>
      </c>
      <c r="E1372" s="128">
        <f t="shared" si="42"/>
        <v>2024</v>
      </c>
      <c r="F1372" s="127">
        <f>_xlfn.XLOOKUP(D632,'3. Input (des)investeringen '!$B$11:$B$81,'3. Input (des)investeringen '!$E$11:$E$81)</f>
        <v>1</v>
      </c>
    </row>
    <row r="1373" spans="1:6" s="122" customFormat="1">
      <c r="A1373"/>
      <c r="B1373">
        <v>616</v>
      </c>
      <c r="D1373" s="129">
        <f t="shared" si="41"/>
        <v>1979385.9470383527</v>
      </c>
      <c r="E1373" s="128">
        <f t="shared" si="42"/>
        <v>2024</v>
      </c>
      <c r="F1373" s="127">
        <f>_xlfn.XLOOKUP(D633,'3. Input (des)investeringen '!$B$11:$B$81,'3. Input (des)investeringen '!$E$11:$E$81)</f>
        <v>1</v>
      </c>
    </row>
    <row r="1374" spans="1:6" s="122" customFormat="1">
      <c r="A1374"/>
      <c r="B1374">
        <v>617</v>
      </c>
      <c r="D1374" s="129">
        <f t="shared" si="41"/>
        <v>7159903.0505077969</v>
      </c>
      <c r="E1374" s="128">
        <f t="shared" si="42"/>
        <v>2024</v>
      </c>
      <c r="F1374" s="127">
        <f>_xlfn.XLOOKUP(D634,'3. Input (des)investeringen '!$B$11:$B$81,'3. Input (des)investeringen '!$E$11:$E$81)</f>
        <v>1</v>
      </c>
    </row>
    <row r="1375" spans="1:6" s="122" customFormat="1">
      <c r="A1375"/>
      <c r="B1375">
        <v>618</v>
      </c>
      <c r="D1375" s="129">
        <f t="shared" si="41"/>
        <v>74629.265167178659</v>
      </c>
      <c r="E1375" s="128">
        <f t="shared" si="42"/>
        <v>2024</v>
      </c>
      <c r="F1375" s="127">
        <f>_xlfn.XLOOKUP(D635,'3. Input (des)investeringen '!$B$11:$B$81,'3. Input (des)investeringen '!$E$11:$E$81)</f>
        <v>1</v>
      </c>
    </row>
    <row r="1376" spans="1:6" s="122" customFormat="1">
      <c r="A1376"/>
      <c r="B1376">
        <v>619</v>
      </c>
      <c r="D1376" s="129">
        <f t="shared" si="41"/>
        <v>7239669.4251530087</v>
      </c>
      <c r="E1376" s="128">
        <f t="shared" si="42"/>
        <v>2024</v>
      </c>
      <c r="F1376" s="127">
        <f>_xlfn.XLOOKUP(D636,'3. Input (des)investeringen '!$B$11:$B$81,'3. Input (des)investeringen '!$E$11:$E$81)</f>
        <v>1</v>
      </c>
    </row>
    <row r="1377" spans="1:6" s="122" customFormat="1">
      <c r="A1377"/>
      <c r="B1377">
        <v>620</v>
      </c>
      <c r="D1377" s="129">
        <f t="shared" si="41"/>
        <v>2134110.8715248764</v>
      </c>
      <c r="E1377" s="128">
        <f t="shared" si="42"/>
        <v>2024</v>
      </c>
      <c r="F1377" s="127">
        <f>_xlfn.XLOOKUP(D637,'3. Input (des)investeringen '!$B$11:$B$81,'3. Input (des)investeringen '!$E$11:$E$81)</f>
        <v>1</v>
      </c>
    </row>
    <row r="1378" spans="1:6" s="122" customFormat="1">
      <c r="A1378"/>
      <c r="B1378">
        <v>621</v>
      </c>
      <c r="D1378" s="129">
        <f t="shared" si="41"/>
        <v>548430.84486086131</v>
      </c>
      <c r="E1378" s="128">
        <f t="shared" si="42"/>
        <v>2024</v>
      </c>
      <c r="F1378" s="127">
        <f>_xlfn.XLOOKUP(D638,'3. Input (des)investeringen '!$B$11:$B$81,'3. Input (des)investeringen '!$E$11:$E$81)</f>
        <v>1</v>
      </c>
    </row>
    <row r="1379" spans="1:6" s="122" customFormat="1">
      <c r="A1379"/>
      <c r="B1379">
        <v>622</v>
      </c>
      <c r="D1379" s="129">
        <f t="shared" si="41"/>
        <v>12840682.30635125</v>
      </c>
      <c r="E1379" s="128">
        <f t="shared" si="42"/>
        <v>2024</v>
      </c>
      <c r="F1379" s="127">
        <f>_xlfn.XLOOKUP(D639,'3. Input (des)investeringen '!$B$11:$B$81,'3. Input (des)investeringen '!$E$11:$E$81)</f>
        <v>1</v>
      </c>
    </row>
    <row r="1380" spans="1:6" s="122" customFormat="1">
      <c r="A1380"/>
      <c r="B1380">
        <v>623</v>
      </c>
      <c r="D1380" s="129">
        <f t="shared" si="41"/>
        <v>293349.00595699152</v>
      </c>
      <c r="E1380" s="128">
        <f t="shared" si="42"/>
        <v>2024</v>
      </c>
      <c r="F1380" s="127">
        <f>_xlfn.XLOOKUP(D640,'3. Input (des)investeringen '!$B$11:$B$81,'3. Input (des)investeringen '!$E$11:$E$81)</f>
        <v>1</v>
      </c>
    </row>
    <row r="1381" spans="1:6" s="122" customFormat="1">
      <c r="A1381"/>
      <c r="B1381">
        <v>624</v>
      </c>
      <c r="D1381" s="129">
        <f t="shared" si="41"/>
        <v>20998127.740403332</v>
      </c>
      <c r="E1381" s="128">
        <f t="shared" si="42"/>
        <v>2024</v>
      </c>
      <c r="F1381" s="127">
        <f>_xlfn.XLOOKUP(D641,'3. Input (des)investeringen '!$B$11:$B$81,'3. Input (des)investeringen '!$E$11:$E$81)</f>
        <v>1</v>
      </c>
    </row>
    <row r="1382" spans="1:6" s="122" customFormat="1">
      <c r="A1382"/>
      <c r="B1382">
        <v>625</v>
      </c>
      <c r="D1382" s="129">
        <f t="shared" si="41"/>
        <v>163313.75382603268</v>
      </c>
      <c r="E1382" s="128">
        <f t="shared" si="42"/>
        <v>2024</v>
      </c>
      <c r="F1382" s="127">
        <f>_xlfn.XLOOKUP(D642,'3. Input (des)investeringen '!$B$11:$B$81,'3. Input (des)investeringen '!$E$11:$E$81)</f>
        <v>1</v>
      </c>
    </row>
    <row r="1383" spans="1:6" s="122" customFormat="1">
      <c r="A1383"/>
      <c r="B1383">
        <v>626</v>
      </c>
      <c r="D1383" s="129">
        <f t="shared" si="41"/>
        <v>111126.30477577953</v>
      </c>
      <c r="E1383" s="128">
        <f t="shared" si="42"/>
        <v>2024</v>
      </c>
      <c r="F1383" s="127">
        <f>_xlfn.XLOOKUP(D643,'3. Input (des)investeringen '!$B$11:$B$81,'3. Input (des)investeringen '!$E$11:$E$81)</f>
        <v>0</v>
      </c>
    </row>
    <row r="1384" spans="1:6" s="122" customFormat="1">
      <c r="A1384"/>
      <c r="B1384">
        <v>627</v>
      </c>
      <c r="D1384" s="129">
        <f t="shared" si="41"/>
        <v>209822.27949994101</v>
      </c>
      <c r="E1384" s="128">
        <f t="shared" si="42"/>
        <v>2024</v>
      </c>
      <c r="F1384" s="127">
        <f>_xlfn.XLOOKUP(D644,'3. Input (des)investeringen '!$B$11:$B$81,'3. Input (des)investeringen '!$E$11:$E$81)</f>
        <v>0</v>
      </c>
    </row>
    <row r="1385" spans="1:6" s="122" customFormat="1">
      <c r="A1385"/>
      <c r="B1385">
        <v>628</v>
      </c>
      <c r="D1385" s="129">
        <f t="shared" ref="D1385:D1405" si="43">F645*INDEX($E$673:$CG$753,E645-1945,G645-1945)</f>
        <v>30414.811158507579</v>
      </c>
      <c r="E1385" s="128">
        <f t="shared" ref="E1385:E1405" si="44">G645</f>
        <v>2024</v>
      </c>
      <c r="F1385" s="127">
        <f>_xlfn.XLOOKUP(D645,'3. Input (des)investeringen '!$B$11:$B$81,'3. Input (des)investeringen '!$E$11:$E$81)</f>
        <v>0</v>
      </c>
    </row>
    <row r="1386" spans="1:6" s="122" customFormat="1">
      <c r="A1386"/>
      <c r="B1386">
        <v>629</v>
      </c>
      <c r="D1386" s="129">
        <f t="shared" si="43"/>
        <v>72299.483968800036</v>
      </c>
      <c r="E1386" s="128">
        <f t="shared" si="44"/>
        <v>2024</v>
      </c>
      <c r="F1386" s="127">
        <f>_xlfn.XLOOKUP(D646,'3. Input (des)investeringen '!$B$11:$B$81,'3. Input (des)investeringen '!$E$11:$E$81)</f>
        <v>0</v>
      </c>
    </row>
    <row r="1387" spans="1:6" s="122" customFormat="1">
      <c r="A1387"/>
      <c r="B1387">
        <v>630</v>
      </c>
      <c r="D1387" s="129">
        <f t="shared" si="43"/>
        <v>229964.43070982173</v>
      </c>
      <c r="E1387" s="128">
        <f t="shared" si="44"/>
        <v>2024</v>
      </c>
      <c r="F1387" s="127">
        <f>_xlfn.XLOOKUP(D647,'3. Input (des)investeringen '!$B$11:$B$81,'3. Input (des)investeringen '!$E$11:$E$81)</f>
        <v>0</v>
      </c>
    </row>
    <row r="1388" spans="1:6" s="122" customFormat="1">
      <c r="A1388"/>
      <c r="B1388">
        <v>631</v>
      </c>
      <c r="D1388" s="129">
        <f t="shared" si="43"/>
        <v>80367.180895925572</v>
      </c>
      <c r="E1388" s="128">
        <f t="shared" si="44"/>
        <v>2024</v>
      </c>
      <c r="F1388" s="127">
        <f>_xlfn.XLOOKUP(D648,'3. Input (des)investeringen '!$B$11:$B$81,'3. Input (des)investeringen '!$E$11:$E$81)</f>
        <v>0</v>
      </c>
    </row>
    <row r="1389" spans="1:6" s="122" customFormat="1">
      <c r="A1389"/>
      <c r="B1389">
        <v>632</v>
      </c>
      <c r="D1389" s="129">
        <f t="shared" si="43"/>
        <v>161474.03145727274</v>
      </c>
      <c r="E1389" s="128">
        <f t="shared" si="44"/>
        <v>2024</v>
      </c>
      <c r="F1389" s="127">
        <f>_xlfn.XLOOKUP(D649,'3. Input (des)investeringen '!$B$11:$B$81,'3. Input (des)investeringen '!$E$11:$E$81)</f>
        <v>0</v>
      </c>
    </row>
    <row r="1390" spans="1:6" s="122" customFormat="1">
      <c r="A1390"/>
      <c r="B1390">
        <v>633</v>
      </c>
      <c r="D1390" s="129">
        <f t="shared" si="43"/>
        <v>145347.34813364185</v>
      </c>
      <c r="E1390" s="128">
        <f t="shared" si="44"/>
        <v>2024</v>
      </c>
      <c r="F1390" s="127">
        <f>_xlfn.XLOOKUP(D650,'3. Input (des)investeringen '!$B$11:$B$81,'3. Input (des)investeringen '!$E$11:$E$81)</f>
        <v>0</v>
      </c>
    </row>
    <row r="1391" spans="1:6" s="122" customFormat="1">
      <c r="A1391"/>
      <c r="B1391">
        <v>634</v>
      </c>
      <c r="D1391" s="129">
        <f t="shared" si="43"/>
        <v>253959.2233117416</v>
      </c>
      <c r="E1391" s="128">
        <f t="shared" si="44"/>
        <v>2024</v>
      </c>
      <c r="F1391" s="127">
        <f>_xlfn.XLOOKUP(D651,'3. Input (des)investeringen '!$B$11:$B$81,'3. Input (des)investeringen '!$E$11:$E$81)</f>
        <v>1</v>
      </c>
    </row>
    <row r="1392" spans="1:6" s="122" customFormat="1">
      <c r="A1392"/>
      <c r="B1392">
        <v>635</v>
      </c>
      <c r="D1392" s="129">
        <f t="shared" si="43"/>
        <v>44400.751979526118</v>
      </c>
      <c r="E1392" s="128">
        <f t="shared" si="44"/>
        <v>2024</v>
      </c>
      <c r="F1392" s="127">
        <f>_xlfn.XLOOKUP(D652,'3. Input (des)investeringen '!$B$11:$B$81,'3. Input (des)investeringen '!$E$11:$E$81)</f>
        <v>1</v>
      </c>
    </row>
    <row r="1393" spans="1:10" s="122" customFormat="1">
      <c r="A1393"/>
      <c r="B1393">
        <v>636</v>
      </c>
      <c r="D1393" s="129">
        <f t="shared" si="43"/>
        <v>135615.51907538407</v>
      </c>
      <c r="E1393" s="128">
        <f t="shared" si="44"/>
        <v>2024</v>
      </c>
      <c r="F1393" s="127">
        <f>_xlfn.XLOOKUP(D653,'3. Input (des)investeringen '!$B$11:$B$81,'3. Input (des)investeringen '!$E$11:$E$81)</f>
        <v>1</v>
      </c>
    </row>
    <row r="1394" spans="1:10" s="122" customFormat="1">
      <c r="A1394"/>
      <c r="B1394">
        <v>637</v>
      </c>
      <c r="D1394" s="129">
        <f t="shared" si="43"/>
        <v>160731.9399931191</v>
      </c>
      <c r="E1394" s="128">
        <f t="shared" si="44"/>
        <v>2024</v>
      </c>
      <c r="F1394" s="127">
        <f>_xlfn.XLOOKUP(D654,'3. Input (des)investeringen '!$B$11:$B$81,'3. Input (des)investeringen '!$E$11:$E$81)</f>
        <v>1</v>
      </c>
    </row>
    <row r="1395" spans="1:10" s="122" customFormat="1">
      <c r="A1395"/>
      <c r="B1395">
        <v>638</v>
      </c>
      <c r="D1395" s="129">
        <f t="shared" si="43"/>
        <v>48052.833482000133</v>
      </c>
      <c r="E1395" s="128">
        <f t="shared" si="44"/>
        <v>2024</v>
      </c>
      <c r="F1395" s="127">
        <f>_xlfn.XLOOKUP(D655,'3. Input (des)investeringen '!$B$11:$B$81,'3. Input (des)investeringen '!$E$11:$E$81)</f>
        <v>1</v>
      </c>
    </row>
    <row r="1396" spans="1:10" s="122" customFormat="1">
      <c r="A1396"/>
      <c r="B1396">
        <v>639</v>
      </c>
      <c r="D1396" s="129">
        <f t="shared" si="43"/>
        <v>260339.04092527876</v>
      </c>
      <c r="E1396" s="128">
        <f t="shared" si="44"/>
        <v>2024</v>
      </c>
      <c r="F1396" s="127">
        <f>_xlfn.XLOOKUP(D656,'3. Input (des)investeringen '!$B$11:$B$81,'3. Input (des)investeringen '!$E$11:$E$81)</f>
        <v>1</v>
      </c>
    </row>
    <row r="1397" spans="1:10" s="122" customFormat="1">
      <c r="A1397"/>
      <c r="B1397">
        <v>640</v>
      </c>
      <c r="D1397" s="129">
        <f t="shared" si="43"/>
        <v>71917.782611901479</v>
      </c>
      <c r="E1397" s="128">
        <f t="shared" si="44"/>
        <v>2024</v>
      </c>
      <c r="F1397" s="127">
        <f>_xlfn.XLOOKUP(D657,'3. Input (des)investeringen '!$B$11:$B$81,'3. Input (des)investeringen '!$E$11:$E$81)</f>
        <v>1</v>
      </c>
    </row>
    <row r="1398" spans="1:10" s="122" customFormat="1">
      <c r="A1398"/>
      <c r="B1398">
        <v>641</v>
      </c>
      <c r="D1398" s="129">
        <f t="shared" si="43"/>
        <v>25076.077850351056</v>
      </c>
      <c r="E1398" s="128">
        <f t="shared" si="44"/>
        <v>2024</v>
      </c>
      <c r="F1398" s="127">
        <f>_xlfn.XLOOKUP(D658,'3. Input (des)investeringen '!$B$11:$B$81,'3. Input (des)investeringen '!$E$11:$E$81)</f>
        <v>1</v>
      </c>
    </row>
    <row r="1399" spans="1:10" s="122" customFormat="1">
      <c r="A1399"/>
      <c r="B1399">
        <v>642</v>
      </c>
      <c r="D1399" s="129">
        <f t="shared" si="43"/>
        <v>31332.211305845765</v>
      </c>
      <c r="E1399" s="128">
        <f t="shared" si="44"/>
        <v>2024</v>
      </c>
      <c r="F1399" s="127">
        <f>_xlfn.XLOOKUP(D659,'3. Input (des)investeringen '!$B$11:$B$81,'3. Input (des)investeringen '!$E$11:$E$81)</f>
        <v>1</v>
      </c>
    </row>
    <row r="1400" spans="1:10" s="122" customFormat="1">
      <c r="A1400"/>
      <c r="B1400">
        <v>643</v>
      </c>
      <c r="D1400" s="129">
        <f t="shared" si="43"/>
        <v>100712.26368000002</v>
      </c>
      <c r="E1400" s="128">
        <f t="shared" si="44"/>
        <v>2024</v>
      </c>
      <c r="F1400" s="127">
        <f>_xlfn.XLOOKUP(D660,'3. Input (des)investeringen '!$B$11:$B$81,'3. Input (des)investeringen '!$E$11:$E$81)</f>
        <v>1</v>
      </c>
    </row>
    <row r="1401" spans="1:10" s="122" customFormat="1">
      <c r="A1401"/>
      <c r="B1401">
        <v>644</v>
      </c>
      <c r="D1401" s="129">
        <f t="shared" si="43"/>
        <v>518134.22387007735</v>
      </c>
      <c r="E1401" s="128">
        <f t="shared" si="44"/>
        <v>2024</v>
      </c>
      <c r="F1401" s="127">
        <f>_xlfn.XLOOKUP(D661,'3. Input (des)investeringen '!$B$11:$B$81,'3. Input (des)investeringen '!$E$11:$E$81)</f>
        <v>1</v>
      </c>
    </row>
    <row r="1402" spans="1:10" s="122" customFormat="1">
      <c r="A1402"/>
      <c r="B1402">
        <v>645</v>
      </c>
      <c r="D1402" s="129">
        <f t="shared" si="43"/>
        <v>105239.71077357125</v>
      </c>
      <c r="E1402" s="128">
        <f t="shared" si="44"/>
        <v>2024</v>
      </c>
      <c r="F1402" s="127">
        <f>_xlfn.XLOOKUP(D662,'3. Input (des)investeringen '!$B$11:$B$81,'3. Input (des)investeringen '!$E$11:$E$81)</f>
        <v>1</v>
      </c>
    </row>
    <row r="1403" spans="1:10" s="122" customFormat="1">
      <c r="A1403"/>
      <c r="B1403">
        <v>646</v>
      </c>
      <c r="D1403" s="129">
        <f t="shared" si="43"/>
        <v>48671.500527957382</v>
      </c>
      <c r="E1403" s="128">
        <f t="shared" si="44"/>
        <v>2024</v>
      </c>
      <c r="F1403" s="127">
        <f>_xlfn.XLOOKUP(D663,'3. Input (des)investeringen '!$B$11:$B$81,'3. Input (des)investeringen '!$E$11:$E$81)</f>
        <v>1</v>
      </c>
    </row>
    <row r="1404" spans="1:10" s="122" customFormat="1">
      <c r="A1404"/>
      <c r="B1404">
        <v>647</v>
      </c>
      <c r="D1404" s="129">
        <f t="shared" si="43"/>
        <v>47773.672656387018</v>
      </c>
      <c r="E1404" s="128">
        <f t="shared" si="44"/>
        <v>2024</v>
      </c>
      <c r="F1404" s="127">
        <f>_xlfn.XLOOKUP(D664,'3. Input (des)investeringen '!$B$11:$B$81,'3. Input (des)investeringen '!$E$11:$E$81)</f>
        <v>1</v>
      </c>
    </row>
    <row r="1405" spans="1:10" s="122" customFormat="1">
      <c r="A1405"/>
      <c r="B1405">
        <v>648</v>
      </c>
      <c r="D1405" s="129">
        <f t="shared" si="43"/>
        <v>23708.586158674614</v>
      </c>
      <c r="E1405" s="128">
        <f t="shared" si="44"/>
        <v>2024</v>
      </c>
      <c r="F1405" s="127">
        <f>_xlfn.XLOOKUP(D665,'3. Input (des)investeringen '!$B$11:$B$81,'3. Input (des)investeringen '!$E$11:$E$81)</f>
        <v>1</v>
      </c>
    </row>
    <row r="1407" spans="1:10" s="53" customFormat="1">
      <c r="B1407" s="53" t="s">
        <v>948</v>
      </c>
      <c r="D1407" s="53">
        <v>2020</v>
      </c>
      <c r="E1407" s="53">
        <v>2021</v>
      </c>
      <c r="F1407" s="53">
        <v>2022</v>
      </c>
      <c r="G1407" s="53">
        <v>2023</v>
      </c>
      <c r="H1407" s="53">
        <v>2024</v>
      </c>
      <c r="I1407" s="53">
        <v>2025</v>
      </c>
      <c r="J1407" s="53">
        <v>2026</v>
      </c>
    </row>
    <row r="1409" spans="2:10">
      <c r="B1409" s="3" t="s">
        <v>949</v>
      </c>
      <c r="D1409" s="170">
        <f>SUMIFS($D$758:$D$1405,$E$758:$E$1405,D$1407,$F$758:$F$1405,1)</f>
        <v>37758981.056281559</v>
      </c>
      <c r="E1409" s="170">
        <f>SUMIFS($D$758:$D$1405,$E$758:$E$1405,E$1407,$F$758:$F$1405,1)</f>
        <v>38763732.819702528</v>
      </c>
      <c r="F1409" s="170">
        <f>SUMIFS($D$758:$D$1405,$E$758:$E$1405,F$1407,$F$758:$F$1405,1)</f>
        <v>22960381.53917243</v>
      </c>
      <c r="G1409" s="170">
        <f>SUMIFS($D$758:$D$1405,$E$758:$E$1405,G$1407,$F$758:$F$1405,1)</f>
        <v>58023959.745093741</v>
      </c>
      <c r="H1409" s="170">
        <f>SUMIFS($D$758:$D$1405,$E$758:$E$1405,H$1407,$F$758:$F$1405,1)</f>
        <v>240087476.54390535</v>
      </c>
      <c r="I1409" s="130"/>
      <c r="J1409" s="130"/>
    </row>
    <row r="1410" spans="2:10">
      <c r="B1410" s="3" t="s">
        <v>950</v>
      </c>
      <c r="D1410" s="170">
        <f>SUMIFS($D$758:$D$1405,$E$758:$E$1405,D$1407,$F$758:$F$1405,0)</f>
        <v>27912770.687367041</v>
      </c>
      <c r="E1410" s="170">
        <f>SUMIFS($D$758:$D$1405,$E$758:$E$1405,E$1407,$F$758:$F$1405,0)</f>
        <v>152460325.70788148</v>
      </c>
      <c r="F1410" s="170">
        <f>SUMIFS($D$758:$D$1405,$E$758:$E$1405,F$1407,$F$758:$F$1405,0)</f>
        <v>18326404.223966755</v>
      </c>
      <c r="G1410" s="170">
        <f>SUMIFS($D$758:$D$1405,$E$758:$E$1405,G$1407,$F$758:$F$1405,0)</f>
        <v>56904952.296988726</v>
      </c>
      <c r="H1410" s="170">
        <f>SUMIFS($D$758:$D$1405,$E$758:$E$1405,H$1407,$F$758:$F$1405,0)</f>
        <v>12059459.252509575</v>
      </c>
      <c r="I1410" s="130"/>
      <c r="J1410" s="130"/>
    </row>
  </sheetData>
  <autoFilter ref="D16:G548" xr:uid="{00000000-0001-0000-1000-000000000000}"/>
  <mergeCells count="2">
    <mergeCell ref="B5:N5"/>
    <mergeCell ref="B7:D7"/>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2:S146"/>
  <sheetViews>
    <sheetView showGridLines="0" zoomScale="85" zoomScaleNormal="85" workbookViewId="0">
      <pane xSplit="3" ySplit="11" topLeftCell="D12" activePane="bottomRight" state="frozen"/>
      <selection pane="topRight" activeCell="D1" sqref="D1"/>
      <selection pane="bottomLeft" activeCell="A12" sqref="A12"/>
      <selection pane="bottomRight"/>
    </sheetView>
  </sheetViews>
  <sheetFormatPr defaultColWidth="9.140625"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1" width="12" style="3" bestFit="1" customWidth="1"/>
    <col min="12" max="12" width="13" style="3" bestFit="1" customWidth="1"/>
    <col min="13" max="17" width="14.85546875" style="3" bestFit="1" customWidth="1"/>
    <col min="18" max="18" width="2.5703125" style="3" customWidth="1"/>
    <col min="19" max="30" width="13.5703125" style="3" customWidth="1"/>
    <col min="31" max="16384" width="9.140625" style="3"/>
  </cols>
  <sheetData>
    <row r="2" spans="2:19" s="12" customFormat="1" ht="18">
      <c r="B2" s="12" t="s">
        <v>951</v>
      </c>
    </row>
    <row r="4" spans="2:19">
      <c r="B4" s="16" t="s">
        <v>868</v>
      </c>
      <c r="C4" s="2"/>
    </row>
    <row r="5" spans="2:19">
      <c r="B5" s="346" t="s">
        <v>952</v>
      </c>
      <c r="C5" s="349"/>
      <c r="D5" s="349"/>
      <c r="F5" s="13"/>
    </row>
    <row r="6" spans="2:19" ht="14.25" customHeight="1">
      <c r="F6" s="185"/>
    </row>
    <row r="7" spans="2:19">
      <c r="B7" s="354" t="s">
        <v>870</v>
      </c>
      <c r="C7" s="356"/>
      <c r="D7" s="356"/>
      <c r="F7" s="13"/>
    </row>
    <row r="8" spans="2:19" ht="57.75" customHeight="1">
      <c r="B8" s="346" t="s">
        <v>953</v>
      </c>
      <c r="C8" s="346"/>
      <c r="D8" s="346"/>
      <c r="F8" s="13"/>
    </row>
    <row r="9" spans="2:19">
      <c r="F9" s="13"/>
    </row>
    <row r="10" spans="2:19" s="8" customFormat="1">
      <c r="B10" s="8" t="s">
        <v>157</v>
      </c>
      <c r="D10" s="8" t="s">
        <v>199</v>
      </c>
      <c r="F10" s="8" t="s">
        <v>200</v>
      </c>
      <c r="H10" s="303" t="s">
        <v>455</v>
      </c>
      <c r="I10" s="303" t="s">
        <v>456</v>
      </c>
      <c r="J10" s="303" t="s">
        <v>457</v>
      </c>
      <c r="K10" s="46">
        <v>2020</v>
      </c>
      <c r="L10" s="46">
        <v>2021</v>
      </c>
      <c r="M10" s="46">
        <v>2022</v>
      </c>
      <c r="N10" s="46">
        <v>2023</v>
      </c>
      <c r="O10" s="46">
        <v>2024</v>
      </c>
      <c r="P10" s="46">
        <v>2025</v>
      </c>
      <c r="Q10" s="46">
        <v>2026</v>
      </c>
      <c r="S10" s="8" t="s">
        <v>202</v>
      </c>
    </row>
    <row r="12" spans="2:19" s="8" customFormat="1">
      <c r="B12" s="8" t="s">
        <v>872</v>
      </c>
    </row>
    <row r="14" spans="2:19">
      <c r="B14" s="2" t="s">
        <v>223</v>
      </c>
    </row>
    <row r="15" spans="2:19">
      <c r="B15" s="3" t="s">
        <v>954</v>
      </c>
      <c r="D15" s="3" t="s">
        <v>227</v>
      </c>
      <c r="H15" s="32">
        <f>'2. Parameters'!H40</f>
        <v>1</v>
      </c>
      <c r="I15" s="32">
        <f>'2. Parameters'!I40</f>
        <v>1.014</v>
      </c>
      <c r="J15" s="32">
        <f>'2. Parameters'!J40</f>
        <v>1.026168</v>
      </c>
      <c r="K15" s="32">
        <f>'2. Parameters'!K40</f>
        <v>1.052848368</v>
      </c>
      <c r="L15" s="32">
        <f>'2. Parameters'!L40</f>
        <v>1.069693941888</v>
      </c>
      <c r="M15" s="32">
        <f>'2. Parameters'!M40</f>
        <v>1.0889484328419841</v>
      </c>
      <c r="N15" s="32">
        <f>'2. Parameters'!N40</f>
        <v>1.1564632356781872</v>
      </c>
      <c r="O15" s="32">
        <f>'2. Parameters'!O40</f>
        <v>1.2489802945324422</v>
      </c>
      <c r="P15" s="32">
        <f>'2. Parameters'!P40</f>
        <v>1.2839517427793505</v>
      </c>
      <c r="Q15" s="32">
        <f>'2. Parameters'!Q40</f>
        <v>1.3057789224065994</v>
      </c>
    </row>
    <row r="16" spans="2:19">
      <c r="B16" s="3" t="s">
        <v>955</v>
      </c>
      <c r="D16" s="3" t="s">
        <v>227</v>
      </c>
      <c r="H16" s="10"/>
      <c r="I16" s="32">
        <f>'2. Parameters'!I41</f>
        <v>1</v>
      </c>
      <c r="J16" s="32">
        <f>'2. Parameters'!J41</f>
        <v>1.012</v>
      </c>
      <c r="K16" s="32">
        <f>'2. Parameters'!K41</f>
        <v>1.0383120000000001</v>
      </c>
      <c r="L16" s="32">
        <f>'2. Parameters'!L41</f>
        <v>1.0549249920000001</v>
      </c>
      <c r="M16" s="32">
        <f>'2. Parameters'!M41</f>
        <v>1.0739136418560002</v>
      </c>
      <c r="N16" s="32">
        <f>'2. Parameters'!N41</f>
        <v>1.1404962876510722</v>
      </c>
      <c r="O16" s="32">
        <f>'2. Parameters'!O41</f>
        <v>1.2317359906631582</v>
      </c>
      <c r="P16" s="32">
        <f>'2. Parameters'!P41</f>
        <v>1.2662245984017266</v>
      </c>
      <c r="Q16" s="32">
        <f>'2. Parameters'!Q41</f>
        <v>1.2877504165745559</v>
      </c>
    </row>
    <row r="17" spans="2:17">
      <c r="B17" s="3" t="s">
        <v>956</v>
      </c>
      <c r="D17" s="3" t="s">
        <v>227</v>
      </c>
      <c r="H17" s="10"/>
      <c r="I17" s="10"/>
      <c r="J17" s="32">
        <f>'2. Parameters'!J42</f>
        <v>1</v>
      </c>
      <c r="K17" s="32">
        <f>'2. Parameters'!K42</f>
        <v>1.026</v>
      </c>
      <c r="L17" s="32">
        <f>'2. Parameters'!L42</f>
        <v>1.042416</v>
      </c>
      <c r="M17" s="32">
        <f>'2. Parameters'!M42</f>
        <v>1.0611794880000001</v>
      </c>
      <c r="N17" s="32">
        <f>'2. Parameters'!N42</f>
        <v>1.1269726162560001</v>
      </c>
      <c r="O17" s="32">
        <f>'2. Parameters'!O42</f>
        <v>1.2171304255564801</v>
      </c>
      <c r="P17" s="32">
        <f>'2. Parameters'!P42</f>
        <v>1.2512100774720616</v>
      </c>
      <c r="Q17" s="32">
        <f>'2. Parameters'!Q42</f>
        <v>1.2724806487890865</v>
      </c>
    </row>
    <row r="18" spans="2:17">
      <c r="B18" s="3" t="s">
        <v>957</v>
      </c>
      <c r="D18" s="3" t="s">
        <v>227</v>
      </c>
      <c r="H18" s="10"/>
      <c r="I18" s="10"/>
      <c r="J18" s="10"/>
      <c r="K18" s="32">
        <f>'2. Parameters'!K43</f>
        <v>1</v>
      </c>
      <c r="L18" s="32">
        <f>'2. Parameters'!L43</f>
        <v>1.016</v>
      </c>
      <c r="M18" s="32">
        <f>'2. Parameters'!M43</f>
        <v>1.0342880000000001</v>
      </c>
      <c r="N18" s="32">
        <f>'2. Parameters'!N43</f>
        <v>1.0984138560000001</v>
      </c>
      <c r="O18" s="32">
        <f>'2. Parameters'!O43</f>
        <v>1.1862869644800003</v>
      </c>
      <c r="P18" s="32">
        <f>'2. Parameters'!P43</f>
        <v>1.2195029994854403</v>
      </c>
      <c r="Q18" s="32">
        <f>'2. Parameters'!Q43</f>
        <v>1.2402345504766927</v>
      </c>
    </row>
    <row r="19" spans="2:17">
      <c r="B19" s="3" t="s">
        <v>958</v>
      </c>
      <c r="D19" s="3" t="s">
        <v>227</v>
      </c>
      <c r="H19" s="10"/>
      <c r="I19" s="10"/>
      <c r="J19" s="10"/>
      <c r="K19" s="10"/>
      <c r="L19" s="32">
        <f>'2. Parameters'!L44</f>
        <v>1</v>
      </c>
      <c r="M19" s="32">
        <f>'2. Parameters'!M44</f>
        <v>1.018</v>
      </c>
      <c r="N19" s="32">
        <f>'2. Parameters'!N44</f>
        <v>1.081116</v>
      </c>
      <c r="O19" s="32">
        <f>'2. Parameters'!O44</f>
        <v>1.1676052800000001</v>
      </c>
      <c r="P19" s="32">
        <f>'2. Parameters'!P44</f>
        <v>1.2002982278400001</v>
      </c>
      <c r="Q19" s="32">
        <f>'2. Parameters'!Q44</f>
        <v>1.2207032977132799</v>
      </c>
    </row>
    <row r="20" spans="2:17">
      <c r="B20" s="3" t="s">
        <v>959</v>
      </c>
      <c r="D20" s="3" t="s">
        <v>227</v>
      </c>
      <c r="H20" s="10"/>
      <c r="I20" s="10"/>
      <c r="J20" s="10"/>
      <c r="K20" s="10"/>
      <c r="L20" s="10"/>
      <c r="M20" s="32">
        <f>'2. Parameters'!M45</f>
        <v>1</v>
      </c>
      <c r="N20" s="32">
        <f>'2. Parameters'!N45</f>
        <v>1.0620000000000001</v>
      </c>
      <c r="O20" s="32">
        <f>'2. Parameters'!O45</f>
        <v>1.1469600000000002</v>
      </c>
      <c r="P20" s="32">
        <f>'2. Parameters'!P45</f>
        <v>1.1790748800000002</v>
      </c>
      <c r="Q20" s="32">
        <f>'2. Parameters'!Q45</f>
        <v>1.19911915296</v>
      </c>
    </row>
    <row r="21" spans="2:17">
      <c r="B21" s="3" t="s">
        <v>960</v>
      </c>
      <c r="D21" s="3" t="s">
        <v>227</v>
      </c>
      <c r="H21" s="10"/>
      <c r="I21" s="10"/>
      <c r="J21" s="10"/>
      <c r="K21" s="10"/>
      <c r="L21" s="10"/>
      <c r="M21" s="10"/>
      <c r="N21" s="32">
        <f>'2. Parameters'!N46</f>
        <v>1</v>
      </c>
      <c r="O21" s="32">
        <f>'2. Parameters'!O46</f>
        <v>1.08</v>
      </c>
      <c r="P21" s="32">
        <f>'2. Parameters'!P46</f>
        <v>1.1102400000000001</v>
      </c>
      <c r="Q21" s="32">
        <f>'2. Parameters'!Q46</f>
        <v>1.1291140799999999</v>
      </c>
    </row>
    <row r="22" spans="2:17">
      <c r="B22" s="3" t="s">
        <v>961</v>
      </c>
      <c r="D22" s="3" t="s">
        <v>227</v>
      </c>
      <c r="H22" s="10"/>
      <c r="I22" s="10"/>
      <c r="J22" s="10"/>
      <c r="K22" s="10"/>
      <c r="L22" s="10"/>
      <c r="M22" s="10"/>
      <c r="N22" s="10"/>
      <c r="O22" s="32">
        <f>'2. Parameters'!O47</f>
        <v>1</v>
      </c>
      <c r="P22" s="32">
        <f>'2. Parameters'!P47</f>
        <v>1.028</v>
      </c>
      <c r="Q22" s="32">
        <f>'2. Parameters'!Q47</f>
        <v>1.0454759999999998</v>
      </c>
    </row>
    <row r="23" spans="2:17">
      <c r="B23" s="3" t="s">
        <v>962</v>
      </c>
      <c r="D23" s="3" t="s">
        <v>227</v>
      </c>
      <c r="H23" s="10"/>
      <c r="I23" s="10"/>
      <c r="J23" s="10"/>
      <c r="K23" s="10"/>
      <c r="L23" s="10"/>
      <c r="M23" s="10"/>
      <c r="N23" s="10"/>
      <c r="O23" s="10"/>
      <c r="P23" s="32">
        <f>'2. Parameters'!P48</f>
        <v>1</v>
      </c>
      <c r="Q23" s="32">
        <f>'2. Parameters'!Q48</f>
        <v>1.0169999999999999</v>
      </c>
    </row>
    <row r="24" spans="2:17">
      <c r="B24" s="3" t="s">
        <v>963</v>
      </c>
      <c r="D24" s="3" t="s">
        <v>227</v>
      </c>
      <c r="H24" s="10"/>
      <c r="I24" s="10"/>
      <c r="J24" s="10"/>
      <c r="K24" s="10"/>
      <c r="L24" s="10"/>
      <c r="M24" s="10"/>
      <c r="N24" s="10"/>
      <c r="O24" s="10"/>
      <c r="P24" s="10"/>
      <c r="Q24" s="32">
        <f>'2. Parameters'!Q49</f>
        <v>1</v>
      </c>
    </row>
    <row r="26" spans="2:17">
      <c r="B26" s="2" t="s">
        <v>237</v>
      </c>
    </row>
    <row r="27" spans="2:17">
      <c r="B27" s="3" t="s">
        <v>964</v>
      </c>
      <c r="D27" s="3" t="s">
        <v>241</v>
      </c>
      <c r="H27" s="32">
        <f>'2. Parameters'!H57</f>
        <v>1</v>
      </c>
      <c r="I27" s="32">
        <f>'2. Parameters'!I57</f>
        <v>0.999</v>
      </c>
      <c r="J27" s="32">
        <f>'2. Parameters'!J57</f>
        <v>0.99800100000000003</v>
      </c>
      <c r="K27" s="32">
        <f>'2. Parameters'!K57</f>
        <v>0.997002999</v>
      </c>
      <c r="L27" s="32">
        <f>'2. Parameters'!L57</f>
        <v>0.99600599600100004</v>
      </c>
      <c r="M27" s="32">
        <f>'2. Parameters'!M57</f>
        <v>0.99202197201699605</v>
      </c>
      <c r="N27" s="32">
        <f>'2. Parameters'!N57</f>
        <v>0.98805388412892803</v>
      </c>
      <c r="O27" s="32">
        <f>'2. Parameters'!O57</f>
        <v>0.98410166859241233</v>
      </c>
      <c r="P27" s="32">
        <f>'2. Parameters'!P57</f>
        <v>0.98016526191804265</v>
      </c>
      <c r="Q27" s="32">
        <f>'2. Parameters'!Q57</f>
        <v>0.97624460087037046</v>
      </c>
    </row>
    <row r="28" spans="2:17">
      <c r="B28" s="3" t="s">
        <v>965</v>
      </c>
      <c r="D28" s="3" t="s">
        <v>241</v>
      </c>
      <c r="H28" s="10"/>
      <c r="I28" s="32">
        <f>'2. Parameters'!I58</f>
        <v>1</v>
      </c>
      <c r="J28" s="32">
        <f>'2. Parameters'!J58</f>
        <v>0.999</v>
      </c>
      <c r="K28" s="32">
        <f>'2. Parameters'!K58</f>
        <v>0.99800100000000003</v>
      </c>
      <c r="L28" s="32">
        <f>'2. Parameters'!L58</f>
        <v>0.997002999</v>
      </c>
      <c r="M28" s="32">
        <f>'2. Parameters'!M58</f>
        <v>0.99301498700400004</v>
      </c>
      <c r="N28" s="32">
        <f>'2. Parameters'!N58</f>
        <v>0.98904292705598407</v>
      </c>
      <c r="O28" s="32">
        <f>'2. Parameters'!O58</f>
        <v>0.98508675534776013</v>
      </c>
      <c r="P28" s="32">
        <f>'2. Parameters'!P58</f>
        <v>0.98114640832636912</v>
      </c>
      <c r="Q28" s="32">
        <f>'2. Parameters'!Q58</f>
        <v>0.97722182269306368</v>
      </c>
    </row>
    <row r="29" spans="2:17">
      <c r="B29" s="3" t="s">
        <v>966</v>
      </c>
      <c r="D29" s="3" t="s">
        <v>241</v>
      </c>
      <c r="H29" s="10"/>
      <c r="I29" s="10"/>
      <c r="J29" s="32">
        <f>'2. Parameters'!J59</f>
        <v>1</v>
      </c>
      <c r="K29" s="32">
        <f>'2. Parameters'!K59</f>
        <v>0.999</v>
      </c>
      <c r="L29" s="32">
        <f>'2. Parameters'!L59</f>
        <v>0.99800100000000003</v>
      </c>
      <c r="M29" s="32">
        <f>'2. Parameters'!M59</f>
        <v>0.99400899600000003</v>
      </c>
      <c r="N29" s="32">
        <f>'2. Parameters'!N59</f>
        <v>0.99003296001600005</v>
      </c>
      <c r="O29" s="32">
        <f>'2. Parameters'!O59</f>
        <v>0.986072828175936</v>
      </c>
      <c r="P29" s="32">
        <f>'2. Parameters'!P59</f>
        <v>0.9821285368632322</v>
      </c>
      <c r="Q29" s="32">
        <f>'2. Parameters'!Q59</f>
        <v>0.97820002271577933</v>
      </c>
    </row>
    <row r="30" spans="2:17">
      <c r="B30" s="3" t="s">
        <v>967</v>
      </c>
      <c r="D30" s="3" t="s">
        <v>241</v>
      </c>
      <c r="H30" s="10"/>
      <c r="I30" s="10"/>
      <c r="J30" s="10"/>
      <c r="K30" s="32">
        <f>'2. Parameters'!K60</f>
        <v>1</v>
      </c>
      <c r="L30" s="32">
        <f>'2. Parameters'!L60</f>
        <v>0.999</v>
      </c>
      <c r="M30" s="32">
        <f>'2. Parameters'!M60</f>
        <v>0.995004</v>
      </c>
      <c r="N30" s="32">
        <f>'2. Parameters'!N60</f>
        <v>0.99102398400000002</v>
      </c>
      <c r="O30" s="32">
        <f>'2. Parameters'!O60</f>
        <v>0.98705988806400002</v>
      </c>
      <c r="P30" s="32">
        <f>'2. Parameters'!P60</f>
        <v>0.98311164851174404</v>
      </c>
      <c r="Q30" s="32">
        <f>'2. Parameters'!Q60</f>
        <v>0.97917920191769703</v>
      </c>
    </row>
    <row r="31" spans="2:17">
      <c r="B31" s="3" t="s">
        <v>968</v>
      </c>
      <c r="D31" s="3" t="s">
        <v>241</v>
      </c>
      <c r="H31" s="10"/>
      <c r="I31" s="10"/>
      <c r="J31" s="10"/>
      <c r="K31" s="10"/>
      <c r="L31" s="32">
        <f>'2. Parameters'!L61</f>
        <v>1</v>
      </c>
      <c r="M31" s="32">
        <f>'2. Parameters'!M61</f>
        <v>0.996</v>
      </c>
      <c r="N31" s="32">
        <f>'2. Parameters'!N61</f>
        <v>0.99201600000000001</v>
      </c>
      <c r="O31" s="32">
        <f>'2. Parameters'!O61</f>
        <v>0.98804793599999996</v>
      </c>
      <c r="P31" s="32">
        <f>'2. Parameters'!P61</f>
        <v>0.98409574425599999</v>
      </c>
      <c r="Q31" s="32">
        <f>'2. Parameters'!Q61</f>
        <v>0.98015936127897596</v>
      </c>
    </row>
    <row r="32" spans="2:17">
      <c r="B32" s="3" t="s">
        <v>969</v>
      </c>
      <c r="D32" s="3" t="s">
        <v>241</v>
      </c>
      <c r="H32" s="10"/>
      <c r="I32" s="10"/>
      <c r="J32" s="10"/>
      <c r="K32" s="10"/>
      <c r="L32" s="10"/>
      <c r="M32" s="32">
        <f>'2. Parameters'!M62</f>
        <v>1</v>
      </c>
      <c r="N32" s="32">
        <f>'2. Parameters'!N62</f>
        <v>0.996</v>
      </c>
      <c r="O32" s="32">
        <f>'2. Parameters'!O62</f>
        <v>0.99201600000000001</v>
      </c>
      <c r="P32" s="32">
        <f>'2. Parameters'!P62</f>
        <v>0.98804793599999996</v>
      </c>
      <c r="Q32" s="32">
        <f>'2. Parameters'!Q62</f>
        <v>0.98409574425599999</v>
      </c>
    </row>
    <row r="33" spans="1:17">
      <c r="B33" s="3" t="s">
        <v>970</v>
      </c>
      <c r="D33" s="3" t="s">
        <v>241</v>
      </c>
      <c r="H33" s="10"/>
      <c r="I33" s="10"/>
      <c r="J33" s="10"/>
      <c r="K33" s="10"/>
      <c r="L33" s="10"/>
      <c r="M33" s="10"/>
      <c r="N33" s="32">
        <f>'2. Parameters'!N63</f>
        <v>1</v>
      </c>
      <c r="O33" s="32">
        <f>'2. Parameters'!O63</f>
        <v>0.996</v>
      </c>
      <c r="P33" s="32">
        <f>'2. Parameters'!P63</f>
        <v>0.99201600000000001</v>
      </c>
      <c r="Q33" s="32">
        <f>'2. Parameters'!Q63</f>
        <v>0.98804793599999996</v>
      </c>
    </row>
    <row r="34" spans="1:17">
      <c r="B34" s="3" t="s">
        <v>971</v>
      </c>
      <c r="D34" s="3" t="s">
        <v>241</v>
      </c>
      <c r="H34" s="10"/>
      <c r="I34" s="10"/>
      <c r="J34" s="10"/>
      <c r="K34" s="10"/>
      <c r="L34" s="10"/>
      <c r="M34" s="10"/>
      <c r="N34" s="10"/>
      <c r="O34" s="32">
        <f>'2. Parameters'!O64</f>
        <v>1</v>
      </c>
      <c r="P34" s="32">
        <f>'2. Parameters'!P64</f>
        <v>0.996</v>
      </c>
      <c r="Q34" s="32">
        <f>'2. Parameters'!Q64</f>
        <v>0.99201600000000001</v>
      </c>
    </row>
    <row r="35" spans="1:17">
      <c r="B35" s="3" t="s">
        <v>972</v>
      </c>
      <c r="D35" s="3" t="s">
        <v>241</v>
      </c>
      <c r="H35" s="10"/>
      <c r="I35" s="10"/>
      <c r="J35" s="10"/>
      <c r="K35" s="10"/>
      <c r="L35" s="10"/>
      <c r="M35" s="10"/>
      <c r="N35" s="10"/>
      <c r="O35" s="10"/>
      <c r="P35" s="32">
        <f>'2. Parameters'!P65</f>
        <v>1</v>
      </c>
      <c r="Q35" s="32">
        <f>'2. Parameters'!Q65</f>
        <v>0.996</v>
      </c>
    </row>
    <row r="36" spans="1:17">
      <c r="B36" s="3" t="s">
        <v>973</v>
      </c>
      <c r="D36" s="3" t="s">
        <v>241</v>
      </c>
      <c r="H36" s="10"/>
      <c r="I36" s="10"/>
      <c r="J36" s="10"/>
      <c r="K36" s="10"/>
      <c r="L36" s="10"/>
      <c r="M36" s="10"/>
      <c r="N36" s="10"/>
      <c r="O36" s="10"/>
      <c r="P36" s="10"/>
      <c r="Q36" s="32">
        <f>'2. Parameters'!Q66</f>
        <v>1</v>
      </c>
    </row>
    <row r="37" spans="1:17" s="90" customFormat="1">
      <c r="A37" s="3"/>
      <c r="P37" s="110"/>
      <c r="Q37" s="110"/>
    </row>
    <row r="38" spans="1:17">
      <c r="B38" s="16" t="s">
        <v>242</v>
      </c>
    </row>
    <row r="39" spans="1:17">
      <c r="B39" s="28" t="s">
        <v>230</v>
      </c>
      <c r="D39" s="3" t="s">
        <v>874</v>
      </c>
      <c r="H39" s="10"/>
      <c r="I39" s="10"/>
      <c r="J39" s="10"/>
      <c r="K39" s="32">
        <f>'2. Parameters'!K74</f>
        <v>1</v>
      </c>
      <c r="L39" s="32">
        <f>'2. Parameters'!L74</f>
        <v>1.02</v>
      </c>
      <c r="M39" s="32">
        <f>'2. Parameters'!M74</f>
        <v>1.0404</v>
      </c>
      <c r="N39" s="32">
        <f>'2. Parameters'!N74</f>
        <v>1.0612079999999999</v>
      </c>
      <c r="O39" s="32">
        <f>'2. Parameters'!O74</f>
        <v>1.10365632</v>
      </c>
      <c r="P39" s="32">
        <f>'2. Parameters'!P74</f>
        <v>1.1809122624000001</v>
      </c>
      <c r="Q39" s="32">
        <f>'2. Parameters'!Q74</f>
        <v>1.2399578755200003</v>
      </c>
    </row>
    <row r="40" spans="1:17">
      <c r="B40" s="28" t="s">
        <v>231</v>
      </c>
      <c r="D40" s="3" t="s">
        <v>874</v>
      </c>
      <c r="H40" s="10"/>
      <c r="I40" s="10"/>
      <c r="J40" s="10"/>
      <c r="K40" s="10"/>
      <c r="L40" s="32">
        <f>'2. Parameters'!L75</f>
        <v>1</v>
      </c>
      <c r="M40" s="32">
        <f>'2. Parameters'!M75</f>
        <v>1.02</v>
      </c>
      <c r="N40" s="32">
        <f>'2. Parameters'!N75</f>
        <v>1.0404</v>
      </c>
      <c r="O40" s="32">
        <f>'2. Parameters'!O75</f>
        <v>1.0820160000000001</v>
      </c>
      <c r="P40" s="32">
        <f>'2. Parameters'!P75</f>
        <v>1.1577571200000001</v>
      </c>
      <c r="Q40" s="32">
        <f>'2. Parameters'!Q75</f>
        <v>1.2156449760000001</v>
      </c>
    </row>
    <row r="41" spans="1:17">
      <c r="B41" s="28" t="s">
        <v>232</v>
      </c>
      <c r="D41" s="3" t="s">
        <v>874</v>
      </c>
      <c r="H41" s="10"/>
      <c r="I41" s="10"/>
      <c r="J41" s="10"/>
      <c r="K41" s="10"/>
      <c r="L41" s="10"/>
      <c r="M41" s="32">
        <f>'2. Parameters'!M76</f>
        <v>1</v>
      </c>
      <c r="N41" s="32">
        <f>'2. Parameters'!N76</f>
        <v>1.02</v>
      </c>
      <c r="O41" s="32">
        <f>'2. Parameters'!O76</f>
        <v>1.0608</v>
      </c>
      <c r="P41" s="32">
        <f>'2. Parameters'!P76</f>
        <v>1.1350560000000001</v>
      </c>
      <c r="Q41" s="32">
        <f>'2. Parameters'!Q76</f>
        <v>1.1918088000000002</v>
      </c>
    </row>
    <row r="42" spans="1:17">
      <c r="B42" s="28" t="s">
        <v>233</v>
      </c>
      <c r="D42" s="3" t="s">
        <v>874</v>
      </c>
      <c r="H42" s="10"/>
      <c r="I42" s="10"/>
      <c r="J42" s="10"/>
      <c r="K42" s="10"/>
      <c r="L42" s="10"/>
      <c r="M42" s="10"/>
      <c r="N42" s="32">
        <f>'2. Parameters'!N77</f>
        <v>1</v>
      </c>
      <c r="O42" s="32">
        <f>'2. Parameters'!O77</f>
        <v>1.04</v>
      </c>
      <c r="P42" s="32">
        <f>'2. Parameters'!P77</f>
        <v>1.1128</v>
      </c>
      <c r="Q42" s="32">
        <f>'2. Parameters'!Q77</f>
        <v>1.1684400000000001</v>
      </c>
    </row>
    <row r="43" spans="1:17">
      <c r="B43" s="28" t="s">
        <v>234</v>
      </c>
      <c r="D43" s="3" t="s">
        <v>874</v>
      </c>
      <c r="H43" s="10"/>
      <c r="I43" s="10"/>
      <c r="J43" s="10"/>
      <c r="K43" s="10"/>
      <c r="L43" s="10"/>
      <c r="M43" s="10"/>
      <c r="N43" s="10"/>
      <c r="O43" s="32">
        <f>'2. Parameters'!O78</f>
        <v>1</v>
      </c>
      <c r="P43" s="32">
        <f>'2. Parameters'!P78</f>
        <v>1.07</v>
      </c>
      <c r="Q43" s="32">
        <f>'2. Parameters'!Q78</f>
        <v>1.1235000000000002</v>
      </c>
    </row>
    <row r="44" spans="1:17">
      <c r="B44" s="28" t="s">
        <v>235</v>
      </c>
      <c r="D44" s="3" t="s">
        <v>874</v>
      </c>
      <c r="H44" s="10"/>
      <c r="I44" s="10"/>
      <c r="J44" s="10"/>
      <c r="K44" s="10"/>
      <c r="L44" s="10"/>
      <c r="M44" s="10"/>
      <c r="N44" s="10"/>
      <c r="O44" s="10"/>
      <c r="P44" s="32">
        <f>'2. Parameters'!P79</f>
        <v>1</v>
      </c>
      <c r="Q44" s="32">
        <f>'2. Parameters'!Q79</f>
        <v>1.05</v>
      </c>
    </row>
    <row r="45" spans="1:17">
      <c r="B45" s="28" t="s">
        <v>236</v>
      </c>
      <c r="D45" s="3" t="s">
        <v>874</v>
      </c>
      <c r="H45" s="10"/>
      <c r="I45" s="10"/>
      <c r="J45" s="10"/>
      <c r="K45" s="10"/>
      <c r="L45" s="10"/>
      <c r="M45" s="10"/>
      <c r="N45" s="10"/>
      <c r="O45" s="10"/>
      <c r="P45" s="10"/>
      <c r="Q45" s="32">
        <f>'2. Parameters'!Q80</f>
        <v>1</v>
      </c>
    </row>
    <row r="47" spans="1:17">
      <c r="B47" s="2" t="s">
        <v>222</v>
      </c>
    </row>
    <row r="48" spans="1:17">
      <c r="B48" s="3" t="s">
        <v>222</v>
      </c>
      <c r="D48" s="3" t="s">
        <v>204</v>
      </c>
      <c r="F48" s="55">
        <f>'2. Parameters'!F32</f>
        <v>0.01</v>
      </c>
    </row>
    <row r="50" spans="1:19">
      <c r="B50" s="2" t="s">
        <v>247</v>
      </c>
    </row>
    <row r="51" spans="1:19">
      <c r="B51" s="3" t="s">
        <v>247</v>
      </c>
      <c r="D51" s="3" t="s">
        <v>204</v>
      </c>
      <c r="F51" s="55">
        <f>'2. Parameters'!F84</f>
        <v>1</v>
      </c>
    </row>
    <row r="53" spans="1:19">
      <c r="B53" s="2" t="s">
        <v>211</v>
      </c>
    </row>
    <row r="54" spans="1:19">
      <c r="B54" s="3" t="s">
        <v>974</v>
      </c>
      <c r="D54" s="3" t="s">
        <v>204</v>
      </c>
      <c r="H54" s="10"/>
      <c r="I54" s="10"/>
      <c r="J54" s="10"/>
      <c r="K54" s="10"/>
      <c r="L54" s="10"/>
      <c r="M54" s="55">
        <f>'2. Parameters'!M24</f>
        <v>3.4000000000000002E-2</v>
      </c>
      <c r="N54" s="55">
        <f>'2. Parameters'!N24</f>
        <v>3.3000000000000002E-2</v>
      </c>
      <c r="O54" s="55">
        <f>'2. Parameters'!O24</f>
        <v>3.7999999999999999E-2</v>
      </c>
      <c r="P54" s="55">
        <f>'2. Parameters'!P24</f>
        <v>3.7999999999999999E-2</v>
      </c>
      <c r="Q54" s="55">
        <f>'2. Parameters'!Q24</f>
        <v>3.7999999999999999E-2</v>
      </c>
    </row>
    <row r="55" spans="1:19">
      <c r="B55" s="3" t="s">
        <v>975</v>
      </c>
      <c r="D55" s="3" t="s">
        <v>204</v>
      </c>
      <c r="H55" s="10"/>
      <c r="I55" s="10"/>
      <c r="J55" s="10"/>
      <c r="K55" s="10"/>
      <c r="L55" s="10"/>
      <c r="M55" s="250">
        <f>'2. Parameters'!M28</f>
        <v>4.1000000000000002E-2</v>
      </c>
      <c r="N55" s="250">
        <f>'2. Parameters'!N28</f>
        <v>5.0999999999999997E-2</v>
      </c>
      <c r="O55" s="250">
        <f>'2. Parameters'!O28</f>
        <v>5.0999999999999997E-2</v>
      </c>
      <c r="P55" s="10"/>
      <c r="Q55" s="10"/>
    </row>
    <row r="57" spans="1:19" s="90" customFormat="1">
      <c r="A57" s="3"/>
      <c r="B57" s="107" t="s">
        <v>976</v>
      </c>
    </row>
    <row r="58" spans="1:19">
      <c r="B58" s="3" t="s">
        <v>483</v>
      </c>
      <c r="D58" s="3" t="s">
        <v>209</v>
      </c>
      <c r="H58" s="42">
        <f>'4. Input nacalculaties'!I27</f>
        <v>44821191.142850496</v>
      </c>
      <c r="I58" s="42">
        <f>'4. Input nacalculaties'!J27</f>
        <v>58525786.829999998</v>
      </c>
      <c r="J58" s="42">
        <f>'4. Input nacalculaties'!K27</f>
        <v>58366350.850000001</v>
      </c>
      <c r="K58" s="10"/>
      <c r="L58" s="10"/>
      <c r="M58" s="42">
        <f>'15. Operationele kosten'!F20</f>
        <v>255375350.92082277</v>
      </c>
      <c r="N58" s="42">
        <f>'15. Operationele kosten'!F23</f>
        <v>235931593.58603954</v>
      </c>
      <c r="O58" s="42">
        <f>'15. Operationele kosten'!F26</f>
        <v>151724179.39030492</v>
      </c>
      <c r="P58" s="10"/>
      <c r="Q58" s="10"/>
    </row>
    <row r="59" spans="1:19">
      <c r="B59" s="28" t="s">
        <v>977</v>
      </c>
      <c r="D59" s="3" t="s">
        <v>209</v>
      </c>
      <c r="H59" s="42">
        <f>'4. Input nacalculaties'!I28</f>
        <v>51772596.931449495</v>
      </c>
      <c r="I59" s="42">
        <f>'4. Input nacalculaties'!J28</f>
        <v>57577907.726399995</v>
      </c>
      <c r="J59" s="42">
        <f>'4. Input nacalculaties'!K28</f>
        <v>46608188.220100001</v>
      </c>
      <c r="K59" s="10"/>
      <c r="L59" s="10"/>
      <c r="M59" s="42">
        <f>'15. Operationele kosten'!E20</f>
        <v>117613906.59917724</v>
      </c>
      <c r="N59" s="42">
        <f>'15. Operationele kosten'!E23</f>
        <v>85777606.813960448</v>
      </c>
      <c r="O59" s="42">
        <f>'15. Operationele kosten'!E26</f>
        <v>57272557.30969505</v>
      </c>
      <c r="P59" s="10"/>
      <c r="Q59" s="10"/>
    </row>
    <row r="60" spans="1:19">
      <c r="B60" s="28" t="s">
        <v>978</v>
      </c>
      <c r="D60" s="3" t="s">
        <v>209</v>
      </c>
      <c r="H60" s="42">
        <f>'7. Input IC peakshaver'!H31</f>
        <v>1320509.5900000001</v>
      </c>
      <c r="I60" s="42">
        <f>'7. Input IC peakshaver'!I31</f>
        <v>1966066.3200000003</v>
      </c>
      <c r="J60" s="42">
        <f>'7. Input IC peakshaver'!J31</f>
        <v>1575548.13</v>
      </c>
      <c r="K60" s="10"/>
      <c r="L60" s="10"/>
      <c r="M60" s="253">
        <f>'15. Operationele kosten'!F21</f>
        <v>4045629</v>
      </c>
      <c r="N60" s="42">
        <f>'15. Operationele kosten'!F24</f>
        <v>4280846.4400000004</v>
      </c>
      <c r="O60" s="42">
        <f>'15. Operationele kosten'!F27</f>
        <v>2788340.2199999997</v>
      </c>
      <c r="P60" s="10"/>
      <c r="Q60" s="10"/>
      <c r="S60" s="3" t="s">
        <v>979</v>
      </c>
    </row>
    <row r="62" spans="1:19" s="90" customFormat="1">
      <c r="A62" s="3"/>
      <c r="B62" s="107" t="s">
        <v>980</v>
      </c>
    </row>
    <row r="63" spans="1:19" s="90" customFormat="1">
      <c r="A63" s="3"/>
      <c r="B63" s="90" t="s">
        <v>981</v>
      </c>
      <c r="D63" s="90" t="s">
        <v>204</v>
      </c>
      <c r="F63" s="78">
        <f>'2. Parameters'!F100</f>
        <v>0.25</v>
      </c>
    </row>
    <row r="64" spans="1:19">
      <c r="B64" s="3" t="s">
        <v>982</v>
      </c>
      <c r="D64" s="3" t="s">
        <v>204</v>
      </c>
      <c r="F64" s="78">
        <f>'2. Parameters'!F101</f>
        <v>0.2</v>
      </c>
    </row>
    <row r="65" spans="2:17">
      <c r="F65" s="19"/>
    </row>
    <row r="66" spans="2:17">
      <c r="B66" s="244" t="s">
        <v>983</v>
      </c>
    </row>
    <row r="67" spans="2:17">
      <c r="B67" s="164" t="s">
        <v>983</v>
      </c>
      <c r="D67" s="3" t="s">
        <v>204</v>
      </c>
      <c r="F67" s="175">
        <f>'7. Input IC peakshaver'!F17</f>
        <v>0.77</v>
      </c>
    </row>
    <row r="69" spans="2:17" s="8" customFormat="1">
      <c r="B69" s="8" t="s">
        <v>468</v>
      </c>
    </row>
    <row r="71" spans="2:17">
      <c r="B71" s="28" t="s">
        <v>984</v>
      </c>
      <c r="D71" s="3" t="s">
        <v>209</v>
      </c>
      <c r="K71" s="10"/>
      <c r="L71" s="10"/>
      <c r="M71" s="95"/>
      <c r="N71" s="95"/>
      <c r="O71" s="42">
        <f>'4. Input nacalculaties'!P11</f>
        <v>849966694.07252169</v>
      </c>
      <c r="P71" s="10"/>
      <c r="Q71" s="10"/>
    </row>
    <row r="72" spans="2:17">
      <c r="B72" t="s">
        <v>856</v>
      </c>
      <c r="D72" s="3" t="s">
        <v>209</v>
      </c>
      <c r="K72" s="10"/>
      <c r="L72" s="10"/>
      <c r="M72" s="291"/>
      <c r="N72" s="291"/>
      <c r="O72" s="192">
        <f>_xlfn.XLOOKUP(O10,Omzet[Jaar],Omzet[Omzetregulering tariefgereguleerd])</f>
        <v>790445299.95999992</v>
      </c>
      <c r="P72" s="10"/>
      <c r="Q72" s="10"/>
    </row>
    <row r="73" spans="2:17">
      <c r="B73" s="3" t="s">
        <v>985</v>
      </c>
      <c r="D73" s="3" t="s">
        <v>209</v>
      </c>
      <c r="K73" s="10"/>
      <c r="L73" s="10"/>
      <c r="M73" s="95"/>
      <c r="N73" s="95"/>
      <c r="O73" s="43">
        <f>O71-O72</f>
        <v>59521394.112521768</v>
      </c>
      <c r="P73" s="10"/>
      <c r="Q73" s="10"/>
    </row>
    <row r="74" spans="2:17">
      <c r="B74" s="3" t="s">
        <v>986</v>
      </c>
      <c r="D74" s="3" t="s">
        <v>209</v>
      </c>
      <c r="K74" s="10"/>
      <c r="L74" s="10"/>
      <c r="M74" s="95"/>
      <c r="N74" s="95"/>
      <c r="O74" s="42">
        <f>O73</f>
        <v>59521394.112521768</v>
      </c>
      <c r="P74" s="10"/>
      <c r="Q74" s="10"/>
    </row>
    <row r="75" spans="2:17">
      <c r="B75" s="3" t="s">
        <v>987</v>
      </c>
      <c r="D75" s="3" t="s">
        <v>209</v>
      </c>
      <c r="K75" s="10"/>
      <c r="L75" s="10"/>
      <c r="M75" s="10"/>
      <c r="N75" s="10"/>
      <c r="O75" s="95"/>
      <c r="P75" s="95"/>
      <c r="Q75" s="51">
        <f>O74*INDEX(Q$39:Q$45,Q$10-2021)</f>
        <v>66872286.285418212</v>
      </c>
    </row>
    <row r="77" spans="2:17" s="8" customFormat="1">
      <c r="B77" s="8" t="s">
        <v>988</v>
      </c>
    </row>
    <row r="79" spans="2:17">
      <c r="B79" s="3" t="s">
        <v>989</v>
      </c>
      <c r="D79" s="3" t="s">
        <v>209</v>
      </c>
      <c r="K79" s="10"/>
      <c r="L79" s="10"/>
      <c r="M79" s="97"/>
      <c r="N79" s="97"/>
      <c r="O79" s="52">
        <f>_xlfn.XLOOKUP(O10,Omzet[Jaar],Omzet[Overboek- en terugkoopregeling])</f>
        <v>17029575.25</v>
      </c>
      <c r="P79" s="10"/>
      <c r="Q79" s="10"/>
    </row>
    <row r="80" spans="2:17">
      <c r="B80" s="3" t="s">
        <v>990</v>
      </c>
      <c r="D80" s="3" t="s">
        <v>209</v>
      </c>
      <c r="K80" s="10"/>
      <c r="L80" s="10"/>
      <c r="M80" s="97"/>
      <c r="N80" s="97"/>
      <c r="O80" s="47">
        <f>-O79*50%</f>
        <v>-8514787.625</v>
      </c>
      <c r="P80" s="10"/>
      <c r="Q80" s="10"/>
    </row>
    <row r="81" spans="2:19">
      <c r="B81" s="3" t="s">
        <v>986</v>
      </c>
      <c r="D81" s="3" t="s">
        <v>209</v>
      </c>
      <c r="K81" s="10"/>
      <c r="L81" s="10"/>
      <c r="M81" s="97"/>
      <c r="N81" s="97"/>
      <c r="O81" s="52">
        <f>O80</f>
        <v>-8514787.625</v>
      </c>
      <c r="P81" s="10"/>
      <c r="Q81" s="10"/>
    </row>
    <row r="82" spans="2:19">
      <c r="B82" s="3" t="s">
        <v>987</v>
      </c>
      <c r="D82" s="3" t="s">
        <v>209</v>
      </c>
      <c r="K82" s="10"/>
      <c r="L82" s="10"/>
      <c r="M82" s="10"/>
      <c r="N82" s="10"/>
      <c r="O82" s="95"/>
      <c r="P82" s="95"/>
      <c r="Q82" s="51">
        <f>O81*INDEX(Q$39:Q$45,Q$10-2021)</f>
        <v>-9566363.896687502</v>
      </c>
    </row>
    <row r="84" spans="2:19" s="8" customFormat="1">
      <c r="B84" s="8" t="s">
        <v>471</v>
      </c>
    </row>
    <row r="86" spans="2:19">
      <c r="B86" s="3" t="s">
        <v>991</v>
      </c>
      <c r="D86" s="3" t="s">
        <v>209</v>
      </c>
      <c r="K86" s="10"/>
      <c r="L86" s="10"/>
      <c r="M86" s="10"/>
      <c r="N86" s="95"/>
      <c r="O86" s="95"/>
      <c r="P86" s="166">
        <f>'4. Input nacalculaties'!Q15</f>
        <v>0</v>
      </c>
      <c r="Q86" s="10"/>
    </row>
    <row r="87" spans="2:19">
      <c r="B87" s="3" t="s">
        <v>992</v>
      </c>
      <c r="D87" s="3" t="s">
        <v>209</v>
      </c>
      <c r="K87" s="10"/>
      <c r="L87" s="10"/>
      <c r="M87" s="10"/>
      <c r="N87" s="10"/>
      <c r="O87" s="95"/>
      <c r="P87" s="95"/>
      <c r="Q87" s="43">
        <f>P86*Q44</f>
        <v>0</v>
      </c>
    </row>
    <row r="88" spans="2:19">
      <c r="B88" s="3" t="s">
        <v>853</v>
      </c>
      <c r="D88" s="3" t="s">
        <v>209</v>
      </c>
      <c r="K88" s="10"/>
      <c r="L88" s="10"/>
      <c r="M88" s="292"/>
      <c r="N88" s="292"/>
      <c r="O88" s="166">
        <f>_xlfn.XLOOKUP(O10,Omzet[Jaar],Omzet[Veilinggelden])</f>
        <v>48324856.469999999</v>
      </c>
      <c r="P88" s="10"/>
      <c r="Q88" s="10"/>
    </row>
    <row r="89" spans="2:19">
      <c r="B89" s="3" t="s">
        <v>993</v>
      </c>
      <c r="D89" s="3" t="s">
        <v>209</v>
      </c>
      <c r="K89" s="10"/>
      <c r="L89" s="10"/>
      <c r="M89" s="10"/>
      <c r="N89" s="10"/>
      <c r="O89" s="95"/>
      <c r="P89" s="95"/>
      <c r="Q89" s="43">
        <f>O88*INDEX(Q$39:Q$45,Q$10-2021)</f>
        <v>54292976.244045004</v>
      </c>
    </row>
    <row r="90" spans="2:19">
      <c r="B90" s="3" t="s">
        <v>994</v>
      </c>
      <c r="D90" s="3" t="s">
        <v>209</v>
      </c>
      <c r="K90" s="10"/>
      <c r="L90" s="10"/>
      <c r="M90" s="10"/>
      <c r="N90" s="10"/>
      <c r="O90" s="95"/>
      <c r="P90" s="95"/>
      <c r="Q90" s="43">
        <f>Q87+Q89</f>
        <v>54292976.244045004</v>
      </c>
    </row>
    <row r="91" spans="2:19">
      <c r="B91" s="3" t="s">
        <v>476</v>
      </c>
      <c r="D91" s="3" t="s">
        <v>209</v>
      </c>
      <c r="K91" s="10"/>
      <c r="L91" s="10"/>
      <c r="M91" s="10"/>
      <c r="N91" s="10"/>
      <c r="O91" s="95"/>
      <c r="P91" s="95"/>
      <c r="Q91" s="42">
        <f>'4. Input nacalculaties'!R17</f>
        <v>0</v>
      </c>
    </row>
    <row r="92" spans="2:19">
      <c r="B92" s="3" t="s">
        <v>477</v>
      </c>
      <c r="D92" s="3" t="s">
        <v>209</v>
      </c>
      <c r="K92" s="10"/>
      <c r="L92" s="10"/>
      <c r="M92" s="10"/>
      <c r="N92" s="10"/>
      <c r="O92" s="95"/>
      <c r="P92" s="95"/>
      <c r="Q92" s="51">
        <f>'4. Input nacalculaties'!R18</f>
        <v>-54292976.244045004</v>
      </c>
      <c r="S92" s="13"/>
    </row>
    <row r="93" spans="2:19">
      <c r="B93" s="3" t="s">
        <v>995</v>
      </c>
      <c r="D93" s="3" t="s">
        <v>209</v>
      </c>
      <c r="K93" s="10"/>
      <c r="L93" s="10"/>
      <c r="M93" s="10"/>
      <c r="N93" s="10"/>
      <c r="O93" s="95"/>
      <c r="P93" s="95"/>
      <c r="Q93" s="43">
        <f>Q87+Q89+Q92</f>
        <v>0</v>
      </c>
    </row>
    <row r="95" spans="2:19" s="8" customFormat="1">
      <c r="B95" s="8" t="s">
        <v>996</v>
      </c>
    </row>
    <row r="97" spans="2:17">
      <c r="B97" s="3" t="s">
        <v>854</v>
      </c>
      <c r="D97" s="3" t="s">
        <v>209</v>
      </c>
      <c r="K97" s="10"/>
      <c r="L97" s="10"/>
      <c r="M97" s="97"/>
      <c r="N97" s="97"/>
      <c r="O97" s="52">
        <f>_xlfn.XLOOKUP(O10,Omzet[Jaar],Omzet[Saldo administratieve onbalans])</f>
        <v>-41469456.140000001</v>
      </c>
      <c r="P97" s="10"/>
      <c r="Q97" s="10"/>
    </row>
    <row r="98" spans="2:17">
      <c r="B98" s="3" t="s">
        <v>986</v>
      </c>
      <c r="D98" s="3" t="s">
        <v>209</v>
      </c>
      <c r="K98" s="10"/>
      <c r="L98" s="10"/>
      <c r="M98" s="97"/>
      <c r="N98" s="97"/>
      <c r="O98" s="47">
        <f>-O97</f>
        <v>41469456.140000001</v>
      </c>
      <c r="P98" s="10"/>
      <c r="Q98" s="10"/>
    </row>
    <row r="99" spans="2:17">
      <c r="B99" s="3" t="s">
        <v>987</v>
      </c>
      <c r="D99" s="3" t="s">
        <v>209</v>
      </c>
      <c r="K99" s="10"/>
      <c r="L99" s="10"/>
      <c r="M99" s="10"/>
      <c r="N99" s="10"/>
      <c r="O99" s="95"/>
      <c r="P99" s="97"/>
      <c r="Q99" s="51">
        <f>O98*INDEX(Q$39:Q$45,Q$10-2021)</f>
        <v>46590933.973290004</v>
      </c>
    </row>
    <row r="101" spans="2:17" s="8" customFormat="1">
      <c r="B101" s="8" t="s">
        <v>997</v>
      </c>
    </row>
    <row r="103" spans="2:17">
      <c r="B103" s="3" t="s">
        <v>487</v>
      </c>
      <c r="D103" s="3" t="s">
        <v>209</v>
      </c>
      <c r="K103" s="52">
        <f>'4. Input nacalculaties'!L32</f>
        <v>2227061.457252</v>
      </c>
      <c r="L103" s="10"/>
      <c r="M103" s="10"/>
      <c r="N103" s="10"/>
      <c r="O103" s="10"/>
      <c r="P103" s="10"/>
      <c r="Q103" s="10"/>
    </row>
    <row r="104" spans="2:17">
      <c r="B104" s="3" t="s">
        <v>998</v>
      </c>
      <c r="D104" s="3" t="s">
        <v>209</v>
      </c>
      <c r="K104" s="10"/>
      <c r="L104" s="10"/>
      <c r="M104" s="47">
        <f>$K$103*M18*M30</f>
        <v>2291915.0394875272</v>
      </c>
      <c r="N104" s="47">
        <f t="shared" ref="N104:O104" si="0">$K$103*N18*N30</f>
        <v>2424277.7168480111</v>
      </c>
      <c r="O104" s="47">
        <f t="shared" si="0"/>
        <v>2607747.0544590689</v>
      </c>
      <c r="P104" s="47">
        <f>$K$103*P18*P30</f>
        <v>2670040.9160959874</v>
      </c>
      <c r="Q104" s="47">
        <f>$K$103*Q18*Q30</f>
        <v>2704569.8852229407</v>
      </c>
    </row>
    <row r="105" spans="2:17">
      <c r="B105" s="3" t="s">
        <v>999</v>
      </c>
      <c r="D105" s="3" t="s">
        <v>209</v>
      </c>
      <c r="K105" s="10"/>
      <c r="L105" s="10"/>
      <c r="M105" s="292"/>
      <c r="N105" s="292"/>
      <c r="O105" s="166" cm="1">
        <f t="array" ref="O105" xml:space="preserve"> _xlfn.XLOOKUP(
         "Ontmantelingskosten desinvesteringen" &amp; O10,
         Operationele_kosten[Subcategorie] &amp; Operationele_kosten[Jaar],
         Operationele_kosten[TT/BT/AT] + Operationele_kosten[KC]
   )</f>
        <v>19255508.359999992</v>
      </c>
      <c r="P105" s="10"/>
      <c r="Q105" s="10"/>
    </row>
    <row r="106" spans="2:17">
      <c r="B106" s="3" t="s">
        <v>987</v>
      </c>
      <c r="D106" s="3" t="s">
        <v>209</v>
      </c>
      <c r="K106" s="10"/>
      <c r="L106" s="10"/>
      <c r="M106" s="10"/>
      <c r="N106" s="10"/>
      <c r="O106" s="95"/>
      <c r="P106" s="95"/>
      <c r="Q106" s="51">
        <f>(O105-O104)*INDEX(Q$39:Q$45,Q$10-2021)</f>
        <v>18703759.82677523</v>
      </c>
    </row>
    <row r="108" spans="2:17" s="8" customFormat="1">
      <c r="B108" s="8" t="s">
        <v>502</v>
      </c>
    </row>
    <row r="110" spans="2:17">
      <c r="B110" s="3" t="s">
        <v>949</v>
      </c>
      <c r="D110" s="3" t="s">
        <v>209</v>
      </c>
      <c r="K110" s="42">
        <f>'19. Indexatie desinvesteringen'!D1409</f>
        <v>37758981.056281559</v>
      </c>
      <c r="L110" s="42">
        <f>'19. Indexatie desinvesteringen'!E1409</f>
        <v>38763732.819702528</v>
      </c>
      <c r="M110" s="42">
        <f>'19. Indexatie desinvesteringen'!F1409</f>
        <v>22960381.53917243</v>
      </c>
      <c r="N110" s="42">
        <f>'19. Indexatie desinvesteringen'!G1409</f>
        <v>58023959.745093741</v>
      </c>
      <c r="O110" s="42">
        <f>'19. Indexatie desinvesteringen'!H1409</f>
        <v>240087476.54390535</v>
      </c>
      <c r="P110" s="10"/>
      <c r="Q110" s="10"/>
    </row>
    <row r="111" spans="2:17">
      <c r="B111" s="3" t="s">
        <v>950</v>
      </c>
      <c r="D111" s="3" t="s">
        <v>209</v>
      </c>
      <c r="K111" s="42">
        <f>'19. Indexatie desinvesteringen'!D1410</f>
        <v>27912770.687367041</v>
      </c>
      <c r="L111" s="42">
        <f>'19. Indexatie desinvesteringen'!E1410</f>
        <v>152460325.70788148</v>
      </c>
      <c r="M111" s="42">
        <f>'19. Indexatie desinvesteringen'!F1410</f>
        <v>18326404.223966755</v>
      </c>
      <c r="N111" s="42">
        <f>'19. Indexatie desinvesteringen'!G1410</f>
        <v>56904952.296988726</v>
      </c>
      <c r="O111" s="42">
        <f>'19. Indexatie desinvesteringen'!H1410</f>
        <v>12059459.252509575</v>
      </c>
      <c r="P111" s="10"/>
      <c r="Q111" s="10"/>
    </row>
    <row r="113" spans="2:19">
      <c r="B113" s="3" t="s">
        <v>1000</v>
      </c>
      <c r="D113" s="3" t="s">
        <v>209</v>
      </c>
      <c r="K113" s="10"/>
      <c r="L113" s="10"/>
      <c r="M113" s="47">
        <f>$F$48*$K110*M$18*M$30*$F$51</f>
        <v>388585.48908389639</v>
      </c>
      <c r="N113" s="47">
        <f>$F$48*$K110*N$18*N$30*$F$51</f>
        <v>411027.07824946957</v>
      </c>
      <c r="O113" s="47">
        <f>$F$48*$K110*O$18*O$30*$F$51</f>
        <v>442133.60753138951</v>
      </c>
      <c r="P113" s="47">
        <f>$F$48*$K110*P$18*P$30*$F$51</f>
        <v>452695.29514809937</v>
      </c>
      <c r="Q113" s="47">
        <f>$F$48*$K110*Q$18*Q$30*$F$51</f>
        <v>458549.55070495454</v>
      </c>
    </row>
    <row r="114" spans="2:19">
      <c r="B114" s="3" t="s">
        <v>1001</v>
      </c>
      <c r="D114" s="3" t="s">
        <v>209</v>
      </c>
      <c r="K114" s="10"/>
      <c r="L114" s="10"/>
      <c r="M114" s="47">
        <f>$F$48*$K111*M$18*M$30</f>
        <v>287256.10029227083</v>
      </c>
      <c r="N114" s="47">
        <f>$F$48*$K111*N$18*N$30</f>
        <v>303845.71459635004</v>
      </c>
      <c r="O114" s="47">
        <f>$F$48*$K111*O$18*O$30</f>
        <v>326840.75827700185</v>
      </c>
      <c r="P114" s="47">
        <f>$F$48*$K111*P$18*P$30</f>
        <v>334648.33031072287</v>
      </c>
      <c r="Q114" s="47">
        <f>$F$48*$K111*Q$18*Q$30</f>
        <v>338976.00251830113</v>
      </c>
    </row>
    <row r="115" spans="2:19">
      <c r="B115" s="3" t="s">
        <v>1002</v>
      </c>
      <c r="D115" s="3" t="s">
        <v>209</v>
      </c>
      <c r="K115" s="10"/>
      <c r="L115" s="10"/>
      <c r="M115" s="47">
        <f>$F$48*$L110*M$19*M$31*$F$51</f>
        <v>393036.34090415348</v>
      </c>
      <c r="N115" s="47">
        <f>$F$48*$L110*N$19*N$31*$F$51</f>
        <v>415734.97566405014</v>
      </c>
      <c r="O115" s="47">
        <f>$F$48*$L110*O$19*O$31*$F$51</f>
        <v>447197.79862230545</v>
      </c>
      <c r="P115" s="47">
        <f>$F$48*$L110*P$19*P$31*$F$51</f>
        <v>457880.45963579509</v>
      </c>
      <c r="Q115" s="47">
        <f>$F$48*$L110*Q$19*Q$31*$F$51</f>
        <v>463801.76973980508</v>
      </c>
    </row>
    <row r="116" spans="2:19">
      <c r="B116" s="3" t="s">
        <v>1003</v>
      </c>
      <c r="D116" s="3" t="s">
        <v>209</v>
      </c>
      <c r="K116" s="10"/>
      <c r="L116" s="10"/>
      <c r="M116" s="47">
        <f>$F$48*$L111*M$19*M$31</f>
        <v>1545837.9312434087</v>
      </c>
      <c r="N116" s="47">
        <f>$F$48*$L111*N$19*N$31</f>
        <v>1635113.1634485777</v>
      </c>
      <c r="O116" s="47">
        <f>$F$48*$L111*O$19*O$31</f>
        <v>1758858.5276583664</v>
      </c>
      <c r="P116" s="47">
        <f>$F$48*$L111*P$19*P$31</f>
        <v>1800874.1401670694</v>
      </c>
      <c r="Q116" s="47">
        <f>$F$48*$L111*Q$19*Q$31</f>
        <v>1824163.0445477096</v>
      </c>
    </row>
    <row r="117" spans="2:19">
      <c r="B117" s="3" t="s">
        <v>1004</v>
      </c>
      <c r="D117" s="3" t="s">
        <v>209</v>
      </c>
      <c r="K117" s="10"/>
      <c r="L117" s="10"/>
      <c r="M117" s="47">
        <f>$F$48*$M110*M$20*M$32*$F$51</f>
        <v>229603.81539172429</v>
      </c>
      <c r="N117" s="47">
        <f>$F$48*$M110*N$20*N$32*$F$51</f>
        <v>242863.89493822717</v>
      </c>
      <c r="O117" s="47">
        <f>$F$48*$M110*O$20*O$32*$F$51</f>
        <v>261243.83450715223</v>
      </c>
      <c r="P117" s="47">
        <f>$F$48*$M110*P$20*P$32*$F$51</f>
        <v>267484.42722585908</v>
      </c>
      <c r="Q117" s="47">
        <f>$F$48*$M110*Q$20*Q$32*$F$51</f>
        <v>270943.53583874385</v>
      </c>
    </row>
    <row r="118" spans="2:19">
      <c r="B118" s="3" t="s">
        <v>1005</v>
      </c>
      <c r="D118" s="3" t="s">
        <v>209</v>
      </c>
      <c r="K118" s="10"/>
      <c r="L118" s="10"/>
      <c r="M118" s="47">
        <f>$F$48*$M111*M$20*M$32</f>
        <v>183264.04223966756</v>
      </c>
      <c r="N118" s="47">
        <f>$F$48*$M111*N$20*N$32</f>
        <v>193847.90720709285</v>
      </c>
      <c r="O118" s="47">
        <f>$F$48*$M111*O$20*O$32</f>
        <v>208518.31682452565</v>
      </c>
      <c r="P118" s="47">
        <f>$F$48*$M111*P$20*P$32</f>
        <v>213499.40237682991</v>
      </c>
      <c r="Q118" s="47">
        <f>$F$48*$M111*Q$20*Q$32</f>
        <v>216260.37664836706</v>
      </c>
    </row>
    <row r="119" spans="2:19">
      <c r="B119" s="3" t="s">
        <v>1006</v>
      </c>
      <c r="D119" s="3" t="s">
        <v>209</v>
      </c>
      <c r="K119" s="10"/>
      <c r="L119" s="10"/>
      <c r="M119" s="97"/>
      <c r="N119" s="47">
        <f>$F$48*$N110*N$21*N$33*$F$51</f>
        <v>580239.59745093738</v>
      </c>
      <c r="O119" s="47">
        <f>$F$48*$N110*O$21*O$33*$F$51</f>
        <v>624152.13018602435</v>
      </c>
      <c r="P119" s="47">
        <f>$F$48*$N110*P$21*P$33*$F$51</f>
        <v>639061.87627190806</v>
      </c>
      <c r="Q119" s="47">
        <f>$F$48*$N110*Q$21*Q$33*$F$51</f>
        <v>647326.22445585625</v>
      </c>
    </row>
    <row r="120" spans="2:19">
      <c r="B120" s="3" t="s">
        <v>1007</v>
      </c>
      <c r="D120" s="3" t="s">
        <v>209</v>
      </c>
      <c r="K120" s="10"/>
      <c r="L120" s="10"/>
      <c r="M120" s="97"/>
      <c r="N120" s="47">
        <f>$F$48*$N111*N$21*N$33</f>
        <v>569049.52296988724</v>
      </c>
      <c r="O120" s="47">
        <f>$F$48*$N111*O$21*O$33</f>
        <v>612115.19086824835</v>
      </c>
      <c r="P120" s="47">
        <f>$F$48*$N111*P$21*P$33</f>
        <v>626737.3985477091</v>
      </c>
      <c r="Q120" s="47">
        <f>$F$48*$N111*Q$21*Q$33</f>
        <v>634842.3665857279</v>
      </c>
    </row>
    <row r="121" spans="2:19">
      <c r="B121" s="3" t="s">
        <v>1008</v>
      </c>
      <c r="D121" s="3" t="s">
        <v>209</v>
      </c>
      <c r="K121" s="10"/>
      <c r="L121" s="10"/>
      <c r="M121" s="97"/>
      <c r="N121" s="97"/>
      <c r="O121" s="47">
        <f>$F$48*$O110*O$22*O$34*$F$51</f>
        <v>2400874.7654390535</v>
      </c>
      <c r="P121" s="47">
        <f t="shared" ref="P121:Q121" si="1">$F$48*$O110*P$22*P$34*$F$51</f>
        <v>2458226.8618358616</v>
      </c>
      <c r="Q121" s="47">
        <f t="shared" si="1"/>
        <v>2490016.6516131228</v>
      </c>
    </row>
    <row r="122" spans="2:19">
      <c r="B122" s="3" t="s">
        <v>1009</v>
      </c>
      <c r="D122" s="3" t="s">
        <v>209</v>
      </c>
      <c r="K122" s="10"/>
      <c r="L122" s="10"/>
      <c r="M122" s="97"/>
      <c r="N122" s="97"/>
      <c r="O122" s="47">
        <f>$F$48*$O111*O$22*O$34</f>
        <v>120594.59252509575</v>
      </c>
      <c r="P122" s="47">
        <f t="shared" ref="P122:Q122" si="2">$F$48*$O111*P$22*P$34</f>
        <v>123475.35615133523</v>
      </c>
      <c r="Q122" s="47">
        <f t="shared" si="2"/>
        <v>125072.1394570843</v>
      </c>
    </row>
    <row r="124" spans="2:19">
      <c r="B124" s="3" t="s">
        <v>1010</v>
      </c>
      <c r="D124" s="3" t="s">
        <v>209</v>
      </c>
      <c r="K124" s="10"/>
      <c r="L124" s="10"/>
      <c r="M124" s="47">
        <f>-SUM(M113:M114)</f>
        <v>-675841.58937616716</v>
      </c>
      <c r="N124" s="47">
        <f>-SUM(N113:N116)</f>
        <v>-2765720.9319584472</v>
      </c>
      <c r="O124" s="176">
        <f>-(SUM(O113:O118)+SUM(M115:M118)*O41+SUM(N117:N118)*O42)</f>
        <v>-6393701.1689213878</v>
      </c>
      <c r="P124" s="47">
        <f>-(SUM(P113:P120)+SUM(N119:N120)*P42+SUM(O119:O120)*P43)</f>
        <v>-7394616.2964163581</v>
      </c>
      <c r="Q124" s="51">
        <f>-(SUM(Q113:Q122)+SUM(O121:O122)*Q43+SUM(P121:P122)*Q44)</f>
        <v>-13013609.814668952</v>
      </c>
      <c r="S124" s="3" t="s">
        <v>1138</v>
      </c>
    </row>
    <row r="125" spans="2:19">
      <c r="D125" s="2"/>
    </row>
    <row r="126" spans="2:19" s="8" customFormat="1">
      <c r="B126" s="8" t="s">
        <v>503</v>
      </c>
    </row>
    <row r="128" spans="2:19">
      <c r="B128" s="3" t="s">
        <v>479</v>
      </c>
      <c r="D128" s="3" t="s">
        <v>209</v>
      </c>
      <c r="K128" s="10"/>
      <c r="L128" s="10"/>
      <c r="M128" s="52">
        <f>'4. Input nacalculaties'!N22</f>
        <v>5268139756.0391312</v>
      </c>
      <c r="N128" s="52">
        <f>'4. Input nacalculaties'!O22</f>
        <v>5115634665.0918875</v>
      </c>
      <c r="O128" s="52">
        <f>'4. Input nacalculaties'!P22</f>
        <v>4980890118.9719696</v>
      </c>
      <c r="P128" s="52">
        <f>'4. Input nacalculaties'!Q22</f>
        <v>4857675740.1304922</v>
      </c>
      <c r="Q128" s="52">
        <f>'4. Input nacalculaties'!R22</f>
        <v>4748752834.5466137</v>
      </c>
    </row>
    <row r="129" spans="2:19">
      <c r="B129" s="3" t="s">
        <v>481</v>
      </c>
      <c r="D129" s="3" t="s">
        <v>209</v>
      </c>
      <c r="K129" s="10"/>
      <c r="L129" s="10"/>
      <c r="M129" s="52">
        <f>'4. Input nacalculaties'!N23</f>
        <v>1236767462.5833061</v>
      </c>
      <c r="N129" s="52">
        <f>'4. Input nacalculaties'!O23</f>
        <v>1207881645.0947828</v>
      </c>
      <c r="O129" s="52">
        <f>'4. Input nacalculaties'!P23</f>
        <v>1182417569.8607492</v>
      </c>
      <c r="P129" s="52">
        <f>'4. Input nacalculaties'!Q23</f>
        <v>1160937568.2311876</v>
      </c>
      <c r="Q129" s="52">
        <f>'4. Input nacalculaties'!R23</f>
        <v>1143786642.7114766</v>
      </c>
    </row>
    <row r="130" spans="2:19">
      <c r="B130" s="3" t="s">
        <v>1011</v>
      </c>
      <c r="D130" s="3" t="s">
        <v>209</v>
      </c>
      <c r="K130" s="10"/>
      <c r="L130" s="10"/>
      <c r="M130" s="52">
        <f>SUM('17. Nacalculatie bijschatten'!AN61:AN200)</f>
        <v>583544072.88691294</v>
      </c>
      <c r="N130" s="52">
        <f>SUM('17. Nacalculatie bijschatten'!AO61:AO200)</f>
        <v>757686269.26272178</v>
      </c>
      <c r="O130" s="52">
        <f>SUM('17. Nacalculatie bijschatten'!AP61:AP200)</f>
        <v>923791317.77928603</v>
      </c>
      <c r="P130" s="52">
        <f>SUM('17. Nacalculatie bijschatten'!AQ61:AQ200)</f>
        <v>1083407630.1572626</v>
      </c>
      <c r="Q130" s="52">
        <f>SUM('17. Nacalculatie bijschatten'!AR61:AR200)</f>
        <v>1238003822.5213494</v>
      </c>
    </row>
    <row r="131" spans="2:19">
      <c r="B131" s="3" t="s">
        <v>1012</v>
      </c>
      <c r="D131" s="3" t="s">
        <v>209</v>
      </c>
      <c r="K131" s="10"/>
      <c r="L131" s="10"/>
      <c r="M131" s="52">
        <f>SUM('17. Nacalculatie bijschatten'!AN217:AN323)</f>
        <v>254422748.43621174</v>
      </c>
      <c r="N131" s="52">
        <f>SUM('17. Nacalculatie bijschatten'!AO217:AO323)</f>
        <v>304872520.13231742</v>
      </c>
      <c r="O131" s="52">
        <f>SUM('17. Nacalculatie bijschatten'!AP217:AP323)</f>
        <v>382962958.43813282</v>
      </c>
      <c r="P131" s="52">
        <f>SUM('17. Nacalculatie bijschatten'!AQ217:AQ323)</f>
        <v>368082159.26076412</v>
      </c>
      <c r="Q131" s="52">
        <f>SUM('17. Nacalculatie bijschatten'!AR217:AR323)</f>
        <v>354718526.75149286</v>
      </c>
    </row>
    <row r="132" spans="2:19">
      <c r="B132" s="3" t="s">
        <v>1013</v>
      </c>
      <c r="D132" s="3" t="s">
        <v>209</v>
      </c>
      <c r="K132" s="10"/>
      <c r="L132" s="10"/>
      <c r="M132" s="52">
        <f>SUMIF('16. WUI &amp; ombouwtaak'!$J60:'16. WUI &amp; ombouwtaak'!$J90,"WUI",'16. WUI &amp; ombouwtaak'!AP60:'16. WUI &amp; ombouwtaak'!AP90)</f>
        <v>0</v>
      </c>
      <c r="N132" s="52">
        <f>SUMIF('16. WUI &amp; ombouwtaak'!$J60:'16. WUI &amp; ombouwtaak'!$J90,"WUI",'16. WUI &amp; ombouwtaak'!AQ60:'16. WUI &amp; ombouwtaak'!AQ90)</f>
        <v>185354192.34279776</v>
      </c>
      <c r="O132" s="52">
        <f>SUMIF('16. WUI &amp; ombouwtaak'!$J60:'16. WUI &amp; ombouwtaak'!$J90,"WUI",'16. WUI &amp; ombouwtaak'!AR60:'16. WUI &amp; ombouwtaak'!AR90)</f>
        <v>643438493.13698244</v>
      </c>
      <c r="P132" s="52">
        <f>SUMIF('16. WUI &amp; ombouwtaak'!$J60:'16. WUI &amp; ombouwtaak'!$J90,"WUI",'16. WUI &amp; ombouwtaak'!AS60:'16. WUI &amp; ombouwtaak'!AS90)</f>
        <v>611218229.1729033</v>
      </c>
      <c r="Q132" s="52">
        <f>SUMIF('16. WUI &amp; ombouwtaak'!$J60:'16. WUI &amp; ombouwtaak'!$J90,"WUI",'16. WUI &amp; ombouwtaak'!AT60:'16. WUI &amp; ombouwtaak'!AT90)</f>
        <v>580817322.90512431</v>
      </c>
    </row>
    <row r="133" spans="2:19">
      <c r="B133" s="3" t="s">
        <v>1014</v>
      </c>
      <c r="D133" s="3" t="s">
        <v>209</v>
      </c>
      <c r="K133" s="10"/>
      <c r="L133" s="10"/>
      <c r="M133" s="52">
        <f>SUMIF('16. WUI &amp; ombouwtaak'!$K60:'16. WUI &amp; ombouwtaak'!$K90,"Ja",'16. WUI &amp; ombouwtaak'!AP60:'16. WUI &amp; ombouwtaak'!AP90)</f>
        <v>12135578.180691097</v>
      </c>
      <c r="N133" s="52">
        <f>SUMIF('16. WUI &amp; ombouwtaak'!$K60:'16. WUI &amp; ombouwtaak'!$K90,"Ja",'16. WUI &amp; ombouwtaak'!AQ60:'16. WUI &amp; ombouwtaak'!AQ90)</f>
        <v>18542334.539458171</v>
      </c>
      <c r="O133" s="52">
        <f>SUMIF('16. WUI &amp; ombouwtaak'!$K60:'16. WUI &amp; ombouwtaak'!$K90,"Ja",'16. WUI &amp; ombouwtaak'!AR60:'16. WUI &amp; ombouwtaak'!AR90)</f>
        <v>58239065.155590445</v>
      </c>
      <c r="P133" s="52">
        <f>SUMIF('16. WUI &amp; ombouwtaak'!$K60:'16. WUI &amp; ombouwtaak'!$K90,"Ja",'16. WUI &amp; ombouwtaak'!AS60:'16. WUI &amp; ombouwtaak'!AS90)</f>
        <v>56697972.726338506</v>
      </c>
      <c r="Q133" s="52">
        <f>SUMIF('16. WUI &amp; ombouwtaak'!$K60:'16. WUI &amp; ombouwtaak'!$K90,"Ja",'16. WUI &amp; ombouwtaak'!AT60:'16. WUI &amp; ombouwtaak'!AT90)</f>
        <v>55198041.817979984</v>
      </c>
    </row>
    <row r="134" spans="2:19">
      <c r="B134" s="3" t="s">
        <v>1015</v>
      </c>
      <c r="D134" s="3" t="s">
        <v>209</v>
      </c>
      <c r="K134" s="10"/>
      <c r="L134" s="10"/>
      <c r="M134" s="10"/>
      <c r="N134" s="52">
        <f>SUMIF('18. Nacalculatie desinv.'!$H$51:$H$383,"&lt;"&amp;N10,'18. Nacalculatie desinv.'!AI51:AI383)</f>
        <v>2577836.9558432451</v>
      </c>
      <c r="O134" s="52">
        <f>SUMIF('18. Nacalculatie desinv.'!$H$51:$H$383,"&lt;"&amp;O10,'18. Nacalculatie desinv.'!AJ51:AJ383)</f>
        <v>17942316.745205738</v>
      </c>
      <c r="P134" s="52">
        <f>SUMIF('18. Nacalculatie desinv.'!$H$51:$H$383,"&lt;"&amp;P10,'18. Nacalculatie desinv.'!AK51:AK383)</f>
        <v>54364627.608448431</v>
      </c>
      <c r="Q134" s="52">
        <f>SUMIF('18. Nacalculatie desinv.'!$H$51:$H$383,"&lt;"&amp;Q10,'18. Nacalculatie desinv.'!AL51:AL383)</f>
        <v>49284872.451211363</v>
      </c>
    </row>
    <row r="135" spans="2:19">
      <c r="B135" s="3" t="s">
        <v>1016</v>
      </c>
      <c r="D135" s="3" t="s">
        <v>209</v>
      </c>
      <c r="K135" s="10"/>
      <c r="L135" s="10"/>
      <c r="M135" s="52">
        <f>SUM('22. Correctie assetoverdracht'!AD307:AD549)</f>
        <v>175619169.84408131</v>
      </c>
      <c r="N135" s="52">
        <f>SUM('22. Correctie assetoverdracht'!AE307:AE549)</f>
        <v>148841369.24125001</v>
      </c>
      <c r="O135" s="52">
        <f>SUM('22. Correctie assetoverdracht'!AF307:AF549)</f>
        <v>125733839.90927796</v>
      </c>
      <c r="P135" s="52">
        <f>SUM('22. Correctie assetoverdracht'!AG307:AG549)</f>
        <v>107155312.15046735</v>
      </c>
      <c r="Q135" s="52">
        <f>SUM('22. Correctie assetoverdracht'!AH307:AH549)</f>
        <v>92951486.785070807</v>
      </c>
    </row>
    <row r="136" spans="2:19">
      <c r="B136" s="3" t="s">
        <v>1017</v>
      </c>
      <c r="D136" s="3" t="s">
        <v>209</v>
      </c>
      <c r="K136" s="10"/>
      <c r="L136" s="10"/>
      <c r="M136" s="52">
        <f>SUM('22. Correctie assetoverdracht'!V555:V797)+SUM('22. Correctie assetoverdracht'!Q803:Q835)</f>
        <v>196919651.58165225</v>
      </c>
      <c r="N136" s="52">
        <f>SUM('22. Correctie assetoverdracht'!W555:W797)+SUM('22. Correctie assetoverdracht'!R803:R835)</f>
        <v>174852577.48214272</v>
      </c>
      <c r="O136" s="52">
        <f>SUM('22. Correctie assetoverdracht'!X555:X797)+SUM('22. Correctie assetoverdracht'!S803:S835)</f>
        <v>209152753.64445969</v>
      </c>
      <c r="P136" s="52">
        <f>SUM('22. Correctie assetoverdracht'!Y555:Y797)+SUM('22. Correctie assetoverdracht'!T803:T835)</f>
        <v>180834845.81336403</v>
      </c>
      <c r="Q136" s="52">
        <f>SUM('22. Correctie assetoverdracht'!Z555:Z797)+SUM('22. Correctie assetoverdracht'!U803:U835)</f>
        <v>157300571.23394826</v>
      </c>
    </row>
    <row r="137" spans="2:19">
      <c r="B137" s="3" t="s">
        <v>987</v>
      </c>
      <c r="D137" s="3" t="s">
        <v>209</v>
      </c>
      <c r="K137" s="10"/>
      <c r="L137" s="10"/>
      <c r="M137" s="10"/>
      <c r="N137" s="10"/>
      <c r="O137" s="43">
        <f>(M128+M129-M130+M131+M132+M133)*(M55-M54)*O41</f>
        <v>45949029.685100175</v>
      </c>
      <c r="P137" s="176">
        <f>(N128+N129-N130+N131+N132+N133-N134-N135+N136)*(N55-N54)*P42+(-M134-M135+M136)*(M55-M54)*P41</f>
        <v>122315270.04842561</v>
      </c>
      <c r="Q137" s="51">
        <f>(O128+O129-O130+O131+O132+O133-O134-O135+O136)*(O55-O54)*Q43</f>
        <v>93323791.861868322</v>
      </c>
      <c r="S137" s="3" t="s">
        <v>1018</v>
      </c>
    </row>
    <row r="139" spans="2:19" s="8" customFormat="1">
      <c r="B139" s="8" t="s">
        <v>497</v>
      </c>
    </row>
    <row r="141" spans="2:19">
      <c r="B141" s="3" t="s">
        <v>1019</v>
      </c>
      <c r="D141" s="3" t="s">
        <v>209</v>
      </c>
      <c r="K141" s="118"/>
      <c r="L141" s="118"/>
      <c r="M141" s="95"/>
      <c r="N141" s="305">
        <f xml:space="preserve"> AVERAGE(
         ($H$58 + $H$59 + $H$60 * (1 - $F$67)) * N15 * N27,
         ($I$58 + $I$59 + $I$60 * (1 - $F$67)) * N16 * N28,
         ($J$58 + $J$59 + $J$60 * (1 - $F$67)) * N17 * N29
   )</f>
        <v>119907790.68674393</v>
      </c>
      <c r="O141" s="305">
        <f>AVERAGE(($H$58+$H$59+$H$60*(1-$F$67))*O15*O27,($I$58+$I$59+$I$60*(1-$F$67))*O16*O28,($J$58+$J$59+$J$60*(1-$F$67))*O17*O29)</f>
        <v>128982412.28591673</v>
      </c>
      <c r="P141" s="306"/>
      <c r="Q141" s="10"/>
    </row>
    <row r="142" spans="2:19">
      <c r="B142" s="3" t="s">
        <v>1020</v>
      </c>
      <c r="D142" s="3" t="s">
        <v>209</v>
      </c>
      <c r="K142" s="118"/>
      <c r="L142" s="118"/>
      <c r="M142" s="97"/>
      <c r="N142" s="97"/>
      <c r="O142" s="305">
        <f>O141-(O58+O59+O60*(1-$F$67))</f>
        <v>-80655642.664683267</v>
      </c>
      <c r="P142" s="306"/>
      <c r="Q142" s="118"/>
    </row>
    <row r="143" spans="2:19">
      <c r="B143" s="3" t="s">
        <v>1021</v>
      </c>
      <c r="D143" s="3" t="s">
        <v>209</v>
      </c>
      <c r="K143" s="118"/>
      <c r="L143" s="118"/>
      <c r="M143" s="97"/>
      <c r="N143" s="97"/>
      <c r="O143" s="305">
        <f>O142*$F$63</f>
        <v>-20163910.666170817</v>
      </c>
      <c r="P143" s="306"/>
      <c r="Q143" s="118"/>
    </row>
    <row r="144" spans="2:19">
      <c r="B144" s="3" t="s">
        <v>1022</v>
      </c>
      <c r="D144" s="3" t="s">
        <v>209</v>
      </c>
      <c r="K144" s="118"/>
      <c r="L144" s="118"/>
      <c r="M144" s="97"/>
      <c r="N144" s="97"/>
      <c r="O144" s="305">
        <f>IF(O142&lt;0, -$F$63*$F$64*O141,$F$63*$F$64*O141)</f>
        <v>-6449120.6142958365</v>
      </c>
      <c r="P144" s="306"/>
      <c r="Q144" s="118"/>
    </row>
    <row r="145" spans="2:17">
      <c r="B145" s="3" t="s">
        <v>1023</v>
      </c>
      <c r="D145" s="3" t="s">
        <v>209</v>
      </c>
      <c r="K145" s="118"/>
      <c r="L145" s="118"/>
      <c r="M145" s="97"/>
      <c r="N145" s="97"/>
      <c r="O145" s="305">
        <f>IF(O142&lt;0, MAX(O143,O144),MIN(O143,O144))</f>
        <v>-6449120.6142958365</v>
      </c>
      <c r="P145" s="306"/>
      <c r="Q145" s="118"/>
    </row>
    <row r="146" spans="2:17">
      <c r="B146" s="3" t="s">
        <v>1024</v>
      </c>
      <c r="D146" s="3" t="s">
        <v>209</v>
      </c>
      <c r="K146" s="118"/>
      <c r="L146" s="118"/>
      <c r="M146" s="118"/>
      <c r="N146" s="306"/>
      <c r="O146" s="307"/>
      <c r="P146" s="307"/>
      <c r="Q146" s="308">
        <f>-(O142-O145)*Q43</f>
        <v>83371027.523610294</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ignoredErrors>
    <ignoredError sqref="H10:J1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B961-39FD-41AC-B0EC-7D37BB074D43}">
  <sheetPr>
    <tabColor rgb="FFFFFFCC"/>
  </sheetPr>
  <dimension ref="A2:AO70"/>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202" customWidth="1"/>
    <col min="2" max="2" width="52.5703125" style="3" customWidth="1"/>
    <col min="3" max="3" width="2.5703125" style="3" customWidth="1"/>
    <col min="4" max="4" width="16.5703125" style="3" customWidth="1"/>
    <col min="5" max="5" width="2.5703125" style="3" customWidth="1"/>
    <col min="6" max="6" width="21.5703125" style="3" customWidth="1"/>
    <col min="7" max="7" width="2.5703125" style="3" customWidth="1"/>
    <col min="8" max="8" width="22.42578125" style="3" customWidth="1"/>
    <col min="9" max="9" width="18.5703125" style="3" bestFit="1" customWidth="1"/>
    <col min="10" max="10" width="16.5703125" style="3" bestFit="1" customWidth="1"/>
    <col min="11" max="17" width="14.5703125" style="3" customWidth="1"/>
    <col min="18" max="18" width="2.5703125" style="3" customWidth="1"/>
    <col min="19" max="23" width="13.5703125" style="202" customWidth="1"/>
    <col min="24" max="24" width="2.5703125" style="202" customWidth="1"/>
    <col min="25" max="29" width="13.5703125" style="202" customWidth="1"/>
    <col min="30" max="30" width="2.5703125" style="202" customWidth="1"/>
    <col min="31" max="31" width="14.5703125" style="202" customWidth="1"/>
    <col min="32" max="35" width="14.5703125" style="3" customWidth="1"/>
    <col min="36" max="36" width="2.5703125" style="3" customWidth="1"/>
    <col min="37" max="41" width="14.5703125" style="3" customWidth="1"/>
    <col min="42" max="16384" width="9.140625" style="3"/>
  </cols>
  <sheetData>
    <row r="2" spans="1:31" s="12" customFormat="1" ht="18">
      <c r="B2" s="12" t="s">
        <v>1025</v>
      </c>
    </row>
    <row r="3" spans="1:31">
      <c r="A3" s="3"/>
    </row>
    <row r="4" spans="1:31">
      <c r="A4" s="3"/>
      <c r="B4" s="16" t="s">
        <v>197</v>
      </c>
      <c r="C4" s="2"/>
    </row>
    <row r="5" spans="1:31" ht="83.25" customHeight="1">
      <c r="A5" s="3"/>
      <c r="B5" s="346" t="s">
        <v>1026</v>
      </c>
      <c r="C5" s="346"/>
      <c r="D5" s="346"/>
      <c r="F5" s="13"/>
    </row>
    <row r="6" spans="1:31">
      <c r="A6" s="3"/>
    </row>
    <row r="7" spans="1:31">
      <c r="A7" s="3"/>
      <c r="B7" s="17" t="s">
        <v>153</v>
      </c>
    </row>
    <row r="8" spans="1:31" ht="41.25" customHeight="1">
      <c r="A8" s="3"/>
      <c r="B8" s="346" t="s">
        <v>1027</v>
      </c>
      <c r="C8" s="346"/>
      <c r="D8" s="346"/>
    </row>
    <row r="10" spans="1:31" s="8" customFormat="1" ht="12.75" customHeight="1">
      <c r="B10" s="8" t="s">
        <v>157</v>
      </c>
    </row>
    <row r="12" spans="1:31" s="8" customFormat="1" ht="12.75" customHeight="1">
      <c r="B12" s="8" t="s">
        <v>1028</v>
      </c>
      <c r="D12" s="8" t="s">
        <v>199</v>
      </c>
      <c r="F12" s="8" t="s">
        <v>200</v>
      </c>
      <c r="H12" s="46">
        <v>2022</v>
      </c>
      <c r="I12" s="46">
        <v>2023</v>
      </c>
      <c r="J12" s="46">
        <v>2024</v>
      </c>
      <c r="K12" s="46">
        <v>2025</v>
      </c>
      <c r="L12" s="46">
        <v>2026</v>
      </c>
      <c r="N12" s="8" t="s">
        <v>202</v>
      </c>
    </row>
    <row r="13" spans="1:31">
      <c r="B13" s="2"/>
      <c r="C13" s="5"/>
      <c r="D13" s="5"/>
      <c r="E13" s="13"/>
      <c r="F13" s="13"/>
      <c r="G13" s="13"/>
      <c r="O13" s="202"/>
      <c r="P13" s="202"/>
      <c r="Q13" s="202"/>
      <c r="R13" s="202"/>
      <c r="AB13" s="3"/>
      <c r="AC13" s="3"/>
      <c r="AD13" s="3"/>
      <c r="AE13" s="3"/>
    </row>
    <row r="14" spans="1:31">
      <c r="A14" s="222"/>
      <c r="B14" s="16" t="s">
        <v>212</v>
      </c>
      <c r="C14" s="5"/>
      <c r="D14" s="5"/>
      <c r="E14" s="13"/>
      <c r="F14" s="13"/>
      <c r="G14" s="13"/>
      <c r="O14" s="222"/>
      <c r="P14" s="222"/>
      <c r="Q14" s="222"/>
      <c r="R14" s="222"/>
      <c r="S14" s="222"/>
      <c r="T14" s="222"/>
      <c r="U14" s="222"/>
      <c r="V14" s="222"/>
      <c r="W14" s="222"/>
      <c r="X14" s="222"/>
      <c r="Y14" s="222"/>
      <c r="Z14" s="222"/>
      <c r="AA14" s="222"/>
      <c r="AB14" s="3"/>
      <c r="AC14" s="3"/>
      <c r="AD14" s="3"/>
      <c r="AE14" s="3"/>
    </row>
    <row r="15" spans="1:31">
      <c r="A15" s="3"/>
      <c r="B15" s="224" t="s">
        <v>1029</v>
      </c>
      <c r="D15" s="3" t="s">
        <v>204</v>
      </c>
      <c r="F15" s="225"/>
      <c r="H15" s="232">
        <f>IF(ISBLANK('2. Parameters'!M28),'2. Parameters'!M24,'2. Parameters'!M28)</f>
        <v>4.1000000000000002E-2</v>
      </c>
      <c r="I15" s="232">
        <f>IF(ISBLANK('2. Parameters'!N28),'2. Parameters'!N24,'2. Parameters'!N28)</f>
        <v>5.0999999999999997E-2</v>
      </c>
      <c r="J15" s="232">
        <f>IF(ISBLANK('2. Parameters'!O28),'2. Parameters'!O24,'2. Parameters'!O28)</f>
        <v>5.0999999999999997E-2</v>
      </c>
      <c r="K15" s="232">
        <f>IF(ISBLANK('2. Parameters'!P28),'2. Parameters'!P24,'2. Parameters'!P28)</f>
        <v>3.7999999999999999E-2</v>
      </c>
      <c r="L15" s="232">
        <f>IF(ISBLANK('2. Parameters'!Q28),'2. Parameters'!Q24,'2. Parameters'!Q28)</f>
        <v>3.7999999999999999E-2</v>
      </c>
      <c r="N15" s="346"/>
      <c r="O15" s="346"/>
      <c r="P15" s="346"/>
      <c r="Q15" s="346"/>
      <c r="R15" s="346"/>
      <c r="S15" s="346"/>
      <c r="T15" s="346"/>
      <c r="U15" s="3"/>
      <c r="V15" s="3"/>
      <c r="W15" s="3"/>
      <c r="X15" s="3"/>
      <c r="Y15" s="3"/>
      <c r="Z15" s="3"/>
      <c r="AA15" s="3"/>
      <c r="AB15" s="3"/>
      <c r="AC15" s="3"/>
      <c r="AD15" s="3"/>
      <c r="AE15" s="3"/>
    </row>
    <row r="16" spans="1:31">
      <c r="A16" s="222"/>
      <c r="B16" s="2"/>
      <c r="C16" s="5"/>
      <c r="D16" s="5"/>
      <c r="E16" s="13"/>
      <c r="F16" s="13"/>
      <c r="G16" s="13"/>
      <c r="O16" s="222"/>
      <c r="P16" s="222"/>
      <c r="Q16" s="222"/>
      <c r="R16" s="222"/>
      <c r="S16" s="222"/>
      <c r="T16" s="222"/>
      <c r="U16" s="222"/>
      <c r="V16" s="222"/>
      <c r="W16" s="222"/>
      <c r="X16" s="222"/>
      <c r="Y16" s="222"/>
      <c r="Z16" s="222"/>
      <c r="AA16" s="222"/>
      <c r="AB16" s="3"/>
      <c r="AC16" s="3"/>
      <c r="AD16" s="3"/>
      <c r="AE16" s="3"/>
    </row>
    <row r="17" spans="1:27" s="3" customFormat="1">
      <c r="B17" s="2" t="s">
        <v>245</v>
      </c>
      <c r="H17" s="223"/>
      <c r="I17" s="223"/>
      <c r="J17" s="223"/>
      <c r="K17" s="223"/>
      <c r="L17" s="88"/>
    </row>
    <row r="18" spans="1:27" s="3" customFormat="1">
      <c r="B18" s="28" t="s">
        <v>232</v>
      </c>
      <c r="D18" s="3" t="s">
        <v>246</v>
      </c>
      <c r="H18" s="212">
        <f>'2. Parameters'!M76</f>
        <v>1</v>
      </c>
      <c r="I18" s="212">
        <f>'2. Parameters'!N76</f>
        <v>1.02</v>
      </c>
      <c r="J18" s="212">
        <f>'2. Parameters'!O76</f>
        <v>1.0608</v>
      </c>
      <c r="K18" s="212">
        <f>'2. Parameters'!P76</f>
        <v>1.1350560000000001</v>
      </c>
      <c r="L18" s="212">
        <f>'2. Parameters'!Q76</f>
        <v>1.1918088000000002</v>
      </c>
    </row>
    <row r="19" spans="1:27" s="3" customFormat="1">
      <c r="B19" s="28" t="s">
        <v>233</v>
      </c>
      <c r="D19" s="3" t="s">
        <v>246</v>
      </c>
      <c r="H19" s="213"/>
      <c r="I19" s="212">
        <f>'2. Parameters'!N77</f>
        <v>1</v>
      </c>
      <c r="J19" s="212">
        <f>'2. Parameters'!O77</f>
        <v>1.04</v>
      </c>
      <c r="K19" s="212">
        <f>'2. Parameters'!P77</f>
        <v>1.1128</v>
      </c>
      <c r="L19" s="212">
        <f>'2. Parameters'!Q77</f>
        <v>1.1684400000000001</v>
      </c>
    </row>
    <row r="20" spans="1:27" s="3" customFormat="1">
      <c r="B20" s="28" t="s">
        <v>234</v>
      </c>
      <c r="D20" s="3" t="s">
        <v>246</v>
      </c>
      <c r="H20" s="213"/>
      <c r="I20" s="213"/>
      <c r="J20" s="212">
        <f>'2. Parameters'!O78</f>
        <v>1</v>
      </c>
      <c r="K20" s="212">
        <f>'2. Parameters'!P78</f>
        <v>1.07</v>
      </c>
      <c r="L20" s="212">
        <f>'2. Parameters'!Q78</f>
        <v>1.1235000000000002</v>
      </c>
    </row>
    <row r="21" spans="1:27" s="3" customFormat="1">
      <c r="B21" s="28" t="s">
        <v>235</v>
      </c>
      <c r="D21" s="3" t="s">
        <v>246</v>
      </c>
      <c r="H21" s="213"/>
      <c r="I21" s="213"/>
      <c r="J21" s="213"/>
      <c r="K21" s="212">
        <f>'2. Parameters'!P79</f>
        <v>1</v>
      </c>
      <c r="L21" s="212">
        <f>'2. Parameters'!Q79</f>
        <v>1.05</v>
      </c>
    </row>
    <row r="22" spans="1:27" s="3" customFormat="1">
      <c r="B22" s="28" t="s">
        <v>236</v>
      </c>
      <c r="D22" s="3" t="s">
        <v>246</v>
      </c>
      <c r="H22" s="213"/>
      <c r="I22" s="213"/>
      <c r="J22" s="213"/>
      <c r="K22" s="213"/>
      <c r="L22" s="212">
        <f>'2. Parameters'!Q80</f>
        <v>1</v>
      </c>
    </row>
    <row r="23" spans="1:27" s="3" customFormat="1">
      <c r="H23" s="223"/>
      <c r="I23" s="223"/>
      <c r="J23" s="223"/>
      <c r="K23" s="223"/>
      <c r="L23" s="88"/>
    </row>
    <row r="24" spans="1:27" s="3" customFormat="1">
      <c r="B24" s="2" t="s">
        <v>248</v>
      </c>
      <c r="H24" s="223"/>
      <c r="I24" s="223"/>
      <c r="J24" s="223"/>
      <c r="K24" s="223"/>
      <c r="L24" s="88"/>
    </row>
    <row r="25" spans="1:27" s="3" customFormat="1">
      <c r="B25" s="3" t="s">
        <v>248</v>
      </c>
      <c r="D25" s="3" t="s">
        <v>204</v>
      </c>
      <c r="F25" s="214">
        <f>'2. Parameters'!F88</f>
        <v>1.3</v>
      </c>
      <c r="H25" s="223"/>
      <c r="I25" s="223"/>
      <c r="J25" s="223"/>
      <c r="K25" s="223"/>
      <c r="L25" s="88"/>
    </row>
    <row r="26" spans="1:27" s="3" customFormat="1">
      <c r="H26" s="223"/>
      <c r="I26" s="223"/>
      <c r="J26" s="223"/>
      <c r="K26" s="223"/>
      <c r="L26" s="88"/>
    </row>
    <row r="27" spans="1:27" s="3" customFormat="1">
      <c r="B27" s="2" t="s">
        <v>1030</v>
      </c>
      <c r="H27" s="223"/>
      <c r="I27" s="223"/>
      <c r="J27" s="223"/>
      <c r="K27" s="223"/>
      <c r="L27" s="88"/>
    </row>
    <row r="28" spans="1:27" s="3" customFormat="1">
      <c r="B28" s="3" t="s">
        <v>1030</v>
      </c>
      <c r="D28" s="3" t="s">
        <v>204</v>
      </c>
      <c r="F28" s="78">
        <f>'2. Parameters'!F92</f>
        <v>0.1</v>
      </c>
      <c r="H28" s="223"/>
      <c r="I28" s="223"/>
      <c r="J28" s="223"/>
      <c r="K28" s="223"/>
      <c r="L28" s="88"/>
    </row>
    <row r="29" spans="1:27" s="3" customFormat="1">
      <c r="H29" s="223"/>
      <c r="I29" s="223"/>
      <c r="J29" s="223"/>
      <c r="K29" s="223"/>
      <c r="L29" s="88"/>
    </row>
    <row r="30" spans="1:27" s="3" customFormat="1">
      <c r="A30" s="222"/>
      <c r="B30" s="2" t="s">
        <v>531</v>
      </c>
      <c r="O30" s="222"/>
      <c r="P30" s="222"/>
      <c r="Q30" s="222"/>
      <c r="R30" s="222"/>
      <c r="S30" s="222"/>
      <c r="T30" s="222"/>
      <c r="U30" s="222"/>
      <c r="V30" s="222"/>
      <c r="W30" s="222"/>
      <c r="X30" s="222"/>
      <c r="Y30" s="222"/>
      <c r="Z30" s="222"/>
      <c r="AA30" s="222"/>
    </row>
    <row r="31" spans="1:27" s="3" customFormat="1">
      <c r="A31" s="222"/>
      <c r="B31" s="3" t="s">
        <v>531</v>
      </c>
      <c r="D31" s="3" t="s">
        <v>209</v>
      </c>
      <c r="H31" s="213"/>
      <c r="I31" s="213"/>
      <c r="J31" s="215">
        <f>'6. Input incidentele corr. WQA'!N21</f>
        <v>147208.215</v>
      </c>
      <c r="K31" s="213"/>
      <c r="L31" s="213"/>
      <c r="O31" s="222"/>
      <c r="P31" s="222"/>
      <c r="Q31" s="222"/>
      <c r="R31" s="222"/>
      <c r="S31" s="222"/>
      <c r="T31" s="222"/>
      <c r="U31" s="222"/>
      <c r="V31" s="222"/>
      <c r="W31" s="222"/>
      <c r="X31" s="222"/>
      <c r="Y31" s="222"/>
      <c r="Z31" s="222"/>
      <c r="AA31" s="222"/>
    </row>
    <row r="32" spans="1:27" s="3" customFormat="1">
      <c r="A32" s="222"/>
      <c r="O32" s="222"/>
      <c r="P32" s="222"/>
      <c r="Q32" s="222"/>
      <c r="R32" s="222"/>
      <c r="S32" s="222"/>
      <c r="T32" s="222"/>
      <c r="U32" s="222"/>
      <c r="V32" s="222"/>
      <c r="W32" s="222"/>
      <c r="X32" s="222"/>
      <c r="Y32" s="222"/>
      <c r="Z32" s="222"/>
      <c r="AA32" s="222"/>
    </row>
    <row r="33" spans="1:41">
      <c r="A33" s="222"/>
      <c r="B33" s="2" t="s">
        <v>533</v>
      </c>
      <c r="O33" s="222"/>
      <c r="P33" s="222"/>
      <c r="Q33" s="222"/>
      <c r="R33" s="222"/>
      <c r="S33" s="222"/>
      <c r="T33" s="222"/>
      <c r="U33" s="222"/>
      <c r="V33" s="222"/>
      <c r="W33" s="222"/>
      <c r="X33" s="222"/>
      <c r="Y33" s="222"/>
      <c r="Z33" s="222"/>
      <c r="AA33" s="222"/>
      <c r="AB33" s="3"/>
      <c r="AC33" s="3"/>
      <c r="AD33" s="3"/>
      <c r="AE33" s="3"/>
    </row>
    <row r="34" spans="1:41">
      <c r="A34" s="222"/>
      <c r="B34" s="3" t="s">
        <v>533</v>
      </c>
      <c r="D34" s="3" t="s">
        <v>209</v>
      </c>
      <c r="H34" s="213"/>
      <c r="I34" s="213"/>
      <c r="J34" s="215">
        <f>'6. Input incidentele corr. WQA'!N24</f>
        <v>3414324.37</v>
      </c>
      <c r="K34" s="213"/>
      <c r="L34" s="213"/>
      <c r="O34" s="222"/>
      <c r="P34" s="222"/>
      <c r="Q34" s="222"/>
      <c r="R34" s="222"/>
      <c r="S34" s="222"/>
      <c r="T34" s="222"/>
      <c r="U34" s="222"/>
      <c r="V34" s="222"/>
      <c r="W34" s="222"/>
      <c r="X34" s="222"/>
      <c r="Y34" s="222"/>
      <c r="Z34" s="222"/>
      <c r="AA34" s="222"/>
      <c r="AB34" s="3"/>
      <c r="AC34" s="3"/>
      <c r="AD34" s="3"/>
      <c r="AE34" s="3"/>
    </row>
    <row r="35" spans="1:41" ht="13.5" customHeight="1">
      <c r="A35" s="222"/>
      <c r="S35" s="222"/>
      <c r="T35" s="222"/>
      <c r="U35" s="222"/>
      <c r="V35" s="222"/>
      <c r="W35" s="222"/>
      <c r="X35" s="222"/>
      <c r="Y35" s="222"/>
      <c r="Z35" s="222"/>
      <c r="AA35" s="222"/>
      <c r="AB35" s="222"/>
      <c r="AC35" s="222"/>
      <c r="AD35" s="222"/>
      <c r="AE35" s="222"/>
    </row>
    <row r="36" spans="1:41" s="33" customFormat="1" ht="12.75" customHeight="1">
      <c r="A36" s="98"/>
      <c r="B36" s="33" t="s">
        <v>1031</v>
      </c>
      <c r="M36" s="33" t="s">
        <v>886</v>
      </c>
      <c r="S36" s="33" t="s">
        <v>1032</v>
      </c>
      <c r="Y36" s="33" t="s">
        <v>888</v>
      </c>
      <c r="AE36" s="33" t="s">
        <v>889</v>
      </c>
      <c r="AK36" s="33" t="s">
        <v>890</v>
      </c>
    </row>
    <row r="37" spans="1:41" s="34" customFormat="1" ht="12.75" customHeight="1">
      <c r="A37" s="99"/>
      <c r="F37" s="34" t="s">
        <v>380</v>
      </c>
      <c r="H37" s="34" t="s">
        <v>302</v>
      </c>
      <c r="I37" s="34" t="s">
        <v>515</v>
      </c>
      <c r="K37" s="101" t="s">
        <v>1033</v>
      </c>
      <c r="L37" s="101"/>
      <c r="M37" s="45">
        <v>2022</v>
      </c>
      <c r="N37" s="45">
        <v>2023</v>
      </c>
      <c r="O37" s="45">
        <v>2024</v>
      </c>
      <c r="P37" s="45">
        <v>2025</v>
      </c>
      <c r="Q37" s="45">
        <v>2026</v>
      </c>
      <c r="R37" s="39"/>
      <c r="S37" s="45">
        <v>2022</v>
      </c>
      <c r="T37" s="45">
        <v>2023</v>
      </c>
      <c r="U37" s="45">
        <v>2024</v>
      </c>
      <c r="V37" s="45">
        <v>2025</v>
      </c>
      <c r="W37" s="45">
        <v>2026</v>
      </c>
      <c r="X37" s="39"/>
      <c r="Y37" s="45">
        <v>2022</v>
      </c>
      <c r="Z37" s="45">
        <v>2023</v>
      </c>
      <c r="AA37" s="45">
        <v>2024</v>
      </c>
      <c r="AB37" s="45">
        <v>2025</v>
      </c>
      <c r="AC37" s="45">
        <v>2026</v>
      </c>
      <c r="AD37" s="39"/>
      <c r="AE37" s="45">
        <v>2022</v>
      </c>
      <c r="AF37" s="45">
        <v>2023</v>
      </c>
      <c r="AG37" s="45">
        <v>2024</v>
      </c>
      <c r="AH37" s="45">
        <v>2025</v>
      </c>
      <c r="AI37" s="45">
        <v>2026</v>
      </c>
      <c r="AJ37" s="39"/>
      <c r="AK37" s="45">
        <v>2022</v>
      </c>
      <c r="AL37" s="45">
        <v>2023</v>
      </c>
      <c r="AM37" s="45">
        <v>2024</v>
      </c>
      <c r="AN37" s="45">
        <v>2025</v>
      </c>
      <c r="AO37" s="45">
        <v>2026</v>
      </c>
    </row>
    <row r="38" spans="1:41" ht="13.5" customHeight="1">
      <c r="A38" s="222"/>
      <c r="S38" s="222"/>
      <c r="T38" s="222"/>
      <c r="U38" s="222"/>
      <c r="V38" s="222"/>
      <c r="W38" s="222"/>
      <c r="X38" s="222"/>
      <c r="Y38" s="222"/>
      <c r="Z38" s="222"/>
      <c r="AA38" s="222"/>
      <c r="AB38" s="222"/>
      <c r="AC38" s="222"/>
      <c r="AD38" s="222"/>
      <c r="AE38" s="222"/>
    </row>
    <row r="39" spans="1:41">
      <c r="A39" s="222"/>
      <c r="B39" s="3" t="s">
        <v>522</v>
      </c>
      <c r="F39" s="37">
        <f>'6. Input incidentele corr. WQA'!F12</f>
        <v>2011</v>
      </c>
      <c r="H39" s="37">
        <f>'6. Input incidentele corr. WQA'!H12</f>
        <v>30</v>
      </c>
      <c r="I39" s="42">
        <f>'6. Input incidentele corr. WQA'!J12</f>
        <v>17376205.576952007</v>
      </c>
      <c r="K39" s="38">
        <f>H39-2022+F39+0.5</f>
        <v>19.5</v>
      </c>
      <c r="M39" s="216">
        <f t="shared" ref="M39:Q43" si="0">IF($F39+$H39&lt;M$37,0,VDB($I39*(1-$F$28),0,$K39,MAX(0,M$37-2022),MIN($K39,M$37-2021),$F$25,FALSE))</f>
        <v>1042572.3346171203</v>
      </c>
      <c r="N39" s="216">
        <f t="shared" si="0"/>
        <v>973067.51230931235</v>
      </c>
      <c r="O39" s="216">
        <f t="shared" si="0"/>
        <v>908196.34482202481</v>
      </c>
      <c r="P39" s="216">
        <f t="shared" si="0"/>
        <v>847649.92183388979</v>
      </c>
      <c r="Q39" s="216">
        <f t="shared" si="0"/>
        <v>791139.92704496381</v>
      </c>
      <c r="S39" s="216">
        <f t="shared" ref="S39:W43" si="1">IF($F39+$H39&lt;S$37,0,VDB($I39*$F$28,0,$K39,MAX(0,S$37-2022),MIN($K39,S$37-2021),1,FALSE))</f>
        <v>89108.746548471827</v>
      </c>
      <c r="T39" s="216">
        <f t="shared" si="1"/>
        <v>89108.746548471827</v>
      </c>
      <c r="U39" s="216">
        <f t="shared" si="1"/>
        <v>89108.746548471827</v>
      </c>
      <c r="V39" s="216">
        <f t="shared" si="1"/>
        <v>89108.746548471827</v>
      </c>
      <c r="W39" s="216">
        <f t="shared" si="1"/>
        <v>89108.746548471827</v>
      </c>
      <c r="X39" s="222"/>
      <c r="Y39" s="216">
        <f>M39+S39</f>
        <v>1131681.0811655922</v>
      </c>
      <c r="Z39" s="216">
        <f t="shared" ref="Z39:AC43" si="2">N39+T39</f>
        <v>1062176.2588577841</v>
      </c>
      <c r="AA39" s="216">
        <f t="shared" si="2"/>
        <v>997305.09137049667</v>
      </c>
      <c r="AB39" s="216">
        <f t="shared" si="2"/>
        <v>936758.66838236165</v>
      </c>
      <c r="AC39" s="216">
        <f t="shared" si="2"/>
        <v>880248.67359343567</v>
      </c>
      <c r="AD39" s="222"/>
      <c r="AE39" s="216">
        <f t="shared" ref="AE39:AI43" si="3">IF($F39+$H39&lt;M$37&lt;=H$12,0,
IF(AE$37=2022,I39-Y39,AD39-Y39))</f>
        <v>16244524.495786414</v>
      </c>
      <c r="AF39" s="216">
        <f t="shared" si="3"/>
        <v>15182348.236928629</v>
      </c>
      <c r="AG39" s="216">
        <f t="shared" si="3"/>
        <v>14185043.145558132</v>
      </c>
      <c r="AH39" s="216">
        <f t="shared" si="3"/>
        <v>13248284.47717577</v>
      </c>
      <c r="AI39" s="216">
        <f t="shared" si="3"/>
        <v>12368035.803582335</v>
      </c>
      <c r="AK39" s="216">
        <f t="shared" ref="AK39:AO43" si="4">Y39+AE39*H$15</f>
        <v>1797706.5854928351</v>
      </c>
      <c r="AL39" s="216">
        <f t="shared" si="4"/>
        <v>1836476.018941144</v>
      </c>
      <c r="AM39" s="216">
        <f t="shared" si="4"/>
        <v>1720742.2917939613</v>
      </c>
      <c r="AN39" s="216">
        <f t="shared" si="4"/>
        <v>1440193.4785150408</v>
      </c>
      <c r="AO39" s="216">
        <f>AC39+AI39*L$15</f>
        <v>1350234.0341295644</v>
      </c>
    </row>
    <row r="40" spans="1:41">
      <c r="A40" s="222"/>
      <c r="B40" s="3" t="s">
        <v>525</v>
      </c>
      <c r="F40" s="37">
        <f>'6. Input incidentele corr. WQA'!F13</f>
        <v>2012</v>
      </c>
      <c r="H40" s="37">
        <f>'6. Input incidentele corr. WQA'!H13</f>
        <v>30</v>
      </c>
      <c r="I40" s="42">
        <f>'6. Input incidentele corr. WQA'!J13</f>
        <v>1104502.0714844635</v>
      </c>
      <c r="K40" s="38">
        <f t="shared" ref="K40:K43" si="5">H40-2022+F40+0.5</f>
        <v>20.5</v>
      </c>
      <c r="M40" s="216">
        <f t="shared" si="0"/>
        <v>63037.435299357188</v>
      </c>
      <c r="N40" s="216">
        <f t="shared" si="0"/>
        <v>59039.939402324781</v>
      </c>
      <c r="O40" s="216">
        <f t="shared" si="0"/>
        <v>55295.943245104187</v>
      </c>
      <c r="P40" s="216">
        <f t="shared" si="0"/>
        <v>51789.371234439044</v>
      </c>
      <c r="Q40" s="216">
        <f t="shared" si="0"/>
        <v>48505.167204938029</v>
      </c>
      <c r="S40" s="216">
        <f t="shared" si="1"/>
        <v>5387.8149828510413</v>
      </c>
      <c r="T40" s="216">
        <f t="shared" si="1"/>
        <v>5387.8149828510423</v>
      </c>
      <c r="U40" s="216">
        <f t="shared" si="1"/>
        <v>5387.8149828510423</v>
      </c>
      <c r="V40" s="216">
        <f t="shared" si="1"/>
        <v>5387.8149828510423</v>
      </c>
      <c r="W40" s="216">
        <f t="shared" si="1"/>
        <v>5387.8149828510423</v>
      </c>
      <c r="X40" s="222"/>
      <c r="Y40" s="216">
        <f t="shared" ref="Y40:Y43" si="6">M40+S40</f>
        <v>68425.250282208232</v>
      </c>
      <c r="Z40" s="216">
        <f t="shared" si="2"/>
        <v>64427.754385175824</v>
      </c>
      <c r="AA40" s="216">
        <f t="shared" si="2"/>
        <v>60683.75822795523</v>
      </c>
      <c r="AB40" s="216">
        <f t="shared" si="2"/>
        <v>57177.186217290087</v>
      </c>
      <c r="AC40" s="216">
        <f t="shared" si="2"/>
        <v>53892.982187789072</v>
      </c>
      <c r="AD40" s="222"/>
      <c r="AE40" s="216">
        <f t="shared" si="3"/>
        <v>1036076.8212022553</v>
      </c>
      <c r="AF40" s="216">
        <f t="shared" si="3"/>
        <v>971649.06681707944</v>
      </c>
      <c r="AG40" s="216">
        <f t="shared" si="3"/>
        <v>910965.30858912424</v>
      </c>
      <c r="AH40" s="216">
        <f t="shared" si="3"/>
        <v>853788.12237183412</v>
      </c>
      <c r="AI40" s="216">
        <f t="shared" si="3"/>
        <v>799895.14018404507</v>
      </c>
      <c r="AK40" s="216">
        <f t="shared" si="4"/>
        <v>110904.3999515007</v>
      </c>
      <c r="AL40" s="216">
        <f t="shared" si="4"/>
        <v>113981.85679284687</v>
      </c>
      <c r="AM40" s="216">
        <f t="shared" si="4"/>
        <v>107142.98896600056</v>
      </c>
      <c r="AN40" s="216">
        <f t="shared" si="4"/>
        <v>89621.13486741978</v>
      </c>
      <c r="AO40" s="216">
        <f t="shared" si="4"/>
        <v>84288.997514782779</v>
      </c>
    </row>
    <row r="41" spans="1:41">
      <c r="A41" s="222"/>
      <c r="B41" s="3" t="s">
        <v>526</v>
      </c>
      <c r="F41" s="37">
        <f>'6. Input incidentele corr. WQA'!F14</f>
        <v>2013</v>
      </c>
      <c r="H41" s="37">
        <f>'6. Input incidentele corr. WQA'!H14</f>
        <v>30</v>
      </c>
      <c r="I41" s="42">
        <f>'6. Input incidentele corr. WQA'!J14</f>
        <v>271685.95797538623</v>
      </c>
      <c r="K41" s="38">
        <f t="shared" si="5"/>
        <v>21.5</v>
      </c>
      <c r="M41" s="216">
        <f t="shared" si="0"/>
        <v>14784.770736334973</v>
      </c>
      <c r="N41" s="216">
        <f t="shared" si="0"/>
        <v>13890.80785460309</v>
      </c>
      <c r="O41" s="216">
        <f t="shared" si="0"/>
        <v>13050.898542464298</v>
      </c>
      <c r="P41" s="216">
        <f t="shared" si="0"/>
        <v>12261.774444547853</v>
      </c>
      <c r="Q41" s="216">
        <f t="shared" si="0"/>
        <v>11520.364826970539</v>
      </c>
      <c r="S41" s="216">
        <f t="shared" si="1"/>
        <v>1263.6556184901688</v>
      </c>
      <c r="T41" s="216">
        <f t="shared" si="1"/>
        <v>1263.6556184901688</v>
      </c>
      <c r="U41" s="216">
        <f t="shared" si="1"/>
        <v>1263.6556184901688</v>
      </c>
      <c r="V41" s="216">
        <f t="shared" si="1"/>
        <v>1263.6556184901688</v>
      </c>
      <c r="W41" s="216">
        <f t="shared" si="1"/>
        <v>1263.6556184901688</v>
      </c>
      <c r="X41" s="222"/>
      <c r="Y41" s="216">
        <f t="shared" si="6"/>
        <v>16048.426354825142</v>
      </c>
      <c r="Z41" s="216">
        <f t="shared" si="2"/>
        <v>15154.463473093259</v>
      </c>
      <c r="AA41" s="216">
        <f t="shared" si="2"/>
        <v>14314.554160954467</v>
      </c>
      <c r="AB41" s="216">
        <f t="shared" si="2"/>
        <v>13525.430063038022</v>
      </c>
      <c r="AC41" s="216">
        <f t="shared" si="2"/>
        <v>12784.020445460708</v>
      </c>
      <c r="AD41" s="222"/>
      <c r="AE41" s="216">
        <f t="shared" si="3"/>
        <v>255637.53162056109</v>
      </c>
      <c r="AF41" s="216">
        <f t="shared" si="3"/>
        <v>240483.06814746783</v>
      </c>
      <c r="AG41" s="216">
        <f t="shared" si="3"/>
        <v>226168.51398651337</v>
      </c>
      <c r="AH41" s="216">
        <f t="shared" si="3"/>
        <v>212643.08392347535</v>
      </c>
      <c r="AI41" s="216">
        <f t="shared" si="3"/>
        <v>199859.06347801464</v>
      </c>
      <c r="AK41" s="216">
        <f t="shared" si="4"/>
        <v>26529.565151268147</v>
      </c>
      <c r="AL41" s="216">
        <f t="shared" si="4"/>
        <v>27419.099948614115</v>
      </c>
      <c r="AM41" s="216">
        <f t="shared" si="4"/>
        <v>25849.148374266646</v>
      </c>
      <c r="AN41" s="216">
        <f t="shared" si="4"/>
        <v>21605.867252130083</v>
      </c>
      <c r="AO41" s="216">
        <f t="shared" si="4"/>
        <v>20378.664857625263</v>
      </c>
    </row>
    <row r="42" spans="1:41">
      <c r="A42" s="222"/>
      <c r="B42" s="3" t="s">
        <v>527</v>
      </c>
      <c r="F42" s="37">
        <f>'6. Input incidentele corr. WQA'!F15</f>
        <v>2014</v>
      </c>
      <c r="H42" s="37">
        <f>'6. Input incidentele corr. WQA'!H15</f>
        <v>30</v>
      </c>
      <c r="I42" s="42">
        <f>'6. Input incidentele corr. WQA'!J15</f>
        <v>137435.09908722798</v>
      </c>
      <c r="K42" s="38">
        <f t="shared" si="5"/>
        <v>22.5</v>
      </c>
      <c r="M42" s="216">
        <f t="shared" si="0"/>
        <v>7146.6251525358557</v>
      </c>
      <c r="N42" s="216">
        <f t="shared" si="0"/>
        <v>6733.7090326115613</v>
      </c>
      <c r="O42" s="216">
        <f t="shared" si="0"/>
        <v>6344.6502885051159</v>
      </c>
      <c r="P42" s="216">
        <f t="shared" si="0"/>
        <v>5978.0704940581536</v>
      </c>
      <c r="Q42" s="216">
        <f t="shared" si="0"/>
        <v>5632.6708655125722</v>
      </c>
      <c r="S42" s="216">
        <f t="shared" si="1"/>
        <v>610.82266260990218</v>
      </c>
      <c r="T42" s="216">
        <f t="shared" si="1"/>
        <v>610.82266260990218</v>
      </c>
      <c r="U42" s="216">
        <f t="shared" si="1"/>
        <v>610.82266260990218</v>
      </c>
      <c r="V42" s="216">
        <f t="shared" si="1"/>
        <v>610.82266260990218</v>
      </c>
      <c r="W42" s="216">
        <f t="shared" si="1"/>
        <v>610.82266260990218</v>
      </c>
      <c r="X42" s="222"/>
      <c r="Y42" s="216">
        <f t="shared" si="6"/>
        <v>7757.4478151457579</v>
      </c>
      <c r="Z42" s="216">
        <f t="shared" si="2"/>
        <v>7344.5316952214635</v>
      </c>
      <c r="AA42" s="216">
        <f t="shared" si="2"/>
        <v>6955.4729511150181</v>
      </c>
      <c r="AB42" s="216">
        <f t="shared" si="2"/>
        <v>6588.8931566680558</v>
      </c>
      <c r="AC42" s="216">
        <f t="shared" si="2"/>
        <v>6243.4935281224743</v>
      </c>
      <c r="AD42" s="222"/>
      <c r="AE42" s="216">
        <f t="shared" si="3"/>
        <v>129677.65127208222</v>
      </c>
      <c r="AF42" s="216">
        <f t="shared" si="3"/>
        <v>122333.11957686076</v>
      </c>
      <c r="AG42" s="216">
        <f t="shared" si="3"/>
        <v>115377.64662574574</v>
      </c>
      <c r="AH42" s="216">
        <f t="shared" si="3"/>
        <v>108788.75346907768</v>
      </c>
      <c r="AI42" s="216">
        <f t="shared" si="3"/>
        <v>102545.25994095521</v>
      </c>
      <c r="AK42" s="216">
        <f t="shared" si="4"/>
        <v>13074.23151730113</v>
      </c>
      <c r="AL42" s="216">
        <f t="shared" si="4"/>
        <v>13583.520793641361</v>
      </c>
      <c r="AM42" s="216">
        <f t="shared" si="4"/>
        <v>12839.73292902805</v>
      </c>
      <c r="AN42" s="216">
        <f t="shared" si="4"/>
        <v>10722.865788493007</v>
      </c>
      <c r="AO42" s="216">
        <f t="shared" si="4"/>
        <v>10140.213405878772</v>
      </c>
    </row>
    <row r="43" spans="1:41">
      <c r="A43" s="222"/>
      <c r="B43" s="3" t="s">
        <v>528</v>
      </c>
      <c r="F43" s="37">
        <f>'6. Input incidentele corr. WQA'!F16</f>
        <v>2015</v>
      </c>
      <c r="H43" s="37">
        <f>'6. Input incidentele corr. WQA'!H16</f>
        <v>30</v>
      </c>
      <c r="I43" s="42">
        <f>'6. Input incidentele corr. WQA'!J16</f>
        <v>2218.4673824688466</v>
      </c>
      <c r="K43" s="38">
        <f t="shared" si="5"/>
        <v>23.5</v>
      </c>
      <c r="M43" s="216">
        <f t="shared" si="0"/>
        <v>110.45135478674685</v>
      </c>
      <c r="N43" s="216">
        <f t="shared" si="0"/>
        <v>104.34127984109702</v>
      </c>
      <c r="O43" s="216">
        <f t="shared" si="0"/>
        <v>98.569209041376752</v>
      </c>
      <c r="P43" s="216">
        <f t="shared" si="0"/>
        <v>93.116444285896335</v>
      </c>
      <c r="Q43" s="216">
        <f t="shared" si="0"/>
        <v>87.965321836038243</v>
      </c>
      <c r="S43" s="216">
        <f t="shared" si="1"/>
        <v>9.4402867339099874</v>
      </c>
      <c r="T43" s="216">
        <f t="shared" si="1"/>
        <v>9.4402867339099874</v>
      </c>
      <c r="U43" s="216">
        <f t="shared" si="1"/>
        <v>9.4402867339099874</v>
      </c>
      <c r="V43" s="216">
        <f t="shared" si="1"/>
        <v>9.4402867339099874</v>
      </c>
      <c r="W43" s="216">
        <f t="shared" si="1"/>
        <v>9.4402867339099874</v>
      </c>
      <c r="X43" s="222"/>
      <c r="Y43" s="216">
        <f t="shared" si="6"/>
        <v>119.89164152065683</v>
      </c>
      <c r="Z43" s="216">
        <f t="shared" si="2"/>
        <v>113.78156657500701</v>
      </c>
      <c r="AA43" s="216">
        <f t="shared" si="2"/>
        <v>108.00949577528674</v>
      </c>
      <c r="AB43" s="216">
        <f t="shared" si="2"/>
        <v>102.55673101980632</v>
      </c>
      <c r="AC43" s="216">
        <f t="shared" si="2"/>
        <v>97.405608569948228</v>
      </c>
      <c r="AD43" s="222"/>
      <c r="AE43" s="216">
        <f t="shared" si="3"/>
        <v>2098.5757409481898</v>
      </c>
      <c r="AF43" s="216">
        <f t="shared" si="3"/>
        <v>1984.7941743731828</v>
      </c>
      <c r="AG43" s="216">
        <f t="shared" si="3"/>
        <v>1876.7846785978961</v>
      </c>
      <c r="AH43" s="216">
        <f t="shared" si="3"/>
        <v>1774.2279475780897</v>
      </c>
      <c r="AI43" s="216">
        <f t="shared" si="3"/>
        <v>1676.8223390081414</v>
      </c>
      <c r="AK43" s="216">
        <f t="shared" si="4"/>
        <v>205.93324689953261</v>
      </c>
      <c r="AL43" s="216">
        <f t="shared" si="4"/>
        <v>215.00606946803933</v>
      </c>
      <c r="AM43" s="216">
        <f t="shared" si="4"/>
        <v>203.72551438377943</v>
      </c>
      <c r="AN43" s="216">
        <f t="shared" si="4"/>
        <v>169.97739302777373</v>
      </c>
      <c r="AO43" s="216">
        <f t="shared" si="4"/>
        <v>161.1248574522576</v>
      </c>
    </row>
    <row r="44" spans="1:41">
      <c r="A44" s="222"/>
      <c r="L44" s="226"/>
      <c r="M44" s="226"/>
      <c r="N44" s="226"/>
      <c r="O44" s="226"/>
      <c r="P44" s="226"/>
      <c r="S44" s="222"/>
      <c r="T44" s="222"/>
      <c r="U44" s="222"/>
      <c r="V44" s="222"/>
      <c r="W44" s="222"/>
      <c r="X44" s="222"/>
      <c r="Y44" s="222"/>
      <c r="Z44" s="222"/>
      <c r="AA44" s="222"/>
      <c r="AB44" s="222"/>
      <c r="AC44" s="222"/>
      <c r="AD44" s="222"/>
      <c r="AE44" s="222"/>
    </row>
    <row r="45" spans="1:41" s="217" customFormat="1">
      <c r="B45" s="217" t="s">
        <v>1034</v>
      </c>
      <c r="F45" s="217" t="s">
        <v>200</v>
      </c>
      <c r="H45" s="218">
        <v>2022</v>
      </c>
      <c r="I45" s="218">
        <v>2023</v>
      </c>
      <c r="J45" s="218">
        <v>2024</v>
      </c>
      <c r="K45" s="218">
        <v>2025</v>
      </c>
      <c r="L45" s="218">
        <v>2026</v>
      </c>
      <c r="O45" s="219"/>
      <c r="P45" s="219"/>
      <c r="Q45" s="219"/>
      <c r="R45" s="219"/>
      <c r="S45" s="219"/>
      <c r="T45" s="219"/>
      <c r="U45" s="219"/>
      <c r="V45" s="219"/>
      <c r="W45" s="219"/>
      <c r="X45" s="219"/>
      <c r="Y45" s="219"/>
      <c r="Z45" s="219"/>
      <c r="AA45" s="219"/>
    </row>
    <row r="46" spans="1:41">
      <c r="A46" s="222"/>
      <c r="B46" s="2"/>
      <c r="H46" s="227"/>
      <c r="I46" s="227"/>
      <c r="J46" s="227"/>
      <c r="K46" s="227"/>
      <c r="L46" s="227"/>
      <c r="O46" s="222"/>
      <c r="P46" s="222"/>
      <c r="Q46" s="222"/>
      <c r="R46" s="222"/>
      <c r="S46" s="222"/>
      <c r="T46" s="222"/>
      <c r="U46" s="222"/>
      <c r="V46" s="222"/>
      <c r="W46" s="222"/>
      <c r="X46" s="222"/>
      <c r="Y46" s="222"/>
      <c r="Z46" s="222"/>
      <c r="AA46" s="222"/>
      <c r="AB46" s="3"/>
      <c r="AC46" s="3"/>
      <c r="AD46" s="3"/>
      <c r="AE46" s="3"/>
    </row>
    <row r="47" spans="1:41">
      <c r="A47" s="222"/>
      <c r="B47" s="3" t="s">
        <v>890</v>
      </c>
      <c r="D47" s="3" t="s">
        <v>209</v>
      </c>
      <c r="H47" s="213"/>
      <c r="I47" s="213"/>
      <c r="J47" s="216">
        <f t="shared" ref="J47" si="7">SUM(AM39:AM43)</f>
        <v>1866777.8875776404</v>
      </c>
      <c r="K47" s="213"/>
      <c r="L47" s="213"/>
      <c r="O47" s="222"/>
      <c r="P47" s="222"/>
      <c r="Q47" s="222"/>
      <c r="R47" s="222"/>
      <c r="S47" s="222"/>
      <c r="T47" s="222"/>
      <c r="U47" s="222"/>
      <c r="V47" s="222"/>
      <c r="W47" s="222"/>
      <c r="X47" s="222"/>
      <c r="Y47" s="222"/>
      <c r="Z47" s="222"/>
      <c r="AA47" s="222"/>
      <c r="AB47" s="3"/>
      <c r="AC47" s="3"/>
      <c r="AD47" s="3"/>
      <c r="AE47" s="3"/>
    </row>
    <row r="48" spans="1:41">
      <c r="A48" s="222"/>
      <c r="O48" s="222"/>
      <c r="P48" s="222"/>
      <c r="Q48" s="222"/>
      <c r="R48" s="222"/>
      <c r="S48" s="222"/>
      <c r="T48" s="222"/>
      <c r="U48" s="222"/>
      <c r="V48" s="222"/>
      <c r="W48" s="222"/>
      <c r="X48" s="222"/>
      <c r="Y48" s="222"/>
      <c r="Z48" s="222"/>
      <c r="AA48" s="222"/>
      <c r="AB48" s="3"/>
      <c r="AC48" s="3"/>
      <c r="AD48" s="3"/>
      <c r="AE48" s="3"/>
    </row>
    <row r="49" spans="1:31" s="8" customFormat="1" ht="12.75" customHeight="1">
      <c r="B49" s="8" t="s">
        <v>1035</v>
      </c>
      <c r="D49" s="8" t="s">
        <v>199</v>
      </c>
      <c r="F49" s="8" t="s">
        <v>200</v>
      </c>
      <c r="H49" s="46">
        <v>2022</v>
      </c>
      <c r="I49" s="46">
        <v>2023</v>
      </c>
      <c r="J49" s="46">
        <v>2024</v>
      </c>
      <c r="K49" s="46">
        <v>2025</v>
      </c>
      <c r="L49" s="46">
        <v>2026</v>
      </c>
      <c r="N49" s="8" t="s">
        <v>202</v>
      </c>
    </row>
    <row r="50" spans="1:31">
      <c r="A50" s="222"/>
      <c r="O50" s="222"/>
      <c r="P50" s="222"/>
      <c r="Q50" s="222"/>
      <c r="R50" s="222"/>
      <c r="S50" s="222"/>
      <c r="T50" s="222"/>
      <c r="U50" s="222"/>
      <c r="V50" s="222"/>
      <c r="W50" s="222"/>
      <c r="X50" s="222"/>
      <c r="Y50" s="222"/>
      <c r="Z50" s="222"/>
      <c r="AA50" s="222"/>
      <c r="AB50" s="3"/>
      <c r="AC50" s="3"/>
      <c r="AD50" s="3"/>
      <c r="AE50" s="3"/>
    </row>
    <row r="51" spans="1:31">
      <c r="A51" s="3"/>
      <c r="B51" s="2" t="s">
        <v>1036</v>
      </c>
      <c r="H51" s="228"/>
      <c r="I51" s="228"/>
      <c r="J51" s="228"/>
      <c r="K51" s="228"/>
      <c r="L51" s="228"/>
      <c r="S51" s="3"/>
      <c r="T51" s="3"/>
      <c r="U51" s="3"/>
      <c r="V51" s="3"/>
      <c r="W51" s="3"/>
      <c r="X51" s="3"/>
      <c r="Y51" s="3"/>
      <c r="Z51" s="3"/>
      <c r="AA51" s="3"/>
      <c r="AB51" s="3"/>
      <c r="AC51" s="3"/>
      <c r="AD51" s="3"/>
      <c r="AE51" s="3"/>
    </row>
    <row r="52" spans="1:31">
      <c r="A52" s="3"/>
      <c r="B52" s="3" t="s">
        <v>1037</v>
      </c>
      <c r="D52" s="3" t="s">
        <v>209</v>
      </c>
      <c r="H52" s="213"/>
      <c r="I52" s="213"/>
      <c r="J52" s="220">
        <f>J31+J34</f>
        <v>3561532.585</v>
      </c>
      <c r="K52" s="213"/>
      <c r="L52" s="213"/>
      <c r="S52" s="3"/>
      <c r="T52" s="3"/>
      <c r="U52" s="3"/>
      <c r="V52" s="3"/>
      <c r="W52" s="3"/>
      <c r="X52" s="3"/>
      <c r="Y52" s="3"/>
      <c r="Z52" s="3"/>
      <c r="AA52" s="3"/>
      <c r="AB52" s="3"/>
      <c r="AC52" s="3"/>
      <c r="AD52" s="3"/>
      <c r="AE52" s="3"/>
    </row>
    <row r="53" spans="1:31">
      <c r="A53" s="222"/>
      <c r="O53" s="222"/>
      <c r="P53" s="222"/>
      <c r="Q53" s="222"/>
      <c r="R53" s="222"/>
      <c r="S53" s="222"/>
      <c r="T53" s="222"/>
      <c r="U53" s="222"/>
      <c r="V53" s="222"/>
      <c r="W53" s="222"/>
      <c r="X53" s="222"/>
      <c r="Y53" s="222"/>
      <c r="Z53" s="222"/>
      <c r="AA53" s="222"/>
      <c r="AB53" s="3"/>
      <c r="AC53" s="3"/>
      <c r="AD53" s="3"/>
      <c r="AE53" s="3"/>
    </row>
    <row r="54" spans="1:31" s="8" customFormat="1" ht="12.75" customHeight="1">
      <c r="B54" s="8" t="s">
        <v>1038</v>
      </c>
      <c r="D54" s="8" t="s">
        <v>199</v>
      </c>
      <c r="F54" s="8" t="s">
        <v>200</v>
      </c>
      <c r="H54" s="46">
        <v>2022</v>
      </c>
      <c r="I54" s="46">
        <v>2023</v>
      </c>
      <c r="J54" s="46">
        <v>2024</v>
      </c>
      <c r="K54" s="46">
        <v>2025</v>
      </c>
      <c r="L54" s="46">
        <v>2026</v>
      </c>
      <c r="N54" s="8" t="s">
        <v>202</v>
      </c>
    </row>
    <row r="55" spans="1:31">
      <c r="A55" s="222"/>
      <c r="O55" s="222"/>
      <c r="P55" s="222"/>
      <c r="Q55" s="222"/>
      <c r="R55" s="222"/>
      <c r="S55" s="222"/>
      <c r="T55" s="222"/>
      <c r="U55" s="222"/>
      <c r="V55" s="222"/>
      <c r="W55" s="222"/>
      <c r="X55" s="222"/>
      <c r="Y55" s="222"/>
      <c r="Z55" s="222"/>
      <c r="AA55" s="222"/>
      <c r="AB55" s="3"/>
      <c r="AC55" s="3"/>
      <c r="AD55" s="3"/>
      <c r="AE55" s="3"/>
    </row>
    <row r="56" spans="1:31">
      <c r="A56" s="222"/>
      <c r="B56" s="2" t="s">
        <v>892</v>
      </c>
      <c r="O56" s="222"/>
      <c r="P56" s="222"/>
      <c r="Q56" s="222"/>
      <c r="R56" s="222"/>
      <c r="S56" s="222"/>
      <c r="T56" s="222"/>
      <c r="U56" s="222"/>
      <c r="V56" s="222"/>
      <c r="W56" s="222"/>
      <c r="X56" s="222"/>
      <c r="Y56" s="222"/>
      <c r="Z56" s="222"/>
      <c r="AA56" s="222"/>
      <c r="AB56" s="3"/>
      <c r="AC56" s="3"/>
      <c r="AD56" s="3"/>
      <c r="AE56" s="3"/>
    </row>
    <row r="57" spans="1:31">
      <c r="A57" s="222"/>
      <c r="B57" s="3" t="s">
        <v>1039</v>
      </c>
      <c r="D57" s="3" t="s">
        <v>209</v>
      </c>
      <c r="H57" s="213"/>
      <c r="I57" s="213"/>
      <c r="J57" s="213"/>
      <c r="K57" s="213"/>
      <c r="L57" s="221">
        <f>(J47+J52)*L20</f>
        <v>6098706.8159409799</v>
      </c>
      <c r="O57" s="222"/>
      <c r="P57" s="222"/>
      <c r="Q57" s="222"/>
      <c r="R57" s="222"/>
      <c r="S57" s="222"/>
      <c r="T57" s="222"/>
      <c r="U57" s="222"/>
      <c r="V57" s="222"/>
      <c r="W57" s="222"/>
      <c r="X57" s="222"/>
      <c r="Y57" s="222"/>
      <c r="Z57" s="222"/>
      <c r="AA57" s="222"/>
      <c r="AB57" s="3"/>
      <c r="AC57" s="3"/>
      <c r="AD57" s="3"/>
      <c r="AE57" s="3"/>
    </row>
    <row r="58" spans="1:31">
      <c r="A58" s="222"/>
      <c r="O58" s="222"/>
      <c r="P58" s="222"/>
      <c r="Q58" s="222"/>
      <c r="R58" s="222"/>
      <c r="S58" s="222"/>
      <c r="T58" s="222"/>
      <c r="U58" s="222"/>
      <c r="V58" s="222"/>
      <c r="W58" s="222"/>
      <c r="X58" s="222"/>
      <c r="Y58" s="222"/>
      <c r="Z58" s="222"/>
      <c r="AA58" s="222"/>
      <c r="AB58" s="3"/>
      <c r="AC58" s="3"/>
      <c r="AD58" s="3"/>
      <c r="AE58" s="3"/>
    </row>
    <row r="59" spans="1:31">
      <c r="A59" s="222"/>
      <c r="O59" s="222"/>
      <c r="P59" s="222"/>
      <c r="Q59" s="222"/>
      <c r="R59" s="222"/>
      <c r="S59" s="222"/>
      <c r="T59" s="222"/>
      <c r="U59" s="222"/>
      <c r="V59" s="222"/>
      <c r="W59" s="222"/>
      <c r="X59" s="222"/>
      <c r="Y59" s="222"/>
      <c r="Z59" s="222"/>
      <c r="AA59" s="222"/>
      <c r="AB59" s="3"/>
      <c r="AC59" s="3"/>
      <c r="AD59" s="3"/>
      <c r="AE59" s="3"/>
    </row>
    <row r="60" spans="1:31">
      <c r="A60" s="222"/>
      <c r="I60" s="3" t="s">
        <v>1040</v>
      </c>
      <c r="O60" s="222"/>
      <c r="P60" s="222"/>
      <c r="Q60" s="222"/>
      <c r="R60" s="222"/>
      <c r="S60" s="222"/>
      <c r="T60" s="222"/>
      <c r="U60" s="222"/>
      <c r="V60" s="222"/>
      <c r="W60" s="222"/>
      <c r="X60" s="222"/>
      <c r="Y60" s="222"/>
      <c r="Z60" s="222"/>
      <c r="AA60" s="222"/>
      <c r="AB60" s="3"/>
      <c r="AC60" s="3"/>
      <c r="AD60" s="3"/>
      <c r="AE60" s="3"/>
    </row>
    <row r="61" spans="1:31">
      <c r="A61" s="222"/>
      <c r="S61" s="222"/>
      <c r="T61" s="222"/>
      <c r="U61" s="222"/>
      <c r="V61" s="222"/>
      <c r="W61" s="222"/>
      <c r="X61" s="222"/>
      <c r="Y61" s="222"/>
      <c r="Z61" s="222"/>
      <c r="AA61" s="222"/>
      <c r="AB61" s="222"/>
      <c r="AC61" s="222"/>
      <c r="AD61" s="222"/>
      <c r="AE61" s="222"/>
    </row>
    <row r="62" spans="1:31">
      <c r="A62" s="222"/>
      <c r="S62" s="222"/>
      <c r="T62" s="222"/>
      <c r="U62" s="222"/>
      <c r="V62" s="222"/>
      <c r="W62" s="222"/>
      <c r="X62" s="222"/>
      <c r="Y62" s="222"/>
      <c r="Z62" s="222"/>
      <c r="AA62" s="222"/>
      <c r="AB62" s="222"/>
      <c r="AC62" s="222"/>
      <c r="AD62" s="222"/>
      <c r="AE62" s="222"/>
    </row>
    <row r="63" spans="1:31">
      <c r="A63" s="222"/>
      <c r="S63" s="222"/>
      <c r="T63" s="222"/>
      <c r="U63" s="222"/>
      <c r="V63" s="222"/>
      <c r="W63" s="222"/>
      <c r="X63" s="222"/>
      <c r="Y63" s="222"/>
      <c r="Z63" s="222"/>
      <c r="AA63" s="222"/>
      <c r="AB63" s="222"/>
      <c r="AC63" s="222"/>
      <c r="AD63" s="222"/>
      <c r="AE63" s="222"/>
    </row>
    <row r="64" spans="1:31">
      <c r="A64" s="222"/>
      <c r="S64" s="222"/>
      <c r="T64" s="222"/>
      <c r="U64" s="222"/>
      <c r="V64" s="222"/>
      <c r="W64" s="222"/>
      <c r="X64" s="222"/>
      <c r="Y64" s="222"/>
      <c r="Z64" s="222"/>
      <c r="AA64" s="222"/>
      <c r="AB64" s="222"/>
      <c r="AC64" s="222"/>
      <c r="AD64" s="222"/>
      <c r="AE64" s="222"/>
    </row>
    <row r="65" spans="1:31">
      <c r="A65" s="222"/>
      <c r="S65" s="222"/>
      <c r="T65" s="222"/>
      <c r="U65" s="222"/>
      <c r="V65" s="222"/>
      <c r="W65" s="222"/>
      <c r="X65" s="222"/>
      <c r="Y65" s="222"/>
      <c r="Z65" s="222"/>
      <c r="AA65" s="222"/>
      <c r="AB65" s="222"/>
      <c r="AC65" s="222"/>
      <c r="AD65" s="222"/>
      <c r="AE65" s="222"/>
    </row>
    <row r="66" spans="1:31">
      <c r="A66" s="222"/>
      <c r="S66" s="222"/>
      <c r="T66" s="222"/>
      <c r="U66" s="222"/>
      <c r="V66" s="222"/>
      <c r="W66" s="222"/>
      <c r="X66" s="222"/>
      <c r="Y66" s="222"/>
      <c r="Z66" s="222"/>
      <c r="AA66" s="222"/>
      <c r="AB66" s="222"/>
      <c r="AC66" s="222"/>
      <c r="AD66" s="222"/>
      <c r="AE66" s="222"/>
    </row>
    <row r="67" spans="1:31">
      <c r="A67" s="222"/>
      <c r="S67" s="222"/>
      <c r="T67" s="222"/>
      <c r="U67" s="222"/>
      <c r="V67" s="222"/>
      <c r="W67" s="222"/>
      <c r="X67" s="222"/>
      <c r="Y67" s="222"/>
      <c r="Z67" s="222"/>
      <c r="AA67" s="222"/>
      <c r="AB67" s="222"/>
      <c r="AC67" s="222"/>
      <c r="AD67" s="222"/>
      <c r="AE67" s="222"/>
    </row>
    <row r="68" spans="1:31">
      <c r="A68" s="222"/>
      <c r="S68" s="222"/>
      <c r="T68" s="222"/>
      <c r="U68" s="222"/>
      <c r="V68" s="222"/>
      <c r="W68" s="222"/>
      <c r="X68" s="222"/>
      <c r="Y68" s="222"/>
      <c r="Z68" s="222"/>
      <c r="AA68" s="222"/>
      <c r="AB68" s="222"/>
      <c r="AC68" s="222"/>
      <c r="AD68" s="222"/>
      <c r="AE68" s="222"/>
    </row>
    <row r="69" spans="1:31">
      <c r="A69" s="222"/>
      <c r="S69" s="222"/>
      <c r="T69" s="222"/>
      <c r="U69" s="222"/>
      <c r="V69" s="222"/>
      <c r="W69" s="222"/>
      <c r="X69" s="222"/>
      <c r="Y69" s="222"/>
      <c r="Z69" s="222"/>
      <c r="AA69" s="222"/>
      <c r="AB69" s="222"/>
      <c r="AC69" s="222"/>
      <c r="AD69" s="222"/>
      <c r="AE69" s="222"/>
    </row>
    <row r="70" spans="1:31">
      <c r="A70" s="222"/>
      <c r="S70" s="222"/>
      <c r="T70" s="222"/>
      <c r="U70" s="222"/>
      <c r="V70" s="222"/>
      <c r="W70" s="222"/>
      <c r="X70" s="222"/>
      <c r="Y70" s="222"/>
      <c r="Z70" s="222"/>
      <c r="AA70" s="222"/>
      <c r="AB70" s="222"/>
      <c r="AC70" s="222"/>
      <c r="AD70" s="222"/>
      <c r="AE70" s="222"/>
    </row>
  </sheetData>
  <mergeCells count="3">
    <mergeCell ref="B5:D5"/>
    <mergeCell ref="B8:D8"/>
    <mergeCell ref="N15:T15"/>
  </mergeCells>
  <pageMargins left="0.7" right="0.7" top="0.75" bottom="0.75" header="0.3" footer="0.3"/>
  <headerFooter>
    <oddFooter>&amp;C_x000D_&amp;1#&amp;"Calibri"&amp;10&amp;K000000 Vertrouwelijk/Confidential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CC"/>
  </sheetPr>
  <dimension ref="A2:AN849"/>
  <sheetViews>
    <sheetView showGridLines="0" zoomScale="85" zoomScaleNormal="85" workbookViewId="0">
      <pane xSplit="4" ySplit="10" topLeftCell="R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52.85546875" style="3" customWidth="1"/>
    <col min="3" max="3" width="2.5703125" style="3" customWidth="1"/>
    <col min="4" max="4" width="15.42578125" style="3" customWidth="1"/>
    <col min="5" max="5" width="2.5703125" style="3" customWidth="1"/>
    <col min="6" max="6" width="32.140625" style="3" bestFit="1" customWidth="1"/>
    <col min="7" max="7" width="29" style="3" bestFit="1" customWidth="1"/>
    <col min="8" max="12" width="18.140625" style="3" customWidth="1"/>
    <col min="13" max="13" width="19" style="3" customWidth="1"/>
    <col min="14" max="14" width="25.42578125" style="3" customWidth="1"/>
    <col min="15" max="15" width="16" style="3" customWidth="1"/>
    <col min="16" max="27" width="12.5703125" style="3" customWidth="1"/>
    <col min="28" max="28" width="17.42578125" style="3" bestFit="1" customWidth="1"/>
    <col min="29" max="30" width="12.5703125" style="3" customWidth="1"/>
    <col min="31" max="31" width="18.5703125" style="3" bestFit="1" customWidth="1"/>
    <col min="32" max="52" width="12.5703125" style="3" customWidth="1"/>
    <col min="53" max="16384" width="9.140625" style="3"/>
  </cols>
  <sheetData>
    <row r="2" spans="2:37" s="12" customFormat="1" ht="18">
      <c r="B2" s="12" t="s">
        <v>1041</v>
      </c>
    </row>
    <row r="4" spans="2:37">
      <c r="B4" s="16" t="s">
        <v>868</v>
      </c>
      <c r="C4" s="2"/>
    </row>
    <row r="5" spans="2:37" ht="30.75" customHeight="1">
      <c r="B5" s="346" t="s">
        <v>1042</v>
      </c>
      <c r="C5" s="346"/>
      <c r="D5" s="346"/>
      <c r="F5" s="13"/>
    </row>
    <row r="6" spans="2:37">
      <c r="B6" s="4"/>
    </row>
    <row r="7" spans="2:37">
      <c r="B7" s="17" t="s">
        <v>153</v>
      </c>
    </row>
    <row r="8" spans="2:37" ht="37.5" customHeight="1">
      <c r="B8" s="346" t="s">
        <v>1043</v>
      </c>
      <c r="C8" s="346"/>
      <c r="D8" s="346"/>
    </row>
    <row r="9" spans="2:37">
      <c r="AJ9" s="26"/>
      <c r="AK9" s="324"/>
    </row>
    <row r="10" spans="2:37" s="8" customFormat="1">
      <c r="B10" s="8" t="s">
        <v>157</v>
      </c>
      <c r="P10" s="46"/>
      <c r="Q10" s="46"/>
      <c r="S10" s="8" t="s">
        <v>202</v>
      </c>
    </row>
    <row r="12" spans="2:37" s="8" customFormat="1">
      <c r="B12" s="8" t="s">
        <v>872</v>
      </c>
      <c r="D12" s="8" t="s">
        <v>199</v>
      </c>
      <c r="F12" s="8" t="s">
        <v>200</v>
      </c>
      <c r="G12" s="8">
        <v>2020</v>
      </c>
      <c r="H12" s="8">
        <v>2021</v>
      </c>
      <c r="I12" s="8">
        <v>2022</v>
      </c>
      <c r="J12" s="8">
        <v>2023</v>
      </c>
      <c r="K12" s="8">
        <v>2024</v>
      </c>
      <c r="L12" s="8">
        <v>2025</v>
      </c>
      <c r="M12" s="8">
        <v>2026</v>
      </c>
    </row>
    <row r="13" spans="2:37">
      <c r="P13" s="89"/>
    </row>
    <row r="14" spans="2:37">
      <c r="B14" s="16" t="s">
        <v>211</v>
      </c>
    </row>
    <row r="15" spans="2:37">
      <c r="B15" s="148" t="s">
        <v>213</v>
      </c>
      <c r="D15" s="3" t="s">
        <v>204</v>
      </c>
      <c r="G15" s="140">
        <f>'2. Parameters'!K22</f>
        <v>3.3000000000000002E-2</v>
      </c>
      <c r="H15" s="140">
        <f>'2. Parameters'!L22</f>
        <v>0.03</v>
      </c>
      <c r="I15" s="10"/>
      <c r="J15" s="10"/>
      <c r="K15" s="10"/>
      <c r="L15" s="10"/>
      <c r="M15" s="10"/>
    </row>
    <row r="16" spans="2:37">
      <c r="B16" s="148" t="s">
        <v>873</v>
      </c>
      <c r="D16" s="3" t="s">
        <v>204</v>
      </c>
      <c r="G16" s="10"/>
      <c r="H16" s="10"/>
      <c r="I16" s="140">
        <f>'2. Parameters'!M24</f>
        <v>3.4000000000000002E-2</v>
      </c>
      <c r="J16" s="140">
        <f>'2. Parameters'!N24</f>
        <v>3.3000000000000002E-2</v>
      </c>
      <c r="K16" s="140">
        <f>'2. Parameters'!O24</f>
        <v>3.7999999999999999E-2</v>
      </c>
      <c r="L16" s="140">
        <f>'2. Parameters'!P24</f>
        <v>3.7999999999999999E-2</v>
      </c>
      <c r="M16" s="140">
        <f>'2. Parameters'!Q24</f>
        <v>3.7999999999999999E-2</v>
      </c>
    </row>
    <row r="17" spans="1:20">
      <c r="B17" s="148"/>
    </row>
    <row r="18" spans="1:20">
      <c r="B18" s="2" t="s">
        <v>247</v>
      </c>
    </row>
    <row r="19" spans="1:20">
      <c r="B19" s="3" t="s">
        <v>247</v>
      </c>
      <c r="D19" s="3" t="s">
        <v>204</v>
      </c>
      <c r="F19" s="55">
        <f>'2. Parameters'!F84</f>
        <v>1</v>
      </c>
      <c r="T19" s="3" t="s">
        <v>119</v>
      </c>
    </row>
    <row r="20" spans="1:20">
      <c r="F20" s="26"/>
    </row>
    <row r="21" spans="1:20">
      <c r="B21" s="2" t="s">
        <v>248</v>
      </c>
      <c r="F21" s="26"/>
    </row>
    <row r="22" spans="1:20">
      <c r="B22" s="3" t="s">
        <v>248</v>
      </c>
      <c r="D22" s="3" t="s">
        <v>204</v>
      </c>
      <c r="F22" s="174">
        <f>'2. Parameters'!F88</f>
        <v>1.3</v>
      </c>
      <c r="T22" s="3" t="s">
        <v>119</v>
      </c>
    </row>
    <row r="23" spans="1:20">
      <c r="F23" s="173"/>
    </row>
    <row r="24" spans="1:20">
      <c r="B24" s="2" t="s">
        <v>249</v>
      </c>
      <c r="F24" s="173"/>
    </row>
    <row r="25" spans="1:20">
      <c r="B25" s="3" t="s">
        <v>249</v>
      </c>
      <c r="D25" s="3" t="s">
        <v>204</v>
      </c>
      <c r="F25" s="78">
        <f>'2. Parameters'!F92</f>
        <v>0.1</v>
      </c>
      <c r="T25" s="3" t="s">
        <v>119</v>
      </c>
    </row>
    <row r="26" spans="1:20">
      <c r="B26" s="16"/>
    </row>
    <row r="27" spans="1:20">
      <c r="B27" s="2" t="s">
        <v>222</v>
      </c>
    </row>
    <row r="28" spans="1:20">
      <c r="B28" s="3" t="s">
        <v>222</v>
      </c>
      <c r="D28" s="3" t="s">
        <v>204</v>
      </c>
      <c r="F28" s="175">
        <f>'2. Parameters'!F32</f>
        <v>0.01</v>
      </c>
    </row>
    <row r="29" spans="1:20" s="90" customFormat="1">
      <c r="A29" s="3"/>
      <c r="F29" s="106"/>
    </row>
    <row r="30" spans="1:20">
      <c r="B30" s="16" t="s">
        <v>242</v>
      </c>
    </row>
    <row r="31" spans="1:20">
      <c r="B31" s="28" t="s">
        <v>230</v>
      </c>
      <c r="D31" s="3" t="s">
        <v>246</v>
      </c>
      <c r="G31" s="32">
        <f>'2. Parameters'!K74</f>
        <v>1</v>
      </c>
      <c r="H31" s="32">
        <f>'2. Parameters'!L74</f>
        <v>1.02</v>
      </c>
      <c r="I31" s="32">
        <f>'2. Parameters'!M74</f>
        <v>1.0404</v>
      </c>
      <c r="J31" s="32">
        <f>'2. Parameters'!N74</f>
        <v>1.0612079999999999</v>
      </c>
      <c r="K31" s="32">
        <f>'2. Parameters'!O74</f>
        <v>1.10365632</v>
      </c>
      <c r="L31" s="32">
        <f>'2. Parameters'!P74</f>
        <v>1.1809122624000001</v>
      </c>
      <c r="M31" s="32">
        <f>'2. Parameters'!Q74</f>
        <v>1.2399578755200003</v>
      </c>
    </row>
    <row r="32" spans="1:20">
      <c r="B32" s="28" t="s">
        <v>231</v>
      </c>
      <c r="D32" s="3" t="s">
        <v>246</v>
      </c>
      <c r="G32" s="10"/>
      <c r="H32" s="32">
        <f>'2. Parameters'!L75</f>
        <v>1</v>
      </c>
      <c r="I32" s="32">
        <f>'2. Parameters'!M75</f>
        <v>1.02</v>
      </c>
      <c r="J32" s="32">
        <f>'2. Parameters'!N75</f>
        <v>1.0404</v>
      </c>
      <c r="K32" s="32">
        <f>'2. Parameters'!O75</f>
        <v>1.0820160000000001</v>
      </c>
      <c r="L32" s="32">
        <f>'2. Parameters'!P75</f>
        <v>1.1577571200000001</v>
      </c>
      <c r="M32" s="32">
        <f>'2. Parameters'!Q75</f>
        <v>1.2156449760000001</v>
      </c>
    </row>
    <row r="33" spans="2:13">
      <c r="B33" s="28" t="s">
        <v>232</v>
      </c>
      <c r="D33" s="3" t="s">
        <v>246</v>
      </c>
      <c r="G33" s="10"/>
      <c r="H33" s="10"/>
      <c r="I33" s="32">
        <f>'2. Parameters'!M76</f>
        <v>1</v>
      </c>
      <c r="J33" s="32">
        <f>'2. Parameters'!N76</f>
        <v>1.02</v>
      </c>
      <c r="K33" s="32">
        <f>'2. Parameters'!O76</f>
        <v>1.0608</v>
      </c>
      <c r="L33" s="32">
        <f>'2. Parameters'!P76</f>
        <v>1.1350560000000001</v>
      </c>
      <c r="M33" s="32">
        <f>'2. Parameters'!Q76</f>
        <v>1.1918088000000002</v>
      </c>
    </row>
    <row r="34" spans="2:13">
      <c r="B34" s="28" t="s">
        <v>233</v>
      </c>
      <c r="D34" s="3" t="s">
        <v>246</v>
      </c>
      <c r="G34" s="10"/>
      <c r="H34" s="10"/>
      <c r="I34" s="10"/>
      <c r="J34" s="32">
        <f>'2. Parameters'!N77</f>
        <v>1</v>
      </c>
      <c r="K34" s="32">
        <f>'2. Parameters'!O77</f>
        <v>1.04</v>
      </c>
      <c r="L34" s="32">
        <f>'2. Parameters'!P77</f>
        <v>1.1128</v>
      </c>
      <c r="M34" s="32">
        <f>'2. Parameters'!Q77</f>
        <v>1.1684400000000001</v>
      </c>
    </row>
    <row r="35" spans="2:13">
      <c r="B35" s="28" t="s">
        <v>234</v>
      </c>
      <c r="D35" s="3" t="s">
        <v>246</v>
      </c>
      <c r="G35" s="10"/>
      <c r="H35" s="10"/>
      <c r="I35" s="10"/>
      <c r="J35" s="10"/>
      <c r="K35" s="32">
        <f>'2. Parameters'!O78</f>
        <v>1</v>
      </c>
      <c r="L35" s="32">
        <f>'2. Parameters'!P78</f>
        <v>1.07</v>
      </c>
      <c r="M35" s="32">
        <f>'2. Parameters'!Q78</f>
        <v>1.1235000000000002</v>
      </c>
    </row>
    <row r="36" spans="2:13">
      <c r="B36" s="28" t="s">
        <v>235</v>
      </c>
      <c r="D36" s="3" t="s">
        <v>246</v>
      </c>
      <c r="G36" s="10"/>
      <c r="H36" s="10"/>
      <c r="I36" s="10"/>
      <c r="J36" s="10"/>
      <c r="K36" s="10"/>
      <c r="L36" s="32">
        <f>'2. Parameters'!P79</f>
        <v>1</v>
      </c>
      <c r="M36" s="32">
        <f>'2. Parameters'!Q79</f>
        <v>1.05</v>
      </c>
    </row>
    <row r="37" spans="2:13">
      <c r="B37" s="28" t="s">
        <v>236</v>
      </c>
      <c r="D37" s="3" t="s">
        <v>246</v>
      </c>
      <c r="G37" s="10"/>
      <c r="H37" s="10"/>
      <c r="I37" s="10"/>
      <c r="J37" s="10"/>
      <c r="K37" s="10"/>
      <c r="L37" s="10"/>
      <c r="M37" s="32">
        <f>'2. Parameters'!Q80</f>
        <v>1</v>
      </c>
    </row>
    <row r="38" spans="2:13">
      <c r="B38" s="28"/>
      <c r="M38" s="290"/>
    </row>
    <row r="39" spans="2:13">
      <c r="B39" s="16" t="s">
        <v>225</v>
      </c>
      <c r="M39" s="290"/>
    </row>
    <row r="40" spans="2:13">
      <c r="B40" s="28" t="s">
        <v>230</v>
      </c>
      <c r="D40" s="3" t="s">
        <v>227</v>
      </c>
      <c r="G40" s="54">
        <f>'2. Parameters'!K43</f>
        <v>1</v>
      </c>
      <c r="H40" s="54">
        <f>'2. Parameters'!L43</f>
        <v>1.016</v>
      </c>
      <c r="I40" s="54">
        <f>'2. Parameters'!M43</f>
        <v>1.0342880000000001</v>
      </c>
      <c r="J40" s="54">
        <f>'2. Parameters'!N43</f>
        <v>1.0984138560000001</v>
      </c>
      <c r="K40" s="54">
        <f>'2. Parameters'!O43</f>
        <v>1.1862869644800003</v>
      </c>
      <c r="L40" s="54">
        <f>'2. Parameters'!P43</f>
        <v>1.2195029994854403</v>
      </c>
      <c r="M40" s="54">
        <f>'2. Parameters'!Q43</f>
        <v>1.2402345504766927</v>
      </c>
    </row>
    <row r="41" spans="2:13">
      <c r="B41" s="28" t="s">
        <v>231</v>
      </c>
      <c r="D41" s="3" t="s">
        <v>227</v>
      </c>
      <c r="G41" s="118"/>
      <c r="H41" s="54">
        <f>'2. Parameters'!L44</f>
        <v>1</v>
      </c>
      <c r="I41" s="54">
        <f>'2. Parameters'!M44</f>
        <v>1.018</v>
      </c>
      <c r="J41" s="54">
        <f>'2. Parameters'!N44</f>
        <v>1.081116</v>
      </c>
      <c r="K41" s="54">
        <f>'2. Parameters'!O44</f>
        <v>1.1676052800000001</v>
      </c>
      <c r="L41" s="54">
        <f>'2. Parameters'!P44</f>
        <v>1.2002982278400001</v>
      </c>
      <c r="M41" s="54">
        <f>'2. Parameters'!Q44</f>
        <v>1.2207032977132799</v>
      </c>
    </row>
    <row r="42" spans="2:13">
      <c r="B42" s="28" t="s">
        <v>232</v>
      </c>
      <c r="D42" s="3" t="s">
        <v>227</v>
      </c>
      <c r="G42" s="118"/>
      <c r="H42" s="118"/>
      <c r="I42" s="54">
        <f>'2. Parameters'!M45</f>
        <v>1</v>
      </c>
      <c r="J42" s="54">
        <f>'2. Parameters'!N45</f>
        <v>1.0620000000000001</v>
      </c>
      <c r="K42" s="54">
        <f>'2. Parameters'!O45</f>
        <v>1.1469600000000002</v>
      </c>
      <c r="L42" s="54">
        <f>'2. Parameters'!P45</f>
        <v>1.1790748800000002</v>
      </c>
      <c r="M42" s="54">
        <f>'2. Parameters'!Q45</f>
        <v>1.19911915296</v>
      </c>
    </row>
    <row r="43" spans="2:13">
      <c r="B43" s="28" t="s">
        <v>233</v>
      </c>
      <c r="D43" s="3" t="s">
        <v>227</v>
      </c>
      <c r="G43" s="118"/>
      <c r="H43" s="118"/>
      <c r="I43" s="118"/>
      <c r="J43" s="54">
        <f>'2. Parameters'!N46</f>
        <v>1</v>
      </c>
      <c r="K43" s="54">
        <f>'2. Parameters'!O46</f>
        <v>1.08</v>
      </c>
      <c r="L43" s="54">
        <f>'2. Parameters'!P46</f>
        <v>1.1102400000000001</v>
      </c>
      <c r="M43" s="54">
        <f>'2. Parameters'!Q46</f>
        <v>1.1291140799999999</v>
      </c>
    </row>
    <row r="44" spans="2:13">
      <c r="B44" s="28" t="s">
        <v>234</v>
      </c>
      <c r="D44" s="3" t="s">
        <v>227</v>
      </c>
      <c r="G44" s="118"/>
      <c r="H44" s="118"/>
      <c r="I44" s="118"/>
      <c r="J44" s="118"/>
      <c r="K44" s="54">
        <f>'2. Parameters'!O47</f>
        <v>1</v>
      </c>
      <c r="L44" s="54">
        <f>'2. Parameters'!P47</f>
        <v>1.028</v>
      </c>
      <c r="M44" s="54">
        <f>'2. Parameters'!Q47</f>
        <v>1.0454759999999998</v>
      </c>
    </row>
    <row r="45" spans="2:13">
      <c r="B45" s="28" t="s">
        <v>235</v>
      </c>
      <c r="D45" s="3" t="s">
        <v>227</v>
      </c>
      <c r="G45" s="118"/>
      <c r="H45" s="118"/>
      <c r="I45" s="118"/>
      <c r="J45" s="118"/>
      <c r="K45" s="118"/>
      <c r="L45" s="54">
        <f>'2. Parameters'!P48</f>
        <v>1</v>
      </c>
      <c r="M45" s="54">
        <f>'2. Parameters'!Q48</f>
        <v>1.0169999999999999</v>
      </c>
    </row>
    <row r="46" spans="2:13">
      <c r="B46" s="28" t="s">
        <v>236</v>
      </c>
      <c r="D46" s="3" t="s">
        <v>227</v>
      </c>
      <c r="G46" s="118"/>
      <c r="H46" s="118"/>
      <c r="I46" s="118"/>
      <c r="J46" s="118"/>
      <c r="K46" s="118"/>
      <c r="L46" s="118"/>
      <c r="M46" s="54">
        <f>'2. Parameters'!Q49</f>
        <v>1</v>
      </c>
    </row>
    <row r="47" spans="2:13">
      <c r="B47" s="28"/>
      <c r="M47" s="290"/>
    </row>
    <row r="48" spans="2:13">
      <c r="B48" s="16" t="s">
        <v>237</v>
      </c>
      <c r="M48" s="290"/>
    </row>
    <row r="49" spans="2:13">
      <c r="B49" s="28" t="s">
        <v>230</v>
      </c>
      <c r="D49" s="3" t="s">
        <v>241</v>
      </c>
      <c r="G49" s="54">
        <f>'2. Parameters'!K60</f>
        <v>1</v>
      </c>
      <c r="H49" s="54">
        <f>'2. Parameters'!L60</f>
        <v>0.999</v>
      </c>
      <c r="I49" s="54">
        <f>'2. Parameters'!M60</f>
        <v>0.995004</v>
      </c>
      <c r="J49" s="54">
        <f>'2. Parameters'!N60</f>
        <v>0.99102398400000002</v>
      </c>
      <c r="K49" s="54">
        <f>'2. Parameters'!O60</f>
        <v>0.98705988806400002</v>
      </c>
      <c r="L49" s="54">
        <f>'2. Parameters'!P60</f>
        <v>0.98311164851174404</v>
      </c>
      <c r="M49" s="54">
        <f>'2. Parameters'!Q60</f>
        <v>0.97917920191769703</v>
      </c>
    </row>
    <row r="50" spans="2:13">
      <c r="B50" s="28" t="s">
        <v>231</v>
      </c>
      <c r="D50" s="3" t="s">
        <v>241</v>
      </c>
      <c r="G50" s="118"/>
      <c r="H50" s="54">
        <f>'2. Parameters'!L61</f>
        <v>1</v>
      </c>
      <c r="I50" s="54">
        <f>'2. Parameters'!M61</f>
        <v>0.996</v>
      </c>
      <c r="J50" s="54">
        <f>'2. Parameters'!N61</f>
        <v>0.99201600000000001</v>
      </c>
      <c r="K50" s="54">
        <f>'2. Parameters'!O61</f>
        <v>0.98804793599999996</v>
      </c>
      <c r="L50" s="54">
        <f>'2. Parameters'!P61</f>
        <v>0.98409574425599999</v>
      </c>
      <c r="M50" s="54">
        <f>'2. Parameters'!Q61</f>
        <v>0.98015936127897596</v>
      </c>
    </row>
    <row r="51" spans="2:13">
      <c r="B51" s="28" t="s">
        <v>232</v>
      </c>
      <c r="D51" s="3" t="s">
        <v>241</v>
      </c>
      <c r="G51" s="118"/>
      <c r="H51" s="118"/>
      <c r="I51" s="54">
        <f>'2. Parameters'!M62</f>
        <v>1</v>
      </c>
      <c r="J51" s="54">
        <f>'2. Parameters'!N62</f>
        <v>0.996</v>
      </c>
      <c r="K51" s="54">
        <f>'2. Parameters'!O62</f>
        <v>0.99201600000000001</v>
      </c>
      <c r="L51" s="54">
        <f>'2. Parameters'!P62</f>
        <v>0.98804793599999996</v>
      </c>
      <c r="M51" s="54">
        <f>'2. Parameters'!Q62</f>
        <v>0.98409574425599999</v>
      </c>
    </row>
    <row r="52" spans="2:13">
      <c r="B52" s="28" t="s">
        <v>233</v>
      </c>
      <c r="D52" s="3" t="s">
        <v>241</v>
      </c>
      <c r="G52" s="118"/>
      <c r="H52" s="118"/>
      <c r="I52" s="118"/>
      <c r="J52" s="54">
        <f>'2. Parameters'!N63</f>
        <v>1</v>
      </c>
      <c r="K52" s="54">
        <f>'2. Parameters'!O63</f>
        <v>0.996</v>
      </c>
      <c r="L52" s="54">
        <f>'2. Parameters'!P63</f>
        <v>0.99201600000000001</v>
      </c>
      <c r="M52" s="54">
        <f>'2. Parameters'!Q63</f>
        <v>0.98804793599999996</v>
      </c>
    </row>
    <row r="53" spans="2:13">
      <c r="B53" s="28" t="s">
        <v>234</v>
      </c>
      <c r="D53" s="3" t="s">
        <v>241</v>
      </c>
      <c r="G53" s="118"/>
      <c r="H53" s="118"/>
      <c r="I53" s="118"/>
      <c r="J53" s="118"/>
      <c r="K53" s="54">
        <f>'2. Parameters'!O64</f>
        <v>1</v>
      </c>
      <c r="L53" s="54">
        <f>'2. Parameters'!P64</f>
        <v>0.996</v>
      </c>
      <c r="M53" s="54">
        <f>'2. Parameters'!Q64</f>
        <v>0.99201600000000001</v>
      </c>
    </row>
    <row r="54" spans="2:13">
      <c r="B54" s="28" t="s">
        <v>235</v>
      </c>
      <c r="D54" s="3" t="s">
        <v>241</v>
      </c>
      <c r="G54" s="118"/>
      <c r="H54" s="118"/>
      <c r="I54" s="118"/>
      <c r="J54" s="118"/>
      <c r="K54" s="118"/>
      <c r="L54" s="54">
        <f>'2. Parameters'!P65</f>
        <v>1</v>
      </c>
      <c r="M54" s="54">
        <f>'2. Parameters'!Q65</f>
        <v>0.996</v>
      </c>
    </row>
    <row r="55" spans="2:13">
      <c r="B55" s="28" t="s">
        <v>236</v>
      </c>
      <c r="D55" s="3" t="s">
        <v>241</v>
      </c>
      <c r="G55" s="118"/>
      <c r="H55" s="118"/>
      <c r="I55" s="118"/>
      <c r="J55" s="118"/>
      <c r="K55" s="118"/>
      <c r="L55" s="118"/>
      <c r="M55" s="54">
        <f>'2. Parameters'!Q66</f>
        <v>1</v>
      </c>
    </row>
    <row r="57" spans="2:13" s="8" customFormat="1">
      <c r="B57" s="8" t="s">
        <v>1044</v>
      </c>
      <c r="F57" s="8" t="s">
        <v>301</v>
      </c>
      <c r="G57" s="8" t="s">
        <v>553</v>
      </c>
      <c r="H57" s="8" t="s">
        <v>554</v>
      </c>
      <c r="I57" s="8" t="s">
        <v>555</v>
      </c>
      <c r="J57" s="8" t="s">
        <v>302</v>
      </c>
      <c r="K57" s="8" t="s">
        <v>1045</v>
      </c>
      <c r="L57" s="8" t="s">
        <v>556</v>
      </c>
      <c r="M57" s="8" t="s">
        <v>1046</v>
      </c>
    </row>
    <row r="59" spans="2:13">
      <c r="B59" s="37" t="str">
        <f>'8. Input IC huur Gasunie'!B12</f>
        <v>Asset 1</v>
      </c>
      <c r="F59" s="37" t="str">
        <f>'8. Input IC huur Gasunie'!F12</f>
        <v>05 Wegen en terreinvoorzieningen</v>
      </c>
      <c r="G59" s="37">
        <f>'8. Input IC huur Gasunie'!G12</f>
        <v>1971</v>
      </c>
      <c r="H59" s="42">
        <f>'8. Input IC huur Gasunie'!H12</f>
        <v>47083.78</v>
      </c>
      <c r="I59" s="37">
        <f>'8. Input IC huur Gasunie'!I12</f>
        <v>2021</v>
      </c>
      <c r="J59" s="42">
        <f>_xlfn.XLOOKUP(F59,'3. Input (des)investeringen '!$B$11:$B$81,'3. Input (des)investeringen '!$D$11:$D$81)</f>
        <v>10</v>
      </c>
      <c r="K59" s="42">
        <f>_xlfn.XLOOKUP(F59,'3. Input (des)investeringen '!$B$11:$B$81,'3. Input (des)investeringen '!$E$11:$E$81)</f>
        <v>0</v>
      </c>
      <c r="L59" s="42">
        <f>'8. Input IC huur Gasunie'!J12</f>
        <v>0</v>
      </c>
      <c r="M59" s="42">
        <f>'8. Input IC huur Gasunie'!K12</f>
        <v>38383584.379999995</v>
      </c>
    </row>
    <row r="60" spans="2:13">
      <c r="B60" s="37" t="str">
        <f>'8. Input IC huur Gasunie'!B13</f>
        <v>Asset 2</v>
      </c>
      <c r="F60" s="37" t="str">
        <f>'8. Input IC huur Gasunie'!F13</f>
        <v>06 Utiliteitsgebouwen</v>
      </c>
      <c r="G60" s="37">
        <f>'8. Input IC huur Gasunie'!G13</f>
        <v>1961</v>
      </c>
      <c r="H60" s="42">
        <f>'8. Input IC huur Gasunie'!H13</f>
        <v>50334.43</v>
      </c>
      <c r="I60" s="37">
        <f>'8. Input IC huur Gasunie'!I13</f>
        <v>2021</v>
      </c>
      <c r="J60" s="42">
        <f>_xlfn.XLOOKUP(F60,'3. Input (des)investeringen '!$B$11:$B$81,'3. Input (des)investeringen '!$D$11:$D$81)</f>
        <v>30</v>
      </c>
      <c r="K60" s="42">
        <f>_xlfn.XLOOKUP(F60,'3. Input (des)investeringen '!$B$11:$B$81,'3. Input (des)investeringen '!$E$11:$E$81)</f>
        <v>0</v>
      </c>
      <c r="L60" s="42">
        <f>'8. Input IC huur Gasunie'!J13</f>
        <v>0</v>
      </c>
      <c r="M60" s="42">
        <f>'8. Input IC huur Gasunie'!K13</f>
        <v>0</v>
      </c>
    </row>
    <row r="61" spans="2:13">
      <c r="B61" s="37" t="str">
        <f>'8. Input IC huur Gasunie'!B14</f>
        <v>Asset 3</v>
      </c>
      <c r="F61" s="37" t="str">
        <f>'8. Input IC huur Gasunie'!F14</f>
        <v>06 Utiliteitsgebouwen</v>
      </c>
      <c r="G61" s="37">
        <f>'8. Input IC huur Gasunie'!G14</f>
        <v>1972</v>
      </c>
      <c r="H61" s="42">
        <f>'8. Input IC huur Gasunie'!H14</f>
        <v>2621.49</v>
      </c>
      <c r="I61" s="37">
        <f>'8. Input IC huur Gasunie'!I14</f>
        <v>2021</v>
      </c>
      <c r="J61" s="42">
        <f>_xlfn.XLOOKUP(F61,'3. Input (des)investeringen '!$B$11:$B$81,'3. Input (des)investeringen '!$D$11:$D$81)</f>
        <v>30</v>
      </c>
      <c r="K61" s="42">
        <f>_xlfn.XLOOKUP(F61,'3. Input (des)investeringen '!$B$11:$B$81,'3. Input (des)investeringen '!$E$11:$E$81)</f>
        <v>0</v>
      </c>
      <c r="L61" s="42">
        <f>'8. Input IC huur Gasunie'!J14</f>
        <v>0</v>
      </c>
      <c r="M61" s="42">
        <f>'8. Input IC huur Gasunie'!K14</f>
        <v>0</v>
      </c>
    </row>
    <row r="62" spans="2:13">
      <c r="B62" s="37" t="str">
        <f>'8. Input IC huur Gasunie'!B15</f>
        <v>Asset 4</v>
      </c>
      <c r="F62" s="37" t="str">
        <f>'8. Input IC huur Gasunie'!F15</f>
        <v>08 Inrichting gebouwen</v>
      </c>
      <c r="G62" s="37">
        <f>'8. Input IC huur Gasunie'!G15</f>
        <v>1997</v>
      </c>
      <c r="H62" s="42">
        <f>'8. Input IC huur Gasunie'!H15</f>
        <v>151227.48000000004</v>
      </c>
      <c r="I62" s="37">
        <f>'8. Input IC huur Gasunie'!I15</f>
        <v>2021</v>
      </c>
      <c r="J62" s="42">
        <f>_xlfn.XLOOKUP(F62,'3. Input (des)investeringen '!$B$11:$B$81,'3. Input (des)investeringen '!$D$11:$D$81)</f>
        <v>10</v>
      </c>
      <c r="K62" s="42">
        <f>_xlfn.XLOOKUP(F62,'3. Input (des)investeringen '!$B$11:$B$81,'3. Input (des)investeringen '!$E$11:$E$81)</f>
        <v>0</v>
      </c>
      <c r="L62" s="42">
        <f>'8. Input IC huur Gasunie'!J15</f>
        <v>0</v>
      </c>
      <c r="M62" s="42">
        <f>'8. Input IC huur Gasunie'!K15</f>
        <v>0</v>
      </c>
    </row>
    <row r="63" spans="2:13">
      <c r="B63" s="37" t="str">
        <f>'8. Input IC huur Gasunie'!B16</f>
        <v>Asset 5</v>
      </c>
      <c r="F63" s="37" t="str">
        <f>'8. Input IC huur Gasunie'!F16</f>
        <v>11 Werktuigen</v>
      </c>
      <c r="G63" s="37">
        <f>'8. Input IC huur Gasunie'!G16</f>
        <v>2009</v>
      </c>
      <c r="H63" s="42">
        <f>'8. Input IC huur Gasunie'!H16</f>
        <v>1313895.18</v>
      </c>
      <c r="I63" s="37">
        <f>'8. Input IC huur Gasunie'!I16</f>
        <v>2021</v>
      </c>
      <c r="J63" s="42">
        <f>_xlfn.XLOOKUP(F63,'3. Input (des)investeringen '!$B$11:$B$81,'3. Input (des)investeringen '!$D$11:$D$81)</f>
        <v>10</v>
      </c>
      <c r="K63" s="42">
        <f>_xlfn.XLOOKUP(F63,'3. Input (des)investeringen '!$B$11:$B$81,'3. Input (des)investeringen '!$E$11:$E$81)</f>
        <v>1</v>
      </c>
      <c r="L63" s="42">
        <f>'8. Input IC huur Gasunie'!J16</f>
        <v>0</v>
      </c>
      <c r="M63" s="42">
        <f>'8. Input IC huur Gasunie'!K16</f>
        <v>0</v>
      </c>
    </row>
    <row r="64" spans="2:13">
      <c r="B64" s="37" t="str">
        <f>'8. Input IC huur Gasunie'!B17</f>
        <v>Asset 6</v>
      </c>
      <c r="F64" s="37" t="str">
        <f>'8. Input IC huur Gasunie'!F17</f>
        <v>37 ICT middelen 1</v>
      </c>
      <c r="G64" s="37">
        <f>'8. Input IC huur Gasunie'!G17</f>
        <v>2009</v>
      </c>
      <c r="H64" s="42">
        <f>'8. Input IC huur Gasunie'!H17</f>
        <v>3658553.4539964925</v>
      </c>
      <c r="I64" s="37">
        <f>'8. Input IC huur Gasunie'!I17</f>
        <v>2021</v>
      </c>
      <c r="J64" s="42">
        <f>_xlfn.XLOOKUP(F64,'3. Input (des)investeringen '!$B$11:$B$81,'3. Input (des)investeringen '!$D$11:$D$81)</f>
        <v>5</v>
      </c>
      <c r="K64" s="42">
        <f>_xlfn.XLOOKUP(F64,'3. Input (des)investeringen '!$B$11:$B$81,'3. Input (des)investeringen '!$E$11:$E$81)</f>
        <v>1</v>
      </c>
      <c r="L64" s="42">
        <f>'8. Input IC huur Gasunie'!J17</f>
        <v>0</v>
      </c>
      <c r="M64" s="42">
        <f>'8. Input IC huur Gasunie'!K17</f>
        <v>114985168</v>
      </c>
    </row>
    <row r="65" spans="2:13">
      <c r="B65" s="37" t="str">
        <f>'8. Input IC huur Gasunie'!B18</f>
        <v>Asset 7</v>
      </c>
      <c r="F65" s="37" t="str">
        <f>'8. Input IC huur Gasunie'!F18</f>
        <v>37 ICT middelen 1</v>
      </c>
      <c r="G65" s="37">
        <f>'8. Input IC huur Gasunie'!G18</f>
        <v>2010</v>
      </c>
      <c r="H65" s="42">
        <f>'8. Input IC huur Gasunie'!H18</f>
        <v>17379179.522018339</v>
      </c>
      <c r="I65" s="37">
        <f>'8. Input IC huur Gasunie'!I18</f>
        <v>2021</v>
      </c>
      <c r="J65" s="42">
        <f>_xlfn.XLOOKUP(F65,'3. Input (des)investeringen '!$B$11:$B$81,'3. Input (des)investeringen '!$D$11:$D$81)</f>
        <v>5</v>
      </c>
      <c r="K65" s="42">
        <f>_xlfn.XLOOKUP(F65,'3. Input (des)investeringen '!$B$11:$B$81,'3. Input (des)investeringen '!$E$11:$E$81)</f>
        <v>1</v>
      </c>
      <c r="L65" s="42">
        <f>'8. Input IC huur Gasunie'!J18</f>
        <v>0</v>
      </c>
      <c r="M65" s="42">
        <f>'8. Input IC huur Gasunie'!K18</f>
        <v>0</v>
      </c>
    </row>
    <row r="66" spans="2:13">
      <c r="B66" s="37" t="str">
        <f>'8. Input IC huur Gasunie'!B19</f>
        <v>Asset 8</v>
      </c>
      <c r="F66" s="37" t="str">
        <f>'8. Input IC huur Gasunie'!F19</f>
        <v>10 Gereedschap</v>
      </c>
      <c r="G66" s="37">
        <f>'8. Input IC huur Gasunie'!G19</f>
        <v>2010</v>
      </c>
      <c r="H66" s="42">
        <f>'8. Input IC huur Gasunie'!H19</f>
        <v>2369604.1752097155</v>
      </c>
      <c r="I66" s="37">
        <f>'8. Input IC huur Gasunie'!I19</f>
        <v>2021</v>
      </c>
      <c r="J66" s="42">
        <f>_xlfn.XLOOKUP(F66,'3. Input (des)investeringen '!$B$11:$B$81,'3. Input (des)investeringen '!$D$11:$D$81)</f>
        <v>10</v>
      </c>
      <c r="K66" s="42">
        <f>_xlfn.XLOOKUP(F66,'3. Input (des)investeringen '!$B$11:$B$81,'3. Input (des)investeringen '!$E$11:$E$81)</f>
        <v>1</v>
      </c>
      <c r="L66" s="42">
        <f>'8. Input IC huur Gasunie'!J19</f>
        <v>0</v>
      </c>
      <c r="M66" s="42">
        <f>'8. Input IC huur Gasunie'!K19</f>
        <v>0</v>
      </c>
    </row>
    <row r="67" spans="2:13">
      <c r="B67" s="37" t="str">
        <f>'8. Input IC huur Gasunie'!B20</f>
        <v>Asset 9</v>
      </c>
      <c r="F67" s="37" t="str">
        <f>'8. Input IC huur Gasunie'!F20</f>
        <v>37 ICT middelen 1 (transparency)</v>
      </c>
      <c r="G67" s="37">
        <f>'8. Input IC huur Gasunie'!G20</f>
        <v>2010</v>
      </c>
      <c r="H67" s="42">
        <f>'8. Input IC huur Gasunie'!H20</f>
        <v>137063.35897796138</v>
      </c>
      <c r="I67" s="37">
        <f>'8. Input IC huur Gasunie'!I20</f>
        <v>2021</v>
      </c>
      <c r="J67" s="42">
        <f>_xlfn.XLOOKUP(F67,'3. Input (des)investeringen '!$B$11:$B$81,'3. Input (des)investeringen '!$D$11:$D$81)</f>
        <v>5</v>
      </c>
      <c r="K67" s="42">
        <f>_xlfn.XLOOKUP(F67,'3. Input (des)investeringen '!$B$11:$B$81,'3. Input (des)investeringen '!$E$11:$E$81)</f>
        <v>0</v>
      </c>
      <c r="L67" s="42">
        <f>'8. Input IC huur Gasunie'!J20</f>
        <v>0</v>
      </c>
      <c r="M67" s="42">
        <f>'8. Input IC huur Gasunie'!K20</f>
        <v>0</v>
      </c>
    </row>
    <row r="68" spans="2:13">
      <c r="B68" s="37" t="str">
        <f>'8. Input IC huur Gasunie'!B21</f>
        <v>Asset 10</v>
      </c>
      <c r="F68" s="37" t="str">
        <f>'8. Input IC huur Gasunie'!F21</f>
        <v>11 Werktuigen (gaschromatografen en comptabele meters)</v>
      </c>
      <c r="G68" s="37">
        <f>'8. Input IC huur Gasunie'!G21</f>
        <v>2011</v>
      </c>
      <c r="H68" s="42">
        <f>'8. Input IC huur Gasunie'!H21</f>
        <v>852201.48356837523</v>
      </c>
      <c r="I68" s="37">
        <f>'8. Input IC huur Gasunie'!I21</f>
        <v>2021</v>
      </c>
      <c r="J68" s="42">
        <f>_xlfn.XLOOKUP(F68,'3. Input (des)investeringen '!$B$11:$B$81,'3. Input (des)investeringen '!$D$11:$D$81)</f>
        <v>10</v>
      </c>
      <c r="K68" s="42">
        <f>_xlfn.XLOOKUP(F68,'3. Input (des)investeringen '!$B$11:$B$81,'3. Input (des)investeringen '!$E$11:$E$81)</f>
        <v>0</v>
      </c>
      <c r="L68" s="42">
        <f>'8. Input IC huur Gasunie'!J21</f>
        <v>0</v>
      </c>
      <c r="M68" s="42">
        <f>'8. Input IC huur Gasunie'!K21</f>
        <v>0</v>
      </c>
    </row>
    <row r="69" spans="2:13">
      <c r="B69" s="37" t="str">
        <f>'8. Input IC huur Gasunie'!B22</f>
        <v>Asset 11</v>
      </c>
      <c r="F69" s="37" t="str">
        <f>'8. Input IC huur Gasunie'!F22</f>
        <v>20 Kantoorgebouwen</v>
      </c>
      <c r="G69" s="37">
        <f>'8. Input IC huur Gasunie'!G22</f>
        <v>2011</v>
      </c>
      <c r="H69" s="42">
        <f>'8. Input IC huur Gasunie'!H22</f>
        <v>3100554.2541983742</v>
      </c>
      <c r="I69" s="37">
        <f>'8. Input IC huur Gasunie'!I22</f>
        <v>2021</v>
      </c>
      <c r="J69" s="42">
        <f>_xlfn.XLOOKUP(F69,'3. Input (des)investeringen '!$B$11:$B$81,'3. Input (des)investeringen '!$D$11:$D$81)</f>
        <v>30</v>
      </c>
      <c r="K69" s="42">
        <f>_xlfn.XLOOKUP(F69,'3. Input (des)investeringen '!$B$11:$B$81,'3. Input (des)investeringen '!$E$11:$E$81)</f>
        <v>0</v>
      </c>
      <c r="L69" s="42">
        <f>'8. Input IC huur Gasunie'!J22</f>
        <v>2372891.9585730941</v>
      </c>
      <c r="M69" s="42">
        <f>'8. Input IC huur Gasunie'!K22</f>
        <v>56326732</v>
      </c>
    </row>
    <row r="70" spans="2:13">
      <c r="B70" s="37" t="str">
        <f>'8. Input IC huur Gasunie'!B23</f>
        <v>Asset 12</v>
      </c>
      <c r="F70" s="37" t="str">
        <f>'8. Input IC huur Gasunie'!F23</f>
        <v>37 ICT middelen 1</v>
      </c>
      <c r="G70" s="37">
        <f>'8. Input IC huur Gasunie'!G23</f>
        <v>2011</v>
      </c>
      <c r="H70" s="42">
        <f>'8. Input IC huur Gasunie'!H23</f>
        <v>30115806.268534236</v>
      </c>
      <c r="I70" s="37">
        <f>'8. Input IC huur Gasunie'!I23</f>
        <v>2021</v>
      </c>
      <c r="J70" s="42">
        <f>_xlfn.XLOOKUP(F70,'3. Input (des)investeringen '!$B$11:$B$81,'3. Input (des)investeringen '!$D$11:$D$81)</f>
        <v>5</v>
      </c>
      <c r="K70" s="42">
        <f>_xlfn.XLOOKUP(F70,'3. Input (des)investeringen '!$B$11:$B$81,'3. Input (des)investeringen '!$E$11:$E$81)</f>
        <v>1</v>
      </c>
      <c r="L70" s="42">
        <f>'8. Input IC huur Gasunie'!J23</f>
        <v>0</v>
      </c>
      <c r="M70" s="42">
        <f>'8. Input IC huur Gasunie'!K23</f>
        <v>0</v>
      </c>
    </row>
    <row r="71" spans="2:13">
      <c r="B71" s="37" t="str">
        <f>'8. Input IC huur Gasunie'!B24</f>
        <v>Asset 13</v>
      </c>
      <c r="F71" s="37" t="str">
        <f>'8. Input IC huur Gasunie'!F24</f>
        <v>06 Utiliteitsgebouwen</v>
      </c>
      <c r="G71" s="37">
        <f>'8. Input IC huur Gasunie'!G24</f>
        <v>2011</v>
      </c>
      <c r="H71" s="42">
        <f>'8. Input IC huur Gasunie'!H24</f>
        <v>2437521.6070272112</v>
      </c>
      <c r="I71" s="37">
        <f>'8. Input IC huur Gasunie'!I24</f>
        <v>2021</v>
      </c>
      <c r="J71" s="42">
        <f>_xlfn.XLOOKUP(F71,'3. Input (des)investeringen '!$B$11:$B$81,'3. Input (des)investeringen '!$D$11:$D$81)</f>
        <v>30</v>
      </c>
      <c r="K71" s="42">
        <f>_xlfn.XLOOKUP(F71,'3. Input (des)investeringen '!$B$11:$B$81,'3. Input (des)investeringen '!$E$11:$E$81)</f>
        <v>0</v>
      </c>
      <c r="L71" s="42">
        <f>'8. Input IC huur Gasunie'!J24</f>
        <v>1865464.9930189459</v>
      </c>
      <c r="M71" s="42">
        <f>'8. Input IC huur Gasunie'!K24</f>
        <v>0</v>
      </c>
    </row>
    <row r="72" spans="2:13">
      <c r="B72" s="37" t="str">
        <f>'8. Input IC huur Gasunie'!B25</f>
        <v>Asset 14</v>
      </c>
      <c r="F72" s="37" t="str">
        <f>'8. Input IC huur Gasunie'!F25</f>
        <v>10 Gereedschap</v>
      </c>
      <c r="G72" s="37">
        <f>'8. Input IC huur Gasunie'!G25</f>
        <v>2011</v>
      </c>
      <c r="H72" s="42">
        <f>'8. Input IC huur Gasunie'!H25</f>
        <v>322323.48030063207</v>
      </c>
      <c r="I72" s="37">
        <f>'8. Input IC huur Gasunie'!I25</f>
        <v>2021</v>
      </c>
      <c r="J72" s="42">
        <f>_xlfn.XLOOKUP(F72,'3. Input (des)investeringen '!$B$11:$B$81,'3. Input (des)investeringen '!$D$11:$D$81)</f>
        <v>10</v>
      </c>
      <c r="K72" s="42">
        <f>_xlfn.XLOOKUP(F72,'3. Input (des)investeringen '!$B$11:$B$81,'3. Input (des)investeringen '!$E$11:$E$81)</f>
        <v>1</v>
      </c>
      <c r="L72" s="42">
        <f>'8. Input IC huur Gasunie'!J25</f>
        <v>0</v>
      </c>
      <c r="M72" s="42">
        <f>'8. Input IC huur Gasunie'!K25</f>
        <v>0</v>
      </c>
    </row>
    <row r="73" spans="2:13">
      <c r="B73" s="37" t="str">
        <f>'8. Input IC huur Gasunie'!B26</f>
        <v>Asset 15</v>
      </c>
      <c r="F73" s="37" t="str">
        <f>'8. Input IC huur Gasunie'!F26</f>
        <v>14 Overig rollend materieel</v>
      </c>
      <c r="G73" s="37">
        <f>'8. Input IC huur Gasunie'!G26</f>
        <v>2011</v>
      </c>
      <c r="H73" s="42">
        <f>'8. Input IC huur Gasunie'!H26</f>
        <v>4126005.7948834877</v>
      </c>
      <c r="I73" s="37">
        <f>'8. Input IC huur Gasunie'!I26</f>
        <v>2021</v>
      </c>
      <c r="J73" s="42">
        <f>_xlfn.XLOOKUP(F73,'3. Input (des)investeringen '!$B$11:$B$81,'3. Input (des)investeringen '!$D$11:$D$81)</f>
        <v>10</v>
      </c>
      <c r="K73" s="42">
        <f>_xlfn.XLOOKUP(F73,'3. Input (des)investeringen '!$B$11:$B$81,'3. Input (des)investeringen '!$E$11:$E$81)</f>
        <v>1</v>
      </c>
      <c r="L73" s="42">
        <f>'8. Input IC huur Gasunie'!J26</f>
        <v>0</v>
      </c>
      <c r="M73" s="42">
        <f>'8. Input IC huur Gasunie'!K26</f>
        <v>0</v>
      </c>
    </row>
    <row r="74" spans="2:13">
      <c r="B74" s="37" t="str">
        <f>'8. Input IC huur Gasunie'!B27</f>
        <v>Asset 16</v>
      </c>
      <c r="F74" s="37" t="str">
        <f>'8. Input IC huur Gasunie'!F27</f>
        <v>37 ICT middelen 1</v>
      </c>
      <c r="G74" s="37">
        <f>'8. Input IC huur Gasunie'!G27</f>
        <v>2012</v>
      </c>
      <c r="H74" s="42">
        <f>'8. Input IC huur Gasunie'!H27</f>
        <v>22695798.709637098</v>
      </c>
      <c r="I74" s="37">
        <f>'8. Input IC huur Gasunie'!I27</f>
        <v>2021</v>
      </c>
      <c r="J74" s="42">
        <f>_xlfn.XLOOKUP(F74,'3. Input (des)investeringen '!$B$11:$B$81,'3. Input (des)investeringen '!$D$11:$D$81)</f>
        <v>5</v>
      </c>
      <c r="K74" s="42">
        <f>_xlfn.XLOOKUP(F74,'3. Input (des)investeringen '!$B$11:$B$81,'3. Input (des)investeringen '!$E$11:$E$81)</f>
        <v>1</v>
      </c>
      <c r="L74" s="42">
        <f>'8. Input IC huur Gasunie'!J27</f>
        <v>0</v>
      </c>
      <c r="M74" s="42">
        <f>'8. Input IC huur Gasunie'!K27</f>
        <v>0</v>
      </c>
    </row>
    <row r="75" spans="2:13">
      <c r="B75" s="37" t="str">
        <f>'8. Input IC huur Gasunie'!B28</f>
        <v>Asset 17</v>
      </c>
      <c r="F75" s="37" t="str">
        <f>'8. Input IC huur Gasunie'!F28</f>
        <v>37 ICT middelen 1</v>
      </c>
      <c r="G75" s="37">
        <f>'8. Input IC huur Gasunie'!G28</f>
        <v>2013</v>
      </c>
      <c r="H75" s="42">
        <f>'8. Input IC huur Gasunie'!H28</f>
        <v>18719949.80436749</v>
      </c>
      <c r="I75" s="37">
        <f>'8. Input IC huur Gasunie'!I28</f>
        <v>2021</v>
      </c>
      <c r="J75" s="42">
        <f>_xlfn.XLOOKUP(F75,'3. Input (des)investeringen '!$B$11:$B$81,'3. Input (des)investeringen '!$D$11:$D$81)</f>
        <v>5</v>
      </c>
      <c r="K75" s="42">
        <f>_xlfn.XLOOKUP(F75,'3. Input (des)investeringen '!$B$11:$B$81,'3. Input (des)investeringen '!$E$11:$E$81)</f>
        <v>1</v>
      </c>
      <c r="L75" s="42">
        <f>'8. Input IC huur Gasunie'!J28</f>
        <v>0</v>
      </c>
      <c r="M75" s="42">
        <f>'8. Input IC huur Gasunie'!K28</f>
        <v>0</v>
      </c>
    </row>
    <row r="76" spans="2:13">
      <c r="B76" s="37" t="str">
        <f>'8. Input IC huur Gasunie'!B29</f>
        <v>Asset 18</v>
      </c>
      <c r="F76" s="37" t="str">
        <f>'8. Input IC huur Gasunie'!F29</f>
        <v>14 Overig rollend materieel</v>
      </c>
      <c r="G76" s="37">
        <f>'8. Input IC huur Gasunie'!G29</f>
        <v>2013</v>
      </c>
      <c r="H76" s="42">
        <f>'8. Input IC huur Gasunie'!H29</f>
        <v>14233.766853302437</v>
      </c>
      <c r="I76" s="37">
        <f>'8. Input IC huur Gasunie'!I29</f>
        <v>2021</v>
      </c>
      <c r="J76" s="42">
        <f>_xlfn.XLOOKUP(F76,'3. Input (des)investeringen '!$B$11:$B$81,'3. Input (des)investeringen '!$D$11:$D$81)</f>
        <v>10</v>
      </c>
      <c r="K76" s="42">
        <f>_xlfn.XLOOKUP(F76,'3. Input (des)investeringen '!$B$11:$B$81,'3. Input (des)investeringen '!$E$11:$E$81)</f>
        <v>1</v>
      </c>
      <c r="L76" s="42">
        <f>'8. Input IC huur Gasunie'!J29</f>
        <v>2395.0433871794298</v>
      </c>
      <c r="M76" s="42">
        <f>'8. Input IC huur Gasunie'!K29</f>
        <v>0</v>
      </c>
    </row>
    <row r="77" spans="2:13">
      <c r="B77" s="37" t="str">
        <f>'8. Input IC huur Gasunie'!B30</f>
        <v>Asset 19</v>
      </c>
      <c r="F77" s="37" t="str">
        <f>'8. Input IC huur Gasunie'!F30</f>
        <v>10 Gereedschap</v>
      </c>
      <c r="G77" s="37">
        <f>'8. Input IC huur Gasunie'!G30</f>
        <v>2013</v>
      </c>
      <c r="H77" s="42">
        <f>'8. Input IC huur Gasunie'!H30</f>
        <v>717715.3058753697</v>
      </c>
      <c r="I77" s="37">
        <f>'8. Input IC huur Gasunie'!I30</f>
        <v>2021</v>
      </c>
      <c r="J77" s="42">
        <f>_xlfn.XLOOKUP(F77,'3. Input (des)investeringen '!$B$11:$B$81,'3. Input (des)investeringen '!$D$11:$D$81)</f>
        <v>10</v>
      </c>
      <c r="K77" s="42">
        <f>_xlfn.XLOOKUP(F77,'3. Input (des)investeringen '!$B$11:$B$81,'3. Input (des)investeringen '!$E$11:$E$81)</f>
        <v>1</v>
      </c>
      <c r="L77" s="42">
        <f>'8. Input IC huur Gasunie'!J30</f>
        <v>120766.29573396736</v>
      </c>
      <c r="M77" s="42">
        <f>'8. Input IC huur Gasunie'!K30</f>
        <v>0</v>
      </c>
    </row>
    <row r="78" spans="2:13">
      <c r="B78" s="37" t="str">
        <f>'8. Input IC huur Gasunie'!B31</f>
        <v>Asset 20</v>
      </c>
      <c r="F78" s="37" t="str">
        <f>'8. Input IC huur Gasunie'!F31</f>
        <v>37 ICT middelen 1</v>
      </c>
      <c r="G78" s="37">
        <f>'8. Input IC huur Gasunie'!G31</f>
        <v>2014</v>
      </c>
      <c r="H78" s="42">
        <f>'8. Input IC huur Gasunie'!H31</f>
        <v>29278944.009914741</v>
      </c>
      <c r="I78" s="37">
        <f>'8. Input IC huur Gasunie'!I31</f>
        <v>2021</v>
      </c>
      <c r="J78" s="42">
        <f>_xlfn.XLOOKUP(F78,'3. Input (des)investeringen '!$B$11:$B$81,'3. Input (des)investeringen '!$D$11:$D$81)</f>
        <v>5</v>
      </c>
      <c r="K78" s="42">
        <f>_xlfn.XLOOKUP(F78,'3. Input (des)investeringen '!$B$11:$B$81,'3. Input (des)investeringen '!$E$11:$E$81)</f>
        <v>1</v>
      </c>
      <c r="L78" s="42">
        <f>'8. Input IC huur Gasunie'!J31</f>
        <v>0</v>
      </c>
      <c r="M78" s="42">
        <f>'8. Input IC huur Gasunie'!K31</f>
        <v>0</v>
      </c>
    </row>
    <row r="79" spans="2:13">
      <c r="B79" s="37" t="str">
        <f>'8. Input IC huur Gasunie'!B32</f>
        <v>Asset 21</v>
      </c>
      <c r="F79" s="37" t="str">
        <f>'8. Input IC huur Gasunie'!F32</f>
        <v>38 ICT middelen 2</v>
      </c>
      <c r="G79" s="37">
        <f>'8. Input IC huur Gasunie'!G32</f>
        <v>2014</v>
      </c>
      <c r="H79" s="42">
        <f>'8. Input IC huur Gasunie'!H32</f>
        <v>149619.99545874962</v>
      </c>
      <c r="I79" s="37">
        <f>'8. Input IC huur Gasunie'!I32</f>
        <v>2021</v>
      </c>
      <c r="J79" s="42">
        <f>_xlfn.XLOOKUP(F79,'3. Input (des)investeringen '!$B$11:$B$81,'3. Input (des)investeringen '!$D$11:$D$81)</f>
        <v>10</v>
      </c>
      <c r="K79" s="42">
        <f>_xlfn.XLOOKUP(F79,'3. Input (des)investeringen '!$B$11:$B$81,'3. Input (des)investeringen '!$E$11:$E$81)</f>
        <v>1</v>
      </c>
      <c r="L79" s="42">
        <f>'8. Input IC huur Gasunie'!J32</f>
        <v>40816.786477904512</v>
      </c>
      <c r="M79" s="42">
        <f>'8. Input IC huur Gasunie'!K32</f>
        <v>0</v>
      </c>
    </row>
    <row r="80" spans="2:13">
      <c r="B80" s="37" t="str">
        <f>'8. Input IC huur Gasunie'!B33</f>
        <v>Asset 22</v>
      </c>
      <c r="F80" s="37" t="str">
        <f>'8. Input IC huur Gasunie'!F33</f>
        <v>37 ICT middelen 1 (transparency)</v>
      </c>
      <c r="G80" s="37">
        <f>'8. Input IC huur Gasunie'!G33</f>
        <v>2014</v>
      </c>
      <c r="H80" s="42">
        <f>'8. Input IC huur Gasunie'!H33</f>
        <v>180341</v>
      </c>
      <c r="I80" s="37">
        <f>'8. Input IC huur Gasunie'!I33</f>
        <v>2021</v>
      </c>
      <c r="J80" s="42">
        <f>_xlfn.XLOOKUP(F80,'3. Input (des)investeringen '!$B$11:$B$81,'3. Input (des)investeringen '!$D$11:$D$81)</f>
        <v>5</v>
      </c>
      <c r="K80" s="42">
        <f>_xlfn.XLOOKUP(F80,'3. Input (des)investeringen '!$B$11:$B$81,'3. Input (des)investeringen '!$E$11:$E$81)</f>
        <v>0</v>
      </c>
      <c r="L80" s="42">
        <f>'8. Input IC huur Gasunie'!J33</f>
        <v>0</v>
      </c>
      <c r="M80" s="42">
        <f>'8. Input IC huur Gasunie'!K33</f>
        <v>0</v>
      </c>
    </row>
    <row r="81" spans="2:13">
      <c r="B81" s="37" t="str">
        <f>'8. Input IC huur Gasunie'!B34</f>
        <v>Asset 23</v>
      </c>
      <c r="F81" s="37" t="str">
        <f>'8. Input IC huur Gasunie'!F34</f>
        <v>37 ICT middelen 1</v>
      </c>
      <c r="G81" s="37">
        <f>'8. Input IC huur Gasunie'!G34</f>
        <v>2015</v>
      </c>
      <c r="H81" s="42">
        <f>'8. Input IC huur Gasunie'!H34</f>
        <v>16219637.049707994</v>
      </c>
      <c r="I81" s="37">
        <f>'8. Input IC huur Gasunie'!I34</f>
        <v>2021</v>
      </c>
      <c r="J81" s="42">
        <f>_xlfn.XLOOKUP(F81,'3. Input (des)investeringen '!$B$11:$B$81,'3. Input (des)investeringen '!$D$11:$D$81)</f>
        <v>5</v>
      </c>
      <c r="K81" s="42">
        <f>_xlfn.XLOOKUP(F81,'3. Input (des)investeringen '!$B$11:$B$81,'3. Input (des)investeringen '!$E$11:$E$81)</f>
        <v>1</v>
      </c>
      <c r="L81" s="42">
        <f>'8. Input IC huur Gasunie'!J34</f>
        <v>0</v>
      </c>
      <c r="M81" s="42">
        <f>'8. Input IC huur Gasunie'!K34</f>
        <v>0</v>
      </c>
    </row>
    <row r="82" spans="2:13">
      <c r="B82" s="37" t="str">
        <f>'8. Input IC huur Gasunie'!B35</f>
        <v>Asset 24</v>
      </c>
      <c r="F82" s="37" t="str">
        <f>'8. Input IC huur Gasunie'!F35</f>
        <v>14 Overig rollend materieel</v>
      </c>
      <c r="G82" s="37">
        <f>'8. Input IC huur Gasunie'!G35</f>
        <v>2015</v>
      </c>
      <c r="H82" s="42">
        <f>'8. Input IC huur Gasunie'!H35</f>
        <v>9111235.8707030155</v>
      </c>
      <c r="I82" s="37">
        <f>'8. Input IC huur Gasunie'!I35</f>
        <v>2021</v>
      </c>
      <c r="J82" s="42">
        <f>_xlfn.XLOOKUP(F82,'3. Input (des)investeringen '!$B$11:$B$81,'3. Input (des)investeringen '!$D$11:$D$81)</f>
        <v>10</v>
      </c>
      <c r="K82" s="42">
        <f>_xlfn.XLOOKUP(F82,'3. Input (des)investeringen '!$B$11:$B$81,'3. Input (des)investeringen '!$E$11:$E$81)</f>
        <v>1</v>
      </c>
      <c r="L82" s="42">
        <f>'8. Input IC huur Gasunie'!J35</f>
        <v>3445348.23215965</v>
      </c>
      <c r="M82" s="42">
        <f>'8. Input IC huur Gasunie'!K35</f>
        <v>0</v>
      </c>
    </row>
    <row r="83" spans="2:13">
      <c r="B83" s="37" t="str">
        <f>'8. Input IC huur Gasunie'!B36</f>
        <v>Asset 25</v>
      </c>
      <c r="F83" s="37" t="str">
        <f>'8. Input IC huur Gasunie'!F36</f>
        <v>10 Gereedschap</v>
      </c>
      <c r="G83" s="37">
        <f>'8. Input IC huur Gasunie'!G36</f>
        <v>2015</v>
      </c>
      <c r="H83" s="42">
        <f>'8. Input IC huur Gasunie'!H36</f>
        <v>1215996.3265953835</v>
      </c>
      <c r="I83" s="37">
        <f>'8. Input IC huur Gasunie'!I36</f>
        <v>2021</v>
      </c>
      <c r="J83" s="42">
        <f>_xlfn.XLOOKUP(F83,'3. Input (des)investeringen '!$B$11:$B$81,'3. Input (des)investeringen '!$D$11:$D$81)</f>
        <v>10</v>
      </c>
      <c r="K83" s="42">
        <f>_xlfn.XLOOKUP(F83,'3. Input (des)investeringen '!$B$11:$B$81,'3. Input (des)investeringen '!$E$11:$E$81)</f>
        <v>1</v>
      </c>
      <c r="L83" s="42">
        <f>'8. Input IC huur Gasunie'!J36</f>
        <v>459820.25420057232</v>
      </c>
      <c r="M83" s="42">
        <f>'8. Input IC huur Gasunie'!K36</f>
        <v>0</v>
      </c>
    </row>
    <row r="84" spans="2:13">
      <c r="B84" s="37" t="str">
        <f>'8. Input IC huur Gasunie'!B37</f>
        <v>Asset 26</v>
      </c>
      <c r="F84" s="37" t="str">
        <f>'8. Input IC huur Gasunie'!F37</f>
        <v>13 Aanhangwagens (gaschromatografen en comptabele meters)</v>
      </c>
      <c r="G84" s="37">
        <f>'8. Input IC huur Gasunie'!G37</f>
        <v>2015</v>
      </c>
      <c r="H84" s="42">
        <f>'8. Input IC huur Gasunie'!H37</f>
        <v>7968.6502792695001</v>
      </c>
      <c r="I84" s="37">
        <f>'8. Input IC huur Gasunie'!I37</f>
        <v>2021</v>
      </c>
      <c r="J84" s="42">
        <f>_xlfn.XLOOKUP(F84,'3. Input (des)investeringen '!$B$11:$B$81,'3. Input (des)investeringen '!$D$11:$D$81)</f>
        <v>10</v>
      </c>
      <c r="K84" s="42">
        <f>_xlfn.XLOOKUP(F84,'3. Input (des)investeringen '!$B$11:$B$81,'3. Input (des)investeringen '!$E$11:$E$81)</f>
        <v>0</v>
      </c>
      <c r="L84" s="42">
        <f>'8. Input IC huur Gasunie'!J37</f>
        <v>3013.2877188110033</v>
      </c>
      <c r="M84" s="42">
        <f>'8. Input IC huur Gasunie'!K37</f>
        <v>0</v>
      </c>
    </row>
    <row r="85" spans="2:13">
      <c r="B85" s="37" t="str">
        <f>'8. Input IC huur Gasunie'!B38</f>
        <v>Asset 27</v>
      </c>
      <c r="F85" s="37" t="str">
        <f>'8. Input IC huur Gasunie'!F38</f>
        <v>37 ICT middelen 1</v>
      </c>
      <c r="G85" s="37">
        <f>'8. Input IC huur Gasunie'!G38</f>
        <v>2016</v>
      </c>
      <c r="H85" s="42">
        <f>'8. Input IC huur Gasunie'!H38</f>
        <v>15289349.60564645</v>
      </c>
      <c r="I85" s="37">
        <f>'8. Input IC huur Gasunie'!I38</f>
        <v>2021</v>
      </c>
      <c r="J85" s="42">
        <f>_xlfn.XLOOKUP(F85,'3. Input (des)investeringen '!$B$11:$B$81,'3. Input (des)investeringen '!$D$11:$D$81)</f>
        <v>5</v>
      </c>
      <c r="K85" s="42">
        <f>_xlfn.XLOOKUP(F85,'3. Input (des)investeringen '!$B$11:$B$81,'3. Input (des)investeringen '!$E$11:$E$81)</f>
        <v>1</v>
      </c>
      <c r="L85" s="42">
        <f>'8. Input IC huur Gasunie'!J38</f>
        <v>0</v>
      </c>
      <c r="M85" s="42">
        <f>'8. Input IC huur Gasunie'!K38</f>
        <v>0</v>
      </c>
    </row>
    <row r="86" spans="2:13">
      <c r="B86" s="37" t="str">
        <f>'8. Input IC huur Gasunie'!B39</f>
        <v>Asset 28</v>
      </c>
      <c r="F86" s="37" t="str">
        <f>'8. Input IC huur Gasunie'!F39</f>
        <v>11 Werktuigen</v>
      </c>
      <c r="G86" s="37">
        <f>'8. Input IC huur Gasunie'!G39</f>
        <v>2016</v>
      </c>
      <c r="H86" s="42">
        <f>'8. Input IC huur Gasunie'!H39</f>
        <v>1481397.6896878041</v>
      </c>
      <c r="I86" s="37">
        <f>'8. Input IC huur Gasunie'!I39</f>
        <v>2021</v>
      </c>
      <c r="J86" s="42">
        <f>_xlfn.XLOOKUP(F86,'3. Input (des)investeringen '!$B$11:$B$81,'3. Input (des)investeringen '!$D$11:$D$81)</f>
        <v>10</v>
      </c>
      <c r="K86" s="42">
        <f>_xlfn.XLOOKUP(F86,'3. Input (des)investeringen '!$B$11:$B$81,'3. Input (des)investeringen '!$E$11:$E$81)</f>
        <v>1</v>
      </c>
      <c r="L86" s="42">
        <f>'8. Input IC huur Gasunie'!J39</f>
        <v>714515.13830443297</v>
      </c>
      <c r="M86" s="42">
        <f>'8. Input IC huur Gasunie'!K39</f>
        <v>0</v>
      </c>
    </row>
    <row r="87" spans="2:13">
      <c r="B87" s="37" t="str">
        <f>'8. Input IC huur Gasunie'!B40</f>
        <v>Asset 29</v>
      </c>
      <c r="F87" s="37" t="str">
        <f>'8. Input IC huur Gasunie'!F40</f>
        <v>14 Overig rollend materieel</v>
      </c>
      <c r="G87" s="37">
        <f>'8. Input IC huur Gasunie'!G40</f>
        <v>2016</v>
      </c>
      <c r="H87" s="42">
        <f>'8. Input IC huur Gasunie'!H40</f>
        <v>5338260.5379699524</v>
      </c>
      <c r="I87" s="37">
        <f>'8. Input IC huur Gasunie'!I40</f>
        <v>2021</v>
      </c>
      <c r="J87" s="42">
        <f>_xlfn.XLOOKUP(F87,'3. Input (des)investeringen '!$B$11:$B$81,'3. Input (des)investeringen '!$D$11:$D$81)</f>
        <v>10</v>
      </c>
      <c r="K87" s="42">
        <f>_xlfn.XLOOKUP(F87,'3. Input (des)investeringen '!$B$11:$B$81,'3. Input (des)investeringen '!$E$11:$E$81)</f>
        <v>1</v>
      </c>
      <c r="L87" s="42">
        <f>'8. Input IC huur Gasunie'!J40</f>
        <v>2574776.5054207225</v>
      </c>
      <c r="M87" s="42">
        <f>'8. Input IC huur Gasunie'!K40</f>
        <v>0</v>
      </c>
    </row>
    <row r="88" spans="2:13">
      <c r="B88" s="37" t="str">
        <f>'8. Input IC huur Gasunie'!B41</f>
        <v>Asset 30</v>
      </c>
      <c r="F88" s="37" t="str">
        <f>'8. Input IC huur Gasunie'!F41</f>
        <v>37 ICT middelen 1</v>
      </c>
      <c r="G88" s="37">
        <f>'8. Input IC huur Gasunie'!G41</f>
        <v>2017</v>
      </c>
      <c r="H88" s="42">
        <f>'8. Input IC huur Gasunie'!H41</f>
        <v>17348227.126304951</v>
      </c>
      <c r="I88" s="37">
        <f>'8. Input IC huur Gasunie'!I41</f>
        <v>2021</v>
      </c>
      <c r="J88" s="42">
        <f>_xlfn.XLOOKUP(F88,'3. Input (des)investeringen '!$B$11:$B$81,'3. Input (des)investeringen '!$D$11:$D$81)</f>
        <v>5</v>
      </c>
      <c r="K88" s="42">
        <f>_xlfn.XLOOKUP(F88,'3. Input (des)investeringen '!$B$11:$B$81,'3. Input (des)investeringen '!$E$11:$E$81)</f>
        <v>1</v>
      </c>
      <c r="L88" s="42">
        <f>'8. Input IC huur Gasunie'!J41</f>
        <v>1855729.3459505453</v>
      </c>
      <c r="M88" s="42">
        <f>'8. Input IC huur Gasunie'!K41</f>
        <v>0</v>
      </c>
    </row>
    <row r="89" spans="2:13">
      <c r="B89" s="37" t="str">
        <f>'8. Input IC huur Gasunie'!B42</f>
        <v>Asset 31</v>
      </c>
      <c r="F89" s="37" t="str">
        <f>'8. Input IC huur Gasunie'!F42</f>
        <v>05 Wegen en terreinvoorzieningen</v>
      </c>
      <c r="G89" s="37">
        <f>'8. Input IC huur Gasunie'!G42</f>
        <v>2012</v>
      </c>
      <c r="H89" s="42">
        <f>'8. Input IC huur Gasunie'!H42</f>
        <v>56189.23</v>
      </c>
      <c r="I89" s="37">
        <f>'8. Input IC huur Gasunie'!I42</f>
        <v>2021</v>
      </c>
      <c r="J89" s="42">
        <f>_xlfn.XLOOKUP(F89,'3. Input (des)investeringen '!$B$11:$B$81,'3. Input (des)investeringen '!$D$11:$D$81)</f>
        <v>10</v>
      </c>
      <c r="K89" s="42">
        <f>_xlfn.XLOOKUP(F89,'3. Input (des)investeringen '!$B$11:$B$81,'3. Input (des)investeringen '!$E$11:$E$81)</f>
        <v>0</v>
      </c>
      <c r="L89" s="42">
        <f>'8. Input IC huur Gasunie'!J42</f>
        <v>3224.0442736663617</v>
      </c>
      <c r="M89" s="42">
        <f>'8. Input IC huur Gasunie'!K42</f>
        <v>0</v>
      </c>
    </row>
    <row r="90" spans="2:13">
      <c r="B90" s="37" t="str">
        <f>'8. Input IC huur Gasunie'!B43</f>
        <v>Asset 32</v>
      </c>
      <c r="F90" s="37" t="str">
        <f>'8. Input IC huur Gasunie'!F43</f>
        <v>37 ICT middelen 1</v>
      </c>
      <c r="G90" s="37">
        <f>'8. Input IC huur Gasunie'!G43</f>
        <v>2018</v>
      </c>
      <c r="H90" s="42">
        <f>'8. Input IC huur Gasunie'!H43</f>
        <v>20811887.293785572</v>
      </c>
      <c r="I90" s="37">
        <f>'8. Input IC huur Gasunie'!I43</f>
        <v>2021</v>
      </c>
      <c r="J90" s="42">
        <f>_xlfn.XLOOKUP(F90,'3. Input (des)investeringen '!$B$11:$B$81,'3. Input (des)investeringen '!$D$11:$D$81)</f>
        <v>5</v>
      </c>
      <c r="K90" s="42">
        <f>_xlfn.XLOOKUP(F90,'3. Input (des)investeringen '!$B$11:$B$81,'3. Input (des)investeringen '!$E$11:$E$81)</f>
        <v>1</v>
      </c>
      <c r="L90" s="42">
        <f>'8. Input IC huur Gasunie'!J43</f>
        <v>6586494.0110704908</v>
      </c>
      <c r="M90" s="42">
        <f>'8. Input IC huur Gasunie'!K43</f>
        <v>0</v>
      </c>
    </row>
    <row r="91" spans="2:13">
      <c r="B91" s="37" t="str">
        <f>'8. Input IC huur Gasunie'!B44</f>
        <v>Asset 33</v>
      </c>
      <c r="F91" s="37" t="str">
        <f>'8. Input IC huur Gasunie'!F44</f>
        <v>37 ICT middelen 1</v>
      </c>
      <c r="G91" s="37">
        <f>'8. Input IC huur Gasunie'!G44</f>
        <v>2005</v>
      </c>
      <c r="H91" s="42">
        <f>'8. Input IC huur Gasunie'!H44</f>
        <v>3284081.86</v>
      </c>
      <c r="I91" s="37">
        <f>'8. Input IC huur Gasunie'!I44</f>
        <v>2021</v>
      </c>
      <c r="J91" s="42">
        <f>_xlfn.XLOOKUP(F91,'3. Input (des)investeringen '!$B$11:$B$81,'3. Input (des)investeringen '!$D$11:$D$81)</f>
        <v>5</v>
      </c>
      <c r="K91" s="42">
        <f>_xlfn.XLOOKUP(F91,'3. Input (des)investeringen '!$B$11:$B$81,'3. Input (des)investeringen '!$E$11:$E$81)</f>
        <v>1</v>
      </c>
      <c r="L91" s="42">
        <f>'8. Input IC huur Gasunie'!J44</f>
        <v>0</v>
      </c>
      <c r="M91" s="42">
        <f>'8. Input IC huur Gasunie'!K44</f>
        <v>0</v>
      </c>
    </row>
    <row r="92" spans="2:13">
      <c r="B92" s="37" t="str">
        <f>'8. Input IC huur Gasunie'!B45</f>
        <v>Asset 34</v>
      </c>
      <c r="F92" s="37" t="str">
        <f>'8. Input IC huur Gasunie'!F45</f>
        <v>14 Overig rollend materieel</v>
      </c>
      <c r="G92" s="37">
        <f>'8. Input IC huur Gasunie'!G45</f>
        <v>2005</v>
      </c>
      <c r="H92" s="42">
        <f>'8. Input IC huur Gasunie'!H45</f>
        <v>1438517.3199999998</v>
      </c>
      <c r="I92" s="37">
        <f>'8. Input IC huur Gasunie'!I45</f>
        <v>2021</v>
      </c>
      <c r="J92" s="42">
        <f>_xlfn.XLOOKUP(F92,'3. Input (des)investeringen '!$B$11:$B$81,'3. Input (des)investeringen '!$D$11:$D$81)</f>
        <v>10</v>
      </c>
      <c r="K92" s="42">
        <f>_xlfn.XLOOKUP(F92,'3. Input (des)investeringen '!$B$11:$B$81,'3. Input (des)investeringen '!$E$11:$E$81)</f>
        <v>1</v>
      </c>
      <c r="L92" s="42">
        <f>'8. Input IC huur Gasunie'!J45</f>
        <v>0</v>
      </c>
      <c r="M92" s="42">
        <f>'8. Input IC huur Gasunie'!K45</f>
        <v>0</v>
      </c>
    </row>
    <row r="93" spans="2:13">
      <c r="B93" s="37" t="str">
        <f>'8. Input IC huur Gasunie'!B46</f>
        <v>Asset 35</v>
      </c>
      <c r="F93" s="37" t="str">
        <f>'8. Input IC huur Gasunie'!F46</f>
        <v>11 Werktuigen</v>
      </c>
      <c r="G93" s="37">
        <f>'8. Input IC huur Gasunie'!G46</f>
        <v>2005</v>
      </c>
      <c r="H93" s="42">
        <f>'8. Input IC huur Gasunie'!H46</f>
        <v>499809.02999999997</v>
      </c>
      <c r="I93" s="37">
        <f>'8. Input IC huur Gasunie'!I46</f>
        <v>2021</v>
      </c>
      <c r="J93" s="42">
        <f>_xlfn.XLOOKUP(F93,'3. Input (des)investeringen '!$B$11:$B$81,'3. Input (des)investeringen '!$D$11:$D$81)</f>
        <v>10</v>
      </c>
      <c r="K93" s="42">
        <f>_xlfn.XLOOKUP(F93,'3. Input (des)investeringen '!$B$11:$B$81,'3. Input (des)investeringen '!$E$11:$E$81)</f>
        <v>1</v>
      </c>
      <c r="L93" s="42">
        <f>'8. Input IC huur Gasunie'!J46</f>
        <v>0</v>
      </c>
      <c r="M93" s="42">
        <f>'8. Input IC huur Gasunie'!K46</f>
        <v>0</v>
      </c>
    </row>
    <row r="94" spans="2:13">
      <c r="B94" s="37" t="str">
        <f>'8. Input IC huur Gasunie'!B47</f>
        <v>Asset 36</v>
      </c>
      <c r="F94" s="37" t="str">
        <f>'8. Input IC huur Gasunie'!F47</f>
        <v>14 Overig rollend materieel (odorisatie)</v>
      </c>
      <c r="G94" s="37">
        <f>'8. Input IC huur Gasunie'!G47</f>
        <v>2005</v>
      </c>
      <c r="H94" s="42">
        <f>'8. Input IC huur Gasunie'!H47</f>
        <v>245809.3</v>
      </c>
      <c r="I94" s="37">
        <f>'8. Input IC huur Gasunie'!I47</f>
        <v>2021</v>
      </c>
      <c r="J94" s="42">
        <f>_xlfn.XLOOKUP(F94,'3. Input (des)investeringen '!$B$11:$B$81,'3. Input (des)investeringen '!$D$11:$D$81)</f>
        <v>10</v>
      </c>
      <c r="K94" s="42">
        <f>_xlfn.XLOOKUP(F94,'3. Input (des)investeringen '!$B$11:$B$81,'3. Input (des)investeringen '!$E$11:$E$81)</f>
        <v>0</v>
      </c>
      <c r="L94" s="42">
        <f>'8. Input IC huur Gasunie'!J47</f>
        <v>0</v>
      </c>
      <c r="M94" s="42">
        <f>'8. Input IC huur Gasunie'!K47</f>
        <v>0</v>
      </c>
    </row>
    <row r="95" spans="2:13">
      <c r="B95" s="37" t="str">
        <f>'8. Input IC huur Gasunie'!B48</f>
        <v>Asset 37</v>
      </c>
      <c r="F95" s="37" t="str">
        <f>'8. Input IC huur Gasunie'!F48</f>
        <v>10 Gereedschap</v>
      </c>
      <c r="G95" s="37">
        <f>'8. Input IC huur Gasunie'!G48</f>
        <v>2005</v>
      </c>
      <c r="H95" s="42">
        <f>'8. Input IC huur Gasunie'!H48</f>
        <v>58217.59</v>
      </c>
      <c r="I95" s="37">
        <f>'8. Input IC huur Gasunie'!I48</f>
        <v>2021</v>
      </c>
      <c r="J95" s="42">
        <f>_xlfn.XLOOKUP(F95,'3. Input (des)investeringen '!$B$11:$B$81,'3. Input (des)investeringen '!$D$11:$D$81)</f>
        <v>10</v>
      </c>
      <c r="K95" s="42">
        <f>_xlfn.XLOOKUP(F95,'3. Input (des)investeringen '!$B$11:$B$81,'3. Input (des)investeringen '!$E$11:$E$81)</f>
        <v>1</v>
      </c>
      <c r="L95" s="42">
        <f>'8. Input IC huur Gasunie'!J48</f>
        <v>0</v>
      </c>
      <c r="M95" s="42">
        <f>'8. Input IC huur Gasunie'!K48</f>
        <v>0</v>
      </c>
    </row>
    <row r="96" spans="2:13">
      <c r="B96" s="37" t="str">
        <f>'8. Input IC huur Gasunie'!B49</f>
        <v>Asset 38</v>
      </c>
      <c r="F96" s="37" t="str">
        <f>'8. Input IC huur Gasunie'!F49</f>
        <v>37 ICT middelen 1</v>
      </c>
      <c r="G96" s="37">
        <f>'8. Input IC huur Gasunie'!G49</f>
        <v>2006</v>
      </c>
      <c r="H96" s="42">
        <f>'8. Input IC huur Gasunie'!H49</f>
        <v>4639319.7116944697</v>
      </c>
      <c r="I96" s="37">
        <f>'8. Input IC huur Gasunie'!I49</f>
        <v>2021</v>
      </c>
      <c r="J96" s="42">
        <f>_xlfn.XLOOKUP(F96,'3. Input (des)investeringen '!$B$11:$B$81,'3. Input (des)investeringen '!$D$11:$D$81)</f>
        <v>5</v>
      </c>
      <c r="K96" s="42">
        <f>_xlfn.XLOOKUP(F96,'3. Input (des)investeringen '!$B$11:$B$81,'3. Input (des)investeringen '!$E$11:$E$81)</f>
        <v>1</v>
      </c>
      <c r="L96" s="42">
        <f>'8. Input IC huur Gasunie'!J49</f>
        <v>0</v>
      </c>
      <c r="M96" s="42">
        <f>'8. Input IC huur Gasunie'!K49</f>
        <v>0</v>
      </c>
    </row>
    <row r="97" spans="2:13">
      <c r="B97" s="37" t="str">
        <f>'8. Input IC huur Gasunie'!B50</f>
        <v>Asset 39</v>
      </c>
      <c r="F97" s="37" t="str">
        <f>'8. Input IC huur Gasunie'!F50</f>
        <v>08 Inrichting gebouwen</v>
      </c>
      <c r="G97" s="37">
        <f>'8. Input IC huur Gasunie'!G50</f>
        <v>2006</v>
      </c>
      <c r="H97" s="42">
        <f>'8. Input IC huur Gasunie'!H50</f>
        <v>68586.959999999992</v>
      </c>
      <c r="I97" s="37">
        <f>'8. Input IC huur Gasunie'!I50</f>
        <v>2021</v>
      </c>
      <c r="J97" s="42">
        <f>_xlfn.XLOOKUP(F97,'3. Input (des)investeringen '!$B$11:$B$81,'3. Input (des)investeringen '!$D$11:$D$81)</f>
        <v>10</v>
      </c>
      <c r="K97" s="42">
        <f>_xlfn.XLOOKUP(F97,'3. Input (des)investeringen '!$B$11:$B$81,'3. Input (des)investeringen '!$E$11:$E$81)</f>
        <v>0</v>
      </c>
      <c r="L97" s="42">
        <f>'8. Input IC huur Gasunie'!J50</f>
        <v>0</v>
      </c>
      <c r="M97" s="42">
        <f>'8. Input IC huur Gasunie'!K50</f>
        <v>0</v>
      </c>
    </row>
    <row r="98" spans="2:13">
      <c r="B98" s="37" t="str">
        <f>'8. Input IC huur Gasunie'!B51</f>
        <v>Asset 40</v>
      </c>
      <c r="F98" s="37" t="str">
        <f>'8. Input IC huur Gasunie'!F51</f>
        <v>20 Kantoorgebouwen</v>
      </c>
      <c r="G98" s="37">
        <f>'8. Input IC huur Gasunie'!G51</f>
        <v>2006</v>
      </c>
      <c r="H98" s="42">
        <f>'8. Input IC huur Gasunie'!H51</f>
        <v>104600</v>
      </c>
      <c r="I98" s="37">
        <f>'8. Input IC huur Gasunie'!I51</f>
        <v>2021</v>
      </c>
      <c r="J98" s="42">
        <f>_xlfn.XLOOKUP(F98,'3. Input (des)investeringen '!$B$11:$B$81,'3. Input (des)investeringen '!$D$11:$D$81)</f>
        <v>30</v>
      </c>
      <c r="K98" s="42">
        <f>_xlfn.XLOOKUP(F98,'3. Input (des)investeringen '!$B$11:$B$81,'3. Input (des)investeringen '!$E$11:$E$81)</f>
        <v>0</v>
      </c>
      <c r="L98" s="42">
        <f>'8. Input IC huur Gasunie'!J51</f>
        <v>64112.024048213396</v>
      </c>
      <c r="M98" s="42">
        <f>'8. Input IC huur Gasunie'!K51</f>
        <v>0</v>
      </c>
    </row>
    <row r="99" spans="2:13">
      <c r="B99" s="37" t="str">
        <f>'8. Input IC huur Gasunie'!B52</f>
        <v>Asset 41</v>
      </c>
      <c r="F99" s="37" t="str">
        <f>'8. Input IC huur Gasunie'!F52</f>
        <v>09 Bedrijfsinventaris</v>
      </c>
      <c r="G99" s="37">
        <f>'8. Input IC huur Gasunie'!G52</f>
        <v>2006</v>
      </c>
      <c r="H99" s="42">
        <f>'8. Input IC huur Gasunie'!H52</f>
        <v>243251.93</v>
      </c>
      <c r="I99" s="37">
        <f>'8. Input IC huur Gasunie'!I52</f>
        <v>2021</v>
      </c>
      <c r="J99" s="42">
        <f>_xlfn.XLOOKUP(F99,'3. Input (des)investeringen '!$B$11:$B$81,'3. Input (des)investeringen '!$D$11:$D$81)</f>
        <v>10</v>
      </c>
      <c r="K99" s="42">
        <f>_xlfn.XLOOKUP(F99,'3. Input (des)investeringen '!$B$11:$B$81,'3. Input (des)investeringen '!$E$11:$E$81)</f>
        <v>1</v>
      </c>
      <c r="L99" s="42">
        <f>'8. Input IC huur Gasunie'!J52</f>
        <v>0</v>
      </c>
      <c r="M99" s="42">
        <f>'8. Input IC huur Gasunie'!K52</f>
        <v>0</v>
      </c>
    </row>
    <row r="100" spans="2:13">
      <c r="B100" s="37" t="str">
        <f>'8. Input IC huur Gasunie'!B53</f>
        <v>Asset 42</v>
      </c>
      <c r="F100" s="37" t="str">
        <f>'8. Input IC huur Gasunie'!F53</f>
        <v>10 Gereedschap</v>
      </c>
      <c r="G100" s="37">
        <f>'8. Input IC huur Gasunie'!G53</f>
        <v>2006</v>
      </c>
      <c r="H100" s="42">
        <f>'8. Input IC huur Gasunie'!H53</f>
        <v>585474.13</v>
      </c>
      <c r="I100" s="37">
        <f>'8. Input IC huur Gasunie'!I53</f>
        <v>2021</v>
      </c>
      <c r="J100" s="42">
        <f>_xlfn.XLOOKUP(F100,'3. Input (des)investeringen '!$B$11:$B$81,'3. Input (des)investeringen '!$D$11:$D$81)</f>
        <v>10</v>
      </c>
      <c r="K100" s="42">
        <f>_xlfn.XLOOKUP(F100,'3. Input (des)investeringen '!$B$11:$B$81,'3. Input (des)investeringen '!$E$11:$E$81)</f>
        <v>1</v>
      </c>
      <c r="L100" s="42">
        <f>'8. Input IC huur Gasunie'!J53</f>
        <v>0</v>
      </c>
      <c r="M100" s="42">
        <f>'8. Input IC huur Gasunie'!K53</f>
        <v>0</v>
      </c>
    </row>
    <row r="101" spans="2:13">
      <c r="B101" s="37" t="str">
        <f>'8. Input IC huur Gasunie'!B54</f>
        <v>Asset 43</v>
      </c>
      <c r="F101" s="37" t="str">
        <f>'8. Input IC huur Gasunie'!F54</f>
        <v>08 Inrichting gebouwen</v>
      </c>
      <c r="G101" s="37">
        <f>'8. Input IC huur Gasunie'!G54</f>
        <v>2007</v>
      </c>
      <c r="H101" s="42">
        <f>'8. Input IC huur Gasunie'!H54</f>
        <v>332079.90999999997</v>
      </c>
      <c r="I101" s="37">
        <f>'8. Input IC huur Gasunie'!I54</f>
        <v>2021</v>
      </c>
      <c r="J101" s="42">
        <f>_xlfn.XLOOKUP(F101,'3. Input (des)investeringen '!$B$11:$B$81,'3. Input (des)investeringen '!$D$11:$D$81)</f>
        <v>10</v>
      </c>
      <c r="K101" s="42">
        <f>_xlfn.XLOOKUP(F101,'3. Input (des)investeringen '!$B$11:$B$81,'3. Input (des)investeringen '!$E$11:$E$81)</f>
        <v>0</v>
      </c>
      <c r="L101" s="42">
        <f>'8. Input IC huur Gasunie'!J54</f>
        <v>0</v>
      </c>
      <c r="M101" s="42">
        <f>'8. Input IC huur Gasunie'!K54</f>
        <v>0</v>
      </c>
    </row>
    <row r="102" spans="2:13">
      <c r="B102" s="37" t="str">
        <f>'8. Input IC huur Gasunie'!B55</f>
        <v>Asset 44</v>
      </c>
      <c r="F102" s="37" t="str">
        <f>'8. Input IC huur Gasunie'!F55</f>
        <v>20 Kantoorgebouwen</v>
      </c>
      <c r="G102" s="37">
        <f>'8. Input IC huur Gasunie'!G55</f>
        <v>2007</v>
      </c>
      <c r="H102" s="42">
        <f>'8. Input IC huur Gasunie'!H55</f>
        <v>163550.16999999998</v>
      </c>
      <c r="I102" s="37">
        <f>'8. Input IC huur Gasunie'!I55</f>
        <v>2021</v>
      </c>
      <c r="J102" s="42">
        <f>_xlfn.XLOOKUP(F102,'3. Input (des)investeringen '!$B$11:$B$81,'3. Input (des)investeringen '!$D$11:$D$81)</f>
        <v>30</v>
      </c>
      <c r="K102" s="42">
        <f>_xlfn.XLOOKUP(F102,'3. Input (des)investeringen '!$B$11:$B$81,'3. Input (des)investeringen '!$E$11:$E$81)</f>
        <v>0</v>
      </c>
      <c r="L102" s="42">
        <f>'8. Input IC huur Gasunie'!J55</f>
        <v>105677.9899746046</v>
      </c>
      <c r="M102" s="42">
        <f>'8. Input IC huur Gasunie'!K55</f>
        <v>0</v>
      </c>
    </row>
    <row r="103" spans="2:13">
      <c r="B103" s="37" t="str">
        <f>'8. Input IC huur Gasunie'!B56</f>
        <v>Asset 45</v>
      </c>
      <c r="F103" s="37" t="str">
        <f>'8. Input IC huur Gasunie'!F56</f>
        <v>37 ICT middelen 1</v>
      </c>
      <c r="G103" s="37">
        <f>'8. Input IC huur Gasunie'!G56</f>
        <v>2007</v>
      </c>
      <c r="H103" s="42">
        <f>'8. Input IC huur Gasunie'!H56</f>
        <v>21517730.71653875</v>
      </c>
      <c r="I103" s="37">
        <f>'8. Input IC huur Gasunie'!I56</f>
        <v>2021</v>
      </c>
      <c r="J103" s="42">
        <f>_xlfn.XLOOKUP(F103,'3. Input (des)investeringen '!$B$11:$B$81,'3. Input (des)investeringen '!$D$11:$D$81)</f>
        <v>5</v>
      </c>
      <c r="K103" s="42">
        <f>_xlfn.XLOOKUP(F103,'3. Input (des)investeringen '!$B$11:$B$81,'3. Input (des)investeringen '!$E$11:$E$81)</f>
        <v>1</v>
      </c>
      <c r="L103" s="42">
        <f>'8. Input IC huur Gasunie'!J56</f>
        <v>0</v>
      </c>
      <c r="M103" s="42">
        <f>'8. Input IC huur Gasunie'!K56</f>
        <v>0</v>
      </c>
    </row>
    <row r="104" spans="2:13">
      <c r="B104" s="37" t="str">
        <f>'8. Input IC huur Gasunie'!B57</f>
        <v>Asset 46</v>
      </c>
      <c r="F104" s="37" t="str">
        <f>'8. Input IC huur Gasunie'!F57</f>
        <v>10 Gereedschap</v>
      </c>
      <c r="G104" s="37">
        <f>'8. Input IC huur Gasunie'!G57</f>
        <v>2007</v>
      </c>
      <c r="H104" s="42">
        <f>'8. Input IC huur Gasunie'!H57</f>
        <v>611283.49</v>
      </c>
      <c r="I104" s="37">
        <f>'8. Input IC huur Gasunie'!I57</f>
        <v>2021</v>
      </c>
      <c r="J104" s="42">
        <f>_xlfn.XLOOKUP(F104,'3. Input (des)investeringen '!$B$11:$B$81,'3. Input (des)investeringen '!$D$11:$D$81)</f>
        <v>10</v>
      </c>
      <c r="K104" s="42">
        <f>_xlfn.XLOOKUP(F104,'3. Input (des)investeringen '!$B$11:$B$81,'3. Input (des)investeringen '!$E$11:$E$81)</f>
        <v>1</v>
      </c>
      <c r="L104" s="42">
        <f>'8. Input IC huur Gasunie'!J57</f>
        <v>0</v>
      </c>
      <c r="M104" s="42">
        <f>'8. Input IC huur Gasunie'!K57</f>
        <v>0</v>
      </c>
    </row>
    <row r="105" spans="2:13">
      <c r="B105" s="37" t="str">
        <f>'8. Input IC huur Gasunie'!B58</f>
        <v>Asset 47</v>
      </c>
      <c r="F105" s="37" t="str">
        <f>'8. Input IC huur Gasunie'!F58</f>
        <v>09 Bedrijfsinventaris</v>
      </c>
      <c r="G105" s="37">
        <f>'8. Input IC huur Gasunie'!G58</f>
        <v>2007</v>
      </c>
      <c r="H105" s="42">
        <f>'8. Input IC huur Gasunie'!H58</f>
        <v>87193.72</v>
      </c>
      <c r="I105" s="37">
        <f>'8. Input IC huur Gasunie'!I58</f>
        <v>2021</v>
      </c>
      <c r="J105" s="42">
        <f>_xlfn.XLOOKUP(F105,'3. Input (des)investeringen '!$B$11:$B$81,'3. Input (des)investeringen '!$D$11:$D$81)</f>
        <v>10</v>
      </c>
      <c r="K105" s="42">
        <f>_xlfn.XLOOKUP(F105,'3. Input (des)investeringen '!$B$11:$B$81,'3. Input (des)investeringen '!$E$11:$E$81)</f>
        <v>1</v>
      </c>
      <c r="L105" s="42">
        <f>'8. Input IC huur Gasunie'!J58</f>
        <v>0</v>
      </c>
      <c r="M105" s="42">
        <f>'8. Input IC huur Gasunie'!K58</f>
        <v>0</v>
      </c>
    </row>
    <row r="106" spans="2:13">
      <c r="B106" s="37" t="str">
        <f>'8. Input IC huur Gasunie'!B59</f>
        <v>Asset 48</v>
      </c>
      <c r="F106" s="37" t="str">
        <f>'8. Input IC huur Gasunie'!F59</f>
        <v>13 Aanhangwagens</v>
      </c>
      <c r="G106" s="37">
        <f>'8. Input IC huur Gasunie'!G59</f>
        <v>2007</v>
      </c>
      <c r="H106" s="42">
        <f>'8. Input IC huur Gasunie'!H59</f>
        <v>25760.58</v>
      </c>
      <c r="I106" s="37">
        <f>'8. Input IC huur Gasunie'!I59</f>
        <v>2021</v>
      </c>
      <c r="J106" s="42">
        <f>_xlfn.XLOOKUP(F106,'3. Input (des)investeringen '!$B$11:$B$81,'3. Input (des)investeringen '!$D$11:$D$81)</f>
        <v>10</v>
      </c>
      <c r="K106" s="42">
        <f>_xlfn.XLOOKUP(F106,'3. Input (des)investeringen '!$B$11:$B$81,'3. Input (des)investeringen '!$E$11:$E$81)</f>
        <v>1</v>
      </c>
      <c r="L106" s="42">
        <f>'8. Input IC huur Gasunie'!J59</f>
        <v>0</v>
      </c>
      <c r="M106" s="42">
        <f>'8. Input IC huur Gasunie'!K59</f>
        <v>0</v>
      </c>
    </row>
    <row r="107" spans="2:13">
      <c r="B107" s="37" t="str">
        <f>'8. Input IC huur Gasunie'!B60</f>
        <v>Asset 49</v>
      </c>
      <c r="F107" s="37" t="str">
        <f>'8. Input IC huur Gasunie'!F60</f>
        <v>37 ICT middelen 1 (gaschromatografen en comptabele meting)</v>
      </c>
      <c r="G107" s="37">
        <f>'8. Input IC huur Gasunie'!G60</f>
        <v>2007</v>
      </c>
      <c r="H107" s="42">
        <f>'8. Input IC huur Gasunie'!H60</f>
        <v>140047.50693888956</v>
      </c>
      <c r="I107" s="37">
        <f>'8. Input IC huur Gasunie'!I60</f>
        <v>2021</v>
      </c>
      <c r="J107" s="42">
        <f>_xlfn.XLOOKUP(F107,'3. Input (des)investeringen '!$B$11:$B$81,'3. Input (des)investeringen '!$D$11:$D$81)</f>
        <v>5</v>
      </c>
      <c r="K107" s="42">
        <f>_xlfn.XLOOKUP(F107,'3. Input (des)investeringen '!$B$11:$B$81,'3. Input (des)investeringen '!$E$11:$E$81)</f>
        <v>0</v>
      </c>
      <c r="L107" s="42">
        <f>'8. Input IC huur Gasunie'!J60</f>
        <v>0</v>
      </c>
      <c r="M107" s="42">
        <f>'8. Input IC huur Gasunie'!K60</f>
        <v>0</v>
      </c>
    </row>
    <row r="108" spans="2:13">
      <c r="B108" s="37" t="str">
        <f>'8. Input IC huur Gasunie'!B61</f>
        <v>Asset 50</v>
      </c>
      <c r="F108" s="37" t="str">
        <f>'8. Input IC huur Gasunie'!F61</f>
        <v>37 ICT middelen 1</v>
      </c>
      <c r="G108" s="37">
        <f>'8. Input IC huur Gasunie'!G61</f>
        <v>2008</v>
      </c>
      <c r="H108" s="42">
        <f>'8. Input IC huur Gasunie'!H61</f>
        <v>1405801.5634173665</v>
      </c>
      <c r="I108" s="37">
        <f>'8. Input IC huur Gasunie'!I61</f>
        <v>2021</v>
      </c>
      <c r="J108" s="42">
        <f>_xlfn.XLOOKUP(F108,'3. Input (des)investeringen '!$B$11:$B$81,'3. Input (des)investeringen '!$D$11:$D$81)</f>
        <v>5</v>
      </c>
      <c r="K108" s="42">
        <f>_xlfn.XLOOKUP(F108,'3. Input (des)investeringen '!$B$11:$B$81,'3. Input (des)investeringen '!$E$11:$E$81)</f>
        <v>1</v>
      </c>
      <c r="L108" s="42">
        <f>'8. Input IC huur Gasunie'!J61</f>
        <v>0</v>
      </c>
      <c r="M108" s="42">
        <f>'8. Input IC huur Gasunie'!K61</f>
        <v>0</v>
      </c>
    </row>
    <row r="109" spans="2:13">
      <c r="B109" s="37" t="str">
        <f>'8. Input IC huur Gasunie'!B62</f>
        <v>Asset 51</v>
      </c>
      <c r="F109" s="37" t="str">
        <f>'8. Input IC huur Gasunie'!F62</f>
        <v>13 Aanhangwagens</v>
      </c>
      <c r="G109" s="37">
        <f>'8. Input IC huur Gasunie'!G62</f>
        <v>2008</v>
      </c>
      <c r="H109" s="42">
        <f>'8. Input IC huur Gasunie'!H62</f>
        <v>6485.6</v>
      </c>
      <c r="I109" s="37">
        <f>'8. Input IC huur Gasunie'!I62</f>
        <v>2021</v>
      </c>
      <c r="J109" s="42">
        <f>_xlfn.XLOOKUP(F109,'3. Input (des)investeringen '!$B$11:$B$81,'3. Input (des)investeringen '!$D$11:$D$81)</f>
        <v>10</v>
      </c>
      <c r="K109" s="42">
        <f>_xlfn.XLOOKUP(F109,'3. Input (des)investeringen '!$B$11:$B$81,'3. Input (des)investeringen '!$E$11:$E$81)</f>
        <v>1</v>
      </c>
      <c r="L109" s="42">
        <f>'8. Input IC huur Gasunie'!J62</f>
        <v>0</v>
      </c>
      <c r="M109" s="42">
        <f>'8. Input IC huur Gasunie'!K62</f>
        <v>0</v>
      </c>
    </row>
    <row r="110" spans="2:13">
      <c r="B110" s="37" t="str">
        <f>'8. Input IC huur Gasunie'!B63</f>
        <v>Asset 52</v>
      </c>
      <c r="F110" s="37" t="str">
        <f>'8. Input IC huur Gasunie'!F63</f>
        <v>04 Terreinen</v>
      </c>
      <c r="G110" s="37">
        <f>'8. Input IC huur Gasunie'!G63</f>
        <v>1956</v>
      </c>
      <c r="H110" s="42">
        <f>'8. Input IC huur Gasunie'!H63</f>
        <v>32433.599999999999</v>
      </c>
      <c r="I110" s="37">
        <f>'8. Input IC huur Gasunie'!I63</f>
        <v>2021</v>
      </c>
      <c r="J110" s="42">
        <f>_xlfn.XLOOKUP(F110,'3. Input (des)investeringen '!$B$11:$B$81,'3. Input (des)investeringen '!$D$11:$D$81)</f>
        <v>0</v>
      </c>
      <c r="K110" s="42">
        <f>_xlfn.XLOOKUP(F110,'3. Input (des)investeringen '!$B$11:$B$81,'3. Input (des)investeringen '!$E$11:$E$81)</f>
        <v>0</v>
      </c>
      <c r="L110" s="42">
        <f>'8. Input IC huur Gasunie'!J63</f>
        <v>275057.7098199001</v>
      </c>
      <c r="M110" s="42">
        <f>'8. Input IC huur Gasunie'!K63</f>
        <v>0</v>
      </c>
    </row>
    <row r="111" spans="2:13">
      <c r="B111" s="37" t="str">
        <f>'8. Input IC huur Gasunie'!B64</f>
        <v>Asset 53</v>
      </c>
      <c r="F111" s="37" t="str">
        <f>'8. Input IC huur Gasunie'!F64</f>
        <v>04 Terreinen</v>
      </c>
      <c r="G111" s="37">
        <f>'8. Input IC huur Gasunie'!G64</f>
        <v>1968</v>
      </c>
      <c r="H111" s="42">
        <f>'8. Input IC huur Gasunie'!H64</f>
        <v>219516.18</v>
      </c>
      <c r="I111" s="37">
        <f>'8. Input IC huur Gasunie'!I64</f>
        <v>2021</v>
      </c>
      <c r="J111" s="42">
        <f>_xlfn.XLOOKUP(F111,'3. Input (des)investeringen '!$B$11:$B$81,'3. Input (des)investeringen '!$D$11:$D$81)</f>
        <v>0</v>
      </c>
      <c r="K111" s="42">
        <f>_xlfn.XLOOKUP(F111,'3. Input (des)investeringen '!$B$11:$B$81,'3. Input (des)investeringen '!$E$11:$E$81)</f>
        <v>0</v>
      </c>
      <c r="L111" s="42">
        <f>'8. Input IC huur Gasunie'!J64</f>
        <v>1219692.8562955547</v>
      </c>
      <c r="M111" s="42">
        <f>'8. Input IC huur Gasunie'!K64</f>
        <v>0</v>
      </c>
    </row>
    <row r="112" spans="2:13">
      <c r="B112" s="37" t="str">
        <f>'8. Input IC huur Gasunie'!B65</f>
        <v>Asset 54</v>
      </c>
      <c r="F112" s="37" t="str">
        <f>'8. Input IC huur Gasunie'!F65</f>
        <v>04 Terreinen</v>
      </c>
      <c r="G112" s="37">
        <f>'8. Input IC huur Gasunie'!G65</f>
        <v>1972</v>
      </c>
      <c r="H112" s="42">
        <f>'8. Input IC huur Gasunie'!H65</f>
        <v>411128.51</v>
      </c>
      <c r="I112" s="37">
        <f>'8. Input IC huur Gasunie'!I65</f>
        <v>2021</v>
      </c>
      <c r="J112" s="42">
        <f>_xlfn.XLOOKUP(F112,'3. Input (des)investeringen '!$B$11:$B$81,'3. Input (des)investeringen '!$D$11:$D$81)</f>
        <v>0</v>
      </c>
      <c r="K112" s="42">
        <f>_xlfn.XLOOKUP(F112,'3. Input (des)investeringen '!$B$11:$B$81,'3. Input (des)investeringen '!$E$11:$E$81)</f>
        <v>0</v>
      </c>
      <c r="L112" s="42">
        <f>'8. Input IC huur Gasunie'!J65</f>
        <v>1824024.3386379536</v>
      </c>
      <c r="M112" s="42">
        <f>'8. Input IC huur Gasunie'!K65</f>
        <v>0</v>
      </c>
    </row>
    <row r="113" spans="2:13">
      <c r="B113" s="37" t="str">
        <f>'8. Input IC huur Gasunie'!B66</f>
        <v>Asset 55</v>
      </c>
      <c r="F113" s="37" t="str">
        <f>'8. Input IC huur Gasunie'!F66</f>
        <v>05 Wegen en terreinvoorzieningen</v>
      </c>
      <c r="G113" s="37">
        <f>'8. Input IC huur Gasunie'!G66</f>
        <v>1970</v>
      </c>
      <c r="H113" s="42">
        <f>'8. Input IC huur Gasunie'!H66</f>
        <v>65342.54</v>
      </c>
      <c r="I113" s="37">
        <f>'8. Input IC huur Gasunie'!I66</f>
        <v>2021</v>
      </c>
      <c r="J113" s="42">
        <f>_xlfn.XLOOKUP(F113,'3. Input (des)investeringen '!$B$11:$B$81,'3. Input (des)investeringen '!$D$11:$D$81)</f>
        <v>10</v>
      </c>
      <c r="K113" s="42">
        <f>_xlfn.XLOOKUP(F113,'3. Input (des)investeringen '!$B$11:$B$81,'3. Input (des)investeringen '!$E$11:$E$81)</f>
        <v>0</v>
      </c>
      <c r="L113" s="42">
        <f>'8. Input IC huur Gasunie'!J66</f>
        <v>0</v>
      </c>
      <c r="M113" s="42">
        <f>'8. Input IC huur Gasunie'!K66</f>
        <v>0</v>
      </c>
    </row>
    <row r="114" spans="2:13">
      <c r="B114" s="37" t="str">
        <f>'8. Input IC huur Gasunie'!B67</f>
        <v>Asset 56</v>
      </c>
      <c r="F114" s="37" t="str">
        <f>'8. Input IC huur Gasunie'!F67</f>
        <v>06 Utiliteitsgebouwen</v>
      </c>
      <c r="G114" s="37">
        <f>'8. Input IC huur Gasunie'!G67</f>
        <v>1980</v>
      </c>
      <c r="H114" s="42">
        <f>'8. Input IC huur Gasunie'!H67</f>
        <v>1188787.02</v>
      </c>
      <c r="I114" s="37">
        <f>'8. Input IC huur Gasunie'!I67</f>
        <v>2021</v>
      </c>
      <c r="J114" s="42">
        <f>_xlfn.XLOOKUP(F114,'3. Input (des)investeringen '!$B$11:$B$81,'3. Input (des)investeringen '!$D$11:$D$81)</f>
        <v>30</v>
      </c>
      <c r="K114" s="42">
        <f>_xlfn.XLOOKUP(F114,'3. Input (des)investeringen '!$B$11:$B$81,'3. Input (des)investeringen '!$E$11:$E$81)</f>
        <v>0</v>
      </c>
      <c r="L114" s="42">
        <f>'8. Input IC huur Gasunie'!J67</f>
        <v>0</v>
      </c>
      <c r="M114" s="42">
        <f>'8. Input IC huur Gasunie'!K67</f>
        <v>0</v>
      </c>
    </row>
    <row r="115" spans="2:13">
      <c r="B115" s="37" t="str">
        <f>'8. Input IC huur Gasunie'!B68</f>
        <v>Asset 57</v>
      </c>
      <c r="F115" s="37" t="str">
        <f>'8. Input IC huur Gasunie'!F68</f>
        <v>06 Utiliteitsgebouwen</v>
      </c>
      <c r="G115" s="37">
        <f>'8. Input IC huur Gasunie'!G68</f>
        <v>1971</v>
      </c>
      <c r="H115" s="42">
        <f>'8. Input IC huur Gasunie'!H68</f>
        <v>1287617.6299999999</v>
      </c>
      <c r="I115" s="37">
        <f>'8. Input IC huur Gasunie'!I68</f>
        <v>2021</v>
      </c>
      <c r="J115" s="42">
        <f>_xlfn.XLOOKUP(F115,'3. Input (des)investeringen '!$B$11:$B$81,'3. Input (des)investeringen '!$D$11:$D$81)</f>
        <v>30</v>
      </c>
      <c r="K115" s="42">
        <f>_xlfn.XLOOKUP(F115,'3. Input (des)investeringen '!$B$11:$B$81,'3. Input (des)investeringen '!$E$11:$E$81)</f>
        <v>0</v>
      </c>
      <c r="L115" s="42">
        <f>'8. Input IC huur Gasunie'!J68</f>
        <v>0</v>
      </c>
      <c r="M115" s="42">
        <f>'8. Input IC huur Gasunie'!K68</f>
        <v>0</v>
      </c>
    </row>
    <row r="116" spans="2:13">
      <c r="B116" s="37" t="str">
        <f>'8. Input IC huur Gasunie'!B69</f>
        <v>Asset 58</v>
      </c>
      <c r="F116" s="37" t="str">
        <f>'8. Input IC huur Gasunie'!F69</f>
        <v>06 Utiliteitsgebouwen</v>
      </c>
      <c r="G116" s="37">
        <f>'8. Input IC huur Gasunie'!G69</f>
        <v>1986</v>
      </c>
      <c r="H116" s="42">
        <f>'8. Input IC huur Gasunie'!H69</f>
        <v>986052.31</v>
      </c>
      <c r="I116" s="37">
        <f>'8. Input IC huur Gasunie'!I69</f>
        <v>2021</v>
      </c>
      <c r="J116" s="42">
        <f>_xlfn.XLOOKUP(F116,'3. Input (des)investeringen '!$B$11:$B$81,'3. Input (des)investeringen '!$D$11:$D$81)</f>
        <v>30</v>
      </c>
      <c r="K116" s="42">
        <f>_xlfn.XLOOKUP(F116,'3. Input (des)investeringen '!$B$11:$B$81,'3. Input (des)investeringen '!$E$11:$E$81)</f>
        <v>0</v>
      </c>
      <c r="L116" s="42">
        <f>'8. Input IC huur Gasunie'!J69</f>
        <v>0</v>
      </c>
      <c r="M116" s="42">
        <f>'8. Input IC huur Gasunie'!K69</f>
        <v>0</v>
      </c>
    </row>
    <row r="117" spans="2:13">
      <c r="B117" s="37" t="str">
        <f>'8. Input IC huur Gasunie'!B70</f>
        <v>Asset 59</v>
      </c>
      <c r="F117" s="37" t="str">
        <f>'8. Input IC huur Gasunie'!F70</f>
        <v>06 Utiliteitsgebouwen</v>
      </c>
      <c r="G117" s="37">
        <f>'8. Input IC huur Gasunie'!G70</f>
        <v>1988</v>
      </c>
      <c r="H117" s="42">
        <f>'8. Input IC huur Gasunie'!H70</f>
        <v>45049.48</v>
      </c>
      <c r="I117" s="37">
        <f>'8. Input IC huur Gasunie'!I70</f>
        <v>2021</v>
      </c>
      <c r="J117" s="42">
        <f>_xlfn.XLOOKUP(F117,'3. Input (des)investeringen '!$B$11:$B$81,'3. Input (des)investeringen '!$D$11:$D$81)</f>
        <v>30</v>
      </c>
      <c r="K117" s="42">
        <f>_xlfn.XLOOKUP(F117,'3. Input (des)investeringen '!$B$11:$B$81,'3. Input (des)investeringen '!$E$11:$E$81)</f>
        <v>0</v>
      </c>
      <c r="L117" s="42">
        <f>'8. Input IC huur Gasunie'!J70</f>
        <v>0</v>
      </c>
      <c r="M117" s="42">
        <f>'8. Input IC huur Gasunie'!K70</f>
        <v>0</v>
      </c>
    </row>
    <row r="118" spans="2:13">
      <c r="B118" s="37" t="str">
        <f>'8. Input IC huur Gasunie'!B71</f>
        <v>Asset 60</v>
      </c>
      <c r="F118" s="37" t="str">
        <f>'8. Input IC huur Gasunie'!F71</f>
        <v>04 Terreinen</v>
      </c>
      <c r="G118" s="37">
        <f>'8. Input IC huur Gasunie'!G71</f>
        <v>1969</v>
      </c>
      <c r="H118" s="42">
        <f>'8. Input IC huur Gasunie'!H71</f>
        <v>35732.019999999997</v>
      </c>
      <c r="I118" s="37">
        <f>'8. Input IC huur Gasunie'!I71</f>
        <v>2021</v>
      </c>
      <c r="J118" s="42">
        <f>_xlfn.XLOOKUP(F118,'3. Input (des)investeringen '!$B$11:$B$81,'3. Input (des)investeringen '!$D$11:$D$81)</f>
        <v>0</v>
      </c>
      <c r="K118" s="42">
        <f>_xlfn.XLOOKUP(F118,'3. Input (des)investeringen '!$B$11:$B$81,'3. Input (des)investeringen '!$E$11:$E$81)</f>
        <v>0</v>
      </c>
      <c r="L118" s="42">
        <f>'8. Input IC huur Gasunie'!J71</f>
        <v>192194.60406110552</v>
      </c>
      <c r="M118" s="42">
        <f>'8. Input IC huur Gasunie'!K71</f>
        <v>0</v>
      </c>
    </row>
    <row r="119" spans="2:13">
      <c r="B119" s="37" t="str">
        <f>'8. Input IC huur Gasunie'!B72</f>
        <v>Asset 61</v>
      </c>
      <c r="F119" s="37" t="str">
        <f>'8. Input IC huur Gasunie'!F72</f>
        <v>06 Utiliteitsgebouwen</v>
      </c>
      <c r="G119" s="37">
        <f>'8. Input IC huur Gasunie'!G72</f>
        <v>1993</v>
      </c>
      <c r="H119" s="42">
        <f>'8. Input IC huur Gasunie'!H72</f>
        <v>4915025</v>
      </c>
      <c r="I119" s="37">
        <f>'8. Input IC huur Gasunie'!I72</f>
        <v>2021</v>
      </c>
      <c r="J119" s="42">
        <f>_xlfn.XLOOKUP(F119,'3. Input (des)investeringen '!$B$11:$B$81,'3. Input (des)investeringen '!$D$11:$D$81)</f>
        <v>30</v>
      </c>
      <c r="K119" s="42">
        <f>_xlfn.XLOOKUP(F119,'3. Input (des)investeringen '!$B$11:$B$81,'3. Input (des)investeringen '!$E$11:$E$81)</f>
        <v>0</v>
      </c>
      <c r="L119" s="42">
        <f>'8. Input IC huur Gasunie'!J72</f>
        <v>420683.7813984917</v>
      </c>
      <c r="M119" s="42">
        <f>'8. Input IC huur Gasunie'!K72</f>
        <v>0</v>
      </c>
    </row>
    <row r="120" spans="2:13">
      <c r="B120" s="37" t="str">
        <f>'8. Input IC huur Gasunie'!B73</f>
        <v>Asset 62</v>
      </c>
      <c r="F120" s="37" t="str">
        <f>'8. Input IC huur Gasunie'!F73</f>
        <v>04 Terreinen</v>
      </c>
      <c r="G120" s="37">
        <f>'8. Input IC huur Gasunie'!G73</f>
        <v>1990</v>
      </c>
      <c r="H120" s="42">
        <f>'8. Input IC huur Gasunie'!H73</f>
        <v>4936129.59</v>
      </c>
      <c r="I120" s="37">
        <f>'8. Input IC huur Gasunie'!I73</f>
        <v>2021</v>
      </c>
      <c r="J120" s="42">
        <f>_xlfn.XLOOKUP(F120,'3. Input (des)investeringen '!$B$11:$B$81,'3. Input (des)investeringen '!$D$11:$D$81)</f>
        <v>0</v>
      </c>
      <c r="K120" s="42">
        <f>_xlfn.XLOOKUP(F120,'3. Input (des)investeringen '!$B$11:$B$81,'3. Input (des)investeringen '!$E$11:$E$81)</f>
        <v>0</v>
      </c>
      <c r="L120" s="42">
        <f>'8. Input IC huur Gasunie'!J73</f>
        <v>9367389.4688880406</v>
      </c>
      <c r="M120" s="42">
        <f>'8. Input IC huur Gasunie'!K73</f>
        <v>0</v>
      </c>
    </row>
    <row r="121" spans="2:13">
      <c r="B121" s="37" t="str">
        <f>'8. Input IC huur Gasunie'!B74</f>
        <v>Asset 63</v>
      </c>
      <c r="F121" s="37" t="str">
        <f>'8. Input IC huur Gasunie'!F74</f>
        <v>09 Bedrijfsinventaris</v>
      </c>
      <c r="G121" s="37">
        <f>'8. Input IC huur Gasunie'!G74</f>
        <v>1994</v>
      </c>
      <c r="H121" s="42">
        <f>'8. Input IC huur Gasunie'!H74</f>
        <v>5646696.2199999997</v>
      </c>
      <c r="I121" s="37">
        <f>'8. Input IC huur Gasunie'!I74</f>
        <v>2021</v>
      </c>
      <c r="J121" s="42">
        <f>_xlfn.XLOOKUP(F121,'3. Input (des)investeringen '!$B$11:$B$81,'3. Input (des)investeringen '!$D$11:$D$81)</f>
        <v>10</v>
      </c>
      <c r="K121" s="42">
        <f>_xlfn.XLOOKUP(F121,'3. Input (des)investeringen '!$B$11:$B$81,'3. Input (des)investeringen '!$E$11:$E$81)</f>
        <v>1</v>
      </c>
      <c r="L121" s="42">
        <f>'8. Input IC huur Gasunie'!J74</f>
        <v>0</v>
      </c>
      <c r="M121" s="42">
        <f>'8. Input IC huur Gasunie'!K74</f>
        <v>0</v>
      </c>
    </row>
    <row r="122" spans="2:13">
      <c r="B122" s="37" t="str">
        <f>'8. Input IC huur Gasunie'!B75</f>
        <v>Asset 64</v>
      </c>
      <c r="F122" s="37" t="str">
        <f>'8. Input IC huur Gasunie'!F75</f>
        <v>06 Utiliteitsgebouwen</v>
      </c>
      <c r="G122" s="37">
        <f>'8. Input IC huur Gasunie'!G75</f>
        <v>1994</v>
      </c>
      <c r="H122" s="42">
        <f>'8. Input IC huur Gasunie'!H75</f>
        <v>326095.09000000003</v>
      </c>
      <c r="I122" s="37">
        <f>'8. Input IC huur Gasunie'!I75</f>
        <v>2021</v>
      </c>
      <c r="J122" s="42">
        <f>_xlfn.XLOOKUP(F122,'3. Input (des)investeringen '!$B$11:$B$81,'3. Input (des)investeringen '!$D$11:$D$81)</f>
        <v>30</v>
      </c>
      <c r="K122" s="42">
        <f>_xlfn.XLOOKUP(F122,'3. Input (des)investeringen '!$B$11:$B$81,'3. Input (des)investeringen '!$E$11:$E$81)</f>
        <v>0</v>
      </c>
      <c r="L122" s="42">
        <f>'8. Input IC huur Gasunie'!J75</f>
        <v>45606.0937185246</v>
      </c>
      <c r="M122" s="42">
        <f>'8. Input IC huur Gasunie'!K75</f>
        <v>0</v>
      </c>
    </row>
    <row r="123" spans="2:13">
      <c r="B123" s="37" t="str">
        <f>'8. Input IC huur Gasunie'!B76</f>
        <v>Asset 65</v>
      </c>
      <c r="F123" s="37" t="str">
        <f>'8. Input IC huur Gasunie'!F76</f>
        <v>05 Wegen en terreinvoorzieningen</v>
      </c>
      <c r="G123" s="37">
        <f>'8. Input IC huur Gasunie'!G76</f>
        <v>1993</v>
      </c>
      <c r="H123" s="42">
        <f>'8. Input IC huur Gasunie'!H76</f>
        <v>174007.47</v>
      </c>
      <c r="I123" s="37">
        <f>'8. Input IC huur Gasunie'!I76</f>
        <v>2021</v>
      </c>
      <c r="J123" s="42">
        <f>_xlfn.XLOOKUP(F123,'3. Input (des)investeringen '!$B$11:$B$81,'3. Input (des)investeringen '!$D$11:$D$81)</f>
        <v>10</v>
      </c>
      <c r="K123" s="42">
        <f>_xlfn.XLOOKUP(F123,'3. Input (des)investeringen '!$B$11:$B$81,'3. Input (des)investeringen '!$E$11:$E$81)</f>
        <v>0</v>
      </c>
      <c r="L123" s="42">
        <f>'8. Input IC huur Gasunie'!J76</f>
        <v>0</v>
      </c>
      <c r="M123" s="42">
        <f>'8. Input IC huur Gasunie'!K76</f>
        <v>0</v>
      </c>
    </row>
    <row r="124" spans="2:13">
      <c r="B124" s="37" t="str">
        <f>'8. Input IC huur Gasunie'!B77</f>
        <v>Asset 66</v>
      </c>
      <c r="F124" s="37" t="str">
        <f>'8. Input IC huur Gasunie'!F77</f>
        <v>20 Kantoorgebouwen</v>
      </c>
      <c r="G124" s="37">
        <f>'8. Input IC huur Gasunie'!G77</f>
        <v>1991</v>
      </c>
      <c r="H124" s="42">
        <f>'8. Input IC huur Gasunie'!H77</f>
        <v>475302.12</v>
      </c>
      <c r="I124" s="37">
        <f>'8. Input IC huur Gasunie'!I77</f>
        <v>2021</v>
      </c>
      <c r="J124" s="42">
        <f>_xlfn.XLOOKUP(F124,'3. Input (des)investeringen '!$B$11:$B$81,'3. Input (des)investeringen '!$D$11:$D$81)</f>
        <v>30</v>
      </c>
      <c r="K124" s="42">
        <f>_xlfn.XLOOKUP(F124,'3. Input (des)investeringen '!$B$11:$B$81,'3. Input (des)investeringen '!$E$11:$E$81)</f>
        <v>0</v>
      </c>
      <c r="L124" s="42">
        <f>'8. Input IC huur Gasunie'!J77</f>
        <v>0</v>
      </c>
      <c r="M124" s="42">
        <f>'8. Input IC huur Gasunie'!K77</f>
        <v>0</v>
      </c>
    </row>
    <row r="125" spans="2:13">
      <c r="B125" s="37" t="str">
        <f>'8. Input IC huur Gasunie'!B78</f>
        <v>Asset 67</v>
      </c>
      <c r="F125" s="37" t="str">
        <f>'8. Input IC huur Gasunie'!F78</f>
        <v>08 Inrichting gebouwen</v>
      </c>
      <c r="G125" s="37">
        <f>'8. Input IC huur Gasunie'!G78</f>
        <v>1995</v>
      </c>
      <c r="H125" s="42">
        <f>'8. Input IC huur Gasunie'!H78</f>
        <v>365539.92999999993</v>
      </c>
      <c r="I125" s="37">
        <f>'8. Input IC huur Gasunie'!I78</f>
        <v>2021</v>
      </c>
      <c r="J125" s="42">
        <f>_xlfn.XLOOKUP(F125,'3. Input (des)investeringen '!$B$11:$B$81,'3. Input (des)investeringen '!$D$11:$D$81)</f>
        <v>10</v>
      </c>
      <c r="K125" s="42">
        <f>_xlfn.XLOOKUP(F125,'3. Input (des)investeringen '!$B$11:$B$81,'3. Input (des)investeringen '!$E$11:$E$81)</f>
        <v>0</v>
      </c>
      <c r="L125" s="42">
        <f>'8. Input IC huur Gasunie'!J78</f>
        <v>0</v>
      </c>
      <c r="M125" s="42">
        <f>'8. Input IC huur Gasunie'!K78</f>
        <v>0</v>
      </c>
    </row>
    <row r="126" spans="2:13">
      <c r="B126" s="37" t="str">
        <f>'8. Input IC huur Gasunie'!B79</f>
        <v>Asset 68</v>
      </c>
      <c r="F126" s="37" t="str">
        <f>'8. Input IC huur Gasunie'!F79</f>
        <v>08 Inrichting gebouwen</v>
      </c>
      <c r="G126" s="37">
        <f>'8. Input IC huur Gasunie'!G79</f>
        <v>1994</v>
      </c>
      <c r="H126" s="42">
        <f>'8. Input IC huur Gasunie'!H79</f>
        <v>6615395.4499999993</v>
      </c>
      <c r="I126" s="37">
        <f>'8. Input IC huur Gasunie'!I79</f>
        <v>2021</v>
      </c>
      <c r="J126" s="42">
        <f>_xlfn.XLOOKUP(F126,'3. Input (des)investeringen '!$B$11:$B$81,'3. Input (des)investeringen '!$D$11:$D$81)</f>
        <v>10</v>
      </c>
      <c r="K126" s="42">
        <f>_xlfn.XLOOKUP(F126,'3. Input (des)investeringen '!$B$11:$B$81,'3. Input (des)investeringen '!$E$11:$E$81)</f>
        <v>0</v>
      </c>
      <c r="L126" s="42">
        <f>'8. Input IC huur Gasunie'!J79</f>
        <v>0</v>
      </c>
      <c r="M126" s="42">
        <f>'8. Input IC huur Gasunie'!K79</f>
        <v>0</v>
      </c>
    </row>
    <row r="127" spans="2:13">
      <c r="B127" s="37" t="str">
        <f>'8. Input IC huur Gasunie'!B80</f>
        <v>Asset 69</v>
      </c>
      <c r="F127" s="37" t="str">
        <f>'8. Input IC huur Gasunie'!F80</f>
        <v>20 Kantoorgebouwen</v>
      </c>
      <c r="G127" s="37">
        <f>'8. Input IC huur Gasunie'!G80</f>
        <v>1998</v>
      </c>
      <c r="H127" s="42">
        <f>'8. Input IC huur Gasunie'!H80</f>
        <v>789493.11</v>
      </c>
      <c r="I127" s="37">
        <f>'8. Input IC huur Gasunie'!I80</f>
        <v>2021</v>
      </c>
      <c r="J127" s="42">
        <f>_xlfn.XLOOKUP(F127,'3. Input (des)investeringen '!$B$11:$B$81,'3. Input (des)investeringen '!$D$11:$D$81)</f>
        <v>30</v>
      </c>
      <c r="K127" s="42">
        <f>_xlfn.XLOOKUP(F127,'3. Input (des)investeringen '!$B$11:$B$81,'3. Input (des)investeringen '!$E$11:$E$81)</f>
        <v>0</v>
      </c>
      <c r="L127" s="42">
        <f>'8. Input IC huur Gasunie'!J80</f>
        <v>263672.8175889462</v>
      </c>
      <c r="M127" s="42">
        <f>'8. Input IC huur Gasunie'!K80</f>
        <v>0</v>
      </c>
    </row>
    <row r="128" spans="2:13">
      <c r="B128" s="37" t="str">
        <f>'8. Input IC huur Gasunie'!B81</f>
        <v>Asset 70</v>
      </c>
      <c r="F128" s="37" t="str">
        <f>'8. Input IC huur Gasunie'!F81</f>
        <v>20 Kantoorgebouwen</v>
      </c>
      <c r="G128" s="37">
        <f>'8. Input IC huur Gasunie'!G81</f>
        <v>1995</v>
      </c>
      <c r="H128" s="42">
        <f>'8. Input IC huur Gasunie'!H81</f>
        <v>93310335.520000011</v>
      </c>
      <c r="I128" s="37">
        <f>'8. Input IC huur Gasunie'!I81</f>
        <v>2021</v>
      </c>
      <c r="J128" s="42">
        <f>_xlfn.XLOOKUP(F128,'3. Input (des)investeringen '!$B$11:$B$81,'3. Input (des)investeringen '!$D$11:$D$81)</f>
        <v>30</v>
      </c>
      <c r="K128" s="42">
        <f>_xlfn.XLOOKUP(F128,'3. Input (des)investeringen '!$B$11:$B$81,'3. Input (des)investeringen '!$E$11:$E$81)</f>
        <v>0</v>
      </c>
      <c r="L128" s="42">
        <f>'8. Input IC huur Gasunie'!J81</f>
        <v>17806929.596040629</v>
      </c>
      <c r="M128" s="42">
        <f>'8. Input IC huur Gasunie'!K81</f>
        <v>0</v>
      </c>
    </row>
    <row r="129" spans="2:13">
      <c r="B129" s="37" t="str">
        <f>'8. Input IC huur Gasunie'!B82</f>
        <v>Asset 71</v>
      </c>
      <c r="F129" s="37" t="str">
        <f>'8. Input IC huur Gasunie'!F82</f>
        <v>09 Bedrijfsinventaris</v>
      </c>
      <c r="G129" s="37">
        <f>'8. Input IC huur Gasunie'!G82</f>
        <v>1997</v>
      </c>
      <c r="H129" s="42">
        <f>'8. Input IC huur Gasunie'!H82</f>
        <v>3767.74</v>
      </c>
      <c r="I129" s="37">
        <f>'8. Input IC huur Gasunie'!I82</f>
        <v>2021</v>
      </c>
      <c r="J129" s="42">
        <f>_xlfn.XLOOKUP(F129,'3. Input (des)investeringen '!$B$11:$B$81,'3. Input (des)investeringen '!$D$11:$D$81)</f>
        <v>10</v>
      </c>
      <c r="K129" s="42">
        <f>_xlfn.XLOOKUP(F129,'3. Input (des)investeringen '!$B$11:$B$81,'3. Input (des)investeringen '!$E$11:$E$81)</f>
        <v>1</v>
      </c>
      <c r="L129" s="42">
        <f>'8. Input IC huur Gasunie'!J82</f>
        <v>0</v>
      </c>
      <c r="M129" s="42">
        <f>'8. Input IC huur Gasunie'!K82</f>
        <v>0</v>
      </c>
    </row>
    <row r="130" spans="2:13">
      <c r="B130" s="37" t="str">
        <f>'8. Input IC huur Gasunie'!B83</f>
        <v>Asset 72</v>
      </c>
      <c r="F130" s="37" t="str">
        <f>'8. Input IC huur Gasunie'!F83</f>
        <v>08 Inrichting gebouwen</v>
      </c>
      <c r="G130" s="37">
        <f>'8. Input IC huur Gasunie'!G83</f>
        <v>2002</v>
      </c>
      <c r="H130" s="42">
        <f>'8. Input IC huur Gasunie'!H83</f>
        <v>257167.26</v>
      </c>
      <c r="I130" s="37">
        <f>'8. Input IC huur Gasunie'!I83</f>
        <v>2021</v>
      </c>
      <c r="J130" s="42">
        <f>_xlfn.XLOOKUP(F130,'3. Input (des)investeringen '!$B$11:$B$81,'3. Input (des)investeringen '!$D$11:$D$81)</f>
        <v>10</v>
      </c>
      <c r="K130" s="42">
        <f>_xlfn.XLOOKUP(F130,'3. Input (des)investeringen '!$B$11:$B$81,'3. Input (des)investeringen '!$E$11:$E$81)</f>
        <v>0</v>
      </c>
      <c r="L130" s="42">
        <f>'8. Input IC huur Gasunie'!J83</f>
        <v>0</v>
      </c>
      <c r="M130" s="42">
        <f>'8. Input IC huur Gasunie'!K83</f>
        <v>0</v>
      </c>
    </row>
    <row r="131" spans="2:13">
      <c r="B131" s="37" t="str">
        <f>'8. Input IC huur Gasunie'!B84</f>
        <v>Asset 73</v>
      </c>
      <c r="F131" s="37" t="str">
        <f>'8. Input IC huur Gasunie'!F84</f>
        <v>20 Kantoorgebouwen</v>
      </c>
      <c r="G131" s="37">
        <f>'8. Input IC huur Gasunie'!G84</f>
        <v>1997</v>
      </c>
      <c r="H131" s="42">
        <f>'8. Input IC huur Gasunie'!H84</f>
        <v>9956.39</v>
      </c>
      <c r="I131" s="37">
        <f>'8. Input IC huur Gasunie'!I84</f>
        <v>2021</v>
      </c>
      <c r="J131" s="42">
        <f>_xlfn.XLOOKUP(F131,'3. Input (des)investeringen '!$B$11:$B$81,'3. Input (des)investeringen '!$D$11:$D$81)</f>
        <v>30</v>
      </c>
      <c r="K131" s="42">
        <f>_xlfn.XLOOKUP(F131,'3. Input (des)investeringen '!$B$11:$B$81,'3. Input (des)investeringen '!$E$11:$E$81)</f>
        <v>0</v>
      </c>
      <c r="L131" s="42">
        <f>'8. Input IC huur Gasunie'!J84</f>
        <v>2886.7927731398736</v>
      </c>
      <c r="M131" s="42">
        <f>'8. Input IC huur Gasunie'!K84</f>
        <v>0</v>
      </c>
    </row>
    <row r="132" spans="2:13">
      <c r="B132" s="37" t="str">
        <f>'8. Input IC huur Gasunie'!B85</f>
        <v>Asset 74</v>
      </c>
      <c r="F132" s="37" t="str">
        <f>'8. Input IC huur Gasunie'!F85</f>
        <v>09 Bedrijfsinventaris</v>
      </c>
      <c r="G132" s="37">
        <f>'8. Input IC huur Gasunie'!G85</f>
        <v>2002</v>
      </c>
      <c r="H132" s="42">
        <f>'8. Input IC huur Gasunie'!H85</f>
        <v>259859.76</v>
      </c>
      <c r="I132" s="37">
        <f>'8. Input IC huur Gasunie'!I85</f>
        <v>2021</v>
      </c>
      <c r="J132" s="42">
        <f>_xlfn.XLOOKUP(F132,'3. Input (des)investeringen '!$B$11:$B$81,'3. Input (des)investeringen '!$D$11:$D$81)</f>
        <v>10</v>
      </c>
      <c r="K132" s="42">
        <f>_xlfn.XLOOKUP(F132,'3. Input (des)investeringen '!$B$11:$B$81,'3. Input (des)investeringen '!$E$11:$E$81)</f>
        <v>1</v>
      </c>
      <c r="L132" s="42">
        <f>'8. Input IC huur Gasunie'!J85</f>
        <v>0</v>
      </c>
      <c r="M132" s="42">
        <f>'8. Input IC huur Gasunie'!K85</f>
        <v>0</v>
      </c>
    </row>
    <row r="133" spans="2:13">
      <c r="B133" s="37" t="str">
        <f>'8. Input IC huur Gasunie'!B86</f>
        <v>Asset 75</v>
      </c>
      <c r="F133" s="37" t="str">
        <f>'8. Input IC huur Gasunie'!F86</f>
        <v>37 ICT middelen 1</v>
      </c>
      <c r="G133" s="37">
        <f>'8. Input IC huur Gasunie'!G86</f>
        <v>1998</v>
      </c>
      <c r="H133" s="42">
        <f>'8. Input IC huur Gasunie'!H86</f>
        <v>194674.43</v>
      </c>
      <c r="I133" s="37">
        <f>'8. Input IC huur Gasunie'!I86</f>
        <v>2021</v>
      </c>
      <c r="J133" s="42">
        <f>_xlfn.XLOOKUP(F133,'3. Input (des)investeringen '!$B$11:$B$81,'3. Input (des)investeringen '!$D$11:$D$81)</f>
        <v>5</v>
      </c>
      <c r="K133" s="42">
        <f>_xlfn.XLOOKUP(F133,'3. Input (des)investeringen '!$B$11:$B$81,'3. Input (des)investeringen '!$E$11:$E$81)</f>
        <v>1</v>
      </c>
      <c r="L133" s="42">
        <f>'8. Input IC huur Gasunie'!J86</f>
        <v>0</v>
      </c>
      <c r="M133" s="42">
        <f>'8. Input IC huur Gasunie'!K86</f>
        <v>0</v>
      </c>
    </row>
    <row r="134" spans="2:13">
      <c r="B134" s="37" t="str">
        <f>'8. Input IC huur Gasunie'!B87</f>
        <v>Asset 76</v>
      </c>
      <c r="F134" s="37" t="str">
        <f>'8. Input IC huur Gasunie'!F87</f>
        <v>13 Aanhangwagens</v>
      </c>
      <c r="G134" s="37">
        <f>'8. Input IC huur Gasunie'!G87</f>
        <v>2000</v>
      </c>
      <c r="H134" s="42">
        <f>'8. Input IC huur Gasunie'!H87</f>
        <v>5437.76</v>
      </c>
      <c r="I134" s="37">
        <f>'8. Input IC huur Gasunie'!I87</f>
        <v>2021</v>
      </c>
      <c r="J134" s="42">
        <f>_xlfn.XLOOKUP(F134,'3. Input (des)investeringen '!$B$11:$B$81,'3. Input (des)investeringen '!$D$11:$D$81)</f>
        <v>10</v>
      </c>
      <c r="K134" s="42">
        <f>_xlfn.XLOOKUP(F134,'3. Input (des)investeringen '!$B$11:$B$81,'3. Input (des)investeringen '!$E$11:$E$81)</f>
        <v>1</v>
      </c>
      <c r="L134" s="42">
        <f>'8. Input IC huur Gasunie'!J87</f>
        <v>0</v>
      </c>
      <c r="M134" s="42">
        <f>'8. Input IC huur Gasunie'!K87</f>
        <v>0</v>
      </c>
    </row>
    <row r="135" spans="2:13">
      <c r="B135" s="37" t="str">
        <f>'8. Input IC huur Gasunie'!B88</f>
        <v>Asset 77</v>
      </c>
      <c r="F135" s="37" t="str">
        <f>'8. Input IC huur Gasunie'!F88</f>
        <v>09 Bedrijfsinventaris</v>
      </c>
      <c r="G135" s="37">
        <f>'8. Input IC huur Gasunie'!G88</f>
        <v>1998</v>
      </c>
      <c r="H135" s="42">
        <f>'8. Input IC huur Gasunie'!H88</f>
        <v>159402.09</v>
      </c>
      <c r="I135" s="37">
        <f>'8. Input IC huur Gasunie'!I88</f>
        <v>2021</v>
      </c>
      <c r="J135" s="42">
        <f>_xlfn.XLOOKUP(F135,'3. Input (des)investeringen '!$B$11:$B$81,'3. Input (des)investeringen '!$D$11:$D$81)</f>
        <v>10</v>
      </c>
      <c r="K135" s="42">
        <f>_xlfn.XLOOKUP(F135,'3. Input (des)investeringen '!$B$11:$B$81,'3. Input (des)investeringen '!$E$11:$E$81)</f>
        <v>1</v>
      </c>
      <c r="L135" s="42">
        <f>'8. Input IC huur Gasunie'!J88</f>
        <v>0</v>
      </c>
      <c r="M135" s="42">
        <f>'8. Input IC huur Gasunie'!K88</f>
        <v>0</v>
      </c>
    </row>
    <row r="136" spans="2:13">
      <c r="B136" s="37" t="str">
        <f>'8. Input IC huur Gasunie'!B89</f>
        <v>Asset 78</v>
      </c>
      <c r="F136" s="37" t="str">
        <f>'8. Input IC huur Gasunie'!F89</f>
        <v>08 Inrichting gebouwen</v>
      </c>
      <c r="G136" s="37">
        <f>'8. Input IC huur Gasunie'!G89</f>
        <v>1998</v>
      </c>
      <c r="H136" s="42">
        <f>'8. Input IC huur Gasunie'!H89</f>
        <v>120568.99000000002</v>
      </c>
      <c r="I136" s="37">
        <f>'8. Input IC huur Gasunie'!I89</f>
        <v>2021</v>
      </c>
      <c r="J136" s="42">
        <f>_xlfn.XLOOKUP(F136,'3. Input (des)investeringen '!$B$11:$B$81,'3. Input (des)investeringen '!$D$11:$D$81)</f>
        <v>10</v>
      </c>
      <c r="K136" s="42">
        <f>_xlfn.XLOOKUP(F136,'3. Input (des)investeringen '!$B$11:$B$81,'3. Input (des)investeringen '!$E$11:$E$81)</f>
        <v>0</v>
      </c>
      <c r="L136" s="42">
        <f>'8. Input IC huur Gasunie'!J89</f>
        <v>0</v>
      </c>
      <c r="M136" s="42">
        <f>'8. Input IC huur Gasunie'!K89</f>
        <v>0</v>
      </c>
    </row>
    <row r="137" spans="2:13">
      <c r="B137" s="37" t="str">
        <f>'8. Input IC huur Gasunie'!B90</f>
        <v>Asset 79</v>
      </c>
      <c r="F137" s="37" t="str">
        <f>'8. Input IC huur Gasunie'!F90</f>
        <v>37 ICT middelen 1</v>
      </c>
      <c r="G137" s="37">
        <f>'8. Input IC huur Gasunie'!G90</f>
        <v>2002</v>
      </c>
      <c r="H137" s="42">
        <f>'8. Input IC huur Gasunie'!H90</f>
        <v>342396.39</v>
      </c>
      <c r="I137" s="37">
        <f>'8. Input IC huur Gasunie'!I90</f>
        <v>2021</v>
      </c>
      <c r="J137" s="42">
        <f>_xlfn.XLOOKUP(F137,'3. Input (des)investeringen '!$B$11:$B$81,'3. Input (des)investeringen '!$D$11:$D$81)</f>
        <v>5</v>
      </c>
      <c r="K137" s="42">
        <f>_xlfn.XLOOKUP(F137,'3. Input (des)investeringen '!$B$11:$B$81,'3. Input (des)investeringen '!$E$11:$E$81)</f>
        <v>1</v>
      </c>
      <c r="L137" s="42">
        <f>'8. Input IC huur Gasunie'!J90</f>
        <v>0</v>
      </c>
      <c r="M137" s="42">
        <f>'8. Input IC huur Gasunie'!K90</f>
        <v>0</v>
      </c>
    </row>
    <row r="138" spans="2:13">
      <c r="B138" s="37" t="str">
        <f>'8. Input IC huur Gasunie'!B91</f>
        <v>Asset 80</v>
      </c>
      <c r="F138" s="37" t="str">
        <f>'8. Input IC huur Gasunie'!F91</f>
        <v>37 ICT middelen 1 (gaschromatografen en comptabele meting)</v>
      </c>
      <c r="G138" s="37">
        <f>'8. Input IC huur Gasunie'!G91</f>
        <v>2000</v>
      </c>
      <c r="H138" s="42">
        <f>'8. Input IC huur Gasunie'!H91</f>
        <v>717051.87</v>
      </c>
      <c r="I138" s="37">
        <f>'8. Input IC huur Gasunie'!I91</f>
        <v>2021</v>
      </c>
      <c r="J138" s="42">
        <f>_xlfn.XLOOKUP(F138,'3. Input (des)investeringen '!$B$11:$B$81,'3. Input (des)investeringen '!$D$11:$D$81)</f>
        <v>5</v>
      </c>
      <c r="K138" s="42">
        <f>_xlfn.XLOOKUP(F138,'3. Input (des)investeringen '!$B$11:$B$81,'3. Input (des)investeringen '!$E$11:$E$81)</f>
        <v>0</v>
      </c>
      <c r="L138" s="42">
        <f>'8. Input IC huur Gasunie'!J91</f>
        <v>0</v>
      </c>
      <c r="M138" s="42">
        <f>'8. Input IC huur Gasunie'!K91</f>
        <v>0</v>
      </c>
    </row>
    <row r="139" spans="2:13">
      <c r="B139" s="37" t="str">
        <f>'8. Input IC huur Gasunie'!B92</f>
        <v>Asset 81</v>
      </c>
      <c r="F139" s="37" t="str">
        <f>'8. Input IC huur Gasunie'!F92</f>
        <v>09 Bedrijfsinventaris</v>
      </c>
      <c r="G139" s="37">
        <f>'8. Input IC huur Gasunie'!G92</f>
        <v>1999</v>
      </c>
      <c r="H139" s="42">
        <f>'8. Input IC huur Gasunie'!H92</f>
        <v>64305.72</v>
      </c>
      <c r="I139" s="37">
        <f>'8. Input IC huur Gasunie'!I92</f>
        <v>2021</v>
      </c>
      <c r="J139" s="42">
        <f>_xlfn.XLOOKUP(F139,'3. Input (des)investeringen '!$B$11:$B$81,'3. Input (des)investeringen '!$D$11:$D$81)</f>
        <v>10</v>
      </c>
      <c r="K139" s="42">
        <f>_xlfn.XLOOKUP(F139,'3. Input (des)investeringen '!$B$11:$B$81,'3. Input (des)investeringen '!$E$11:$E$81)</f>
        <v>1</v>
      </c>
      <c r="L139" s="42">
        <f>'8. Input IC huur Gasunie'!J92</f>
        <v>0</v>
      </c>
      <c r="M139" s="42">
        <f>'8. Input IC huur Gasunie'!K92</f>
        <v>0</v>
      </c>
    </row>
    <row r="140" spans="2:13">
      <c r="B140" s="37" t="str">
        <f>'8. Input IC huur Gasunie'!B93</f>
        <v>Asset 82</v>
      </c>
      <c r="F140" s="37" t="str">
        <f>'8. Input IC huur Gasunie'!F93</f>
        <v>08 Inrichting gebouwen</v>
      </c>
      <c r="G140" s="37">
        <f>'8. Input IC huur Gasunie'!G93</f>
        <v>1999</v>
      </c>
      <c r="H140" s="42">
        <f>'8. Input IC huur Gasunie'!H93</f>
        <v>41263.56</v>
      </c>
      <c r="I140" s="37">
        <f>'8. Input IC huur Gasunie'!I93</f>
        <v>2021</v>
      </c>
      <c r="J140" s="42">
        <f>_xlfn.XLOOKUP(F140,'3. Input (des)investeringen '!$B$11:$B$81,'3. Input (des)investeringen '!$D$11:$D$81)</f>
        <v>10</v>
      </c>
      <c r="K140" s="42">
        <f>_xlfn.XLOOKUP(F140,'3. Input (des)investeringen '!$B$11:$B$81,'3. Input (des)investeringen '!$E$11:$E$81)</f>
        <v>0</v>
      </c>
      <c r="L140" s="42">
        <f>'8. Input IC huur Gasunie'!J93</f>
        <v>0</v>
      </c>
      <c r="M140" s="42">
        <f>'8. Input IC huur Gasunie'!K93</f>
        <v>0</v>
      </c>
    </row>
    <row r="141" spans="2:13">
      <c r="B141" s="37" t="str">
        <f>'8. Input IC huur Gasunie'!B94</f>
        <v>Asset 83</v>
      </c>
      <c r="F141" s="37" t="str">
        <f>'8. Input IC huur Gasunie'!F94</f>
        <v>09 Bedrijfsinventaris</v>
      </c>
      <c r="G141" s="37">
        <f>'8. Input IC huur Gasunie'!G94</f>
        <v>2000</v>
      </c>
      <c r="H141" s="42">
        <f>'8. Input IC huur Gasunie'!H94</f>
        <v>5312.4</v>
      </c>
      <c r="I141" s="37">
        <f>'8. Input IC huur Gasunie'!I94</f>
        <v>2021</v>
      </c>
      <c r="J141" s="42">
        <f>_xlfn.XLOOKUP(F141,'3. Input (des)investeringen '!$B$11:$B$81,'3. Input (des)investeringen '!$D$11:$D$81)</f>
        <v>10</v>
      </c>
      <c r="K141" s="42">
        <f>_xlfn.XLOOKUP(F141,'3. Input (des)investeringen '!$B$11:$B$81,'3. Input (des)investeringen '!$E$11:$E$81)</f>
        <v>1</v>
      </c>
      <c r="L141" s="42">
        <f>'8. Input IC huur Gasunie'!J94</f>
        <v>0</v>
      </c>
      <c r="M141" s="42">
        <f>'8. Input IC huur Gasunie'!K94</f>
        <v>0</v>
      </c>
    </row>
    <row r="142" spans="2:13">
      <c r="B142" s="37" t="str">
        <f>'8. Input IC huur Gasunie'!B95</f>
        <v>Asset 84</v>
      </c>
      <c r="F142" s="37" t="str">
        <f>'8. Input IC huur Gasunie'!F95</f>
        <v>37 ICT middelen 1</v>
      </c>
      <c r="G142" s="37">
        <f>'8. Input IC huur Gasunie'!G95</f>
        <v>2001</v>
      </c>
      <c r="H142" s="42">
        <f>'8. Input IC huur Gasunie'!H95</f>
        <v>1754908.7700000003</v>
      </c>
      <c r="I142" s="37">
        <f>'8. Input IC huur Gasunie'!I95</f>
        <v>2021</v>
      </c>
      <c r="J142" s="42">
        <f>_xlfn.XLOOKUP(F142,'3. Input (des)investeringen '!$B$11:$B$81,'3. Input (des)investeringen '!$D$11:$D$81)</f>
        <v>5</v>
      </c>
      <c r="K142" s="42">
        <f>_xlfn.XLOOKUP(F142,'3. Input (des)investeringen '!$B$11:$B$81,'3. Input (des)investeringen '!$E$11:$E$81)</f>
        <v>1</v>
      </c>
      <c r="L142" s="42">
        <f>'8. Input IC huur Gasunie'!J95</f>
        <v>0</v>
      </c>
      <c r="M142" s="42">
        <f>'8. Input IC huur Gasunie'!K95</f>
        <v>0</v>
      </c>
    </row>
    <row r="143" spans="2:13">
      <c r="B143" s="37" t="str">
        <f>'8. Input IC huur Gasunie'!B96</f>
        <v>Asset 85</v>
      </c>
      <c r="F143" s="37" t="str">
        <f>'8. Input IC huur Gasunie'!F96</f>
        <v>11 Werktuigen</v>
      </c>
      <c r="G143" s="37">
        <f>'8. Input IC huur Gasunie'!G96</f>
        <v>2000</v>
      </c>
      <c r="H143" s="42">
        <f>'8. Input IC huur Gasunie'!H96</f>
        <v>86461.709999999992</v>
      </c>
      <c r="I143" s="37">
        <f>'8. Input IC huur Gasunie'!I96</f>
        <v>2021</v>
      </c>
      <c r="J143" s="42">
        <f>_xlfn.XLOOKUP(F143,'3. Input (des)investeringen '!$B$11:$B$81,'3. Input (des)investeringen '!$D$11:$D$81)</f>
        <v>10</v>
      </c>
      <c r="K143" s="42">
        <f>_xlfn.XLOOKUP(F143,'3. Input (des)investeringen '!$B$11:$B$81,'3. Input (des)investeringen '!$E$11:$E$81)</f>
        <v>1</v>
      </c>
      <c r="L143" s="42">
        <f>'8. Input IC huur Gasunie'!J96</f>
        <v>0</v>
      </c>
      <c r="M143" s="42">
        <f>'8. Input IC huur Gasunie'!K96</f>
        <v>0</v>
      </c>
    </row>
    <row r="144" spans="2:13">
      <c r="B144" s="37" t="str">
        <f>'8. Input IC huur Gasunie'!B97</f>
        <v>Asset 86</v>
      </c>
      <c r="F144" s="37" t="str">
        <f>'8. Input IC huur Gasunie'!F97</f>
        <v>13 Aanhangwagens</v>
      </c>
      <c r="G144" s="37">
        <f>'8. Input IC huur Gasunie'!G97</f>
        <v>1998</v>
      </c>
      <c r="H144" s="42">
        <f>'8. Input IC huur Gasunie'!H97</f>
        <v>3630.24</v>
      </c>
      <c r="I144" s="37">
        <f>'8. Input IC huur Gasunie'!I97</f>
        <v>2021</v>
      </c>
      <c r="J144" s="42">
        <f>_xlfn.XLOOKUP(F144,'3. Input (des)investeringen '!$B$11:$B$81,'3. Input (des)investeringen '!$D$11:$D$81)</f>
        <v>10</v>
      </c>
      <c r="K144" s="42">
        <f>_xlfn.XLOOKUP(F144,'3. Input (des)investeringen '!$B$11:$B$81,'3. Input (des)investeringen '!$E$11:$E$81)</f>
        <v>1</v>
      </c>
      <c r="L144" s="42">
        <f>'8. Input IC huur Gasunie'!J97</f>
        <v>0</v>
      </c>
      <c r="M144" s="42">
        <f>'8. Input IC huur Gasunie'!K97</f>
        <v>0</v>
      </c>
    </row>
    <row r="145" spans="2:13">
      <c r="B145" s="37" t="str">
        <f>'8. Input IC huur Gasunie'!B98</f>
        <v>Asset 87</v>
      </c>
      <c r="F145" s="37" t="str">
        <f>'8. Input IC huur Gasunie'!F98</f>
        <v>37 ICT middelen 1</v>
      </c>
      <c r="G145" s="37">
        <f>'8. Input IC huur Gasunie'!G98</f>
        <v>2000</v>
      </c>
      <c r="H145" s="42">
        <f>'8. Input IC huur Gasunie'!H98</f>
        <v>63690.75</v>
      </c>
      <c r="I145" s="37">
        <f>'8. Input IC huur Gasunie'!I98</f>
        <v>2021</v>
      </c>
      <c r="J145" s="42">
        <f>_xlfn.XLOOKUP(F145,'3. Input (des)investeringen '!$B$11:$B$81,'3. Input (des)investeringen '!$D$11:$D$81)</f>
        <v>5</v>
      </c>
      <c r="K145" s="42">
        <f>_xlfn.XLOOKUP(F145,'3. Input (des)investeringen '!$B$11:$B$81,'3. Input (des)investeringen '!$E$11:$E$81)</f>
        <v>1</v>
      </c>
      <c r="L145" s="42">
        <f>'8. Input IC huur Gasunie'!J98</f>
        <v>0</v>
      </c>
      <c r="M145" s="42">
        <f>'8. Input IC huur Gasunie'!K98</f>
        <v>0</v>
      </c>
    </row>
    <row r="146" spans="2:13">
      <c r="B146" s="37" t="str">
        <f>'8. Input IC huur Gasunie'!B99</f>
        <v>Asset 88</v>
      </c>
      <c r="F146" s="37" t="str">
        <f>'8. Input IC huur Gasunie'!F99</f>
        <v>08 Inrichting gebouwen</v>
      </c>
      <c r="G146" s="37">
        <f>'8. Input IC huur Gasunie'!G99</f>
        <v>2000</v>
      </c>
      <c r="H146" s="42">
        <f>'8. Input IC huur Gasunie'!H99</f>
        <v>53314.77</v>
      </c>
      <c r="I146" s="37">
        <f>'8. Input IC huur Gasunie'!I99</f>
        <v>2021</v>
      </c>
      <c r="J146" s="42">
        <f>_xlfn.XLOOKUP(F146,'3. Input (des)investeringen '!$B$11:$B$81,'3. Input (des)investeringen '!$D$11:$D$81)</f>
        <v>10</v>
      </c>
      <c r="K146" s="42">
        <f>_xlfn.XLOOKUP(F146,'3. Input (des)investeringen '!$B$11:$B$81,'3. Input (des)investeringen '!$E$11:$E$81)</f>
        <v>0</v>
      </c>
      <c r="L146" s="42">
        <f>'8. Input IC huur Gasunie'!J99</f>
        <v>0</v>
      </c>
      <c r="M146" s="42">
        <f>'8. Input IC huur Gasunie'!K99</f>
        <v>0</v>
      </c>
    </row>
    <row r="147" spans="2:13">
      <c r="B147" s="37" t="str">
        <f>'8. Input IC huur Gasunie'!B100</f>
        <v>Asset 89</v>
      </c>
      <c r="F147" s="37" t="str">
        <f>'8. Input IC huur Gasunie'!F100</f>
        <v>14 Overig rollend materieel</v>
      </c>
      <c r="G147" s="37">
        <f>'8. Input IC huur Gasunie'!G100</f>
        <v>2000</v>
      </c>
      <c r="H147" s="42">
        <f>'8. Input IC huur Gasunie'!H100</f>
        <v>36334.86</v>
      </c>
      <c r="I147" s="37">
        <f>'8. Input IC huur Gasunie'!I100</f>
        <v>2021</v>
      </c>
      <c r="J147" s="42">
        <f>_xlfn.XLOOKUP(F147,'3. Input (des)investeringen '!$B$11:$B$81,'3. Input (des)investeringen '!$D$11:$D$81)</f>
        <v>10</v>
      </c>
      <c r="K147" s="42">
        <f>_xlfn.XLOOKUP(F147,'3. Input (des)investeringen '!$B$11:$B$81,'3. Input (des)investeringen '!$E$11:$E$81)</f>
        <v>1</v>
      </c>
      <c r="L147" s="42">
        <f>'8. Input IC huur Gasunie'!J100</f>
        <v>0</v>
      </c>
      <c r="M147" s="42">
        <f>'8. Input IC huur Gasunie'!K100</f>
        <v>0</v>
      </c>
    </row>
    <row r="148" spans="2:13">
      <c r="B148" s="37" t="str">
        <f>'8. Input IC huur Gasunie'!B101</f>
        <v>Asset 90</v>
      </c>
      <c r="F148" s="37" t="str">
        <f>'8. Input IC huur Gasunie'!F101</f>
        <v>06 Utiliteitsgebouwen</v>
      </c>
      <c r="G148" s="37">
        <f>'8. Input IC huur Gasunie'!G101</f>
        <v>2000</v>
      </c>
      <c r="H148" s="42">
        <f>'8. Input IC huur Gasunie'!H101</f>
        <v>61022.52</v>
      </c>
      <c r="I148" s="37">
        <f>'8. Input IC huur Gasunie'!I101</f>
        <v>2021</v>
      </c>
      <c r="J148" s="42">
        <f>_xlfn.XLOOKUP(F148,'3. Input (des)investeringen '!$B$11:$B$81,'3. Input (des)investeringen '!$D$11:$D$81)</f>
        <v>30</v>
      </c>
      <c r="K148" s="42">
        <f>_xlfn.XLOOKUP(F148,'3. Input (des)investeringen '!$B$11:$B$81,'3. Input (des)investeringen '!$E$11:$E$81)</f>
        <v>0</v>
      </c>
      <c r="L148" s="42">
        <f>'8. Input IC huur Gasunie'!J101</f>
        <v>25541.383007029126</v>
      </c>
      <c r="M148" s="42">
        <f>'8. Input IC huur Gasunie'!K101</f>
        <v>0</v>
      </c>
    </row>
    <row r="149" spans="2:13">
      <c r="B149" s="37" t="str">
        <f>'8. Input IC huur Gasunie'!B102</f>
        <v>Asset 91</v>
      </c>
      <c r="F149" s="37" t="str">
        <f>'8. Input IC huur Gasunie'!F102</f>
        <v>11 Werktuigen</v>
      </c>
      <c r="G149" s="37">
        <f>'8. Input IC huur Gasunie'!G102</f>
        <v>2001</v>
      </c>
      <c r="H149" s="42">
        <f>'8. Input IC huur Gasunie'!H102</f>
        <v>11928.48</v>
      </c>
      <c r="I149" s="37">
        <f>'8. Input IC huur Gasunie'!I102</f>
        <v>2021</v>
      </c>
      <c r="J149" s="42">
        <f>_xlfn.XLOOKUP(F149,'3. Input (des)investeringen '!$B$11:$B$81,'3. Input (des)investeringen '!$D$11:$D$81)</f>
        <v>10</v>
      </c>
      <c r="K149" s="42">
        <f>_xlfn.XLOOKUP(F149,'3. Input (des)investeringen '!$B$11:$B$81,'3. Input (des)investeringen '!$E$11:$E$81)</f>
        <v>1</v>
      </c>
      <c r="L149" s="42">
        <f>'8. Input IC huur Gasunie'!J102</f>
        <v>0</v>
      </c>
      <c r="M149" s="42">
        <f>'8. Input IC huur Gasunie'!K102</f>
        <v>0</v>
      </c>
    </row>
    <row r="150" spans="2:13">
      <c r="B150" s="37" t="str">
        <f>'8. Input IC huur Gasunie'!B103</f>
        <v>Asset 92</v>
      </c>
      <c r="F150" s="37" t="str">
        <f>'8. Input IC huur Gasunie'!F103</f>
        <v>14 Overig rollend materieel</v>
      </c>
      <c r="G150" s="37">
        <f>'8. Input IC huur Gasunie'!G103</f>
        <v>2001</v>
      </c>
      <c r="H150" s="42">
        <f>'8. Input IC huur Gasunie'!H103</f>
        <v>70639.289999999994</v>
      </c>
      <c r="I150" s="37">
        <f>'8. Input IC huur Gasunie'!I103</f>
        <v>2021</v>
      </c>
      <c r="J150" s="42">
        <f>_xlfn.XLOOKUP(F150,'3. Input (des)investeringen '!$B$11:$B$81,'3. Input (des)investeringen '!$D$11:$D$81)</f>
        <v>10</v>
      </c>
      <c r="K150" s="42">
        <f>_xlfn.XLOOKUP(F150,'3. Input (des)investeringen '!$B$11:$B$81,'3. Input (des)investeringen '!$E$11:$E$81)</f>
        <v>1</v>
      </c>
      <c r="L150" s="42">
        <f>'8. Input IC huur Gasunie'!J103</f>
        <v>0</v>
      </c>
      <c r="M150" s="42">
        <f>'8. Input IC huur Gasunie'!K103</f>
        <v>0</v>
      </c>
    </row>
    <row r="151" spans="2:13">
      <c r="B151" s="37" t="str">
        <f>'8. Input IC huur Gasunie'!B104</f>
        <v>Asset 93</v>
      </c>
      <c r="F151" s="37" t="str">
        <f>'8. Input IC huur Gasunie'!F104</f>
        <v>09 Bedrijfsinventaris</v>
      </c>
      <c r="G151" s="37">
        <f>'8. Input IC huur Gasunie'!G104</f>
        <v>2001</v>
      </c>
      <c r="H151" s="42">
        <f>'8. Input IC huur Gasunie'!H104</f>
        <v>55051.729999999996</v>
      </c>
      <c r="I151" s="37">
        <f>'8. Input IC huur Gasunie'!I104</f>
        <v>2021</v>
      </c>
      <c r="J151" s="42">
        <f>_xlfn.XLOOKUP(F151,'3. Input (des)investeringen '!$B$11:$B$81,'3. Input (des)investeringen '!$D$11:$D$81)</f>
        <v>10</v>
      </c>
      <c r="K151" s="42">
        <f>_xlfn.XLOOKUP(F151,'3. Input (des)investeringen '!$B$11:$B$81,'3. Input (des)investeringen '!$E$11:$E$81)</f>
        <v>1</v>
      </c>
      <c r="L151" s="42">
        <f>'8. Input IC huur Gasunie'!J104</f>
        <v>0</v>
      </c>
      <c r="M151" s="42">
        <f>'8. Input IC huur Gasunie'!K104</f>
        <v>0</v>
      </c>
    </row>
    <row r="152" spans="2:13">
      <c r="B152" s="37" t="str">
        <f>'8. Input IC huur Gasunie'!B105</f>
        <v>Asset 94</v>
      </c>
      <c r="F152" s="37" t="str">
        <f>'8. Input IC huur Gasunie'!F105</f>
        <v>10 Gereedschap</v>
      </c>
      <c r="G152" s="37">
        <f>'8. Input IC huur Gasunie'!G105</f>
        <v>2002</v>
      </c>
      <c r="H152" s="42">
        <f>'8. Input IC huur Gasunie'!H105</f>
        <v>26546</v>
      </c>
      <c r="I152" s="37">
        <f>'8. Input IC huur Gasunie'!I105</f>
        <v>2021</v>
      </c>
      <c r="J152" s="42">
        <f>_xlfn.XLOOKUP(F152,'3. Input (des)investeringen '!$B$11:$B$81,'3. Input (des)investeringen '!$D$11:$D$81)</f>
        <v>10</v>
      </c>
      <c r="K152" s="42">
        <f>_xlfn.XLOOKUP(F152,'3. Input (des)investeringen '!$B$11:$B$81,'3. Input (des)investeringen '!$E$11:$E$81)</f>
        <v>1</v>
      </c>
      <c r="L152" s="42">
        <f>'8. Input IC huur Gasunie'!J105</f>
        <v>0</v>
      </c>
      <c r="M152" s="42">
        <f>'8. Input IC huur Gasunie'!K105</f>
        <v>0</v>
      </c>
    </row>
    <row r="153" spans="2:13">
      <c r="B153" s="37" t="str">
        <f>'8. Input IC huur Gasunie'!B106</f>
        <v>Asset 95</v>
      </c>
      <c r="F153" s="37" t="str">
        <f>'8. Input IC huur Gasunie'!F106</f>
        <v>03 Verremeting</v>
      </c>
      <c r="G153" s="37">
        <f>'8. Input IC huur Gasunie'!G106</f>
        <v>2001</v>
      </c>
      <c r="H153" s="42">
        <f>'8. Input IC huur Gasunie'!H106</f>
        <v>16968.61</v>
      </c>
      <c r="I153" s="37">
        <f>'8. Input IC huur Gasunie'!I106</f>
        <v>2021</v>
      </c>
      <c r="J153" s="42">
        <f>_xlfn.XLOOKUP(F153,'3. Input (des)investeringen '!$B$11:$B$81,'3. Input (des)investeringen '!$D$11:$D$81)</f>
        <v>5</v>
      </c>
      <c r="K153" s="42">
        <f>_xlfn.XLOOKUP(F153,'3. Input (des)investeringen '!$B$11:$B$81,'3. Input (des)investeringen '!$E$11:$E$81)</f>
        <v>1</v>
      </c>
      <c r="L153" s="42">
        <f>'8. Input IC huur Gasunie'!J106</f>
        <v>0</v>
      </c>
      <c r="M153" s="42">
        <f>'8. Input IC huur Gasunie'!K106</f>
        <v>0</v>
      </c>
    </row>
    <row r="154" spans="2:13">
      <c r="B154" s="37" t="str">
        <f>'8. Input IC huur Gasunie'!B107</f>
        <v>Asset 96</v>
      </c>
      <c r="F154" s="37" t="str">
        <f>'8. Input IC huur Gasunie'!F107</f>
        <v>08 Inrichting gebouwen</v>
      </c>
      <c r="G154" s="37">
        <f>'8. Input IC huur Gasunie'!G107</f>
        <v>2001</v>
      </c>
      <c r="H154" s="42">
        <f>'8. Input IC huur Gasunie'!H107</f>
        <v>7752.83</v>
      </c>
      <c r="I154" s="37">
        <f>'8. Input IC huur Gasunie'!I107</f>
        <v>2021</v>
      </c>
      <c r="J154" s="42">
        <f>_xlfn.XLOOKUP(F154,'3. Input (des)investeringen '!$B$11:$B$81,'3. Input (des)investeringen '!$D$11:$D$81)</f>
        <v>10</v>
      </c>
      <c r="K154" s="42">
        <f>_xlfn.XLOOKUP(F154,'3. Input (des)investeringen '!$B$11:$B$81,'3. Input (des)investeringen '!$E$11:$E$81)</f>
        <v>0</v>
      </c>
      <c r="L154" s="42">
        <f>'8. Input IC huur Gasunie'!J107</f>
        <v>0</v>
      </c>
      <c r="M154" s="42">
        <f>'8. Input IC huur Gasunie'!K107</f>
        <v>0</v>
      </c>
    </row>
    <row r="155" spans="2:13">
      <c r="B155" s="37" t="str">
        <f>'8. Input IC huur Gasunie'!B108</f>
        <v>Asset 97</v>
      </c>
      <c r="F155" s="37" t="str">
        <f>'8. Input IC huur Gasunie'!F108</f>
        <v>37 ICT middelen 1 (gaschromatografen en comptabele meting)</v>
      </c>
      <c r="G155" s="37">
        <f>'8. Input IC huur Gasunie'!G108</f>
        <v>2001</v>
      </c>
      <c r="H155" s="42">
        <f>'8. Input IC huur Gasunie'!H108</f>
        <v>757040.92</v>
      </c>
      <c r="I155" s="37">
        <f>'8. Input IC huur Gasunie'!I108</f>
        <v>2021</v>
      </c>
      <c r="J155" s="42">
        <f>_xlfn.XLOOKUP(F155,'3. Input (des)investeringen '!$B$11:$B$81,'3. Input (des)investeringen '!$D$11:$D$81)</f>
        <v>5</v>
      </c>
      <c r="K155" s="42">
        <f>_xlfn.XLOOKUP(F155,'3. Input (des)investeringen '!$B$11:$B$81,'3. Input (des)investeringen '!$E$11:$E$81)</f>
        <v>0</v>
      </c>
      <c r="L155" s="42">
        <f>'8. Input IC huur Gasunie'!J108</f>
        <v>0</v>
      </c>
      <c r="M155" s="42">
        <f>'8. Input IC huur Gasunie'!K108</f>
        <v>0</v>
      </c>
    </row>
    <row r="156" spans="2:13">
      <c r="B156" s="37" t="str">
        <f>'8. Input IC huur Gasunie'!B109</f>
        <v>Asset 98</v>
      </c>
      <c r="F156" s="37" t="str">
        <f>'8. Input IC huur Gasunie'!F109</f>
        <v>13 Aanhangwagens</v>
      </c>
      <c r="G156" s="37">
        <f>'8. Input IC huur Gasunie'!G109</f>
        <v>2001</v>
      </c>
      <c r="H156" s="42">
        <f>'8. Input IC huur Gasunie'!H109</f>
        <v>2746.92</v>
      </c>
      <c r="I156" s="37">
        <f>'8. Input IC huur Gasunie'!I109</f>
        <v>2021</v>
      </c>
      <c r="J156" s="42">
        <f>_xlfn.XLOOKUP(F156,'3. Input (des)investeringen '!$B$11:$B$81,'3. Input (des)investeringen '!$D$11:$D$81)</f>
        <v>10</v>
      </c>
      <c r="K156" s="42">
        <f>_xlfn.XLOOKUP(F156,'3. Input (des)investeringen '!$B$11:$B$81,'3. Input (des)investeringen '!$E$11:$E$81)</f>
        <v>1</v>
      </c>
      <c r="L156" s="42">
        <f>'8. Input IC huur Gasunie'!J109</f>
        <v>0</v>
      </c>
      <c r="M156" s="42">
        <f>'8. Input IC huur Gasunie'!K109</f>
        <v>0</v>
      </c>
    </row>
    <row r="157" spans="2:13">
      <c r="B157" s="37" t="str">
        <f>'8. Input IC huur Gasunie'!B110</f>
        <v>Asset 99</v>
      </c>
      <c r="F157" s="37" t="str">
        <f>'8. Input IC huur Gasunie'!F110</f>
        <v>11 Werktuigen</v>
      </c>
      <c r="G157" s="37">
        <f>'8. Input IC huur Gasunie'!G110</f>
        <v>2002</v>
      </c>
      <c r="H157" s="42">
        <f>'8. Input IC huur Gasunie'!H110</f>
        <v>108571.05</v>
      </c>
      <c r="I157" s="37">
        <f>'8. Input IC huur Gasunie'!I110</f>
        <v>2021</v>
      </c>
      <c r="J157" s="42">
        <f>_xlfn.XLOOKUP(F157,'3. Input (des)investeringen '!$B$11:$B$81,'3. Input (des)investeringen '!$D$11:$D$81)</f>
        <v>10</v>
      </c>
      <c r="K157" s="42">
        <f>_xlfn.XLOOKUP(F157,'3. Input (des)investeringen '!$B$11:$B$81,'3. Input (des)investeringen '!$E$11:$E$81)</f>
        <v>1</v>
      </c>
      <c r="L157" s="42">
        <f>'8. Input IC huur Gasunie'!J110</f>
        <v>0</v>
      </c>
      <c r="M157" s="42">
        <f>'8. Input IC huur Gasunie'!K110</f>
        <v>0</v>
      </c>
    </row>
    <row r="158" spans="2:13">
      <c r="B158" s="37" t="str">
        <f>'8. Input IC huur Gasunie'!B111</f>
        <v>Asset 100</v>
      </c>
      <c r="F158" s="37" t="str">
        <f>'8. Input IC huur Gasunie'!F111</f>
        <v>37 ICT middelen 1 (gaschromatografen en comptabele meting)</v>
      </c>
      <c r="G158" s="37">
        <f>'8. Input IC huur Gasunie'!G111</f>
        <v>2002</v>
      </c>
      <c r="H158" s="42">
        <f>'8. Input IC huur Gasunie'!H111</f>
        <v>27589.78</v>
      </c>
      <c r="I158" s="37">
        <f>'8. Input IC huur Gasunie'!I111</f>
        <v>2021</v>
      </c>
      <c r="J158" s="42">
        <f>_xlfn.XLOOKUP(F158,'3. Input (des)investeringen '!$B$11:$B$81,'3. Input (des)investeringen '!$D$11:$D$81)</f>
        <v>5</v>
      </c>
      <c r="K158" s="42">
        <f>_xlfn.XLOOKUP(F158,'3. Input (des)investeringen '!$B$11:$B$81,'3. Input (des)investeringen '!$E$11:$E$81)</f>
        <v>0</v>
      </c>
      <c r="L158" s="42">
        <f>'8. Input IC huur Gasunie'!J111</f>
        <v>0</v>
      </c>
      <c r="M158" s="42">
        <f>'8. Input IC huur Gasunie'!K111</f>
        <v>0</v>
      </c>
    </row>
    <row r="159" spans="2:13">
      <c r="B159" s="37" t="str">
        <f>'8. Input IC huur Gasunie'!B112</f>
        <v>Asset 101</v>
      </c>
      <c r="F159" s="37" t="str">
        <f>'8. Input IC huur Gasunie'!F112</f>
        <v>14 Overig rollend materieel</v>
      </c>
      <c r="G159" s="37">
        <f>'8. Input IC huur Gasunie'!G112</f>
        <v>2002</v>
      </c>
      <c r="H159" s="42">
        <f>'8. Input IC huur Gasunie'!H112</f>
        <v>7905</v>
      </c>
      <c r="I159" s="37">
        <f>'8. Input IC huur Gasunie'!I112</f>
        <v>2021</v>
      </c>
      <c r="J159" s="42">
        <f>_xlfn.XLOOKUP(F159,'3. Input (des)investeringen '!$B$11:$B$81,'3. Input (des)investeringen '!$D$11:$D$81)</f>
        <v>10</v>
      </c>
      <c r="K159" s="42">
        <f>_xlfn.XLOOKUP(F159,'3. Input (des)investeringen '!$B$11:$B$81,'3. Input (des)investeringen '!$E$11:$E$81)</f>
        <v>1</v>
      </c>
      <c r="L159" s="42">
        <f>'8. Input IC huur Gasunie'!J112</f>
        <v>0</v>
      </c>
      <c r="M159" s="42">
        <f>'8. Input IC huur Gasunie'!K112</f>
        <v>0</v>
      </c>
    </row>
    <row r="160" spans="2:13">
      <c r="B160" s="37" t="str">
        <f>'8. Input IC huur Gasunie'!B113</f>
        <v>Asset 102</v>
      </c>
      <c r="F160" s="37" t="str">
        <f>'8. Input IC huur Gasunie'!F113</f>
        <v>13 Aanhangwagens</v>
      </c>
      <c r="G160" s="37">
        <f>'8. Input IC huur Gasunie'!G113</f>
        <v>2002</v>
      </c>
      <c r="H160" s="42">
        <f>'8. Input IC huur Gasunie'!H113</f>
        <v>1243</v>
      </c>
      <c r="I160" s="37">
        <f>'8. Input IC huur Gasunie'!I113</f>
        <v>2021</v>
      </c>
      <c r="J160" s="42">
        <f>_xlfn.XLOOKUP(F160,'3. Input (des)investeringen '!$B$11:$B$81,'3. Input (des)investeringen '!$D$11:$D$81)</f>
        <v>10</v>
      </c>
      <c r="K160" s="42">
        <f>_xlfn.XLOOKUP(F160,'3. Input (des)investeringen '!$B$11:$B$81,'3. Input (des)investeringen '!$E$11:$E$81)</f>
        <v>1</v>
      </c>
      <c r="L160" s="42">
        <f>'8. Input IC huur Gasunie'!J113</f>
        <v>0</v>
      </c>
      <c r="M160" s="42">
        <f>'8. Input IC huur Gasunie'!K113</f>
        <v>0</v>
      </c>
    </row>
    <row r="161" spans="2:13">
      <c r="B161" s="37" t="str">
        <f>'8. Input IC huur Gasunie'!B114</f>
        <v>Asset 103</v>
      </c>
      <c r="F161" s="37" t="str">
        <f>'8. Input IC huur Gasunie'!F114</f>
        <v>06 Utiliteitsgebouwen</v>
      </c>
      <c r="G161" s="37">
        <f>'8. Input IC huur Gasunie'!G114</f>
        <v>2002</v>
      </c>
      <c r="H161" s="42">
        <f>'8. Input IC huur Gasunie'!H114</f>
        <v>68637.27</v>
      </c>
      <c r="I161" s="37">
        <f>'8. Input IC huur Gasunie'!I114</f>
        <v>2021</v>
      </c>
      <c r="J161" s="42">
        <f>_xlfn.XLOOKUP(F161,'3. Input (des)investeringen '!$B$11:$B$81,'3. Input (des)investeringen '!$D$11:$D$81)</f>
        <v>30</v>
      </c>
      <c r="K161" s="42">
        <f>_xlfn.XLOOKUP(F161,'3. Input (des)investeringen '!$B$11:$B$81,'3. Input (des)investeringen '!$E$11:$E$81)</f>
        <v>0</v>
      </c>
      <c r="L161" s="42">
        <f>'8. Input IC huur Gasunie'!J114</f>
        <v>33068.469795601901</v>
      </c>
      <c r="M161" s="42">
        <f>'8. Input IC huur Gasunie'!K114</f>
        <v>0</v>
      </c>
    </row>
    <row r="162" spans="2:13">
      <c r="B162" s="37" t="str">
        <f>'8. Input IC huur Gasunie'!B115</f>
        <v>Asset 104</v>
      </c>
      <c r="F162" s="37" t="str">
        <f>'8. Input IC huur Gasunie'!F115</f>
        <v>09 Bedrijfsinventaris</v>
      </c>
      <c r="G162" s="37">
        <f>'8. Input IC huur Gasunie'!G115</f>
        <v>2003</v>
      </c>
      <c r="H162" s="42">
        <f>'8. Input IC huur Gasunie'!H115</f>
        <v>108222.26</v>
      </c>
      <c r="I162" s="37">
        <f>'8. Input IC huur Gasunie'!I115</f>
        <v>2021</v>
      </c>
      <c r="J162" s="42">
        <f>_xlfn.XLOOKUP(F162,'3. Input (des)investeringen '!$B$11:$B$81,'3. Input (des)investeringen '!$D$11:$D$81)</f>
        <v>10</v>
      </c>
      <c r="K162" s="42">
        <f>_xlfn.XLOOKUP(F162,'3. Input (des)investeringen '!$B$11:$B$81,'3. Input (des)investeringen '!$E$11:$E$81)</f>
        <v>1</v>
      </c>
      <c r="L162" s="42">
        <f>'8. Input IC huur Gasunie'!J115</f>
        <v>0</v>
      </c>
      <c r="M162" s="42">
        <f>'8. Input IC huur Gasunie'!K115</f>
        <v>0</v>
      </c>
    </row>
    <row r="163" spans="2:13">
      <c r="B163" s="37" t="str">
        <f>'8. Input IC huur Gasunie'!B116</f>
        <v>Asset 105</v>
      </c>
      <c r="F163" s="37" t="str">
        <f>'8. Input IC huur Gasunie'!F116</f>
        <v>11 Werktuigen</v>
      </c>
      <c r="G163" s="37">
        <f>'8. Input IC huur Gasunie'!G116</f>
        <v>2003</v>
      </c>
      <c r="H163" s="42">
        <f>'8. Input IC huur Gasunie'!H116</f>
        <v>135681.9</v>
      </c>
      <c r="I163" s="37">
        <f>'8. Input IC huur Gasunie'!I116</f>
        <v>2021</v>
      </c>
      <c r="J163" s="42">
        <f>_xlfn.XLOOKUP(F163,'3. Input (des)investeringen '!$B$11:$B$81,'3. Input (des)investeringen '!$D$11:$D$81)</f>
        <v>10</v>
      </c>
      <c r="K163" s="42">
        <f>_xlfn.XLOOKUP(F163,'3. Input (des)investeringen '!$B$11:$B$81,'3. Input (des)investeringen '!$E$11:$E$81)</f>
        <v>1</v>
      </c>
      <c r="L163" s="42">
        <f>'8. Input IC huur Gasunie'!J116</f>
        <v>0</v>
      </c>
      <c r="M163" s="42">
        <f>'8. Input IC huur Gasunie'!K116</f>
        <v>0</v>
      </c>
    </row>
    <row r="164" spans="2:13">
      <c r="B164" s="37" t="str">
        <f>'8. Input IC huur Gasunie'!B117</f>
        <v>Asset 106</v>
      </c>
      <c r="F164" s="37" t="str">
        <f>'8. Input IC huur Gasunie'!F117</f>
        <v>37 ICT middelen 1</v>
      </c>
      <c r="G164" s="37">
        <f>'8. Input IC huur Gasunie'!G117</f>
        <v>2003</v>
      </c>
      <c r="H164" s="42">
        <f>'8. Input IC huur Gasunie'!H117</f>
        <v>869353.66999999993</v>
      </c>
      <c r="I164" s="37">
        <f>'8. Input IC huur Gasunie'!I117</f>
        <v>2021</v>
      </c>
      <c r="J164" s="42">
        <f>_xlfn.XLOOKUP(F164,'3. Input (des)investeringen '!$B$11:$B$81,'3. Input (des)investeringen '!$D$11:$D$81)</f>
        <v>5</v>
      </c>
      <c r="K164" s="42">
        <f>_xlfn.XLOOKUP(F164,'3. Input (des)investeringen '!$B$11:$B$81,'3. Input (des)investeringen '!$E$11:$E$81)</f>
        <v>1</v>
      </c>
      <c r="L164" s="42">
        <f>'8. Input IC huur Gasunie'!J117</f>
        <v>0</v>
      </c>
      <c r="M164" s="42">
        <f>'8. Input IC huur Gasunie'!K117</f>
        <v>0</v>
      </c>
    </row>
    <row r="165" spans="2:13">
      <c r="B165" s="37" t="str">
        <f>'8. Input IC huur Gasunie'!B118</f>
        <v>Asset 107</v>
      </c>
      <c r="F165" s="37" t="str">
        <f>'8. Input IC huur Gasunie'!F118</f>
        <v>37 ICT middelen 1 (gaschromatografen en comptabele meting)</v>
      </c>
      <c r="G165" s="37">
        <f>'8. Input IC huur Gasunie'!G118</f>
        <v>2003</v>
      </c>
      <c r="H165" s="42">
        <f>'8. Input IC huur Gasunie'!H118</f>
        <v>1210667.97</v>
      </c>
      <c r="I165" s="37">
        <f>'8. Input IC huur Gasunie'!I118</f>
        <v>2021</v>
      </c>
      <c r="J165" s="42">
        <f>_xlfn.XLOOKUP(F165,'3. Input (des)investeringen '!$B$11:$B$81,'3. Input (des)investeringen '!$D$11:$D$81)</f>
        <v>5</v>
      </c>
      <c r="K165" s="42">
        <f>_xlfn.XLOOKUP(F165,'3. Input (des)investeringen '!$B$11:$B$81,'3. Input (des)investeringen '!$E$11:$E$81)</f>
        <v>0</v>
      </c>
      <c r="L165" s="42">
        <f>'8. Input IC huur Gasunie'!J118</f>
        <v>0</v>
      </c>
      <c r="M165" s="42">
        <f>'8. Input IC huur Gasunie'!K118</f>
        <v>0</v>
      </c>
    </row>
    <row r="166" spans="2:13">
      <c r="B166" s="37" t="str">
        <f>'8. Input IC huur Gasunie'!B119</f>
        <v>Asset 108</v>
      </c>
      <c r="F166" s="37" t="str">
        <f>'8. Input IC huur Gasunie'!F119</f>
        <v>10 Gereedschap</v>
      </c>
      <c r="G166" s="37">
        <f>'8. Input IC huur Gasunie'!G119</f>
        <v>2003</v>
      </c>
      <c r="H166" s="42">
        <f>'8. Input IC huur Gasunie'!H119</f>
        <v>62325</v>
      </c>
      <c r="I166" s="37">
        <f>'8. Input IC huur Gasunie'!I119</f>
        <v>2021</v>
      </c>
      <c r="J166" s="42">
        <f>_xlfn.XLOOKUP(F166,'3. Input (des)investeringen '!$B$11:$B$81,'3. Input (des)investeringen '!$D$11:$D$81)</f>
        <v>10</v>
      </c>
      <c r="K166" s="42">
        <f>_xlfn.XLOOKUP(F166,'3. Input (des)investeringen '!$B$11:$B$81,'3. Input (des)investeringen '!$E$11:$E$81)</f>
        <v>1</v>
      </c>
      <c r="L166" s="42">
        <f>'8. Input IC huur Gasunie'!J119</f>
        <v>0</v>
      </c>
      <c r="M166" s="42">
        <f>'8. Input IC huur Gasunie'!K119</f>
        <v>0</v>
      </c>
    </row>
    <row r="167" spans="2:13">
      <c r="B167" s="37" t="str">
        <f>'8. Input IC huur Gasunie'!B120</f>
        <v>Asset 109</v>
      </c>
      <c r="F167" s="37" t="str">
        <f>'8. Input IC huur Gasunie'!F120</f>
        <v>06 Utiliteitsgebouwen</v>
      </c>
      <c r="G167" s="37">
        <f>'8. Input IC huur Gasunie'!G120</f>
        <v>2003</v>
      </c>
      <c r="H167" s="42">
        <f>'8. Input IC huur Gasunie'!H120</f>
        <v>206366.74</v>
      </c>
      <c r="I167" s="37">
        <f>'8. Input IC huur Gasunie'!I120</f>
        <v>2021</v>
      </c>
      <c r="J167" s="42">
        <f>_xlfn.XLOOKUP(F167,'3. Input (des)investeringen '!$B$11:$B$81,'3. Input (des)investeringen '!$D$11:$D$81)</f>
        <v>30</v>
      </c>
      <c r="K167" s="42">
        <f>_xlfn.XLOOKUP(F167,'3. Input (des)investeringen '!$B$11:$B$81,'3. Input (des)investeringen '!$E$11:$E$81)</f>
        <v>0</v>
      </c>
      <c r="L167" s="42">
        <f>'8. Input IC huur Gasunie'!J120</f>
        <v>105414.90479883776</v>
      </c>
      <c r="M167" s="42">
        <f>'8. Input IC huur Gasunie'!K120</f>
        <v>0</v>
      </c>
    </row>
    <row r="168" spans="2:13">
      <c r="B168" s="37" t="str">
        <f>'8. Input IC huur Gasunie'!B121</f>
        <v>Asset 110</v>
      </c>
      <c r="F168" s="37" t="str">
        <f>'8. Input IC huur Gasunie'!F121</f>
        <v>13 Aanhangwagens</v>
      </c>
      <c r="G168" s="37">
        <f>'8. Input IC huur Gasunie'!G121</f>
        <v>2003</v>
      </c>
      <c r="H168" s="42">
        <f>'8. Input IC huur Gasunie'!H121</f>
        <v>1830.54</v>
      </c>
      <c r="I168" s="37">
        <f>'8. Input IC huur Gasunie'!I121</f>
        <v>2021</v>
      </c>
      <c r="J168" s="42">
        <f>_xlfn.XLOOKUP(F168,'3. Input (des)investeringen '!$B$11:$B$81,'3. Input (des)investeringen '!$D$11:$D$81)</f>
        <v>10</v>
      </c>
      <c r="K168" s="42">
        <f>_xlfn.XLOOKUP(F168,'3. Input (des)investeringen '!$B$11:$B$81,'3. Input (des)investeringen '!$E$11:$E$81)</f>
        <v>1</v>
      </c>
      <c r="L168" s="42">
        <f>'8. Input IC huur Gasunie'!J121</f>
        <v>0</v>
      </c>
      <c r="M168" s="42">
        <f>'8. Input IC huur Gasunie'!K121</f>
        <v>0</v>
      </c>
    </row>
    <row r="169" spans="2:13">
      <c r="B169" s="37" t="str">
        <f>'8. Input IC huur Gasunie'!B122</f>
        <v>Asset 111</v>
      </c>
      <c r="F169" s="37" t="str">
        <f>'8. Input IC huur Gasunie'!F122</f>
        <v>37 ICT middelen 1</v>
      </c>
      <c r="G169" s="37">
        <f>'8. Input IC huur Gasunie'!G122</f>
        <v>2004</v>
      </c>
      <c r="H169" s="42">
        <f>'8. Input IC huur Gasunie'!H122</f>
        <v>2583848.4300000002</v>
      </c>
      <c r="I169" s="37">
        <f>'8. Input IC huur Gasunie'!I122</f>
        <v>2021</v>
      </c>
      <c r="J169" s="42">
        <f>_xlfn.XLOOKUP(F169,'3. Input (des)investeringen '!$B$11:$B$81,'3. Input (des)investeringen '!$D$11:$D$81)</f>
        <v>5</v>
      </c>
      <c r="K169" s="42">
        <f>_xlfn.XLOOKUP(F169,'3. Input (des)investeringen '!$B$11:$B$81,'3. Input (des)investeringen '!$E$11:$E$81)</f>
        <v>1</v>
      </c>
      <c r="L169" s="42">
        <f>'8. Input IC huur Gasunie'!J122</f>
        <v>0</v>
      </c>
      <c r="M169" s="42">
        <f>'8. Input IC huur Gasunie'!K122</f>
        <v>0</v>
      </c>
    </row>
    <row r="170" spans="2:13">
      <c r="B170" s="37" t="str">
        <f>'8. Input IC huur Gasunie'!B123</f>
        <v>Asset 112</v>
      </c>
      <c r="F170" s="37" t="str">
        <f>'8. Input IC huur Gasunie'!F123</f>
        <v>37 ICT middelen 1 (gaschromatografen en comptabele meting)</v>
      </c>
      <c r="G170" s="37">
        <f>'8. Input IC huur Gasunie'!G123</f>
        <v>2004</v>
      </c>
      <c r="H170" s="42">
        <f>'8. Input IC huur Gasunie'!H123</f>
        <v>263122.5</v>
      </c>
      <c r="I170" s="37">
        <f>'8. Input IC huur Gasunie'!I123</f>
        <v>2021</v>
      </c>
      <c r="J170" s="42">
        <f>_xlfn.XLOOKUP(F170,'3. Input (des)investeringen '!$B$11:$B$81,'3. Input (des)investeringen '!$D$11:$D$81)</f>
        <v>5</v>
      </c>
      <c r="K170" s="42">
        <f>_xlfn.XLOOKUP(F170,'3. Input (des)investeringen '!$B$11:$B$81,'3. Input (des)investeringen '!$E$11:$E$81)</f>
        <v>0</v>
      </c>
      <c r="L170" s="42">
        <f>'8. Input IC huur Gasunie'!J123</f>
        <v>0</v>
      </c>
      <c r="M170" s="42">
        <f>'8. Input IC huur Gasunie'!K123</f>
        <v>0</v>
      </c>
    </row>
    <row r="171" spans="2:13">
      <c r="B171" s="37" t="str">
        <f>'8. Input IC huur Gasunie'!B124</f>
        <v>Asset 113</v>
      </c>
      <c r="F171" s="37" t="str">
        <f>'8. Input IC huur Gasunie'!F124</f>
        <v>09 Bedrijfsinventaris</v>
      </c>
      <c r="G171" s="37">
        <f>'8. Input IC huur Gasunie'!G124</f>
        <v>2004</v>
      </c>
      <c r="H171" s="42">
        <f>'8. Input IC huur Gasunie'!H124</f>
        <v>142655</v>
      </c>
      <c r="I171" s="37">
        <f>'8. Input IC huur Gasunie'!I124</f>
        <v>2021</v>
      </c>
      <c r="J171" s="42">
        <f>_xlfn.XLOOKUP(F171,'3. Input (des)investeringen '!$B$11:$B$81,'3. Input (des)investeringen '!$D$11:$D$81)</f>
        <v>10</v>
      </c>
      <c r="K171" s="42">
        <f>_xlfn.XLOOKUP(F171,'3. Input (des)investeringen '!$B$11:$B$81,'3. Input (des)investeringen '!$E$11:$E$81)</f>
        <v>1</v>
      </c>
      <c r="L171" s="42">
        <f>'8. Input IC huur Gasunie'!J124</f>
        <v>0</v>
      </c>
      <c r="M171" s="42">
        <f>'8. Input IC huur Gasunie'!K124</f>
        <v>0</v>
      </c>
    </row>
    <row r="172" spans="2:13">
      <c r="B172" s="37" t="str">
        <f>'8. Input IC huur Gasunie'!B125</f>
        <v>Asset 114</v>
      </c>
      <c r="F172" s="37" t="str">
        <f>'8. Input IC huur Gasunie'!F125</f>
        <v>11 Werktuigen</v>
      </c>
      <c r="G172" s="37">
        <f>'8. Input IC huur Gasunie'!G125</f>
        <v>2004</v>
      </c>
      <c r="H172" s="42">
        <f>'8. Input IC huur Gasunie'!H125</f>
        <v>77020.09</v>
      </c>
      <c r="I172" s="37">
        <f>'8. Input IC huur Gasunie'!I125</f>
        <v>2021</v>
      </c>
      <c r="J172" s="42">
        <f>_xlfn.XLOOKUP(F172,'3. Input (des)investeringen '!$B$11:$B$81,'3. Input (des)investeringen '!$D$11:$D$81)</f>
        <v>10</v>
      </c>
      <c r="K172" s="42">
        <f>_xlfn.XLOOKUP(F172,'3. Input (des)investeringen '!$B$11:$B$81,'3. Input (des)investeringen '!$E$11:$E$81)</f>
        <v>1</v>
      </c>
      <c r="L172" s="42">
        <f>'8. Input IC huur Gasunie'!J125</f>
        <v>0</v>
      </c>
      <c r="M172" s="42">
        <f>'8. Input IC huur Gasunie'!K125</f>
        <v>0</v>
      </c>
    </row>
    <row r="173" spans="2:13">
      <c r="B173" s="37" t="str">
        <f>'8. Input IC huur Gasunie'!B126</f>
        <v>Asset 115</v>
      </c>
      <c r="F173" s="37" t="str">
        <f>'8. Input IC huur Gasunie'!F126</f>
        <v>14 Overig rollend materieel</v>
      </c>
      <c r="G173" s="37">
        <f>'8. Input IC huur Gasunie'!G126</f>
        <v>2004</v>
      </c>
      <c r="H173" s="42">
        <f>'8. Input IC huur Gasunie'!H126</f>
        <v>195332.07</v>
      </c>
      <c r="I173" s="37">
        <f>'8. Input IC huur Gasunie'!I126</f>
        <v>2021</v>
      </c>
      <c r="J173" s="42">
        <f>_xlfn.XLOOKUP(F173,'3. Input (des)investeringen '!$B$11:$B$81,'3. Input (des)investeringen '!$D$11:$D$81)</f>
        <v>10</v>
      </c>
      <c r="K173" s="42">
        <f>_xlfn.XLOOKUP(F173,'3. Input (des)investeringen '!$B$11:$B$81,'3. Input (des)investeringen '!$E$11:$E$81)</f>
        <v>1</v>
      </c>
      <c r="L173" s="42">
        <f>'8. Input IC huur Gasunie'!J126</f>
        <v>0</v>
      </c>
      <c r="M173" s="42">
        <f>'8. Input IC huur Gasunie'!K126</f>
        <v>0</v>
      </c>
    </row>
    <row r="174" spans="2:13">
      <c r="B174" s="37" t="str">
        <f>'8. Input IC huur Gasunie'!B127</f>
        <v>Asset 116</v>
      </c>
      <c r="F174" s="37" t="str">
        <f>'8. Input IC huur Gasunie'!F127</f>
        <v>13 Aanhangwagens</v>
      </c>
      <c r="G174" s="37">
        <f>'8. Input IC huur Gasunie'!G127</f>
        <v>2004</v>
      </c>
      <c r="H174" s="42">
        <f>'8. Input IC huur Gasunie'!H127</f>
        <v>1265</v>
      </c>
      <c r="I174" s="37">
        <f>'8. Input IC huur Gasunie'!I127</f>
        <v>2021</v>
      </c>
      <c r="J174" s="42">
        <f>_xlfn.XLOOKUP(F174,'3. Input (des)investeringen '!$B$11:$B$81,'3. Input (des)investeringen '!$D$11:$D$81)</f>
        <v>10</v>
      </c>
      <c r="K174" s="42">
        <f>_xlfn.XLOOKUP(F174,'3. Input (des)investeringen '!$B$11:$B$81,'3. Input (des)investeringen '!$E$11:$E$81)</f>
        <v>1</v>
      </c>
      <c r="L174" s="42">
        <f>'8. Input IC huur Gasunie'!J127</f>
        <v>0</v>
      </c>
      <c r="M174" s="42">
        <f>'8. Input IC huur Gasunie'!K127</f>
        <v>0</v>
      </c>
    </row>
    <row r="175" spans="2:13">
      <c r="B175" s="37" t="str">
        <f>'8. Input IC huur Gasunie'!B128</f>
        <v>Asset 117</v>
      </c>
      <c r="F175" s="37" t="str">
        <f>'8. Input IC huur Gasunie'!F128</f>
        <v>08 Inrichting gebouwen</v>
      </c>
      <c r="G175" s="37">
        <f>'8. Input IC huur Gasunie'!G128</f>
        <v>2004</v>
      </c>
      <c r="H175" s="42">
        <f>'8. Input IC huur Gasunie'!H128</f>
        <v>62865.23</v>
      </c>
      <c r="I175" s="37">
        <f>'8. Input IC huur Gasunie'!I128</f>
        <v>2021</v>
      </c>
      <c r="J175" s="42">
        <f>_xlfn.XLOOKUP(F175,'3. Input (des)investeringen '!$B$11:$B$81,'3. Input (des)investeringen '!$D$11:$D$81)</f>
        <v>10</v>
      </c>
      <c r="K175" s="42">
        <f>_xlfn.XLOOKUP(F175,'3. Input (des)investeringen '!$B$11:$B$81,'3. Input (des)investeringen '!$E$11:$E$81)</f>
        <v>0</v>
      </c>
      <c r="L175" s="42">
        <f>'8. Input IC huur Gasunie'!J128</f>
        <v>0</v>
      </c>
      <c r="M175" s="42">
        <f>'8. Input IC huur Gasunie'!K128</f>
        <v>0</v>
      </c>
    </row>
    <row r="176" spans="2:13">
      <c r="B176" s="37" t="str">
        <f>'8. Input IC huur Gasunie'!B129</f>
        <v>Asset 118</v>
      </c>
      <c r="F176" s="37" t="str">
        <f>'8. Input IC huur Gasunie'!F129</f>
        <v>12 Motorvoertuigen</v>
      </c>
      <c r="G176" s="37">
        <f>'8. Input IC huur Gasunie'!G129</f>
        <v>2004</v>
      </c>
      <c r="H176" s="42">
        <f>'8. Input IC huur Gasunie'!H129</f>
        <v>47369.03</v>
      </c>
      <c r="I176" s="37">
        <f>'8. Input IC huur Gasunie'!I129</f>
        <v>2021</v>
      </c>
      <c r="J176" s="42">
        <f>_xlfn.XLOOKUP(F176,'3. Input (des)investeringen '!$B$11:$B$81,'3. Input (des)investeringen '!$D$11:$D$81)</f>
        <v>10</v>
      </c>
      <c r="K176" s="42">
        <f>_xlfn.XLOOKUP(F176,'3. Input (des)investeringen '!$B$11:$B$81,'3. Input (des)investeringen '!$E$11:$E$81)</f>
        <v>1</v>
      </c>
      <c r="L176" s="42">
        <f>'8. Input IC huur Gasunie'!J129</f>
        <v>0</v>
      </c>
      <c r="M176" s="42">
        <f>'8. Input IC huur Gasunie'!K129</f>
        <v>0</v>
      </c>
    </row>
    <row r="177" spans="2:13">
      <c r="B177" s="37" t="str">
        <f>'8. Input IC huur Gasunie'!B130</f>
        <v>Asset 119</v>
      </c>
      <c r="F177" s="37" t="str">
        <f>'8. Input IC huur Gasunie'!F130</f>
        <v>06 Utiliteitsgebouwen</v>
      </c>
      <c r="G177" s="37">
        <f>'8. Input IC huur Gasunie'!G130</f>
        <v>2005</v>
      </c>
      <c r="H177" s="42">
        <f>'8. Input IC huur Gasunie'!H130</f>
        <v>13716.41</v>
      </c>
      <c r="I177" s="37">
        <f>'8. Input IC huur Gasunie'!I130</f>
        <v>2021</v>
      </c>
      <c r="J177" s="42">
        <f>_xlfn.XLOOKUP(F177,'3. Input (des)investeringen '!$B$11:$B$81,'3. Input (des)investeringen '!$D$11:$D$81)</f>
        <v>30</v>
      </c>
      <c r="K177" s="42">
        <f>_xlfn.XLOOKUP(F177,'3. Input (des)investeringen '!$B$11:$B$81,'3. Input (des)investeringen '!$E$11:$E$81)</f>
        <v>0</v>
      </c>
      <c r="L177" s="42">
        <f>'8. Input IC huur Gasunie'!J130</f>
        <v>7968.2289834864932</v>
      </c>
      <c r="M177" s="42">
        <f>'8. Input IC huur Gasunie'!K130</f>
        <v>0</v>
      </c>
    </row>
    <row r="178" spans="2:13">
      <c r="B178" s="37" t="str">
        <f>'8. Input IC huur Gasunie'!B131</f>
        <v>Asset 120</v>
      </c>
      <c r="F178" s="37" t="str">
        <f>'8. Input IC huur Gasunie'!F131</f>
        <v>13 Aanhangwagens</v>
      </c>
      <c r="G178" s="37">
        <f>'8. Input IC huur Gasunie'!G131</f>
        <v>2005</v>
      </c>
      <c r="H178" s="42">
        <f>'8. Input IC huur Gasunie'!H131</f>
        <v>5690.5</v>
      </c>
      <c r="I178" s="37">
        <f>'8. Input IC huur Gasunie'!I131</f>
        <v>2021</v>
      </c>
      <c r="J178" s="42">
        <f>_xlfn.XLOOKUP(F178,'3. Input (des)investeringen '!$B$11:$B$81,'3. Input (des)investeringen '!$D$11:$D$81)</f>
        <v>10</v>
      </c>
      <c r="K178" s="42">
        <f>_xlfn.XLOOKUP(F178,'3. Input (des)investeringen '!$B$11:$B$81,'3. Input (des)investeringen '!$E$11:$E$81)</f>
        <v>1</v>
      </c>
      <c r="L178" s="42">
        <f>'8. Input IC huur Gasunie'!J131</f>
        <v>0</v>
      </c>
      <c r="M178" s="42">
        <f>'8. Input IC huur Gasunie'!K131</f>
        <v>0</v>
      </c>
    </row>
    <row r="179" spans="2:13">
      <c r="B179" s="37" t="str">
        <f>'8. Input IC huur Gasunie'!B132</f>
        <v>Asset 121</v>
      </c>
      <c r="F179" s="37" t="str">
        <f>'8. Input IC huur Gasunie'!F132</f>
        <v>08 Inrichting gebouwen</v>
      </c>
      <c r="G179" s="37">
        <f>'8. Input IC huur Gasunie'!G132</f>
        <v>2005</v>
      </c>
      <c r="H179" s="42">
        <f>'8. Input IC huur Gasunie'!H132</f>
        <v>149702.98000000001</v>
      </c>
      <c r="I179" s="37">
        <f>'8. Input IC huur Gasunie'!I132</f>
        <v>2021</v>
      </c>
      <c r="J179" s="42">
        <f>_xlfn.XLOOKUP(F179,'3. Input (des)investeringen '!$B$11:$B$81,'3. Input (des)investeringen '!$D$11:$D$81)</f>
        <v>10</v>
      </c>
      <c r="K179" s="42">
        <f>_xlfn.XLOOKUP(F179,'3. Input (des)investeringen '!$B$11:$B$81,'3. Input (des)investeringen '!$E$11:$E$81)</f>
        <v>0</v>
      </c>
      <c r="L179" s="42">
        <f>'8. Input IC huur Gasunie'!J132</f>
        <v>0</v>
      </c>
      <c r="M179" s="42">
        <f>'8. Input IC huur Gasunie'!K132</f>
        <v>0</v>
      </c>
    </row>
    <row r="180" spans="2:13">
      <c r="B180" s="37" t="str">
        <f>'8. Input IC huur Gasunie'!B133</f>
        <v>Asset 122</v>
      </c>
      <c r="F180" s="37" t="str">
        <f>'8. Input IC huur Gasunie'!F133</f>
        <v>12 Motorvoertuigen</v>
      </c>
      <c r="G180" s="37">
        <f>'8. Input IC huur Gasunie'!G133</f>
        <v>2005</v>
      </c>
      <c r="H180" s="42">
        <f>'8. Input IC huur Gasunie'!H133</f>
        <v>144500</v>
      </c>
      <c r="I180" s="37">
        <f>'8. Input IC huur Gasunie'!I133</f>
        <v>2021</v>
      </c>
      <c r="J180" s="42">
        <f>_xlfn.XLOOKUP(F180,'3. Input (des)investeringen '!$B$11:$B$81,'3. Input (des)investeringen '!$D$11:$D$81)</f>
        <v>10</v>
      </c>
      <c r="K180" s="42">
        <f>_xlfn.XLOOKUP(F180,'3. Input (des)investeringen '!$B$11:$B$81,'3. Input (des)investeringen '!$E$11:$E$81)</f>
        <v>1</v>
      </c>
      <c r="L180" s="42">
        <f>'8. Input IC huur Gasunie'!J133</f>
        <v>0</v>
      </c>
      <c r="M180" s="42">
        <f>'8. Input IC huur Gasunie'!K133</f>
        <v>0</v>
      </c>
    </row>
    <row r="181" spans="2:13">
      <c r="B181" s="37" t="str">
        <f>'8. Input IC huur Gasunie'!B134</f>
        <v>Asset 123</v>
      </c>
      <c r="F181" s="37" t="str">
        <f>'8. Input IC huur Gasunie'!F134</f>
        <v>09 Bedrijfsinventaris</v>
      </c>
      <c r="G181" s="37">
        <f>'8. Input IC huur Gasunie'!G134</f>
        <v>2005</v>
      </c>
      <c r="H181" s="42">
        <f>'8. Input IC huur Gasunie'!H134</f>
        <v>22500</v>
      </c>
      <c r="I181" s="37">
        <f>'8. Input IC huur Gasunie'!I134</f>
        <v>2021</v>
      </c>
      <c r="J181" s="42">
        <f>_xlfn.XLOOKUP(F181,'3. Input (des)investeringen '!$B$11:$B$81,'3. Input (des)investeringen '!$D$11:$D$81)</f>
        <v>10</v>
      </c>
      <c r="K181" s="42">
        <f>_xlfn.XLOOKUP(F181,'3. Input (des)investeringen '!$B$11:$B$81,'3. Input (des)investeringen '!$E$11:$E$81)</f>
        <v>1</v>
      </c>
      <c r="L181" s="42">
        <f>'8. Input IC huur Gasunie'!J134</f>
        <v>0</v>
      </c>
      <c r="M181" s="42">
        <f>'8. Input IC huur Gasunie'!K134</f>
        <v>0</v>
      </c>
    </row>
    <row r="182" spans="2:13">
      <c r="B182" s="37" t="str">
        <f>'8. Input IC huur Gasunie'!B135</f>
        <v>Asset 124</v>
      </c>
      <c r="F182" s="37" t="str">
        <f>'8. Input IC huur Gasunie'!F135</f>
        <v>14 Overig rollend materieel</v>
      </c>
      <c r="G182" s="37">
        <f>'8. Input IC huur Gasunie'!G135</f>
        <v>2006</v>
      </c>
      <c r="H182" s="42">
        <f>'8. Input IC huur Gasunie'!H135</f>
        <v>23374</v>
      </c>
      <c r="I182" s="37">
        <f>'8. Input IC huur Gasunie'!I135</f>
        <v>2021</v>
      </c>
      <c r="J182" s="42">
        <f>_xlfn.XLOOKUP(F182,'3. Input (des)investeringen '!$B$11:$B$81,'3. Input (des)investeringen '!$D$11:$D$81)</f>
        <v>10</v>
      </c>
      <c r="K182" s="42">
        <f>_xlfn.XLOOKUP(F182,'3. Input (des)investeringen '!$B$11:$B$81,'3. Input (des)investeringen '!$E$11:$E$81)</f>
        <v>1</v>
      </c>
      <c r="L182" s="42">
        <f>'8. Input IC huur Gasunie'!J135</f>
        <v>0</v>
      </c>
      <c r="M182" s="42">
        <f>'8. Input IC huur Gasunie'!K135</f>
        <v>0</v>
      </c>
    </row>
    <row r="183" spans="2:13">
      <c r="B183" s="37" t="str">
        <f>'8. Input IC huur Gasunie'!B136</f>
        <v>Asset 125</v>
      </c>
      <c r="F183" s="37" t="str">
        <f>'8. Input IC huur Gasunie'!F136</f>
        <v>06 Utiliteitsgebouwen</v>
      </c>
      <c r="G183" s="37">
        <f>'8. Input IC huur Gasunie'!G136</f>
        <v>2006</v>
      </c>
      <c r="H183" s="42">
        <f>'8. Input IC huur Gasunie'!H136</f>
        <v>216791.4</v>
      </c>
      <c r="I183" s="37">
        <f>'8. Input IC huur Gasunie'!I136</f>
        <v>2021</v>
      </c>
      <c r="J183" s="42">
        <f>_xlfn.XLOOKUP(F183,'3. Input (des)investeringen '!$B$11:$B$81,'3. Input (des)investeringen '!$D$11:$D$81)</f>
        <v>30</v>
      </c>
      <c r="K183" s="42">
        <f>_xlfn.XLOOKUP(F183,'3. Input (des)investeringen '!$B$11:$B$81,'3. Input (des)investeringen '!$E$11:$E$81)</f>
        <v>0</v>
      </c>
      <c r="L183" s="42">
        <f>'8. Input IC huur Gasunie'!J136</f>
        <v>132877.0119526372</v>
      </c>
      <c r="M183" s="42">
        <f>'8. Input IC huur Gasunie'!K136</f>
        <v>0</v>
      </c>
    </row>
    <row r="184" spans="2:13">
      <c r="B184" s="37" t="str">
        <f>'8. Input IC huur Gasunie'!B137</f>
        <v>Asset 126</v>
      </c>
      <c r="F184" s="37" t="str">
        <f>'8. Input IC huur Gasunie'!F137</f>
        <v>11 Werktuigen</v>
      </c>
      <c r="G184" s="37">
        <f>'8. Input IC huur Gasunie'!G137</f>
        <v>2006</v>
      </c>
      <c r="H184" s="42">
        <f>'8. Input IC huur Gasunie'!H137</f>
        <v>39984.959999999999</v>
      </c>
      <c r="I184" s="37">
        <f>'8. Input IC huur Gasunie'!I137</f>
        <v>2021</v>
      </c>
      <c r="J184" s="42">
        <f>_xlfn.XLOOKUP(F184,'3. Input (des)investeringen '!$B$11:$B$81,'3. Input (des)investeringen '!$D$11:$D$81)</f>
        <v>10</v>
      </c>
      <c r="K184" s="42">
        <f>_xlfn.XLOOKUP(F184,'3. Input (des)investeringen '!$B$11:$B$81,'3. Input (des)investeringen '!$E$11:$E$81)</f>
        <v>1</v>
      </c>
      <c r="L184" s="42">
        <f>'8. Input IC huur Gasunie'!J137</f>
        <v>0</v>
      </c>
      <c r="M184" s="42">
        <f>'8. Input IC huur Gasunie'!K137</f>
        <v>0</v>
      </c>
    </row>
    <row r="185" spans="2:13">
      <c r="B185" s="37" t="str">
        <f>'8. Input IC huur Gasunie'!B138</f>
        <v>Asset 127</v>
      </c>
      <c r="F185" s="37" t="str">
        <f>'8. Input IC huur Gasunie'!F138</f>
        <v>06 Utiliteitsgebouwen</v>
      </c>
      <c r="G185" s="37">
        <f>'8. Input IC huur Gasunie'!G138</f>
        <v>2007</v>
      </c>
      <c r="H185" s="42">
        <f>'8. Input IC huur Gasunie'!H138</f>
        <v>25858.771191949236</v>
      </c>
      <c r="I185" s="37">
        <f>'8. Input IC huur Gasunie'!I138</f>
        <v>2021</v>
      </c>
      <c r="J185" s="42">
        <f>_xlfn.XLOOKUP(F185,'3. Input (des)investeringen '!$B$11:$B$81,'3. Input (des)investeringen '!$D$11:$D$81)</f>
        <v>30</v>
      </c>
      <c r="K185" s="42">
        <f>_xlfn.XLOOKUP(F185,'3. Input (des)investeringen '!$B$11:$B$81,'3. Input (des)investeringen '!$E$11:$E$81)</f>
        <v>0</v>
      </c>
      <c r="L185" s="42">
        <f>'8. Input IC huur Gasunie'!J138</f>
        <v>16708.652536273155</v>
      </c>
      <c r="M185" s="42">
        <f>'8. Input IC huur Gasunie'!K138</f>
        <v>0</v>
      </c>
    </row>
    <row r="186" spans="2:13">
      <c r="B186" s="37" t="str">
        <f>'8. Input IC huur Gasunie'!B139</f>
        <v>Asset 128</v>
      </c>
      <c r="F186" s="37" t="str">
        <f>'8. Input IC huur Gasunie'!F139</f>
        <v>11 Werktuigen</v>
      </c>
      <c r="G186" s="37">
        <f>'8. Input IC huur Gasunie'!G139</f>
        <v>2007</v>
      </c>
      <c r="H186" s="42">
        <f>'8. Input IC huur Gasunie'!H139</f>
        <v>1088351.8199999998</v>
      </c>
      <c r="I186" s="37">
        <f>'8. Input IC huur Gasunie'!I139</f>
        <v>2021</v>
      </c>
      <c r="J186" s="42">
        <f>_xlfn.XLOOKUP(F186,'3. Input (des)investeringen '!$B$11:$B$81,'3. Input (des)investeringen '!$D$11:$D$81)</f>
        <v>10</v>
      </c>
      <c r="K186" s="42">
        <f>_xlfn.XLOOKUP(F186,'3. Input (des)investeringen '!$B$11:$B$81,'3. Input (des)investeringen '!$E$11:$E$81)</f>
        <v>1</v>
      </c>
      <c r="L186" s="42">
        <f>'8. Input IC huur Gasunie'!J139</f>
        <v>0</v>
      </c>
      <c r="M186" s="42">
        <f>'8. Input IC huur Gasunie'!K139</f>
        <v>0</v>
      </c>
    </row>
    <row r="187" spans="2:13">
      <c r="B187" s="37" t="str">
        <f>'8. Input IC huur Gasunie'!B140</f>
        <v>Asset 129</v>
      </c>
      <c r="F187" s="37" t="str">
        <f>'8. Input IC huur Gasunie'!F140</f>
        <v>14 Overig rollend materieel</v>
      </c>
      <c r="G187" s="37">
        <f>'8. Input IC huur Gasunie'!G140</f>
        <v>2007</v>
      </c>
      <c r="H187" s="42">
        <f>'8. Input IC huur Gasunie'!H140</f>
        <v>661943.85</v>
      </c>
      <c r="I187" s="37">
        <f>'8. Input IC huur Gasunie'!I140</f>
        <v>2021</v>
      </c>
      <c r="J187" s="42">
        <f>_xlfn.XLOOKUP(F187,'3. Input (des)investeringen '!$B$11:$B$81,'3. Input (des)investeringen '!$D$11:$D$81)</f>
        <v>10</v>
      </c>
      <c r="K187" s="42">
        <f>_xlfn.XLOOKUP(F187,'3. Input (des)investeringen '!$B$11:$B$81,'3. Input (des)investeringen '!$E$11:$E$81)</f>
        <v>1</v>
      </c>
      <c r="L187" s="42">
        <f>'8. Input IC huur Gasunie'!J140</f>
        <v>0</v>
      </c>
      <c r="M187" s="42">
        <f>'8. Input IC huur Gasunie'!K140</f>
        <v>0</v>
      </c>
    </row>
    <row r="188" spans="2:13">
      <c r="B188" s="37" t="str">
        <f>'8. Input IC huur Gasunie'!B141</f>
        <v>Asset 130</v>
      </c>
      <c r="F188" s="37" t="str">
        <f>'8. Input IC huur Gasunie'!F141</f>
        <v>12 Motorvoertuigen</v>
      </c>
      <c r="G188" s="37">
        <f>'8. Input IC huur Gasunie'!G141</f>
        <v>2007</v>
      </c>
      <c r="H188" s="42">
        <f>'8. Input IC huur Gasunie'!H141</f>
        <v>154091.65000000002</v>
      </c>
      <c r="I188" s="37">
        <f>'8. Input IC huur Gasunie'!I141</f>
        <v>2021</v>
      </c>
      <c r="J188" s="42">
        <f>_xlfn.XLOOKUP(F188,'3. Input (des)investeringen '!$B$11:$B$81,'3. Input (des)investeringen '!$D$11:$D$81)</f>
        <v>10</v>
      </c>
      <c r="K188" s="42">
        <f>_xlfn.XLOOKUP(F188,'3. Input (des)investeringen '!$B$11:$B$81,'3. Input (des)investeringen '!$E$11:$E$81)</f>
        <v>1</v>
      </c>
      <c r="L188" s="42">
        <f>'8. Input IC huur Gasunie'!J141</f>
        <v>0</v>
      </c>
      <c r="M188" s="42">
        <f>'8. Input IC huur Gasunie'!K141</f>
        <v>0</v>
      </c>
    </row>
    <row r="189" spans="2:13">
      <c r="B189" s="37" t="str">
        <f>'8. Input IC huur Gasunie'!B142</f>
        <v>Asset 131</v>
      </c>
      <c r="F189" s="37" t="str">
        <f>'8. Input IC huur Gasunie'!F142</f>
        <v>05 Wegen en terreinvoorzieningen</v>
      </c>
      <c r="G189" s="37">
        <f>'8. Input IC huur Gasunie'!G142</f>
        <v>2007</v>
      </c>
      <c r="H189" s="42">
        <f>'8. Input IC huur Gasunie'!H142</f>
        <v>79744.08</v>
      </c>
      <c r="I189" s="37">
        <f>'8. Input IC huur Gasunie'!I142</f>
        <v>2021</v>
      </c>
      <c r="J189" s="42">
        <f>_xlfn.XLOOKUP(F189,'3. Input (des)investeringen '!$B$11:$B$81,'3. Input (des)investeringen '!$D$11:$D$81)</f>
        <v>10</v>
      </c>
      <c r="K189" s="42">
        <f>_xlfn.XLOOKUP(F189,'3. Input (des)investeringen '!$B$11:$B$81,'3. Input (des)investeringen '!$E$11:$E$81)</f>
        <v>0</v>
      </c>
      <c r="L189" s="42">
        <f>'8. Input IC huur Gasunie'!J142</f>
        <v>0</v>
      </c>
      <c r="M189" s="42">
        <f>'8. Input IC huur Gasunie'!K142</f>
        <v>0</v>
      </c>
    </row>
    <row r="190" spans="2:13">
      <c r="B190" s="37" t="str">
        <f>'8. Input IC huur Gasunie'!B143</f>
        <v>Asset 132</v>
      </c>
      <c r="F190" s="37" t="str">
        <f>'8. Input IC huur Gasunie'!F143</f>
        <v>20 Kantoorgebouwen</v>
      </c>
      <c r="G190" s="37">
        <f>'8. Input IC huur Gasunie'!G143</f>
        <v>2008</v>
      </c>
      <c r="H190" s="42">
        <f>'8. Input IC huur Gasunie'!H143</f>
        <v>4978200.5000000009</v>
      </c>
      <c r="I190" s="37">
        <f>'8. Input IC huur Gasunie'!I143</f>
        <v>2021</v>
      </c>
      <c r="J190" s="42">
        <f>_xlfn.XLOOKUP(F190,'3. Input (des)investeringen '!$B$11:$B$81,'3. Input (des)investeringen '!$D$11:$D$81)</f>
        <v>30</v>
      </c>
      <c r="K190" s="42">
        <f>_xlfn.XLOOKUP(F190,'3. Input (des)investeringen '!$B$11:$B$81,'3. Input (des)investeringen '!$E$11:$E$81)</f>
        <v>0</v>
      </c>
      <c r="L190" s="42">
        <f>'8. Input IC huur Gasunie'!J143</f>
        <v>3386936.2239016104</v>
      </c>
      <c r="M190" s="42">
        <f>'8. Input IC huur Gasunie'!K143</f>
        <v>0</v>
      </c>
    </row>
    <row r="191" spans="2:13">
      <c r="B191" s="37" t="str">
        <f>'8. Input IC huur Gasunie'!B144</f>
        <v>Asset 133</v>
      </c>
      <c r="F191" s="37" t="str">
        <f>'8. Input IC huur Gasunie'!F144</f>
        <v>06 Utiliteitsgebouwen</v>
      </c>
      <c r="G191" s="37">
        <f>'8. Input IC huur Gasunie'!G144</f>
        <v>2008</v>
      </c>
      <c r="H191" s="42">
        <f>'8. Input IC huur Gasunie'!H144</f>
        <v>233293.04544821067</v>
      </c>
      <c r="I191" s="37">
        <f>'8. Input IC huur Gasunie'!I144</f>
        <v>2021</v>
      </c>
      <c r="J191" s="42">
        <f>_xlfn.XLOOKUP(F191,'3. Input (des)investeringen '!$B$11:$B$81,'3. Input (des)investeringen '!$D$11:$D$81)</f>
        <v>30</v>
      </c>
      <c r="K191" s="42">
        <f>_xlfn.XLOOKUP(F191,'3. Input (des)investeringen '!$B$11:$B$81,'3. Input (des)investeringen '!$E$11:$E$81)</f>
        <v>0</v>
      </c>
      <c r="L191" s="42">
        <f>'8. Input IC huur Gasunie'!J144</f>
        <v>158721.74421517763</v>
      </c>
      <c r="M191" s="42">
        <f>'8. Input IC huur Gasunie'!K144</f>
        <v>0</v>
      </c>
    </row>
    <row r="192" spans="2:13">
      <c r="B192" s="37" t="str">
        <f>'8. Input IC huur Gasunie'!B145</f>
        <v>Asset 134</v>
      </c>
      <c r="F192" s="37" t="str">
        <f>'8. Input IC huur Gasunie'!F145</f>
        <v>10 Gereedschap</v>
      </c>
      <c r="G192" s="37">
        <f>'8. Input IC huur Gasunie'!G145</f>
        <v>2008</v>
      </c>
      <c r="H192" s="42">
        <f>'8. Input IC huur Gasunie'!H145</f>
        <v>178157.88</v>
      </c>
      <c r="I192" s="37">
        <f>'8. Input IC huur Gasunie'!I145</f>
        <v>2021</v>
      </c>
      <c r="J192" s="42">
        <f>_xlfn.XLOOKUP(F192,'3. Input (des)investeringen '!$B$11:$B$81,'3. Input (des)investeringen '!$D$11:$D$81)</f>
        <v>10</v>
      </c>
      <c r="K192" s="42">
        <f>_xlfn.XLOOKUP(F192,'3. Input (des)investeringen '!$B$11:$B$81,'3. Input (des)investeringen '!$E$11:$E$81)</f>
        <v>1</v>
      </c>
      <c r="L192" s="42">
        <f>'8. Input IC huur Gasunie'!J145</f>
        <v>0</v>
      </c>
      <c r="M192" s="42">
        <f>'8. Input IC huur Gasunie'!K145</f>
        <v>0</v>
      </c>
    </row>
    <row r="193" spans="2:13">
      <c r="B193" s="37" t="str">
        <f>'8. Input IC huur Gasunie'!B146</f>
        <v>Asset 135</v>
      </c>
      <c r="F193" s="37" t="str">
        <f>'8. Input IC huur Gasunie'!F146</f>
        <v>14 Overig rollend materieel</v>
      </c>
      <c r="G193" s="37">
        <f>'8. Input IC huur Gasunie'!G146</f>
        <v>2008</v>
      </c>
      <c r="H193" s="42">
        <f>'8. Input IC huur Gasunie'!H146</f>
        <v>1299449.8500000001</v>
      </c>
      <c r="I193" s="37">
        <f>'8. Input IC huur Gasunie'!I146</f>
        <v>2021</v>
      </c>
      <c r="J193" s="42">
        <f>_xlfn.XLOOKUP(F193,'3. Input (des)investeringen '!$B$11:$B$81,'3. Input (des)investeringen '!$D$11:$D$81)</f>
        <v>10</v>
      </c>
      <c r="K193" s="42">
        <f>_xlfn.XLOOKUP(F193,'3. Input (des)investeringen '!$B$11:$B$81,'3. Input (des)investeringen '!$E$11:$E$81)</f>
        <v>1</v>
      </c>
      <c r="L193" s="42">
        <f>'8. Input IC huur Gasunie'!J146</f>
        <v>0</v>
      </c>
      <c r="M193" s="42">
        <f>'8. Input IC huur Gasunie'!K146</f>
        <v>0</v>
      </c>
    </row>
    <row r="194" spans="2:13">
      <c r="B194" s="37" t="str">
        <f>'8. Input IC huur Gasunie'!B147</f>
        <v>Asset 136</v>
      </c>
      <c r="F194" s="37" t="str">
        <f>'8. Input IC huur Gasunie'!F147</f>
        <v>37 ICT middelen 1 (gaschromatografen en comptabele meting)</v>
      </c>
      <c r="G194" s="37">
        <f>'8. Input IC huur Gasunie'!G147</f>
        <v>2008</v>
      </c>
      <c r="H194" s="42">
        <f>'8. Input IC huur Gasunie'!H147</f>
        <v>8310.1200000000008</v>
      </c>
      <c r="I194" s="37">
        <f>'8. Input IC huur Gasunie'!I147</f>
        <v>2021</v>
      </c>
      <c r="J194" s="42">
        <f>_xlfn.XLOOKUP(F194,'3. Input (des)investeringen '!$B$11:$B$81,'3. Input (des)investeringen '!$D$11:$D$81)</f>
        <v>5</v>
      </c>
      <c r="K194" s="42">
        <f>_xlfn.XLOOKUP(F194,'3. Input (des)investeringen '!$B$11:$B$81,'3. Input (des)investeringen '!$E$11:$E$81)</f>
        <v>0</v>
      </c>
      <c r="L194" s="42">
        <f>'8. Input IC huur Gasunie'!J147</f>
        <v>0</v>
      </c>
      <c r="M194" s="42">
        <f>'8. Input IC huur Gasunie'!K147</f>
        <v>0</v>
      </c>
    </row>
    <row r="195" spans="2:13">
      <c r="B195" s="37" t="str">
        <f>'8. Input IC huur Gasunie'!B148</f>
        <v>Asset 137</v>
      </c>
      <c r="F195" s="37" t="str">
        <f>'8. Input IC huur Gasunie'!F148</f>
        <v>11 Werktuigen</v>
      </c>
      <c r="G195" s="37">
        <f>'8. Input IC huur Gasunie'!G148</f>
        <v>2008</v>
      </c>
      <c r="H195" s="42">
        <f>'8. Input IC huur Gasunie'!H148</f>
        <v>427546.18</v>
      </c>
      <c r="I195" s="37">
        <f>'8. Input IC huur Gasunie'!I148</f>
        <v>2021</v>
      </c>
      <c r="J195" s="42">
        <f>_xlfn.XLOOKUP(F195,'3. Input (des)investeringen '!$B$11:$B$81,'3. Input (des)investeringen '!$D$11:$D$81)</f>
        <v>10</v>
      </c>
      <c r="K195" s="42">
        <f>_xlfn.XLOOKUP(F195,'3. Input (des)investeringen '!$B$11:$B$81,'3. Input (des)investeringen '!$E$11:$E$81)</f>
        <v>1</v>
      </c>
      <c r="L195" s="42">
        <f>'8. Input IC huur Gasunie'!J148</f>
        <v>0</v>
      </c>
      <c r="M195" s="42">
        <f>'8. Input IC huur Gasunie'!K148</f>
        <v>0</v>
      </c>
    </row>
    <row r="196" spans="2:13">
      <c r="B196" s="37" t="str">
        <f>'8. Input IC huur Gasunie'!B149</f>
        <v>Asset 138</v>
      </c>
      <c r="F196" s="37" t="str">
        <f>'8. Input IC huur Gasunie'!F149</f>
        <v>08 Inrichting gebouwen</v>
      </c>
      <c r="G196" s="37">
        <f>'8. Input IC huur Gasunie'!G149</f>
        <v>2008</v>
      </c>
      <c r="H196" s="42">
        <f>'8. Input IC huur Gasunie'!H149</f>
        <v>1194171.3899999999</v>
      </c>
      <c r="I196" s="37">
        <f>'8. Input IC huur Gasunie'!I149</f>
        <v>2021</v>
      </c>
      <c r="J196" s="42">
        <f>_xlfn.XLOOKUP(F196,'3. Input (des)investeringen '!$B$11:$B$81,'3. Input (des)investeringen '!$D$11:$D$81)</f>
        <v>10</v>
      </c>
      <c r="K196" s="42">
        <f>_xlfn.XLOOKUP(F196,'3. Input (des)investeringen '!$B$11:$B$81,'3. Input (des)investeringen '!$E$11:$E$81)</f>
        <v>0</v>
      </c>
      <c r="L196" s="42">
        <f>'8. Input IC huur Gasunie'!J149</f>
        <v>0</v>
      </c>
      <c r="M196" s="42">
        <f>'8. Input IC huur Gasunie'!K149</f>
        <v>0</v>
      </c>
    </row>
    <row r="197" spans="2:13">
      <c r="B197" s="37" t="str">
        <f>'8. Input IC huur Gasunie'!B150</f>
        <v>Asset 139</v>
      </c>
      <c r="F197" s="37" t="str">
        <f>'8. Input IC huur Gasunie'!F150</f>
        <v>08 Inrichting gebouwen</v>
      </c>
      <c r="G197" s="37">
        <f>'8. Input IC huur Gasunie'!G150</f>
        <v>2009</v>
      </c>
      <c r="H197" s="42">
        <f>'8. Input IC huur Gasunie'!H150</f>
        <v>124506.82</v>
      </c>
      <c r="I197" s="37">
        <f>'8. Input IC huur Gasunie'!I150</f>
        <v>2021</v>
      </c>
      <c r="J197" s="42">
        <f>_xlfn.XLOOKUP(F197,'3. Input (des)investeringen '!$B$11:$B$81,'3. Input (des)investeringen '!$D$11:$D$81)</f>
        <v>10</v>
      </c>
      <c r="K197" s="42">
        <f>_xlfn.XLOOKUP(F197,'3. Input (des)investeringen '!$B$11:$B$81,'3. Input (des)investeringen '!$E$11:$E$81)</f>
        <v>0</v>
      </c>
      <c r="L197" s="42">
        <f>'8. Input IC huur Gasunie'!J150</f>
        <v>0</v>
      </c>
      <c r="M197" s="42">
        <f>'8. Input IC huur Gasunie'!K150</f>
        <v>0</v>
      </c>
    </row>
    <row r="198" spans="2:13">
      <c r="B198" s="37" t="str">
        <f>'8. Input IC huur Gasunie'!B151</f>
        <v>Asset 140</v>
      </c>
      <c r="F198" s="37" t="str">
        <f>'8. Input IC huur Gasunie'!F151</f>
        <v>14 Overig rollend materieel</v>
      </c>
      <c r="G198" s="37">
        <f>'8. Input IC huur Gasunie'!G151</f>
        <v>2009</v>
      </c>
      <c r="H198" s="42">
        <f>'8. Input IC huur Gasunie'!H151</f>
        <v>285378.59999999998</v>
      </c>
      <c r="I198" s="37">
        <f>'8. Input IC huur Gasunie'!I151</f>
        <v>2021</v>
      </c>
      <c r="J198" s="42">
        <f>_xlfn.XLOOKUP(F198,'3. Input (des)investeringen '!$B$11:$B$81,'3. Input (des)investeringen '!$D$11:$D$81)</f>
        <v>10</v>
      </c>
      <c r="K198" s="42">
        <f>_xlfn.XLOOKUP(F198,'3. Input (des)investeringen '!$B$11:$B$81,'3. Input (des)investeringen '!$E$11:$E$81)</f>
        <v>1</v>
      </c>
      <c r="L198" s="42">
        <f>'8. Input IC huur Gasunie'!J151</f>
        <v>0</v>
      </c>
      <c r="M198" s="42">
        <f>'8. Input IC huur Gasunie'!K151</f>
        <v>0</v>
      </c>
    </row>
    <row r="199" spans="2:13">
      <c r="B199" s="37" t="str">
        <f>'8. Input IC huur Gasunie'!B152</f>
        <v>Asset 141</v>
      </c>
      <c r="F199" s="37" t="str">
        <f>'8. Input IC huur Gasunie'!F152</f>
        <v>06 Utiliteitsgebouwen</v>
      </c>
      <c r="G199" s="37">
        <f>'8. Input IC huur Gasunie'!G152</f>
        <v>2009</v>
      </c>
      <c r="H199" s="42">
        <f>'8. Input IC huur Gasunie'!H152</f>
        <v>35389.120000000003</v>
      </c>
      <c r="I199" s="37">
        <f>'8. Input IC huur Gasunie'!I152</f>
        <v>2021</v>
      </c>
      <c r="J199" s="42">
        <f>_xlfn.XLOOKUP(F199,'3. Input (des)investeringen '!$B$11:$B$81,'3. Input (des)investeringen '!$D$11:$D$81)</f>
        <v>30</v>
      </c>
      <c r="K199" s="42">
        <f>_xlfn.XLOOKUP(F199,'3. Input (des)investeringen '!$B$11:$B$81,'3. Input (des)investeringen '!$E$11:$E$81)</f>
        <v>0</v>
      </c>
      <c r="L199" s="42">
        <f>'8. Input IC huur Gasunie'!J152</f>
        <v>24744.506996892218</v>
      </c>
      <c r="M199" s="42">
        <f>'8. Input IC huur Gasunie'!K152</f>
        <v>0</v>
      </c>
    </row>
    <row r="200" spans="2:13">
      <c r="B200" s="37" t="str">
        <f>'8. Input IC huur Gasunie'!B153</f>
        <v>Asset 142</v>
      </c>
      <c r="F200" s="37" t="str">
        <f>'8. Input IC huur Gasunie'!F153</f>
        <v>09 Bedrijfsinventaris</v>
      </c>
      <c r="G200" s="37">
        <f>'8. Input IC huur Gasunie'!G153</f>
        <v>2009</v>
      </c>
      <c r="H200" s="42">
        <f>'8. Input IC huur Gasunie'!H153</f>
        <v>537011.27</v>
      </c>
      <c r="I200" s="37">
        <f>'8. Input IC huur Gasunie'!I153</f>
        <v>2021</v>
      </c>
      <c r="J200" s="42">
        <f>_xlfn.XLOOKUP(F200,'3. Input (des)investeringen '!$B$11:$B$81,'3. Input (des)investeringen '!$D$11:$D$81)</f>
        <v>10</v>
      </c>
      <c r="K200" s="42">
        <f>_xlfn.XLOOKUP(F200,'3. Input (des)investeringen '!$B$11:$B$81,'3. Input (des)investeringen '!$E$11:$E$81)</f>
        <v>1</v>
      </c>
      <c r="L200" s="42">
        <f>'8. Input IC huur Gasunie'!J153</f>
        <v>0</v>
      </c>
      <c r="M200" s="42">
        <f>'8. Input IC huur Gasunie'!K153</f>
        <v>0</v>
      </c>
    </row>
    <row r="201" spans="2:13">
      <c r="B201" s="37" t="str">
        <f>'8. Input IC huur Gasunie'!B154</f>
        <v>Asset 143</v>
      </c>
      <c r="F201" s="37" t="str">
        <f>'8. Input IC huur Gasunie'!F154</f>
        <v>20 Kantoorgebouwen</v>
      </c>
      <c r="G201" s="37">
        <f>'8. Input IC huur Gasunie'!G154</f>
        <v>2009</v>
      </c>
      <c r="H201" s="42">
        <f>'8. Input IC huur Gasunie'!H154</f>
        <v>2416053.9300000006</v>
      </c>
      <c r="I201" s="37">
        <f>'8. Input IC huur Gasunie'!I154</f>
        <v>2021</v>
      </c>
      <c r="J201" s="42">
        <f>_xlfn.XLOOKUP(F201,'3. Input (des)investeringen '!$B$11:$B$81,'3. Input (des)investeringen '!$D$11:$D$81)</f>
        <v>30</v>
      </c>
      <c r="K201" s="42">
        <f>_xlfn.XLOOKUP(F201,'3. Input (des)investeringen '!$B$11:$B$81,'3. Input (des)investeringen '!$E$11:$E$81)</f>
        <v>0</v>
      </c>
      <c r="L201" s="42">
        <f>'8. Input IC huur Gasunie'!J154</f>
        <v>1689334.5575067692</v>
      </c>
      <c r="M201" s="42">
        <f>'8. Input IC huur Gasunie'!K154</f>
        <v>0</v>
      </c>
    </row>
    <row r="202" spans="2:13">
      <c r="B202" s="37" t="str">
        <f>'8. Input IC huur Gasunie'!B155</f>
        <v>Asset 144</v>
      </c>
      <c r="F202" s="37" t="str">
        <f>'8. Input IC huur Gasunie'!F155</f>
        <v>05 Wegen en terreinvoorzieningen</v>
      </c>
      <c r="G202" s="37">
        <f>'8. Input IC huur Gasunie'!G155</f>
        <v>2009</v>
      </c>
      <c r="H202" s="42">
        <f>'8. Input IC huur Gasunie'!H155</f>
        <v>97690.9</v>
      </c>
      <c r="I202" s="37">
        <f>'8. Input IC huur Gasunie'!I155</f>
        <v>2021</v>
      </c>
      <c r="J202" s="42">
        <f>_xlfn.XLOOKUP(F202,'3. Input (des)investeringen '!$B$11:$B$81,'3. Input (des)investeringen '!$D$11:$D$81)</f>
        <v>10</v>
      </c>
      <c r="K202" s="42">
        <f>_xlfn.XLOOKUP(F202,'3. Input (des)investeringen '!$B$11:$B$81,'3. Input (des)investeringen '!$E$11:$E$81)</f>
        <v>0</v>
      </c>
      <c r="L202" s="42">
        <f>'8. Input IC huur Gasunie'!J155</f>
        <v>0</v>
      </c>
      <c r="M202" s="42">
        <f>'8. Input IC huur Gasunie'!K155</f>
        <v>0</v>
      </c>
    </row>
    <row r="203" spans="2:13">
      <c r="B203" s="37" t="str">
        <f>'8. Input IC huur Gasunie'!B156</f>
        <v>Asset 145</v>
      </c>
      <c r="F203" s="37" t="str">
        <f>'8. Input IC huur Gasunie'!F156</f>
        <v>13 Aanhangwagens</v>
      </c>
      <c r="G203" s="37">
        <f>'8. Input IC huur Gasunie'!G156</f>
        <v>2009</v>
      </c>
      <c r="H203" s="42">
        <f>'8. Input IC huur Gasunie'!H156</f>
        <v>655669.05999999994</v>
      </c>
      <c r="I203" s="37">
        <f>'8. Input IC huur Gasunie'!I156</f>
        <v>2021</v>
      </c>
      <c r="J203" s="42">
        <f>_xlfn.XLOOKUP(F203,'3. Input (des)investeringen '!$B$11:$B$81,'3. Input (des)investeringen '!$D$11:$D$81)</f>
        <v>10</v>
      </c>
      <c r="K203" s="42">
        <f>_xlfn.XLOOKUP(F203,'3. Input (des)investeringen '!$B$11:$B$81,'3. Input (des)investeringen '!$E$11:$E$81)</f>
        <v>1</v>
      </c>
      <c r="L203" s="42">
        <f>'8. Input IC huur Gasunie'!J156</f>
        <v>0</v>
      </c>
      <c r="M203" s="42">
        <f>'8. Input IC huur Gasunie'!K156</f>
        <v>0</v>
      </c>
    </row>
    <row r="204" spans="2:13">
      <c r="B204" s="37" t="str">
        <f>'8. Input IC huur Gasunie'!B157</f>
        <v>Asset 146</v>
      </c>
      <c r="F204" s="37" t="str">
        <f>'8. Input IC huur Gasunie'!F157</f>
        <v>11 Werktuigen</v>
      </c>
      <c r="G204" s="37">
        <f>'8. Input IC huur Gasunie'!G157</f>
        <v>2010</v>
      </c>
      <c r="H204" s="42">
        <f>'8. Input IC huur Gasunie'!H157</f>
        <v>453194.78213502961</v>
      </c>
      <c r="I204" s="37">
        <f>'8. Input IC huur Gasunie'!I157</f>
        <v>2021</v>
      </c>
      <c r="J204" s="42">
        <f>_xlfn.XLOOKUP(F204,'3. Input (des)investeringen '!$B$11:$B$81,'3. Input (des)investeringen '!$D$11:$D$81)</f>
        <v>10</v>
      </c>
      <c r="K204" s="42">
        <f>_xlfn.XLOOKUP(F204,'3. Input (des)investeringen '!$B$11:$B$81,'3. Input (des)investeringen '!$E$11:$E$81)</f>
        <v>1</v>
      </c>
      <c r="L204" s="42">
        <f>'8. Input IC huur Gasunie'!J157</f>
        <v>0</v>
      </c>
      <c r="M204" s="42">
        <f>'8. Input IC huur Gasunie'!K157</f>
        <v>0</v>
      </c>
    </row>
    <row r="205" spans="2:13">
      <c r="B205" s="37" t="str">
        <f>'8. Input IC huur Gasunie'!B158</f>
        <v>Asset 147</v>
      </c>
      <c r="F205" s="37" t="str">
        <f>'8. Input IC huur Gasunie'!F158</f>
        <v>14 Overig rollend materieel</v>
      </c>
      <c r="G205" s="37">
        <f>'8. Input IC huur Gasunie'!G158</f>
        <v>2010</v>
      </c>
      <c r="H205" s="42">
        <f>'8. Input IC huur Gasunie'!H158</f>
        <v>179634.02000000002</v>
      </c>
      <c r="I205" s="37">
        <f>'8. Input IC huur Gasunie'!I158</f>
        <v>2021</v>
      </c>
      <c r="J205" s="42">
        <f>_xlfn.XLOOKUP(F205,'3. Input (des)investeringen '!$B$11:$B$81,'3. Input (des)investeringen '!$D$11:$D$81)</f>
        <v>10</v>
      </c>
      <c r="K205" s="42">
        <f>_xlfn.XLOOKUP(F205,'3. Input (des)investeringen '!$B$11:$B$81,'3. Input (des)investeringen '!$E$11:$E$81)</f>
        <v>1</v>
      </c>
      <c r="L205" s="42">
        <f>'8. Input IC huur Gasunie'!J158</f>
        <v>0</v>
      </c>
      <c r="M205" s="42">
        <f>'8. Input IC huur Gasunie'!K158</f>
        <v>0</v>
      </c>
    </row>
    <row r="206" spans="2:13">
      <c r="B206" s="37" t="str">
        <f>'8. Input IC huur Gasunie'!B159</f>
        <v>Asset 148</v>
      </c>
      <c r="F206" s="37" t="str">
        <f>'8. Input IC huur Gasunie'!F159</f>
        <v>12 Motorvoertuigen</v>
      </c>
      <c r="G206" s="37">
        <f>'8. Input IC huur Gasunie'!G159</f>
        <v>2011</v>
      </c>
      <c r="H206" s="42">
        <f>'8. Input IC huur Gasunie'!H159</f>
        <v>293470.62269139342</v>
      </c>
      <c r="I206" s="37">
        <f>'8. Input IC huur Gasunie'!I159</f>
        <v>2021</v>
      </c>
      <c r="J206" s="42">
        <f>_xlfn.XLOOKUP(F206,'3. Input (des)investeringen '!$B$11:$B$81,'3. Input (des)investeringen '!$D$11:$D$81)</f>
        <v>10</v>
      </c>
      <c r="K206" s="42">
        <f>_xlfn.XLOOKUP(F206,'3. Input (des)investeringen '!$B$11:$B$81,'3. Input (des)investeringen '!$E$11:$E$81)</f>
        <v>1</v>
      </c>
      <c r="L206" s="42">
        <f>'8. Input IC huur Gasunie'!J159</f>
        <v>0</v>
      </c>
      <c r="M206" s="42">
        <f>'8. Input IC huur Gasunie'!K159</f>
        <v>0</v>
      </c>
    </row>
    <row r="207" spans="2:13">
      <c r="B207" s="37" t="str">
        <f>'8. Input IC huur Gasunie'!B160</f>
        <v>Asset 149</v>
      </c>
      <c r="F207" s="37" t="str">
        <f>'8. Input IC huur Gasunie'!F160</f>
        <v>08 Inrichting gebouwen</v>
      </c>
      <c r="G207" s="37">
        <f>'8. Input IC huur Gasunie'!G160</f>
        <v>2011</v>
      </c>
      <c r="H207" s="42">
        <f>'8. Input IC huur Gasunie'!H160</f>
        <v>309147.61872011481</v>
      </c>
      <c r="I207" s="37">
        <f>'8. Input IC huur Gasunie'!I160</f>
        <v>2021</v>
      </c>
      <c r="J207" s="42">
        <f>_xlfn.XLOOKUP(F207,'3. Input (des)investeringen '!$B$11:$B$81,'3. Input (des)investeringen '!$D$11:$D$81)</f>
        <v>10</v>
      </c>
      <c r="K207" s="42">
        <f>_xlfn.XLOOKUP(F207,'3. Input (des)investeringen '!$B$11:$B$81,'3. Input (des)investeringen '!$E$11:$E$81)</f>
        <v>0</v>
      </c>
      <c r="L207" s="42">
        <f>'8. Input IC huur Gasunie'!J160</f>
        <v>0</v>
      </c>
      <c r="M207" s="42">
        <f>'8. Input IC huur Gasunie'!K160</f>
        <v>0</v>
      </c>
    </row>
    <row r="208" spans="2:13">
      <c r="B208" s="37" t="str">
        <f>'8. Input IC huur Gasunie'!B161</f>
        <v>Asset 150</v>
      </c>
      <c r="F208" s="37" t="str">
        <f>'8. Input IC huur Gasunie'!F161</f>
        <v>38 ICT middelen 2</v>
      </c>
      <c r="G208" s="37">
        <f>'8. Input IC huur Gasunie'!G161</f>
        <v>2011</v>
      </c>
      <c r="H208" s="42">
        <f>'8. Input IC huur Gasunie'!H161</f>
        <v>24343500.983545668</v>
      </c>
      <c r="I208" s="37">
        <f>'8. Input IC huur Gasunie'!I161</f>
        <v>2021</v>
      </c>
      <c r="J208" s="42">
        <f>_xlfn.XLOOKUP(F208,'3. Input (des)investeringen '!$B$11:$B$81,'3. Input (des)investeringen '!$D$11:$D$81)</f>
        <v>10</v>
      </c>
      <c r="K208" s="42">
        <f>_xlfn.XLOOKUP(F208,'3. Input (des)investeringen '!$B$11:$B$81,'3. Input (des)investeringen '!$E$11:$E$81)</f>
        <v>1</v>
      </c>
      <c r="L208" s="42">
        <f>'8. Input IC huur Gasunie'!J161</f>
        <v>0</v>
      </c>
      <c r="M208" s="42">
        <f>'8. Input IC huur Gasunie'!K161</f>
        <v>0</v>
      </c>
    </row>
    <row r="209" spans="2:13">
      <c r="B209" s="37" t="str">
        <f>'8. Input IC huur Gasunie'!B162</f>
        <v>Asset 151</v>
      </c>
      <c r="F209" s="37" t="str">
        <f>'8. Input IC huur Gasunie'!F162</f>
        <v>11 Werktuigen</v>
      </c>
      <c r="G209" s="37">
        <f>'8. Input IC huur Gasunie'!G162</f>
        <v>2011</v>
      </c>
      <c r="H209" s="42">
        <f>'8. Input IC huur Gasunie'!H162</f>
        <v>345005.47060998465</v>
      </c>
      <c r="I209" s="37">
        <f>'8. Input IC huur Gasunie'!I162</f>
        <v>2021</v>
      </c>
      <c r="J209" s="42">
        <f>_xlfn.XLOOKUP(F209,'3. Input (des)investeringen '!$B$11:$B$81,'3. Input (des)investeringen '!$D$11:$D$81)</f>
        <v>10</v>
      </c>
      <c r="K209" s="42">
        <f>_xlfn.XLOOKUP(F209,'3. Input (des)investeringen '!$B$11:$B$81,'3. Input (des)investeringen '!$E$11:$E$81)</f>
        <v>1</v>
      </c>
      <c r="L209" s="42">
        <f>'8. Input IC huur Gasunie'!J162</f>
        <v>0</v>
      </c>
      <c r="M209" s="42">
        <f>'8. Input IC huur Gasunie'!K162</f>
        <v>0</v>
      </c>
    </row>
    <row r="210" spans="2:13">
      <c r="B210" s="37" t="str">
        <f>'8. Input IC huur Gasunie'!B163</f>
        <v>Asset 152</v>
      </c>
      <c r="F210" s="37" t="str">
        <f>'8. Input IC huur Gasunie'!F163</f>
        <v>13 Aanhangwagens</v>
      </c>
      <c r="G210" s="37">
        <f>'8. Input IC huur Gasunie'!G163</f>
        <v>2011</v>
      </c>
      <c r="H210" s="42">
        <f>'8. Input IC huur Gasunie'!H163</f>
        <v>10931.96</v>
      </c>
      <c r="I210" s="37">
        <f>'8. Input IC huur Gasunie'!I163</f>
        <v>2021</v>
      </c>
      <c r="J210" s="42">
        <f>_xlfn.XLOOKUP(F210,'3. Input (des)investeringen '!$B$11:$B$81,'3. Input (des)investeringen '!$D$11:$D$81)</f>
        <v>10</v>
      </c>
      <c r="K210" s="42">
        <f>_xlfn.XLOOKUP(F210,'3. Input (des)investeringen '!$B$11:$B$81,'3. Input (des)investeringen '!$E$11:$E$81)</f>
        <v>1</v>
      </c>
      <c r="L210" s="42">
        <f>'8. Input IC huur Gasunie'!J163</f>
        <v>0</v>
      </c>
      <c r="M210" s="42">
        <f>'8. Input IC huur Gasunie'!K163</f>
        <v>0</v>
      </c>
    </row>
    <row r="211" spans="2:13">
      <c r="B211" s="37" t="str">
        <f>'8. Input IC huur Gasunie'!B164</f>
        <v>Asset 153</v>
      </c>
      <c r="F211" s="37" t="str">
        <f>'8. Input IC huur Gasunie'!F164</f>
        <v>37 ICT middelen 1 (transparency)</v>
      </c>
      <c r="G211" s="37">
        <f>'8. Input IC huur Gasunie'!G164</f>
        <v>2012</v>
      </c>
      <c r="H211" s="42">
        <f>'8. Input IC huur Gasunie'!H164</f>
        <v>817297.73457401327</v>
      </c>
      <c r="I211" s="37">
        <f>'8. Input IC huur Gasunie'!I164</f>
        <v>2021</v>
      </c>
      <c r="J211" s="42">
        <f>_xlfn.XLOOKUP(F211,'3. Input (des)investeringen '!$B$11:$B$81,'3. Input (des)investeringen '!$D$11:$D$81)</f>
        <v>5</v>
      </c>
      <c r="K211" s="42">
        <f>_xlfn.XLOOKUP(F211,'3. Input (des)investeringen '!$B$11:$B$81,'3. Input (des)investeringen '!$E$11:$E$81)</f>
        <v>0</v>
      </c>
      <c r="L211" s="42">
        <f>'8. Input IC huur Gasunie'!J164</f>
        <v>0</v>
      </c>
      <c r="M211" s="42">
        <f>'8. Input IC huur Gasunie'!K164</f>
        <v>0</v>
      </c>
    </row>
    <row r="212" spans="2:13">
      <c r="B212" s="37" t="str">
        <f>'8. Input IC huur Gasunie'!B165</f>
        <v>Asset 154</v>
      </c>
      <c r="F212" s="37" t="str">
        <f>'8. Input IC huur Gasunie'!F165</f>
        <v>11 Werktuigen</v>
      </c>
      <c r="G212" s="37">
        <f>'8. Input IC huur Gasunie'!G165</f>
        <v>2012</v>
      </c>
      <c r="H212" s="42">
        <f>'8. Input IC huur Gasunie'!H165</f>
        <v>237528.30775638262</v>
      </c>
      <c r="I212" s="37">
        <f>'8. Input IC huur Gasunie'!I165</f>
        <v>2021</v>
      </c>
      <c r="J212" s="42">
        <f>_xlfn.XLOOKUP(F212,'3. Input (des)investeringen '!$B$11:$B$81,'3. Input (des)investeringen '!$D$11:$D$81)</f>
        <v>10</v>
      </c>
      <c r="K212" s="42">
        <f>_xlfn.XLOOKUP(F212,'3. Input (des)investeringen '!$B$11:$B$81,'3. Input (des)investeringen '!$E$11:$E$81)</f>
        <v>1</v>
      </c>
      <c r="L212" s="42">
        <f>'8. Input IC huur Gasunie'!J165</f>
        <v>13628.978016883706</v>
      </c>
      <c r="M212" s="42">
        <f>'8. Input IC huur Gasunie'!K165</f>
        <v>0</v>
      </c>
    </row>
    <row r="213" spans="2:13">
      <c r="B213" s="37" t="str">
        <f>'8. Input IC huur Gasunie'!B166</f>
        <v>Asset 155</v>
      </c>
      <c r="F213" s="37" t="str">
        <f>'8. Input IC huur Gasunie'!F166</f>
        <v>13 Aanhangwagens</v>
      </c>
      <c r="G213" s="37">
        <f>'8. Input IC huur Gasunie'!G166</f>
        <v>2012</v>
      </c>
      <c r="H213" s="42">
        <f>'8. Input IC huur Gasunie'!H166</f>
        <v>20000</v>
      </c>
      <c r="I213" s="37">
        <f>'8. Input IC huur Gasunie'!I166</f>
        <v>2021</v>
      </c>
      <c r="J213" s="42">
        <f>_xlfn.XLOOKUP(F213,'3. Input (des)investeringen '!$B$11:$B$81,'3. Input (des)investeringen '!$D$11:$D$81)</f>
        <v>10</v>
      </c>
      <c r="K213" s="42">
        <f>_xlfn.XLOOKUP(F213,'3. Input (des)investeringen '!$B$11:$B$81,'3. Input (des)investeringen '!$E$11:$E$81)</f>
        <v>1</v>
      </c>
      <c r="L213" s="42">
        <f>'8. Input IC huur Gasunie'!J166</f>
        <v>1147.5666328463135</v>
      </c>
      <c r="M213" s="42">
        <f>'8. Input IC huur Gasunie'!K166</f>
        <v>0</v>
      </c>
    </row>
    <row r="214" spans="2:13">
      <c r="B214" s="37" t="str">
        <f>'8. Input IC huur Gasunie'!B167</f>
        <v>Asset 156</v>
      </c>
      <c r="F214" s="37" t="str">
        <f>'8. Input IC huur Gasunie'!F167</f>
        <v>20 Kantoorgebouwen</v>
      </c>
      <c r="G214" s="37">
        <f>'8. Input IC huur Gasunie'!G167</f>
        <v>2012</v>
      </c>
      <c r="H214" s="42">
        <f>'8. Input IC huur Gasunie'!H167</f>
        <v>701380.67501665035</v>
      </c>
      <c r="I214" s="37">
        <f>'8. Input IC huur Gasunie'!I167</f>
        <v>2021</v>
      </c>
      <c r="J214" s="42">
        <f>_xlfn.XLOOKUP(F214,'3. Input (des)investeringen '!$B$11:$B$81,'3. Input (des)investeringen '!$D$11:$D$81)</f>
        <v>30</v>
      </c>
      <c r="K214" s="42">
        <f>_xlfn.XLOOKUP(F214,'3. Input (des)investeringen '!$B$11:$B$81,'3. Input (des)investeringen '!$E$11:$E$81)</f>
        <v>0</v>
      </c>
      <c r="L214" s="42">
        <f>'8. Input IC huur Gasunie'!J167</f>
        <v>550002.05737442558</v>
      </c>
      <c r="M214" s="42">
        <f>'8. Input IC huur Gasunie'!K167</f>
        <v>0</v>
      </c>
    </row>
    <row r="215" spans="2:13">
      <c r="B215" s="37" t="str">
        <f>'8. Input IC huur Gasunie'!B168</f>
        <v>Asset 157</v>
      </c>
      <c r="F215" s="37" t="str">
        <f>'8. Input IC huur Gasunie'!F168</f>
        <v>10 Gereedschap</v>
      </c>
      <c r="G215" s="37">
        <f>'8. Input IC huur Gasunie'!G168</f>
        <v>2012</v>
      </c>
      <c r="H215" s="42">
        <f>'8. Input IC huur Gasunie'!H168</f>
        <v>102288.01000000001</v>
      </c>
      <c r="I215" s="37">
        <f>'8. Input IC huur Gasunie'!I168</f>
        <v>2021</v>
      </c>
      <c r="J215" s="42">
        <f>_xlfn.XLOOKUP(F215,'3. Input (des)investeringen '!$B$11:$B$81,'3. Input (des)investeringen '!$D$11:$D$81)</f>
        <v>10</v>
      </c>
      <c r="K215" s="42">
        <f>_xlfn.XLOOKUP(F215,'3. Input (des)investeringen '!$B$11:$B$81,'3. Input (des)investeringen '!$E$11:$E$81)</f>
        <v>1</v>
      </c>
      <c r="L215" s="42">
        <f>'8. Input IC huur Gasunie'!J168</f>
        <v>5869.1153608124732</v>
      </c>
      <c r="M215" s="42">
        <f>'8. Input IC huur Gasunie'!K168</f>
        <v>0</v>
      </c>
    </row>
    <row r="216" spans="2:13">
      <c r="B216" s="37" t="str">
        <f>'8. Input IC huur Gasunie'!B169</f>
        <v>Asset 158</v>
      </c>
      <c r="F216" s="37" t="str">
        <f>'8. Input IC huur Gasunie'!F169</f>
        <v>09 Bedrijfsinventaris</v>
      </c>
      <c r="G216" s="37">
        <f>'8. Input IC huur Gasunie'!G169</f>
        <v>2012</v>
      </c>
      <c r="H216" s="42">
        <f>'8. Input IC huur Gasunie'!H169</f>
        <v>321753.96830222307</v>
      </c>
      <c r="I216" s="37">
        <f>'8. Input IC huur Gasunie'!I169</f>
        <v>2021</v>
      </c>
      <c r="J216" s="42">
        <f>_xlfn.XLOOKUP(F216,'3. Input (des)investeringen '!$B$11:$B$81,'3. Input (des)investeringen '!$D$11:$D$81)</f>
        <v>10</v>
      </c>
      <c r="K216" s="42">
        <f>_xlfn.XLOOKUP(F216,'3. Input (des)investeringen '!$B$11:$B$81,'3. Input (des)investeringen '!$E$11:$E$81)</f>
        <v>1</v>
      </c>
      <c r="L216" s="42">
        <f>'8. Input IC huur Gasunie'!J169</f>
        <v>18461.705900476001</v>
      </c>
      <c r="M216" s="42">
        <f>'8. Input IC huur Gasunie'!K169</f>
        <v>0</v>
      </c>
    </row>
    <row r="217" spans="2:13">
      <c r="B217" s="37" t="str">
        <f>'8. Input IC huur Gasunie'!B170</f>
        <v>Asset 159</v>
      </c>
      <c r="F217" s="37" t="str">
        <f>'8. Input IC huur Gasunie'!F170</f>
        <v>14 Overig rollend materieel</v>
      </c>
      <c r="G217" s="37">
        <f>'8. Input IC huur Gasunie'!G170</f>
        <v>2012</v>
      </c>
      <c r="H217" s="42">
        <f>'8. Input IC huur Gasunie'!H170</f>
        <v>341738.83030935976</v>
      </c>
      <c r="I217" s="37">
        <f>'8. Input IC huur Gasunie'!I170</f>
        <v>2021</v>
      </c>
      <c r="J217" s="42">
        <f>_xlfn.XLOOKUP(F217,'3. Input (des)investeringen '!$B$11:$B$81,'3. Input (des)investeringen '!$D$11:$D$81)</f>
        <v>10</v>
      </c>
      <c r="K217" s="42">
        <f>_xlfn.XLOOKUP(F217,'3. Input (des)investeringen '!$B$11:$B$81,'3. Input (des)investeringen '!$E$11:$E$81)</f>
        <v>1</v>
      </c>
      <c r="L217" s="42">
        <f>'8. Input IC huur Gasunie'!J170</f>
        <v>19608.403940547396</v>
      </c>
      <c r="M217" s="42">
        <f>'8. Input IC huur Gasunie'!K170</f>
        <v>0</v>
      </c>
    </row>
    <row r="218" spans="2:13">
      <c r="B218" s="37" t="str">
        <f>'8. Input IC huur Gasunie'!B171</f>
        <v>Asset 160</v>
      </c>
      <c r="F218" s="37" t="str">
        <f>'8. Input IC huur Gasunie'!F171</f>
        <v>08 Inrichting gebouwen</v>
      </c>
      <c r="G218" s="37">
        <f>'8. Input IC huur Gasunie'!G171</f>
        <v>2012</v>
      </c>
      <c r="H218" s="42">
        <f>'8. Input IC huur Gasunie'!H171</f>
        <v>737114.28212566266</v>
      </c>
      <c r="I218" s="37">
        <f>'8. Input IC huur Gasunie'!I171</f>
        <v>2021</v>
      </c>
      <c r="J218" s="42">
        <f>_xlfn.XLOOKUP(F218,'3. Input (des)investeringen '!$B$11:$B$81,'3. Input (des)investeringen '!$D$11:$D$81)</f>
        <v>10</v>
      </c>
      <c r="K218" s="42">
        <f>_xlfn.XLOOKUP(F218,'3. Input (des)investeringen '!$B$11:$B$81,'3. Input (des)investeringen '!$E$11:$E$81)</f>
        <v>0</v>
      </c>
      <c r="L218" s="42">
        <f>'8. Input IC huur Gasunie'!J171</f>
        <v>42294.387738093574</v>
      </c>
      <c r="M218" s="42">
        <f>'8. Input IC huur Gasunie'!K171</f>
        <v>0</v>
      </c>
    </row>
    <row r="219" spans="2:13">
      <c r="B219" s="37" t="str">
        <f>'8. Input IC huur Gasunie'!B172</f>
        <v>Asset 161</v>
      </c>
      <c r="F219" s="37" t="str">
        <f>'8. Input IC huur Gasunie'!F172</f>
        <v>11 Werktuigen</v>
      </c>
      <c r="G219" s="37">
        <f>'8. Input IC huur Gasunie'!G172</f>
        <v>2013</v>
      </c>
      <c r="H219" s="42">
        <f>'8. Input IC huur Gasunie'!H172</f>
        <v>5005059.40396435</v>
      </c>
      <c r="I219" s="37">
        <f>'8. Input IC huur Gasunie'!I172</f>
        <v>2021</v>
      </c>
      <c r="J219" s="42">
        <f>_xlfn.XLOOKUP(F219,'3. Input (des)investeringen '!$B$11:$B$81,'3. Input (des)investeringen '!$D$11:$D$81)</f>
        <v>10</v>
      </c>
      <c r="K219" s="42">
        <f>_xlfn.XLOOKUP(F219,'3. Input (des)investeringen '!$B$11:$B$81,'3. Input (des)investeringen '!$E$11:$E$81)</f>
        <v>1</v>
      </c>
      <c r="L219" s="42">
        <f>'8. Input IC huur Gasunie'!J172</f>
        <v>842175.83099752699</v>
      </c>
      <c r="M219" s="42">
        <f>'8. Input IC huur Gasunie'!K172</f>
        <v>0</v>
      </c>
    </row>
    <row r="220" spans="2:13">
      <c r="B220" s="37" t="str">
        <f>'8. Input IC huur Gasunie'!B173</f>
        <v>Asset 162</v>
      </c>
      <c r="F220" s="37" t="str">
        <f>'8. Input IC huur Gasunie'!F173</f>
        <v>20 Kantoorgebouwen</v>
      </c>
      <c r="G220" s="37">
        <f>'8. Input IC huur Gasunie'!G173</f>
        <v>2013</v>
      </c>
      <c r="H220" s="42">
        <f>'8. Input IC huur Gasunie'!H173</f>
        <v>1237826.9064472313</v>
      </c>
      <c r="I220" s="37">
        <f>'8. Input IC huur Gasunie'!I173</f>
        <v>2021</v>
      </c>
      <c r="J220" s="42">
        <f>_xlfn.XLOOKUP(F220,'3. Input (des)investeringen '!$B$11:$B$81,'3. Input (des)investeringen '!$D$11:$D$81)</f>
        <v>30</v>
      </c>
      <c r="K220" s="42">
        <f>_xlfn.XLOOKUP(F220,'3. Input (des)investeringen '!$B$11:$B$81,'3. Input (des)investeringen '!$E$11:$E$81)</f>
        <v>0</v>
      </c>
      <c r="L220" s="42">
        <f>'8. Input IC huur Gasunie'!J173</f>
        <v>995129.04477620148</v>
      </c>
      <c r="M220" s="42">
        <f>'8. Input IC huur Gasunie'!K173</f>
        <v>0</v>
      </c>
    </row>
    <row r="221" spans="2:13">
      <c r="B221" s="37" t="str">
        <f>'8. Input IC huur Gasunie'!B174</f>
        <v>Asset 163</v>
      </c>
      <c r="F221" s="37" t="str">
        <f>'8. Input IC huur Gasunie'!F174</f>
        <v>09 Bedrijfsinventaris</v>
      </c>
      <c r="G221" s="37">
        <f>'8. Input IC huur Gasunie'!G174</f>
        <v>2013</v>
      </c>
      <c r="H221" s="42">
        <f>'8. Input IC huur Gasunie'!H174</f>
        <v>292655.61609467439</v>
      </c>
      <c r="I221" s="37">
        <f>'8. Input IC huur Gasunie'!I174</f>
        <v>2021</v>
      </c>
      <c r="J221" s="42">
        <f>_xlfn.XLOOKUP(F221,'3. Input (des)investeringen '!$B$11:$B$81,'3. Input (des)investeringen '!$D$11:$D$81)</f>
        <v>10</v>
      </c>
      <c r="K221" s="42">
        <f>_xlfn.XLOOKUP(F221,'3. Input (des)investeringen '!$B$11:$B$81,'3. Input (des)investeringen '!$E$11:$E$81)</f>
        <v>1</v>
      </c>
      <c r="L221" s="42">
        <f>'8. Input IC huur Gasunie'!J174</f>
        <v>49243.668613684422</v>
      </c>
      <c r="M221" s="42">
        <f>'8. Input IC huur Gasunie'!K174</f>
        <v>0</v>
      </c>
    </row>
    <row r="222" spans="2:13">
      <c r="B222" s="37" t="str">
        <f>'8. Input IC huur Gasunie'!B175</f>
        <v>Asset 164</v>
      </c>
      <c r="F222" s="37" t="str">
        <f>'8. Input IC huur Gasunie'!F175</f>
        <v>20 Kantoorgebouwen</v>
      </c>
      <c r="G222" s="37">
        <f>'8. Input IC huur Gasunie'!G175</f>
        <v>2014</v>
      </c>
      <c r="H222" s="42">
        <f>'8. Input IC huur Gasunie'!H175</f>
        <v>4973944.9463818558</v>
      </c>
      <c r="I222" s="37">
        <f>'8. Input IC huur Gasunie'!I175</f>
        <v>2021</v>
      </c>
      <c r="J222" s="42">
        <f>_xlfn.XLOOKUP(F222,'3. Input (des)investeringen '!$B$11:$B$81,'3. Input (des)investeringen '!$D$11:$D$81)</f>
        <v>30</v>
      </c>
      <c r="K222" s="42">
        <f>_xlfn.XLOOKUP(F222,'3. Input (des)investeringen '!$B$11:$B$81,'3. Input (des)investeringen '!$E$11:$E$81)</f>
        <v>0</v>
      </c>
      <c r="L222" s="42">
        <f>'8. Input IC huur Gasunie'!J175</f>
        <v>4070721.5945336674</v>
      </c>
      <c r="M222" s="42">
        <f>'8. Input IC huur Gasunie'!K175</f>
        <v>0</v>
      </c>
    </row>
    <row r="223" spans="2:13">
      <c r="B223" s="37" t="str">
        <f>'8. Input IC huur Gasunie'!B176</f>
        <v>Asset 165</v>
      </c>
      <c r="F223" s="37" t="str">
        <f>'8. Input IC huur Gasunie'!F176</f>
        <v>09 Bedrijfsinventaris</v>
      </c>
      <c r="G223" s="37">
        <f>'8. Input IC huur Gasunie'!G176</f>
        <v>2014</v>
      </c>
      <c r="H223" s="42">
        <f>'8. Input IC huur Gasunie'!H176</f>
        <v>332895.6529706032</v>
      </c>
      <c r="I223" s="37">
        <f>'8. Input IC huur Gasunie'!I176</f>
        <v>2021</v>
      </c>
      <c r="J223" s="42">
        <f>_xlfn.XLOOKUP(F223,'3. Input (des)investeringen '!$B$11:$B$81,'3. Input (des)investeringen '!$D$11:$D$81)</f>
        <v>10</v>
      </c>
      <c r="K223" s="42">
        <f>_xlfn.XLOOKUP(F223,'3. Input (des)investeringen '!$B$11:$B$81,'3. Input (des)investeringen '!$E$11:$E$81)</f>
        <v>1</v>
      </c>
      <c r="L223" s="42">
        <f>'8. Input IC huur Gasunie'!J176</f>
        <v>90814.939173486709</v>
      </c>
      <c r="M223" s="42">
        <f>'8. Input IC huur Gasunie'!K176</f>
        <v>0</v>
      </c>
    </row>
    <row r="224" spans="2:13">
      <c r="B224" s="37" t="str">
        <f>'8. Input IC huur Gasunie'!B177</f>
        <v>Asset 166</v>
      </c>
      <c r="F224" s="37" t="str">
        <f>'8. Input IC huur Gasunie'!F177</f>
        <v>10 Gereedschap</v>
      </c>
      <c r="G224" s="37">
        <f>'8. Input IC huur Gasunie'!G177</f>
        <v>2014</v>
      </c>
      <c r="H224" s="42">
        <f>'8. Input IC huur Gasunie'!H177</f>
        <v>294123.8734031191</v>
      </c>
      <c r="I224" s="37">
        <f>'8. Input IC huur Gasunie'!I177</f>
        <v>2021</v>
      </c>
      <c r="J224" s="42">
        <f>_xlfn.XLOOKUP(F224,'3. Input (des)investeringen '!$B$11:$B$81,'3. Input (des)investeringen '!$D$11:$D$81)</f>
        <v>10</v>
      </c>
      <c r="K224" s="42">
        <f>_xlfn.XLOOKUP(F224,'3. Input (des)investeringen '!$B$11:$B$81,'3. Input (des)investeringen '!$E$11:$E$81)</f>
        <v>1</v>
      </c>
      <c r="L224" s="42">
        <f>'8. Input IC huur Gasunie'!J177</f>
        <v>80237.880651848885</v>
      </c>
      <c r="M224" s="42">
        <f>'8. Input IC huur Gasunie'!K177</f>
        <v>0</v>
      </c>
    </row>
    <row r="225" spans="2:13">
      <c r="B225" s="37" t="str">
        <f>'8. Input IC huur Gasunie'!B178</f>
        <v>Asset 167</v>
      </c>
      <c r="F225" s="37" t="str">
        <f>'8. Input IC huur Gasunie'!F178</f>
        <v>13 Aanhangwagens</v>
      </c>
      <c r="G225" s="37">
        <f>'8. Input IC huur Gasunie'!G178</f>
        <v>2014</v>
      </c>
      <c r="H225" s="42">
        <f>'8. Input IC huur Gasunie'!H178</f>
        <v>24919.261718386999</v>
      </c>
      <c r="I225" s="37">
        <f>'8. Input IC huur Gasunie'!I178</f>
        <v>2021</v>
      </c>
      <c r="J225" s="42">
        <f>_xlfn.XLOOKUP(F225,'3. Input (des)investeringen '!$B$11:$B$81,'3. Input (des)investeringen '!$D$11:$D$81)</f>
        <v>10</v>
      </c>
      <c r="K225" s="42">
        <f>_xlfn.XLOOKUP(F225,'3. Input (des)investeringen '!$B$11:$B$81,'3. Input (des)investeringen '!$E$11:$E$81)</f>
        <v>1</v>
      </c>
      <c r="L225" s="42">
        <f>'8. Input IC huur Gasunie'!J178</f>
        <v>6798.0498303573586</v>
      </c>
      <c r="M225" s="42">
        <f>'8. Input IC huur Gasunie'!K178</f>
        <v>0</v>
      </c>
    </row>
    <row r="226" spans="2:13">
      <c r="B226" s="37" t="str">
        <f>'8. Input IC huur Gasunie'!B179</f>
        <v>Asset 168</v>
      </c>
      <c r="F226" s="37" t="str">
        <f>'8. Input IC huur Gasunie'!F179</f>
        <v>11 Werktuigen</v>
      </c>
      <c r="G226" s="37">
        <f>'8. Input IC huur Gasunie'!G179</f>
        <v>2014</v>
      </c>
      <c r="H226" s="42">
        <f>'8. Input IC huur Gasunie'!H179</f>
        <v>264974.99557180319</v>
      </c>
      <c r="I226" s="37">
        <f>'8. Input IC huur Gasunie'!I179</f>
        <v>2021</v>
      </c>
      <c r="J226" s="42">
        <f>_xlfn.XLOOKUP(F226,'3. Input (des)investeringen '!$B$11:$B$81,'3. Input (des)investeringen '!$D$11:$D$81)</f>
        <v>10</v>
      </c>
      <c r="K226" s="42">
        <f>_xlfn.XLOOKUP(F226,'3. Input (des)investeringen '!$B$11:$B$81,'3. Input (des)investeringen '!$E$11:$E$81)</f>
        <v>1</v>
      </c>
      <c r="L226" s="42">
        <f>'8. Input IC huur Gasunie'!J179</f>
        <v>72285.978776277945</v>
      </c>
      <c r="M226" s="42">
        <f>'8. Input IC huur Gasunie'!K179</f>
        <v>0</v>
      </c>
    </row>
    <row r="227" spans="2:13">
      <c r="B227" s="37" t="str">
        <f>'8. Input IC huur Gasunie'!B180</f>
        <v>Asset 169</v>
      </c>
      <c r="F227" s="37" t="str">
        <f>'8. Input IC huur Gasunie'!F180</f>
        <v>08 Inrichting gebouwen</v>
      </c>
      <c r="G227" s="37">
        <f>'8. Input IC huur Gasunie'!G180</f>
        <v>2014</v>
      </c>
      <c r="H227" s="42">
        <f>'8. Input IC huur Gasunie'!H180</f>
        <v>724167.86511950963</v>
      </c>
      <c r="I227" s="37">
        <f>'8. Input IC huur Gasunie'!I180</f>
        <v>2021</v>
      </c>
      <c r="J227" s="42">
        <f>_xlfn.XLOOKUP(F227,'3. Input (des)investeringen '!$B$11:$B$81,'3. Input (des)investeringen '!$D$11:$D$81)</f>
        <v>10</v>
      </c>
      <c r="K227" s="42">
        <f>_xlfn.XLOOKUP(F227,'3. Input (des)investeringen '!$B$11:$B$81,'3. Input (des)investeringen '!$E$11:$E$81)</f>
        <v>0</v>
      </c>
      <c r="L227" s="42">
        <f>'8. Input IC huur Gasunie'!J180</f>
        <v>197555.1799351057</v>
      </c>
      <c r="M227" s="42">
        <f>'8. Input IC huur Gasunie'!K180</f>
        <v>0</v>
      </c>
    </row>
    <row r="228" spans="2:13">
      <c r="B228" s="37" t="str">
        <f>'8. Input IC huur Gasunie'!B181</f>
        <v>Asset 170</v>
      </c>
      <c r="F228" s="37" t="str">
        <f>'8. Input IC huur Gasunie'!F181</f>
        <v>14 Overig rollend materieel (odorisatie)</v>
      </c>
      <c r="G228" s="37">
        <f>'8. Input IC huur Gasunie'!G181</f>
        <v>2014</v>
      </c>
      <c r="H228" s="42">
        <f>'8. Input IC huur Gasunie'!H181</f>
        <v>1415.9999999999968</v>
      </c>
      <c r="I228" s="37">
        <f>'8. Input IC huur Gasunie'!I181</f>
        <v>2021</v>
      </c>
      <c r="J228" s="42">
        <f>_xlfn.XLOOKUP(F228,'3. Input (des)investeringen '!$B$11:$B$81,'3. Input (des)investeringen '!$D$11:$D$81)</f>
        <v>10</v>
      </c>
      <c r="K228" s="42">
        <f>_xlfn.XLOOKUP(F228,'3. Input (des)investeringen '!$B$11:$B$81,'3. Input (des)investeringen '!$E$11:$E$81)</f>
        <v>0</v>
      </c>
      <c r="L228" s="42">
        <f>'8. Input IC huur Gasunie'!J181</f>
        <v>386.28907503641284</v>
      </c>
      <c r="M228" s="42">
        <f>'8. Input IC huur Gasunie'!K181</f>
        <v>0</v>
      </c>
    </row>
    <row r="229" spans="2:13">
      <c r="B229" s="37" t="str">
        <f>'8. Input IC huur Gasunie'!B182</f>
        <v>Asset 171</v>
      </c>
      <c r="F229" s="37" t="str">
        <f>'8. Input IC huur Gasunie'!F182</f>
        <v>14 Overig rollend materieel (odorisatie)</v>
      </c>
      <c r="G229" s="37">
        <f>'8. Input IC huur Gasunie'!G182</f>
        <v>2015</v>
      </c>
      <c r="H229" s="42">
        <f>'8. Input IC huur Gasunie'!H182</f>
        <v>43315.304046858677</v>
      </c>
      <c r="I229" s="37">
        <f>'8. Input IC huur Gasunie'!I182</f>
        <v>2021</v>
      </c>
      <c r="J229" s="42">
        <f>_xlfn.XLOOKUP(F229,'3. Input (des)investeringen '!$B$11:$B$81,'3. Input (des)investeringen '!$D$11:$D$81)</f>
        <v>10</v>
      </c>
      <c r="K229" s="42">
        <f>_xlfn.XLOOKUP(F229,'3. Input (des)investeringen '!$B$11:$B$81,'3. Input (des)investeringen '!$E$11:$E$81)</f>
        <v>0</v>
      </c>
      <c r="L229" s="42">
        <f>'8. Input IC huur Gasunie'!J182</f>
        <v>16379.370300704035</v>
      </c>
      <c r="M229" s="42">
        <f>'8. Input IC huur Gasunie'!K182</f>
        <v>0</v>
      </c>
    </row>
    <row r="230" spans="2:13">
      <c r="B230" s="37" t="str">
        <f>'8. Input IC huur Gasunie'!B183</f>
        <v>Asset 172</v>
      </c>
      <c r="F230" s="37" t="str">
        <f>'8. Input IC huur Gasunie'!F183</f>
        <v>13 Aanhangwagens</v>
      </c>
      <c r="G230" s="37">
        <f>'8. Input IC huur Gasunie'!G183</f>
        <v>2015</v>
      </c>
      <c r="H230" s="42">
        <f>'8. Input IC huur Gasunie'!H183</f>
        <v>78424.550748692549</v>
      </c>
      <c r="I230" s="37">
        <f>'8. Input IC huur Gasunie'!I183</f>
        <v>2021</v>
      </c>
      <c r="J230" s="42">
        <f>_xlfn.XLOOKUP(F230,'3. Input (des)investeringen '!$B$11:$B$81,'3. Input (des)investeringen '!$D$11:$D$81)</f>
        <v>10</v>
      </c>
      <c r="K230" s="42">
        <f>_xlfn.XLOOKUP(F230,'3. Input (des)investeringen '!$B$11:$B$81,'3. Input (des)investeringen '!$E$11:$E$81)</f>
        <v>1</v>
      </c>
      <c r="L230" s="42">
        <f>'8. Input IC huur Gasunie'!J183</f>
        <v>29655.679110310892</v>
      </c>
      <c r="M230" s="42">
        <f>'8. Input IC huur Gasunie'!K183</f>
        <v>0</v>
      </c>
    </row>
    <row r="231" spans="2:13">
      <c r="B231" s="37" t="str">
        <f>'8. Input IC huur Gasunie'!B184</f>
        <v>Asset 173</v>
      </c>
      <c r="F231" s="37" t="str">
        <f>'8. Input IC huur Gasunie'!F184</f>
        <v>11 Werktuigen</v>
      </c>
      <c r="G231" s="37">
        <f>'8. Input IC huur Gasunie'!G184</f>
        <v>2015</v>
      </c>
      <c r="H231" s="42">
        <f>'8. Input IC huur Gasunie'!H184</f>
        <v>481116.61247078225</v>
      </c>
      <c r="I231" s="37">
        <f>'8. Input IC huur Gasunie'!I184</f>
        <v>2021</v>
      </c>
      <c r="J231" s="42">
        <f>_xlfn.XLOOKUP(F231,'3. Input (des)investeringen '!$B$11:$B$81,'3. Input (des)investeringen '!$D$11:$D$81)</f>
        <v>10</v>
      </c>
      <c r="K231" s="42">
        <f>_xlfn.XLOOKUP(F231,'3. Input (des)investeringen '!$B$11:$B$81,'3. Input (des)investeringen '!$E$11:$E$81)</f>
        <v>1</v>
      </c>
      <c r="L231" s="42">
        <f>'8. Input IC huur Gasunie'!J184</f>
        <v>181930.78236168518</v>
      </c>
      <c r="M231" s="42">
        <f>'8. Input IC huur Gasunie'!K184</f>
        <v>0</v>
      </c>
    </row>
    <row r="232" spans="2:13">
      <c r="B232" s="37" t="str">
        <f>'8. Input IC huur Gasunie'!B185</f>
        <v>Asset 174</v>
      </c>
      <c r="F232" s="37" t="str">
        <f>'8. Input IC huur Gasunie'!F185</f>
        <v>39 ICT middelen 3</v>
      </c>
      <c r="G232" s="37">
        <f>'8. Input IC huur Gasunie'!G185</f>
        <v>2015</v>
      </c>
      <c r="H232" s="42">
        <f>'8. Input IC huur Gasunie'!H185</f>
        <v>13785822.782425826</v>
      </c>
      <c r="I232" s="37">
        <f>'8. Input IC huur Gasunie'!I185</f>
        <v>2021</v>
      </c>
      <c r="J232" s="42">
        <f>_xlfn.XLOOKUP(F232,'3. Input (des)investeringen '!$B$11:$B$81,'3. Input (des)investeringen '!$D$11:$D$81)</f>
        <v>15</v>
      </c>
      <c r="K232" s="42">
        <f>_xlfn.XLOOKUP(F232,'3. Input (des)investeringen '!$B$11:$B$81,'3. Input (des)investeringen '!$E$11:$E$81)</f>
        <v>1</v>
      </c>
      <c r="L232" s="42">
        <f>'8. Input IC huur Gasunie'!J185</f>
        <v>8440110.7970265597</v>
      </c>
      <c r="M232" s="42">
        <f>'8. Input IC huur Gasunie'!K185</f>
        <v>0</v>
      </c>
    </row>
    <row r="233" spans="2:13">
      <c r="B233" s="37" t="str">
        <f>'8. Input IC huur Gasunie'!B186</f>
        <v>Asset 175</v>
      </c>
      <c r="F233" s="37" t="str">
        <f>'8. Input IC huur Gasunie'!F186</f>
        <v>12 Motorvoertuigen</v>
      </c>
      <c r="G233" s="37">
        <f>'8. Input IC huur Gasunie'!G186</f>
        <v>2015</v>
      </c>
      <c r="H233" s="42">
        <f>'8. Input IC huur Gasunie'!H186</f>
        <v>43877.173224174046</v>
      </c>
      <c r="I233" s="37">
        <f>'8. Input IC huur Gasunie'!I186</f>
        <v>2021</v>
      </c>
      <c r="J233" s="42">
        <f>_xlfn.XLOOKUP(F233,'3. Input (des)investeringen '!$B$11:$B$81,'3. Input (des)investeringen '!$D$11:$D$81)</f>
        <v>10</v>
      </c>
      <c r="K233" s="42">
        <f>_xlfn.XLOOKUP(F233,'3. Input (des)investeringen '!$B$11:$B$81,'3. Input (des)investeringen '!$E$11:$E$81)</f>
        <v>1</v>
      </c>
      <c r="L233" s="42">
        <f>'8. Input IC huur Gasunie'!J186</f>
        <v>16591.837083941773</v>
      </c>
      <c r="M233" s="42">
        <f>'8. Input IC huur Gasunie'!K186</f>
        <v>0</v>
      </c>
    </row>
    <row r="234" spans="2:13">
      <c r="B234" s="37" t="str">
        <f>'8. Input IC huur Gasunie'!B187</f>
        <v>Asset 176</v>
      </c>
      <c r="F234" s="37" t="str">
        <f>'8. Input IC huur Gasunie'!F187</f>
        <v>09 Bedrijfsinventaris</v>
      </c>
      <c r="G234" s="37">
        <f>'8. Input IC huur Gasunie'!G187</f>
        <v>2015</v>
      </c>
      <c r="H234" s="42">
        <f>'8. Input IC huur Gasunie'!H187</f>
        <v>153470.91831934603</v>
      </c>
      <c r="I234" s="37">
        <f>'8. Input IC huur Gasunie'!I187</f>
        <v>2021</v>
      </c>
      <c r="J234" s="42">
        <f>_xlfn.XLOOKUP(F234,'3. Input (des)investeringen '!$B$11:$B$81,'3. Input (des)investeringen '!$D$11:$D$81)</f>
        <v>10</v>
      </c>
      <c r="K234" s="42">
        <f>_xlfn.XLOOKUP(F234,'3. Input (des)investeringen '!$B$11:$B$81,'3. Input (des)investeringen '!$E$11:$E$81)</f>
        <v>1</v>
      </c>
      <c r="L234" s="42">
        <f>'8. Input IC huur Gasunie'!J187</f>
        <v>58033.922579009974</v>
      </c>
      <c r="M234" s="42">
        <f>'8. Input IC huur Gasunie'!K187</f>
        <v>0</v>
      </c>
    </row>
    <row r="235" spans="2:13">
      <c r="B235" s="37" t="str">
        <f>'8. Input IC huur Gasunie'!B188</f>
        <v>Asset 177</v>
      </c>
      <c r="F235" s="37" t="str">
        <f>'8. Input IC huur Gasunie'!F188</f>
        <v>20 Kantoorgebouwen</v>
      </c>
      <c r="G235" s="37">
        <f>'8. Input IC huur Gasunie'!G188</f>
        <v>2015</v>
      </c>
      <c r="H235" s="42">
        <f>'8. Input IC huur Gasunie'!H188</f>
        <v>2375369.7957282378</v>
      </c>
      <c r="I235" s="37">
        <f>'8. Input IC huur Gasunie'!I188</f>
        <v>2021</v>
      </c>
      <c r="J235" s="42">
        <f>_xlfn.XLOOKUP(F235,'3. Input (des)investeringen '!$B$11:$B$81,'3. Input (des)investeringen '!$D$11:$D$81)</f>
        <v>30</v>
      </c>
      <c r="K235" s="42">
        <f>_xlfn.XLOOKUP(F235,'3. Input (des)investeringen '!$B$11:$B$81,'3. Input (des)investeringen '!$E$11:$E$81)</f>
        <v>0</v>
      </c>
      <c r="L235" s="42">
        <f>'8. Input IC huur Gasunie'!J188</f>
        <v>2010322.0086927759</v>
      </c>
      <c r="M235" s="42">
        <f>'8. Input IC huur Gasunie'!K188</f>
        <v>0</v>
      </c>
    </row>
    <row r="236" spans="2:13">
      <c r="B236" s="37" t="str">
        <f>'8. Input IC huur Gasunie'!B189</f>
        <v>Asset 178</v>
      </c>
      <c r="F236" s="37" t="str">
        <f>'8. Input IC huur Gasunie'!F189</f>
        <v>06 Utiliteitsgebouwen</v>
      </c>
      <c r="G236" s="37">
        <f>'8. Input IC huur Gasunie'!G189</f>
        <v>2015</v>
      </c>
      <c r="H236" s="42">
        <f>'8. Input IC huur Gasunie'!H189</f>
        <v>516544.29057147249</v>
      </c>
      <c r="I236" s="37">
        <f>'8. Input IC huur Gasunie'!I189</f>
        <v>2021</v>
      </c>
      <c r="J236" s="42">
        <f>_xlfn.XLOOKUP(F236,'3. Input (des)investeringen '!$B$11:$B$81,'3. Input (des)investeringen '!$D$11:$D$81)</f>
        <v>30</v>
      </c>
      <c r="K236" s="42">
        <f>_xlfn.XLOOKUP(F236,'3. Input (des)investeringen '!$B$11:$B$81,'3. Input (des)investeringen '!$E$11:$E$81)</f>
        <v>0</v>
      </c>
      <c r="L236" s="42">
        <f>'8. Input IC huur Gasunie'!J189</f>
        <v>437161.55592610373</v>
      </c>
      <c r="M236" s="42">
        <f>'8. Input IC huur Gasunie'!K189</f>
        <v>0</v>
      </c>
    </row>
    <row r="237" spans="2:13">
      <c r="B237" s="37" t="str">
        <f>'8. Input IC huur Gasunie'!B190</f>
        <v>Asset 179</v>
      </c>
      <c r="F237" s="37" t="str">
        <f>'8. Input IC huur Gasunie'!F190</f>
        <v>08 Inrichting gebouwen</v>
      </c>
      <c r="G237" s="37">
        <f>'8. Input IC huur Gasunie'!G190</f>
        <v>2015</v>
      </c>
      <c r="H237" s="42">
        <f>'8. Input IC huur Gasunie'!H190</f>
        <v>406758.82739129546</v>
      </c>
      <c r="I237" s="37">
        <f>'8. Input IC huur Gasunie'!I190</f>
        <v>2021</v>
      </c>
      <c r="J237" s="42">
        <f>_xlfn.XLOOKUP(F237,'3. Input (des)investeringen '!$B$11:$B$81,'3. Input (des)investeringen '!$D$11:$D$81)</f>
        <v>10</v>
      </c>
      <c r="K237" s="42">
        <f>_xlfn.XLOOKUP(F237,'3. Input (des)investeringen '!$B$11:$B$81,'3. Input (des)investeringen '!$E$11:$E$81)</f>
        <v>0</v>
      </c>
      <c r="L237" s="42">
        <f>'8. Input IC huur Gasunie'!J190</f>
        <v>153812.9214033616</v>
      </c>
      <c r="M237" s="42">
        <f>'8. Input IC huur Gasunie'!K190</f>
        <v>0</v>
      </c>
    </row>
    <row r="238" spans="2:13">
      <c r="B238" s="37" t="str">
        <f>'8. Input IC huur Gasunie'!B191</f>
        <v>Asset 180</v>
      </c>
      <c r="F238" s="37" t="str">
        <f>'8. Input IC huur Gasunie'!F191</f>
        <v>20 Kantoorgebouwen</v>
      </c>
      <c r="G238" s="37">
        <f>'8. Input IC huur Gasunie'!G191</f>
        <v>2016</v>
      </c>
      <c r="H238" s="42">
        <f>'8. Input IC huur Gasunie'!H191</f>
        <v>229380.26938547671</v>
      </c>
      <c r="I238" s="37">
        <f>'8. Input IC huur Gasunie'!I191</f>
        <v>2021</v>
      </c>
      <c r="J238" s="42">
        <f>_xlfn.XLOOKUP(F238,'3. Input (des)investeringen '!$B$11:$B$81,'3. Input (des)investeringen '!$D$11:$D$81)</f>
        <v>30</v>
      </c>
      <c r="K238" s="42">
        <f>_xlfn.XLOOKUP(F238,'3. Input (des)investeringen '!$B$11:$B$81,'3. Input (des)investeringen '!$E$11:$E$81)</f>
        <v>0</v>
      </c>
      <c r="L238" s="42">
        <f>'8. Input IC huur Gasunie'!J191</f>
        <v>200783.5579674957</v>
      </c>
      <c r="M238" s="42">
        <f>'8. Input IC huur Gasunie'!K191</f>
        <v>0</v>
      </c>
    </row>
    <row r="239" spans="2:13">
      <c r="B239" s="37" t="str">
        <f>'8. Input IC huur Gasunie'!B192</f>
        <v>Asset 181</v>
      </c>
      <c r="F239" s="37" t="str">
        <f>'8. Input IC huur Gasunie'!F192</f>
        <v>39 ICT middelen 3</v>
      </c>
      <c r="G239" s="37">
        <f>'8. Input IC huur Gasunie'!G192</f>
        <v>2016</v>
      </c>
      <c r="H239" s="42">
        <f>'8. Input IC huur Gasunie'!H192</f>
        <v>529286.5107518764</v>
      </c>
      <c r="I239" s="37">
        <f>'8. Input IC huur Gasunie'!I192</f>
        <v>2021</v>
      </c>
      <c r="J239" s="42">
        <f>_xlfn.XLOOKUP(F239,'3. Input (des)investeringen '!$B$11:$B$81,'3. Input (des)investeringen '!$D$11:$D$81)</f>
        <v>15</v>
      </c>
      <c r="K239" s="42">
        <f>_xlfn.XLOOKUP(F239,'3. Input (des)investeringen '!$B$11:$B$81,'3. Input (des)investeringen '!$E$11:$E$81)</f>
        <v>1</v>
      </c>
      <c r="L239" s="42">
        <f>'8. Input IC huur Gasunie'!J192</f>
        <v>359294.38470756344</v>
      </c>
      <c r="M239" s="42">
        <f>'8. Input IC huur Gasunie'!K192</f>
        <v>0</v>
      </c>
    </row>
    <row r="240" spans="2:13">
      <c r="B240" s="37" t="str">
        <f>'8. Input IC huur Gasunie'!B193</f>
        <v>Asset 182</v>
      </c>
      <c r="F240" s="37" t="str">
        <f>'8. Input IC huur Gasunie'!F193</f>
        <v>12 Motorvoertuigen</v>
      </c>
      <c r="G240" s="37">
        <f>'8. Input IC huur Gasunie'!G193</f>
        <v>2016</v>
      </c>
      <c r="H240" s="42">
        <f>'8. Input IC huur Gasunie'!H193</f>
        <v>28567.827468907908</v>
      </c>
      <c r="I240" s="37">
        <f>'8. Input IC huur Gasunie'!I193</f>
        <v>2021</v>
      </c>
      <c r="J240" s="42">
        <f>_xlfn.XLOOKUP(F240,'3. Input (des)investeringen '!$B$11:$B$81,'3. Input (des)investeringen '!$D$11:$D$81)</f>
        <v>10</v>
      </c>
      <c r="K240" s="42">
        <f>_xlfn.XLOOKUP(F240,'3. Input (des)investeringen '!$B$11:$B$81,'3. Input (des)investeringen '!$E$11:$E$81)</f>
        <v>1</v>
      </c>
      <c r="L240" s="42">
        <f>'8. Input IC huur Gasunie'!J193</f>
        <v>13778.977338155324</v>
      </c>
      <c r="M240" s="42">
        <f>'8. Input IC huur Gasunie'!K193</f>
        <v>0</v>
      </c>
    </row>
    <row r="241" spans="2:13">
      <c r="B241" s="37" t="str">
        <f>'8. Input IC huur Gasunie'!B194</f>
        <v>Asset 183</v>
      </c>
      <c r="F241" s="37" t="str">
        <f>'8. Input IC huur Gasunie'!F194</f>
        <v>06 Utiliteitsgebouwen</v>
      </c>
      <c r="G241" s="37">
        <f>'8. Input IC huur Gasunie'!G194</f>
        <v>2016</v>
      </c>
      <c r="H241" s="42">
        <f>'8. Input IC huur Gasunie'!H194</f>
        <v>69569.550579382194</v>
      </c>
      <c r="I241" s="37">
        <f>'8. Input IC huur Gasunie'!I194</f>
        <v>2021</v>
      </c>
      <c r="J241" s="42">
        <f>_xlfn.XLOOKUP(F241,'3. Input (des)investeringen '!$B$11:$B$81,'3. Input (des)investeringen '!$D$11:$D$81)</f>
        <v>30</v>
      </c>
      <c r="K241" s="42">
        <f>_xlfn.XLOOKUP(F241,'3. Input (des)investeringen '!$B$11:$B$81,'3. Input (des)investeringen '!$E$11:$E$81)</f>
        <v>0</v>
      </c>
      <c r="L241" s="42">
        <f>'8. Input IC huur Gasunie'!J194</f>
        <v>60896.353156050573</v>
      </c>
      <c r="M241" s="42">
        <f>'8. Input IC huur Gasunie'!K194</f>
        <v>0</v>
      </c>
    </row>
    <row r="242" spans="2:13">
      <c r="B242" s="37" t="str">
        <f>'8. Input IC huur Gasunie'!B195</f>
        <v>Asset 184</v>
      </c>
      <c r="F242" s="37" t="str">
        <f>'8. Input IC huur Gasunie'!F195</f>
        <v>09 Bedrijfsinventaris</v>
      </c>
      <c r="G242" s="37">
        <f>'8. Input IC huur Gasunie'!G195</f>
        <v>2016</v>
      </c>
      <c r="H242" s="42">
        <f>'8. Input IC huur Gasunie'!H195</f>
        <v>285684.31746031862</v>
      </c>
      <c r="I242" s="37">
        <f>'8. Input IC huur Gasunie'!I195</f>
        <v>2021</v>
      </c>
      <c r="J242" s="42">
        <f>_xlfn.XLOOKUP(F242,'3. Input (des)investeringen '!$B$11:$B$81,'3. Input (des)investeringen '!$D$11:$D$81)</f>
        <v>10</v>
      </c>
      <c r="K242" s="42">
        <f>_xlfn.XLOOKUP(F242,'3. Input (des)investeringen '!$B$11:$B$81,'3. Input (des)investeringen '!$E$11:$E$81)</f>
        <v>1</v>
      </c>
      <c r="L242" s="42">
        <f>'8. Input IC huur Gasunie'!J195</f>
        <v>137792.68796118168</v>
      </c>
      <c r="M242" s="42">
        <f>'8. Input IC huur Gasunie'!K195</f>
        <v>0</v>
      </c>
    </row>
    <row r="243" spans="2:13">
      <c r="B243" s="37" t="str">
        <f>'8. Input IC huur Gasunie'!B196</f>
        <v>Asset 185</v>
      </c>
      <c r="F243" s="37" t="str">
        <f>'8. Input IC huur Gasunie'!F196</f>
        <v>08 Inrichting gebouwen</v>
      </c>
      <c r="G243" s="37">
        <f>'8. Input IC huur Gasunie'!G196</f>
        <v>2016</v>
      </c>
      <c r="H243" s="42">
        <f>'8. Input IC huur Gasunie'!H196</f>
        <v>23169.006741347624</v>
      </c>
      <c r="I243" s="37">
        <f>'8. Input IC huur Gasunie'!I196</f>
        <v>2021</v>
      </c>
      <c r="J243" s="42">
        <f>_xlfn.XLOOKUP(F243,'3. Input (des)investeringen '!$B$11:$B$81,'3. Input (des)investeringen '!$D$11:$D$81)</f>
        <v>10</v>
      </c>
      <c r="K243" s="42">
        <f>_xlfn.XLOOKUP(F243,'3. Input (des)investeringen '!$B$11:$B$81,'3. Input (des)investeringen '!$E$11:$E$81)</f>
        <v>0</v>
      </c>
      <c r="L243" s="42">
        <f>'8. Input IC huur Gasunie'!J196</f>
        <v>11174.991139387506</v>
      </c>
      <c r="M243" s="42">
        <f>'8. Input IC huur Gasunie'!K196</f>
        <v>0</v>
      </c>
    </row>
    <row r="244" spans="2:13">
      <c r="B244" s="37" t="str">
        <f>'8. Input IC huur Gasunie'!B197</f>
        <v>Asset 186</v>
      </c>
      <c r="F244" s="37" t="str">
        <f>'8. Input IC huur Gasunie'!F197</f>
        <v>11 Werktuigen (KC)</v>
      </c>
      <c r="G244" s="37">
        <f>'8. Input IC huur Gasunie'!G197</f>
        <v>2017</v>
      </c>
      <c r="H244" s="42">
        <f>'8. Input IC huur Gasunie'!H197</f>
        <v>42505.139899436123</v>
      </c>
      <c r="I244" s="37">
        <f>'8. Input IC huur Gasunie'!I197</f>
        <v>2021</v>
      </c>
      <c r="J244" s="42">
        <f>_xlfn.XLOOKUP(F244,'3. Input (des)investeringen '!$B$11:$B$81,'3. Input (des)investeringen '!$D$11:$D$81)</f>
        <v>10</v>
      </c>
      <c r="K244" s="42">
        <f>_xlfn.XLOOKUP(F244,'3. Input (des)investeringen '!$B$11:$B$81,'3. Input (des)investeringen '!$E$11:$E$81)</f>
        <v>0</v>
      </c>
      <c r="L244" s="42">
        <f>'8. Input IC huur Gasunie'!J197</f>
        <v>25007.119857240814</v>
      </c>
      <c r="M244" s="42">
        <f>'8. Input IC huur Gasunie'!K197</f>
        <v>0</v>
      </c>
    </row>
    <row r="245" spans="2:13">
      <c r="B245" s="37" t="str">
        <f>'8. Input IC huur Gasunie'!B198</f>
        <v>Asset 187</v>
      </c>
      <c r="F245" s="37" t="str">
        <f>'8. Input IC huur Gasunie'!F198</f>
        <v>10 Gereedschap</v>
      </c>
      <c r="G245" s="37">
        <f>'8. Input IC huur Gasunie'!G198</f>
        <v>2017</v>
      </c>
      <c r="H245" s="42">
        <f>'8. Input IC huur Gasunie'!H198</f>
        <v>283180.78041617683</v>
      </c>
      <c r="I245" s="37">
        <f>'8. Input IC huur Gasunie'!I198</f>
        <v>2021</v>
      </c>
      <c r="J245" s="42">
        <f>_xlfn.XLOOKUP(F245,'3. Input (des)investeringen '!$B$11:$B$81,'3. Input (des)investeringen '!$D$11:$D$81)</f>
        <v>10</v>
      </c>
      <c r="K245" s="42">
        <f>_xlfn.XLOOKUP(F245,'3. Input (des)investeringen '!$B$11:$B$81,'3. Input (des)investeringen '!$E$11:$E$81)</f>
        <v>1</v>
      </c>
      <c r="L245" s="42">
        <f>'8. Input IC huur Gasunie'!J198</f>
        <v>166604.2208986652</v>
      </c>
      <c r="M245" s="42">
        <f>'8. Input IC huur Gasunie'!K198</f>
        <v>0</v>
      </c>
    </row>
    <row r="246" spans="2:13">
      <c r="B246" s="37" t="str">
        <f>'8. Input IC huur Gasunie'!B199</f>
        <v>Asset 188</v>
      </c>
      <c r="F246" s="37" t="str">
        <f>'8. Input IC huur Gasunie'!F199</f>
        <v>10 Gereedschap</v>
      </c>
      <c r="G246" s="37">
        <f>'8. Input IC huur Gasunie'!G199</f>
        <v>2016</v>
      </c>
      <c r="H246" s="42">
        <f>'8. Input IC huur Gasunie'!H199</f>
        <v>59355.750635093973</v>
      </c>
      <c r="I246" s="37">
        <f>'8. Input IC huur Gasunie'!I199</f>
        <v>2021</v>
      </c>
      <c r="J246" s="42">
        <f>_xlfn.XLOOKUP(F246,'3. Input (des)investeringen '!$B$11:$B$81,'3. Input (des)investeringen '!$D$11:$D$81)</f>
        <v>10</v>
      </c>
      <c r="K246" s="42">
        <f>_xlfn.XLOOKUP(F246,'3. Input (des)investeringen '!$B$11:$B$81,'3. Input (des)investeringen '!$E$11:$E$81)</f>
        <v>1</v>
      </c>
      <c r="L246" s="42">
        <f>'8. Input IC huur Gasunie'!J199</f>
        <v>28628.76232994219</v>
      </c>
      <c r="M246" s="42">
        <f>'8. Input IC huur Gasunie'!K199</f>
        <v>0</v>
      </c>
    </row>
    <row r="247" spans="2:13">
      <c r="B247" s="37" t="str">
        <f>'8. Input IC huur Gasunie'!B200</f>
        <v>Asset 189</v>
      </c>
      <c r="F247" s="37" t="str">
        <f>'8. Input IC huur Gasunie'!F200</f>
        <v>20 Kantoorgebouwen</v>
      </c>
      <c r="G247" s="37">
        <f>'8. Input IC huur Gasunie'!G200</f>
        <v>2017</v>
      </c>
      <c r="H247" s="42">
        <f>'8. Input IC huur Gasunie'!H200</f>
        <v>1235103.6006231268</v>
      </c>
      <c r="I247" s="37">
        <f>'8. Input IC huur Gasunie'!I200</f>
        <v>2021</v>
      </c>
      <c r="J247" s="42">
        <f>_xlfn.XLOOKUP(F247,'3. Input (des)investeringen '!$B$11:$B$81,'3. Input (des)investeringen '!$D$11:$D$81)</f>
        <v>30</v>
      </c>
      <c r="K247" s="42">
        <f>_xlfn.XLOOKUP(F247,'3. Input (des)investeringen '!$B$11:$B$81,'3. Input (des)investeringen '!$E$11:$E$81)</f>
        <v>0</v>
      </c>
      <c r="L247" s="42">
        <f>'8. Input IC huur Gasunie'!J200</f>
        <v>1123005.4133120223</v>
      </c>
      <c r="M247" s="42">
        <f>'8. Input IC huur Gasunie'!K200</f>
        <v>0</v>
      </c>
    </row>
    <row r="248" spans="2:13">
      <c r="B248" s="37" t="str">
        <f>'8. Input IC huur Gasunie'!B201</f>
        <v>Asset 190</v>
      </c>
      <c r="F248" s="37" t="str">
        <f>'8. Input IC huur Gasunie'!F201</f>
        <v>13 Aanhangwagens</v>
      </c>
      <c r="G248" s="37">
        <f>'8. Input IC huur Gasunie'!G201</f>
        <v>2017</v>
      </c>
      <c r="H248" s="42">
        <f>'8. Input IC huur Gasunie'!H201</f>
        <v>251242.94461834809</v>
      </c>
      <c r="I248" s="37">
        <f>'8. Input IC huur Gasunie'!I201</f>
        <v>2021</v>
      </c>
      <c r="J248" s="42">
        <f>_xlfn.XLOOKUP(F248,'3. Input (des)investeringen '!$B$11:$B$81,'3. Input (des)investeringen '!$D$11:$D$81)</f>
        <v>10</v>
      </c>
      <c r="K248" s="42">
        <f>_xlfn.XLOOKUP(F248,'3. Input (des)investeringen '!$B$11:$B$81,'3. Input (des)investeringen '!$E$11:$E$81)</f>
        <v>1</v>
      </c>
      <c r="L248" s="42">
        <f>'8. Input IC huur Gasunie'!J201</f>
        <v>147814.18069019204</v>
      </c>
      <c r="M248" s="42">
        <f>'8. Input IC huur Gasunie'!K201</f>
        <v>0</v>
      </c>
    </row>
    <row r="249" spans="2:13">
      <c r="B249" s="37" t="str">
        <f>'8. Input IC huur Gasunie'!B202</f>
        <v>Asset 191</v>
      </c>
      <c r="F249" s="37" t="str">
        <f>'8. Input IC huur Gasunie'!F202</f>
        <v>12 Motorvoertuigen</v>
      </c>
      <c r="G249" s="37">
        <f>'8. Input IC huur Gasunie'!G202</f>
        <v>2017</v>
      </c>
      <c r="H249" s="42">
        <f>'8. Input IC huur Gasunie'!H202</f>
        <v>342149.84909853589</v>
      </c>
      <c r="I249" s="37">
        <f>'8. Input IC huur Gasunie'!I202</f>
        <v>2021</v>
      </c>
      <c r="J249" s="42">
        <f>_xlfn.XLOOKUP(F249,'3. Input (des)investeringen '!$B$11:$B$81,'3. Input (des)investeringen '!$D$11:$D$81)</f>
        <v>10</v>
      </c>
      <c r="K249" s="42">
        <f>_xlfn.XLOOKUP(F249,'3. Input (des)investeringen '!$B$11:$B$81,'3. Input (des)investeringen '!$E$11:$E$81)</f>
        <v>1</v>
      </c>
      <c r="L249" s="42">
        <f>'8. Input IC huur Gasunie'!J202</f>
        <v>201297.59143922853</v>
      </c>
      <c r="M249" s="42">
        <f>'8. Input IC huur Gasunie'!K202</f>
        <v>0</v>
      </c>
    </row>
    <row r="250" spans="2:13">
      <c r="B250" s="37" t="str">
        <f>'8. Input IC huur Gasunie'!B203</f>
        <v>Asset 192</v>
      </c>
      <c r="F250" s="37" t="str">
        <f>'8. Input IC huur Gasunie'!F203</f>
        <v>10 Gereedschap (gaschromatografen en comptabele meters)</v>
      </c>
      <c r="G250" s="37">
        <f>'8. Input IC huur Gasunie'!G203</f>
        <v>2017</v>
      </c>
      <c r="H250" s="42">
        <f>'8. Input IC huur Gasunie'!H203</f>
        <v>492613.45921199484</v>
      </c>
      <c r="I250" s="37">
        <f>'8. Input IC huur Gasunie'!I203</f>
        <v>2021</v>
      </c>
      <c r="J250" s="42">
        <f>_xlfn.XLOOKUP(F250,'3. Input (des)investeringen '!$B$11:$B$81,'3. Input (des)investeringen '!$D$11:$D$81)</f>
        <v>10</v>
      </c>
      <c r="K250" s="42">
        <f>_xlfn.XLOOKUP(F250,'3. Input (des)investeringen '!$B$11:$B$81,'3. Input (des)investeringen '!$E$11:$E$81)</f>
        <v>0</v>
      </c>
      <c r="L250" s="42">
        <f>'8. Input IC huur Gasunie'!J203</f>
        <v>289820.09815635922</v>
      </c>
      <c r="M250" s="42">
        <f>'8. Input IC huur Gasunie'!K203</f>
        <v>0</v>
      </c>
    </row>
    <row r="251" spans="2:13">
      <c r="B251" s="37" t="str">
        <f>'8. Input IC huur Gasunie'!B204</f>
        <v>Asset 193</v>
      </c>
      <c r="F251" s="37" t="str">
        <f>'8. Input IC huur Gasunie'!F204</f>
        <v>11 Werktuigen</v>
      </c>
      <c r="G251" s="37">
        <f>'8. Input IC huur Gasunie'!G204</f>
        <v>2017</v>
      </c>
      <c r="H251" s="42">
        <f>'8. Input IC huur Gasunie'!H204</f>
        <v>2185364.6124668787</v>
      </c>
      <c r="I251" s="37">
        <f>'8. Input IC huur Gasunie'!I204</f>
        <v>2021</v>
      </c>
      <c r="J251" s="42">
        <f>_xlfn.XLOOKUP(F251,'3. Input (des)investeringen '!$B$11:$B$81,'3. Input (des)investeringen '!$D$11:$D$81)</f>
        <v>10</v>
      </c>
      <c r="K251" s="42">
        <f>_xlfn.XLOOKUP(F251,'3. Input (des)investeringen '!$B$11:$B$81,'3. Input (des)investeringen '!$E$11:$E$81)</f>
        <v>1</v>
      </c>
      <c r="L251" s="42">
        <f>'8. Input IC huur Gasunie'!J204</f>
        <v>1285719.20772473</v>
      </c>
      <c r="M251" s="42">
        <f>'8. Input IC huur Gasunie'!K204</f>
        <v>0</v>
      </c>
    </row>
    <row r="252" spans="2:13">
      <c r="B252" s="37" t="str">
        <f>'8. Input IC huur Gasunie'!B205</f>
        <v>Asset 194</v>
      </c>
      <c r="F252" s="37" t="str">
        <f>'8. Input IC huur Gasunie'!F205</f>
        <v>14 Overig rollend materieel</v>
      </c>
      <c r="G252" s="37">
        <f>'8. Input IC huur Gasunie'!G205</f>
        <v>2017</v>
      </c>
      <c r="H252" s="42">
        <f>'8. Input IC huur Gasunie'!H205</f>
        <v>68624.022512808762</v>
      </c>
      <c r="I252" s="37">
        <f>'8. Input IC huur Gasunie'!I205</f>
        <v>2021</v>
      </c>
      <c r="J252" s="42">
        <f>_xlfn.XLOOKUP(F252,'3. Input (des)investeringen '!$B$11:$B$81,'3. Input (des)investeringen '!$D$11:$D$81)</f>
        <v>10</v>
      </c>
      <c r="K252" s="42">
        <f>_xlfn.XLOOKUP(F252,'3. Input (des)investeringen '!$B$11:$B$81,'3. Input (des)investeringen '!$E$11:$E$81)</f>
        <v>1</v>
      </c>
      <c r="L252" s="42">
        <f>'8. Input IC huur Gasunie'!J205</f>
        <v>40373.685632465487</v>
      </c>
      <c r="M252" s="42">
        <f>'8. Input IC huur Gasunie'!K205</f>
        <v>0</v>
      </c>
    </row>
    <row r="253" spans="2:13">
      <c r="B253" s="37" t="str">
        <f>'8. Input IC huur Gasunie'!B206</f>
        <v>Asset 195</v>
      </c>
      <c r="F253" s="37" t="str">
        <f>'8. Input IC huur Gasunie'!F206</f>
        <v>09 Bedrijfsinventaris</v>
      </c>
      <c r="G253" s="37">
        <f>'8. Input IC huur Gasunie'!G206</f>
        <v>2017</v>
      </c>
      <c r="H253" s="42">
        <f>'8. Input IC huur Gasunie'!H206</f>
        <v>75086.588886849713</v>
      </c>
      <c r="I253" s="37">
        <f>'8. Input IC huur Gasunie'!I206</f>
        <v>2021</v>
      </c>
      <c r="J253" s="42">
        <f>_xlfn.XLOOKUP(F253,'3. Input (des)investeringen '!$B$11:$B$81,'3. Input (des)investeringen '!$D$11:$D$81)</f>
        <v>10</v>
      </c>
      <c r="K253" s="42">
        <f>_xlfn.XLOOKUP(F253,'3. Input (des)investeringen '!$B$11:$B$81,'3. Input (des)investeringen '!$E$11:$E$81)</f>
        <v>1</v>
      </c>
      <c r="L253" s="42">
        <f>'8. Input IC huur Gasunie'!J206</f>
        <v>44175.81808711389</v>
      </c>
      <c r="M253" s="42">
        <f>'8. Input IC huur Gasunie'!K206</f>
        <v>0</v>
      </c>
    </row>
    <row r="254" spans="2:13">
      <c r="B254" s="37" t="str">
        <f>'8. Input IC huur Gasunie'!B207</f>
        <v>Asset 196</v>
      </c>
      <c r="F254" s="37" t="str">
        <f>'8. Input IC huur Gasunie'!F207</f>
        <v>08 Inrichting gebouwen</v>
      </c>
      <c r="G254" s="37">
        <f>'8. Input IC huur Gasunie'!G207</f>
        <v>2017</v>
      </c>
      <c r="H254" s="42">
        <f>'8. Input IC huur Gasunie'!H207</f>
        <v>894081.48176313401</v>
      </c>
      <c r="I254" s="37">
        <f>'8. Input IC huur Gasunie'!I207</f>
        <v>2021</v>
      </c>
      <c r="J254" s="42">
        <f>_xlfn.XLOOKUP(F254,'3. Input (des)investeringen '!$B$11:$B$81,'3. Input (des)investeringen '!$D$11:$D$81)</f>
        <v>10</v>
      </c>
      <c r="K254" s="42">
        <f>_xlfn.XLOOKUP(F254,'3. Input (des)investeringen '!$B$11:$B$81,'3. Input (des)investeringen '!$E$11:$E$81)</f>
        <v>0</v>
      </c>
      <c r="L254" s="42">
        <f>'8. Input IC huur Gasunie'!J207</f>
        <v>526016.44952794898</v>
      </c>
      <c r="M254" s="42">
        <f>'8. Input IC huur Gasunie'!K207</f>
        <v>0</v>
      </c>
    </row>
    <row r="255" spans="2:13">
      <c r="B255" s="37" t="str">
        <f>'8. Input IC huur Gasunie'!B208</f>
        <v>Asset 197</v>
      </c>
      <c r="F255" s="37" t="str">
        <f>'8. Input IC huur Gasunie'!F208</f>
        <v>09 Bedrijfsinventaris</v>
      </c>
      <c r="G255" s="37">
        <f>'8. Input IC huur Gasunie'!G208</f>
        <v>2018</v>
      </c>
      <c r="H255" s="42">
        <f>'8. Input IC huur Gasunie'!H208</f>
        <v>490885.08786120504</v>
      </c>
      <c r="I255" s="37">
        <f>'8. Input IC huur Gasunie'!I208</f>
        <v>2021</v>
      </c>
      <c r="J255" s="42">
        <f>_xlfn.XLOOKUP(F255,'3. Input (des)investeringen '!$B$11:$B$81,'3. Input (des)investeringen '!$D$11:$D$81)</f>
        <v>10</v>
      </c>
      <c r="K255" s="42">
        <f>_xlfn.XLOOKUP(F255,'3. Input (des)investeringen '!$B$11:$B$81,'3. Input (des)investeringen '!$E$11:$E$81)</f>
        <v>1</v>
      </c>
      <c r="L255" s="42">
        <f>'8. Input IC huur Gasunie'!J208</f>
        <v>336600.51580018562</v>
      </c>
      <c r="M255" s="42">
        <f>'8. Input IC huur Gasunie'!K208</f>
        <v>0</v>
      </c>
    </row>
    <row r="256" spans="2:13">
      <c r="B256" s="37" t="str">
        <f>'8. Input IC huur Gasunie'!B209</f>
        <v>Asset 198</v>
      </c>
      <c r="F256" s="37" t="str">
        <f>'8. Input IC huur Gasunie'!F209</f>
        <v>08 Inrichting gebouwen</v>
      </c>
      <c r="G256" s="37">
        <f>'8. Input IC huur Gasunie'!G209</f>
        <v>2018</v>
      </c>
      <c r="H256" s="42">
        <f>'8. Input IC huur Gasunie'!H209</f>
        <v>533703.76265516167</v>
      </c>
      <c r="I256" s="37">
        <f>'8. Input IC huur Gasunie'!I209</f>
        <v>2021</v>
      </c>
      <c r="J256" s="42">
        <f>_xlfn.XLOOKUP(F256,'3. Input (des)investeringen '!$B$11:$B$81,'3. Input (des)investeringen '!$D$11:$D$81)</f>
        <v>10</v>
      </c>
      <c r="K256" s="42">
        <f>_xlfn.XLOOKUP(F256,'3. Input (des)investeringen '!$B$11:$B$81,'3. Input (des)investeringen '!$E$11:$E$81)</f>
        <v>0</v>
      </c>
      <c r="L256" s="42">
        <f>'8. Input IC huur Gasunie'!J209</f>
        <v>365961.33440708811</v>
      </c>
      <c r="M256" s="42">
        <f>'8. Input IC huur Gasunie'!K209</f>
        <v>0</v>
      </c>
    </row>
    <row r="257" spans="2:13">
      <c r="B257" s="37" t="str">
        <f>'8. Input IC huur Gasunie'!B210</f>
        <v>Asset 199</v>
      </c>
      <c r="F257" s="37" t="str">
        <f>'8. Input IC huur Gasunie'!F210</f>
        <v>11 Werktuigen</v>
      </c>
      <c r="G257" s="37">
        <f>'8. Input IC huur Gasunie'!G210</f>
        <v>2018</v>
      </c>
      <c r="H257" s="42">
        <f>'8. Input IC huur Gasunie'!H210</f>
        <v>2619455.826851733</v>
      </c>
      <c r="I257" s="37">
        <f>'8. Input IC huur Gasunie'!I210</f>
        <v>2021</v>
      </c>
      <c r="J257" s="42">
        <f>_xlfn.XLOOKUP(F257,'3. Input (des)investeringen '!$B$11:$B$81,'3. Input (des)investeringen '!$D$11:$D$81)</f>
        <v>10</v>
      </c>
      <c r="K257" s="42">
        <f>_xlfn.XLOOKUP(F257,'3. Input (des)investeringen '!$B$11:$B$81,'3. Input (des)investeringen '!$E$11:$E$81)</f>
        <v>1</v>
      </c>
      <c r="L257" s="42">
        <f>'8. Input IC huur Gasunie'!J210</f>
        <v>1796164.1211708463</v>
      </c>
      <c r="M257" s="42">
        <f>'8. Input IC huur Gasunie'!K210</f>
        <v>0</v>
      </c>
    </row>
    <row r="258" spans="2:13">
      <c r="B258" s="37" t="str">
        <f>'8. Input IC huur Gasunie'!B211</f>
        <v>Asset 200</v>
      </c>
      <c r="F258" s="37" t="str">
        <f>'8. Input IC huur Gasunie'!F211</f>
        <v>10 Gereedschap</v>
      </c>
      <c r="G258" s="37">
        <f>'8. Input IC huur Gasunie'!G211</f>
        <v>2018</v>
      </c>
      <c r="H258" s="42">
        <f>'8. Input IC huur Gasunie'!H211</f>
        <v>252164.79428194632</v>
      </c>
      <c r="I258" s="37">
        <f>'8. Input IC huur Gasunie'!I211</f>
        <v>2021</v>
      </c>
      <c r="J258" s="42">
        <f>_xlfn.XLOOKUP(F258,'3. Input (des)investeringen '!$B$11:$B$81,'3. Input (des)investeringen '!$D$11:$D$81)</f>
        <v>10</v>
      </c>
      <c r="K258" s="42">
        <f>_xlfn.XLOOKUP(F258,'3. Input (des)investeringen '!$B$11:$B$81,'3. Input (des)investeringen '!$E$11:$E$81)</f>
        <v>1</v>
      </c>
      <c r="L258" s="42">
        <f>'8. Input IC huur Gasunie'!J211</f>
        <v>172909.7133338665</v>
      </c>
      <c r="M258" s="42">
        <f>'8. Input IC huur Gasunie'!K211</f>
        <v>0</v>
      </c>
    </row>
    <row r="259" spans="2:13">
      <c r="B259" s="37" t="str">
        <f>'8. Input IC huur Gasunie'!B212</f>
        <v>Asset 201</v>
      </c>
      <c r="F259" s="37" t="str">
        <f>'8. Input IC huur Gasunie'!F212</f>
        <v>11 Werktuigen (KC)</v>
      </c>
      <c r="G259" s="37">
        <f>'8. Input IC huur Gasunie'!G212</f>
        <v>2018</v>
      </c>
      <c r="H259" s="42">
        <f>'8. Input IC huur Gasunie'!H212</f>
        <v>13021546.318391869</v>
      </c>
      <c r="I259" s="37">
        <f>'8. Input IC huur Gasunie'!I212</f>
        <v>2021</v>
      </c>
      <c r="J259" s="42">
        <f>_xlfn.XLOOKUP(F259,'3. Input (des)investeringen '!$B$11:$B$81,'3. Input (des)investeringen '!$D$11:$D$81)</f>
        <v>10</v>
      </c>
      <c r="K259" s="42">
        <f>_xlfn.XLOOKUP(F259,'3. Input (des)investeringen '!$B$11:$B$81,'3. Input (des)investeringen '!$E$11:$E$81)</f>
        <v>0</v>
      </c>
      <c r="L259" s="42">
        <f>'8. Input IC huur Gasunie'!J212</f>
        <v>8928890.519742161</v>
      </c>
      <c r="M259" s="42">
        <f>'8. Input IC huur Gasunie'!K212</f>
        <v>0</v>
      </c>
    </row>
    <row r="260" spans="2:13">
      <c r="B260" s="37" t="str">
        <f>'8. Input IC huur Gasunie'!B213</f>
        <v>Asset 202</v>
      </c>
      <c r="F260" s="37" t="str">
        <f>'8. Input IC huur Gasunie'!F213</f>
        <v>20 Kantoorgebouwen</v>
      </c>
      <c r="G260" s="37">
        <f>'8. Input IC huur Gasunie'!G213</f>
        <v>2018</v>
      </c>
      <c r="H260" s="42">
        <f>'8. Input IC huur Gasunie'!H213</f>
        <v>5158473.573657441</v>
      </c>
      <c r="I260" s="37">
        <f>'8. Input IC huur Gasunie'!I213</f>
        <v>2021</v>
      </c>
      <c r="J260" s="42">
        <f>_xlfn.XLOOKUP(F260,'3. Input (des)investeringen '!$B$11:$B$81,'3. Input (des)investeringen '!$D$11:$D$81)</f>
        <v>30</v>
      </c>
      <c r="K260" s="42">
        <f>_xlfn.XLOOKUP(F260,'3. Input (des)investeringen '!$B$11:$B$81,'3. Input (des)investeringen '!$E$11:$E$81)</f>
        <v>0</v>
      </c>
      <c r="L260" s="42">
        <f>'8. Input IC huur Gasunie'!J213</f>
        <v>4806925.7125234623</v>
      </c>
      <c r="M260" s="42">
        <f>'8. Input IC huur Gasunie'!K213</f>
        <v>0</v>
      </c>
    </row>
    <row r="261" spans="2:13">
      <c r="B261" s="37" t="str">
        <f>'8. Input IC huur Gasunie'!B214</f>
        <v>Asset 203</v>
      </c>
      <c r="F261" s="37" t="str">
        <f>'8. Input IC huur Gasunie'!F214</f>
        <v>39 ICT middelen 3 (KC)</v>
      </c>
      <c r="G261" s="37">
        <f>'8. Input IC huur Gasunie'!G214</f>
        <v>2018</v>
      </c>
      <c r="H261" s="42">
        <f>'8. Input IC huur Gasunie'!H214</f>
        <v>21147142.000000007</v>
      </c>
      <c r="I261" s="37">
        <f>'8. Input IC huur Gasunie'!I214</f>
        <v>2021</v>
      </c>
      <c r="J261" s="42">
        <f>_xlfn.XLOOKUP(F261,'3. Input (des)investeringen '!$B$11:$B$81,'3. Input (des)investeringen '!$D$11:$D$81)</f>
        <v>15</v>
      </c>
      <c r="K261" s="42">
        <f>_xlfn.XLOOKUP(F261,'3. Input (des)investeringen '!$B$11:$B$81,'3. Input (des)investeringen '!$E$11:$E$81)</f>
        <v>0</v>
      </c>
      <c r="L261" s="42">
        <f>'8. Input IC huur Gasunie'!J214</f>
        <v>17103297.263965867</v>
      </c>
      <c r="M261" s="42">
        <f>'8. Input IC huur Gasunie'!K214</f>
        <v>0</v>
      </c>
    </row>
    <row r="262" spans="2:13">
      <c r="B262" s="37" t="str">
        <f>'8. Input IC huur Gasunie'!B215</f>
        <v>Asset 204</v>
      </c>
      <c r="F262" s="37" t="str">
        <f>'8. Input IC huur Gasunie'!F215</f>
        <v>37 ICT middelen 1 (KC)</v>
      </c>
      <c r="G262" s="37">
        <f>'8. Input IC huur Gasunie'!G215</f>
        <v>2018</v>
      </c>
      <c r="H262" s="42">
        <f>'8. Input IC huur Gasunie'!H215</f>
        <v>1669649.9999999995</v>
      </c>
      <c r="I262" s="37">
        <f>'8. Input IC huur Gasunie'!I215</f>
        <v>2021</v>
      </c>
      <c r="J262" s="42">
        <f>_xlfn.XLOOKUP(F262,'3. Input (des)investeringen '!$B$11:$B$81,'3. Input (des)investeringen '!$D$11:$D$81)</f>
        <v>5</v>
      </c>
      <c r="K262" s="42">
        <f>_xlfn.XLOOKUP(F262,'3. Input (des)investeringen '!$B$11:$B$81,'3. Input (des)investeringen '!$E$11:$E$81)</f>
        <v>0</v>
      </c>
      <c r="L262" s="42">
        <f>'8. Input IC huur Gasunie'!J215</f>
        <v>528406.65386783984</v>
      </c>
      <c r="M262" s="42">
        <f>'8. Input IC huur Gasunie'!K215</f>
        <v>0</v>
      </c>
    </row>
    <row r="263" spans="2:13">
      <c r="B263" s="37" t="str">
        <f>'8. Input IC huur Gasunie'!B216</f>
        <v>Asset 205</v>
      </c>
      <c r="F263" s="37" t="str">
        <f>'8. Input IC huur Gasunie'!F216</f>
        <v>05 Wegen en terreinvoorzieningen</v>
      </c>
      <c r="G263" s="37">
        <f>'8. Input IC huur Gasunie'!G216</f>
        <v>2017</v>
      </c>
      <c r="H263" s="42">
        <f>'8. Input IC huur Gasunie'!H216</f>
        <v>41129.587663444909</v>
      </c>
      <c r="I263" s="37">
        <f>'8. Input IC huur Gasunie'!I216</f>
        <v>2021</v>
      </c>
      <c r="J263" s="42">
        <f>_xlfn.XLOOKUP(F263,'3. Input (des)investeringen '!$B$11:$B$81,'3. Input (des)investeringen '!$D$11:$D$81)</f>
        <v>10</v>
      </c>
      <c r="K263" s="42">
        <f>_xlfn.XLOOKUP(F263,'3. Input (des)investeringen '!$B$11:$B$81,'3. Input (des)investeringen '!$E$11:$E$81)</f>
        <v>0</v>
      </c>
      <c r="L263" s="42">
        <f>'8. Input IC huur Gasunie'!J216</f>
        <v>24197.83891576614</v>
      </c>
      <c r="M263" s="42">
        <f>'8. Input IC huur Gasunie'!K216</f>
        <v>0</v>
      </c>
    </row>
    <row r="264" spans="2:13">
      <c r="B264" s="37" t="str">
        <f>'8. Input IC huur Gasunie'!B217</f>
        <v>Asset 206</v>
      </c>
      <c r="F264" s="37" t="str">
        <f>'8. Input IC huur Gasunie'!F217</f>
        <v>06 Utiliteitsgebouwen</v>
      </c>
      <c r="G264" s="37">
        <f>'8. Input IC huur Gasunie'!G217</f>
        <v>2018</v>
      </c>
      <c r="H264" s="42">
        <f>'8. Input IC huur Gasunie'!H217</f>
        <v>1769813.2968497979</v>
      </c>
      <c r="I264" s="37">
        <f>'8. Input IC huur Gasunie'!I217</f>
        <v>2021</v>
      </c>
      <c r="J264" s="42">
        <f>_xlfn.XLOOKUP(F264,'3. Input (des)investeringen '!$B$11:$B$81,'3. Input (des)investeringen '!$D$11:$D$81)</f>
        <v>30</v>
      </c>
      <c r="K264" s="42">
        <f>_xlfn.XLOOKUP(F264,'3. Input (des)investeringen '!$B$11:$B$81,'3. Input (des)investeringen '!$E$11:$E$81)</f>
        <v>0</v>
      </c>
      <c r="L264" s="42">
        <f>'8. Input IC huur Gasunie'!J217</f>
        <v>1649201.2455850111</v>
      </c>
      <c r="M264" s="42">
        <f>'8. Input IC huur Gasunie'!K217</f>
        <v>0</v>
      </c>
    </row>
    <row r="265" spans="2:13">
      <c r="B265" s="37" t="str">
        <f>'8. Input IC huur Gasunie'!B218</f>
        <v>Asset 207</v>
      </c>
      <c r="F265" s="37" t="str">
        <f>'8. Input IC huur Gasunie'!F218</f>
        <v>14 Overig rollend materieel</v>
      </c>
      <c r="G265" s="37">
        <f>'8. Input IC huur Gasunie'!G218</f>
        <v>2018</v>
      </c>
      <c r="H265" s="42">
        <f>'8. Input IC huur Gasunie'!H218</f>
        <v>20291.448993786991</v>
      </c>
      <c r="I265" s="37">
        <f>'8. Input IC huur Gasunie'!I218</f>
        <v>2021</v>
      </c>
      <c r="J265" s="42">
        <f>_xlfn.XLOOKUP(F265,'3. Input (des)investeringen '!$B$11:$B$81,'3. Input (des)investeringen '!$D$11:$D$81)</f>
        <v>10</v>
      </c>
      <c r="K265" s="42">
        <f>_xlfn.XLOOKUP(F265,'3. Input (des)investeringen '!$B$11:$B$81,'3. Input (des)investeringen '!$E$11:$E$81)</f>
        <v>1</v>
      </c>
      <c r="L265" s="42">
        <f>'8. Input IC huur Gasunie'!J218</f>
        <v>13913.871833835448</v>
      </c>
      <c r="M265" s="42">
        <f>'8. Input IC huur Gasunie'!K218</f>
        <v>0</v>
      </c>
    </row>
    <row r="266" spans="2:13">
      <c r="B266" s="37" t="str">
        <f>'8. Input IC huur Gasunie'!B219</f>
        <v>Asset 208</v>
      </c>
      <c r="F266" s="37" t="str">
        <f>'8. Input IC huur Gasunie'!F219</f>
        <v>10 Gereedschap (odorisatie)</v>
      </c>
      <c r="G266" s="37">
        <f>'8. Input IC huur Gasunie'!G219</f>
        <v>2018</v>
      </c>
      <c r="H266" s="42">
        <f>'8. Input IC huur Gasunie'!H219</f>
        <v>59796.38767845487</v>
      </c>
      <c r="I266" s="37">
        <f>'8. Input IC huur Gasunie'!I219</f>
        <v>2021</v>
      </c>
      <c r="J266" s="42">
        <f>_xlfn.XLOOKUP(F266,'3. Input (des)investeringen '!$B$11:$B$81,'3. Input (des)investeringen '!$D$11:$D$81)</f>
        <v>10</v>
      </c>
      <c r="K266" s="42">
        <f>_xlfn.XLOOKUP(F266,'3. Input (des)investeringen '!$B$11:$B$81,'3. Input (des)investeringen '!$E$11:$E$81)</f>
        <v>0</v>
      </c>
      <c r="L266" s="42">
        <f>'8. Input IC huur Gasunie'!J219</f>
        <v>41002.457465659885</v>
      </c>
      <c r="M266" s="42">
        <f>'8. Input IC huur Gasunie'!K219</f>
        <v>0</v>
      </c>
    </row>
    <row r="267" spans="2:13">
      <c r="B267" s="37" t="str">
        <f>'8. Input IC huur Gasunie'!B220</f>
        <v>Asset 209</v>
      </c>
      <c r="F267" s="37" t="str">
        <f>'8. Input IC huur Gasunie'!F220</f>
        <v>05 Wegen en terreinvoorzieningen</v>
      </c>
      <c r="G267" s="37">
        <f>'8. Input IC huur Gasunie'!G220</f>
        <v>2018</v>
      </c>
      <c r="H267" s="42">
        <f>'8. Input IC huur Gasunie'!H220</f>
        <v>70537.619152208252</v>
      </c>
      <c r="I267" s="37">
        <f>'8. Input IC huur Gasunie'!I220</f>
        <v>2021</v>
      </c>
      <c r="J267" s="42">
        <f>_xlfn.XLOOKUP(F267,'3. Input (des)investeringen '!$B$11:$B$81,'3. Input (des)investeringen '!$D$11:$D$81)</f>
        <v>10</v>
      </c>
      <c r="K267" s="42">
        <f>_xlfn.XLOOKUP(F267,'3. Input (des)investeringen '!$B$11:$B$81,'3. Input (des)investeringen '!$E$11:$E$81)</f>
        <v>0</v>
      </c>
      <c r="L267" s="42">
        <f>'8. Input IC huur Gasunie'!J220</f>
        <v>48367.733257897518</v>
      </c>
      <c r="M267" s="42">
        <f>'8. Input IC huur Gasunie'!K220</f>
        <v>0</v>
      </c>
    </row>
    <row r="268" spans="2:13">
      <c r="B268" s="37" t="str">
        <f>'8. Input IC huur Gasunie'!B221</f>
        <v>Asset 210</v>
      </c>
      <c r="F268" s="37" t="str">
        <f>'8. Input IC huur Gasunie'!F221</f>
        <v>37 ICT middelen 1 (balancering)</v>
      </c>
      <c r="G268" s="37">
        <f>'8. Input IC huur Gasunie'!G221</f>
        <v>2018</v>
      </c>
      <c r="H268" s="42">
        <f>'8. Input IC huur Gasunie'!H221</f>
        <v>1033593</v>
      </c>
      <c r="I268" s="37">
        <f>'8. Input IC huur Gasunie'!I221</f>
        <v>2021</v>
      </c>
      <c r="J268" s="42">
        <f>_xlfn.XLOOKUP(F268,'3. Input (des)investeringen '!$B$11:$B$81,'3. Input (des)investeringen '!$D$11:$D$81)</f>
        <v>5</v>
      </c>
      <c r="K268" s="42">
        <f>_xlfn.XLOOKUP(F268,'3. Input (des)investeringen '!$B$11:$B$81,'3. Input (des)investeringen '!$E$11:$E$81)</f>
        <v>0</v>
      </c>
      <c r="L268" s="42">
        <f>'8. Input IC huur Gasunie'!J221</f>
        <v>327108.92617687664</v>
      </c>
      <c r="M268" s="42">
        <f>'8. Input IC huur Gasunie'!K221</f>
        <v>0</v>
      </c>
    </row>
    <row r="269" spans="2:13">
      <c r="B269" s="37" t="str">
        <f>'8. Input IC huur Gasunie'!B222</f>
        <v>Asset 211</v>
      </c>
      <c r="F269" s="37" t="str">
        <f>'8. Input IC huur Gasunie'!F222</f>
        <v>37 ICT middelen 1</v>
      </c>
      <c r="G269" s="37">
        <f>'8. Input IC huur Gasunie'!G222</f>
        <v>2019</v>
      </c>
      <c r="H269" s="42">
        <f>'8. Input IC huur Gasunie'!H222</f>
        <v>7023542.7917365544</v>
      </c>
      <c r="I269" s="37">
        <f>'8. Input IC huur Gasunie'!I222</f>
        <v>2021</v>
      </c>
      <c r="J269" s="42">
        <f>_xlfn.XLOOKUP(F269,'3. Input (des)investeringen '!$B$11:$B$81,'3. Input (des)investeringen '!$D$11:$D$81)</f>
        <v>5</v>
      </c>
      <c r="K269" s="42">
        <f>_xlfn.XLOOKUP(F269,'3. Input (des)investeringen '!$B$11:$B$81,'3. Input (des)investeringen '!$E$11:$E$81)</f>
        <v>1</v>
      </c>
      <c r="L269" s="42">
        <f>'8. Input IC huur Gasunie'!J222</f>
        <v>3660726.6913954271</v>
      </c>
      <c r="M269" s="42">
        <f>'8. Input IC huur Gasunie'!K222</f>
        <v>0</v>
      </c>
    </row>
    <row r="270" spans="2:13">
      <c r="B270" s="37" t="str">
        <f>'8. Input IC huur Gasunie'!B223</f>
        <v>Asset 212</v>
      </c>
      <c r="F270" s="37" t="str">
        <f>'8. Input IC huur Gasunie'!F223</f>
        <v>14 Overig rollend materieel</v>
      </c>
      <c r="G270" s="37">
        <f>'8. Input IC huur Gasunie'!G223</f>
        <v>2019</v>
      </c>
      <c r="H270" s="42">
        <f>'8. Input IC huur Gasunie'!H223</f>
        <v>857388.09237261105</v>
      </c>
      <c r="I270" s="37">
        <f>'8. Input IC huur Gasunie'!I223</f>
        <v>2021</v>
      </c>
      <c r="J270" s="42">
        <f>_xlfn.XLOOKUP(F270,'3. Input (des)investeringen '!$B$11:$B$81,'3. Input (des)investeringen '!$D$11:$D$81)</f>
        <v>10</v>
      </c>
      <c r="K270" s="42">
        <f>_xlfn.XLOOKUP(F270,'3. Input (des)investeringen '!$B$11:$B$81,'3. Input (des)investeringen '!$E$11:$E$81)</f>
        <v>1</v>
      </c>
      <c r="L270" s="42">
        <f>'8. Input IC huur Gasunie'!J223</f>
        <v>670316.29927401594</v>
      </c>
      <c r="M270" s="42">
        <f>'8. Input IC huur Gasunie'!K223</f>
        <v>0</v>
      </c>
    </row>
    <row r="271" spans="2:13">
      <c r="B271" s="37" t="str">
        <f>'8. Input IC huur Gasunie'!B224</f>
        <v>Asset 213</v>
      </c>
      <c r="F271" s="37" t="str">
        <f>'8. Input IC huur Gasunie'!F224</f>
        <v>08 Inrichting gebouwen</v>
      </c>
      <c r="G271" s="37">
        <f>'8. Input IC huur Gasunie'!G224</f>
        <v>2019</v>
      </c>
      <c r="H271" s="42">
        <f>'8. Input IC huur Gasunie'!H224</f>
        <v>460067.29247706069</v>
      </c>
      <c r="I271" s="37">
        <f>'8. Input IC huur Gasunie'!I224</f>
        <v>2021</v>
      </c>
      <c r="J271" s="42">
        <f>_xlfn.XLOOKUP(F271,'3. Input (des)investeringen '!$B$11:$B$81,'3. Input (des)investeringen '!$D$11:$D$81)</f>
        <v>10</v>
      </c>
      <c r="K271" s="42">
        <f>_xlfn.XLOOKUP(F271,'3. Input (des)investeringen '!$B$11:$B$81,'3. Input (des)investeringen '!$E$11:$E$81)</f>
        <v>0</v>
      </c>
      <c r="L271" s="42">
        <f>'8. Input IC huur Gasunie'!J224</f>
        <v>359686.13006607577</v>
      </c>
      <c r="M271" s="42">
        <f>'8. Input IC huur Gasunie'!K224</f>
        <v>0</v>
      </c>
    </row>
    <row r="272" spans="2:13">
      <c r="B272" s="37" t="str">
        <f>'8. Input IC huur Gasunie'!B225</f>
        <v>Asset 214</v>
      </c>
      <c r="F272" s="37" t="str">
        <f>'8. Input IC huur Gasunie'!F225</f>
        <v>37 ICT middelen 1 (KC)</v>
      </c>
      <c r="G272" s="37">
        <f>'8. Input IC huur Gasunie'!G225</f>
        <v>2019</v>
      </c>
      <c r="H272" s="42">
        <f>'8. Input IC huur Gasunie'!H225</f>
        <v>119060</v>
      </c>
      <c r="I272" s="37">
        <f>'8. Input IC huur Gasunie'!I225</f>
        <v>2021</v>
      </c>
      <c r="J272" s="42">
        <f>_xlfn.XLOOKUP(F272,'3. Input (des)investeringen '!$B$11:$B$81,'3. Input (des)investeringen '!$D$11:$D$81)</f>
        <v>5</v>
      </c>
      <c r="K272" s="42">
        <f>_xlfn.XLOOKUP(F272,'3. Input (des)investeringen '!$B$11:$B$81,'3. Input (des)investeringen '!$E$11:$E$81)</f>
        <v>0</v>
      </c>
      <c r="L272" s="42">
        <f>'8. Input IC huur Gasunie'!J225</f>
        <v>62055.024479999985</v>
      </c>
      <c r="M272" s="42">
        <f>'8. Input IC huur Gasunie'!K225</f>
        <v>0</v>
      </c>
    </row>
    <row r="273" spans="2:13">
      <c r="B273" s="37" t="str">
        <f>'8. Input IC huur Gasunie'!B226</f>
        <v>Asset 215</v>
      </c>
      <c r="F273" s="37" t="str">
        <f>'8. Input IC huur Gasunie'!F226</f>
        <v>11 Werktuigen</v>
      </c>
      <c r="G273" s="37">
        <f>'8. Input IC huur Gasunie'!G226</f>
        <v>2019</v>
      </c>
      <c r="H273" s="42">
        <f>'8. Input IC huur Gasunie'!H226</f>
        <v>288666.6970011855</v>
      </c>
      <c r="I273" s="37">
        <f>'8. Input IC huur Gasunie'!I226</f>
        <v>2021</v>
      </c>
      <c r="J273" s="42">
        <f>_xlfn.XLOOKUP(F273,'3. Input (des)investeringen '!$B$11:$B$81,'3. Input (des)investeringen '!$D$11:$D$81)</f>
        <v>10</v>
      </c>
      <c r="K273" s="42">
        <f>_xlfn.XLOOKUP(F273,'3. Input (des)investeringen '!$B$11:$B$81,'3. Input (des)investeringen '!$E$11:$E$81)</f>
        <v>1</v>
      </c>
      <c r="L273" s="42">
        <f>'8. Input IC huur Gasunie'!J226</f>
        <v>225683.08771589081</v>
      </c>
      <c r="M273" s="42">
        <f>'8. Input IC huur Gasunie'!K226</f>
        <v>0</v>
      </c>
    </row>
    <row r="274" spans="2:13">
      <c r="B274" s="37" t="str">
        <f>'8. Input IC huur Gasunie'!B227</f>
        <v>Asset 216</v>
      </c>
      <c r="F274" s="37" t="str">
        <f>'8. Input IC huur Gasunie'!F227</f>
        <v>20 Kantoorgebouwen</v>
      </c>
      <c r="G274" s="37">
        <f>'8. Input IC huur Gasunie'!G227</f>
        <v>2019</v>
      </c>
      <c r="H274" s="42">
        <f>'8. Input IC huur Gasunie'!H227</f>
        <v>1170372.8470650064</v>
      </c>
      <c r="I274" s="37">
        <f>'8. Input IC huur Gasunie'!I227</f>
        <v>2021</v>
      </c>
      <c r="J274" s="42">
        <f>_xlfn.XLOOKUP(F274,'3. Input (des)investeringen '!$B$11:$B$81,'3. Input (des)investeringen '!$D$11:$D$81)</f>
        <v>30</v>
      </c>
      <c r="K274" s="42">
        <f>_xlfn.XLOOKUP(F274,'3. Input (des)investeringen '!$B$11:$B$81,'3. Input (des)investeringen '!$E$11:$E$81)</f>
        <v>0</v>
      </c>
      <c r="L274" s="42">
        <f>'8. Input IC huur Gasunie'!J227</f>
        <v>1118347.433267273</v>
      </c>
      <c r="M274" s="42">
        <f>'8. Input IC huur Gasunie'!K227</f>
        <v>0</v>
      </c>
    </row>
    <row r="275" spans="2:13">
      <c r="B275" s="37" t="str">
        <f>'8. Input IC huur Gasunie'!B228</f>
        <v>Asset 217</v>
      </c>
      <c r="F275" s="37" t="str">
        <f>'8. Input IC huur Gasunie'!F228</f>
        <v>37 ICT middelen 1 (balancering)</v>
      </c>
      <c r="G275" s="37">
        <f>'8. Input IC huur Gasunie'!G228</f>
        <v>2019</v>
      </c>
      <c r="H275" s="42">
        <f>'8. Input IC huur Gasunie'!H228</f>
        <v>73704</v>
      </c>
      <c r="I275" s="37">
        <f>'8. Input IC huur Gasunie'!I228</f>
        <v>2021</v>
      </c>
      <c r="J275" s="42">
        <f>_xlfn.XLOOKUP(F275,'3. Input (des)investeringen '!$B$11:$B$81,'3. Input (des)investeringen '!$D$11:$D$81)</f>
        <v>5</v>
      </c>
      <c r="K275" s="42">
        <f>_xlfn.XLOOKUP(F275,'3. Input (des)investeringen '!$B$11:$B$81,'3. Input (des)investeringen '!$E$11:$E$81)</f>
        <v>0</v>
      </c>
      <c r="L275" s="42">
        <f>'8. Input IC huur Gasunie'!J228</f>
        <v>38415.114431999995</v>
      </c>
      <c r="M275" s="42">
        <f>'8. Input IC huur Gasunie'!K228</f>
        <v>0</v>
      </c>
    </row>
    <row r="276" spans="2:13">
      <c r="B276" s="37" t="str">
        <f>'8. Input IC huur Gasunie'!B229</f>
        <v>Asset 218</v>
      </c>
      <c r="F276" s="37" t="str">
        <f>'8. Input IC huur Gasunie'!F229</f>
        <v>37 ICT middelen 1 (gaschromatografen en comptabele meting)</v>
      </c>
      <c r="G276" s="37">
        <f>'8. Input IC huur Gasunie'!G229</f>
        <v>2019</v>
      </c>
      <c r="H276" s="42">
        <f>'8. Input IC huur Gasunie'!H229</f>
        <v>138775.45971332947</v>
      </c>
      <c r="I276" s="37">
        <f>'8. Input IC huur Gasunie'!I229</f>
        <v>2021</v>
      </c>
      <c r="J276" s="42">
        <f>_xlfn.XLOOKUP(F276,'3. Input (des)investeringen '!$B$11:$B$81,'3. Input (des)investeringen '!$D$11:$D$81)</f>
        <v>5</v>
      </c>
      <c r="K276" s="42">
        <f>_xlfn.XLOOKUP(F276,'3. Input (des)investeringen '!$B$11:$B$81,'3. Input (des)investeringen '!$E$11:$E$81)</f>
        <v>0</v>
      </c>
      <c r="L276" s="42">
        <f>'8. Input IC huur Gasunie'!J229</f>
        <v>72330.879806265031</v>
      </c>
      <c r="M276" s="42">
        <f>'8. Input IC huur Gasunie'!K229</f>
        <v>0</v>
      </c>
    </row>
    <row r="277" spans="2:13">
      <c r="B277" s="37" t="str">
        <f>'8. Input IC huur Gasunie'!B230</f>
        <v>Asset 219</v>
      </c>
      <c r="F277" s="37" t="str">
        <f>'8. Input IC huur Gasunie'!F230</f>
        <v>10 Gereedschap</v>
      </c>
      <c r="G277" s="37">
        <f>'8. Input IC huur Gasunie'!G230</f>
        <v>2019</v>
      </c>
      <c r="H277" s="42">
        <f>'8. Input IC huur Gasunie'!H230</f>
        <v>142771.1801450084</v>
      </c>
      <c r="I277" s="37">
        <f>'8. Input IC huur Gasunie'!I230</f>
        <v>2021</v>
      </c>
      <c r="J277" s="42">
        <f>_xlfn.XLOOKUP(F277,'3. Input (des)investeringen '!$B$11:$B$81,'3. Input (des)investeringen '!$D$11:$D$81)</f>
        <v>10</v>
      </c>
      <c r="K277" s="42">
        <f>_xlfn.XLOOKUP(F277,'3. Input (des)investeringen '!$B$11:$B$81,'3. Input (des)investeringen '!$E$11:$E$81)</f>
        <v>1</v>
      </c>
      <c r="L277" s="42">
        <f>'8. Input IC huur Gasunie'!J230</f>
        <v>111620.22189152931</v>
      </c>
      <c r="M277" s="42">
        <f>'8. Input IC huur Gasunie'!K230</f>
        <v>0</v>
      </c>
    </row>
    <row r="278" spans="2:13">
      <c r="B278" s="37" t="str">
        <f>'8. Input IC huur Gasunie'!B231</f>
        <v>Asset 220</v>
      </c>
      <c r="F278" s="37" t="str">
        <f>'8. Input IC huur Gasunie'!F231</f>
        <v>39 ICT middelen 3</v>
      </c>
      <c r="G278" s="37">
        <f>'8. Input IC huur Gasunie'!G231</f>
        <v>2018</v>
      </c>
      <c r="H278" s="42">
        <f>'8. Input IC huur Gasunie'!H231</f>
        <v>66462443.599999994</v>
      </c>
      <c r="I278" s="37">
        <f>'8. Input IC huur Gasunie'!I231</f>
        <v>2021</v>
      </c>
      <c r="J278" s="42">
        <f>_xlfn.XLOOKUP(F278,'3. Input (des)investeringen '!$B$11:$B$81,'3. Input (des)investeringen '!$D$11:$D$81)</f>
        <v>15</v>
      </c>
      <c r="K278" s="42">
        <f>_xlfn.XLOOKUP(F278,'3. Input (des)investeringen '!$B$11:$B$81,'3. Input (des)investeringen '!$E$11:$E$81)</f>
        <v>1</v>
      </c>
      <c r="L278" s="42">
        <f>'8. Input IC huur Gasunie'!J231</f>
        <v>53753217.800323352</v>
      </c>
      <c r="M278" s="42">
        <f>'8. Input IC huur Gasunie'!K231</f>
        <v>0</v>
      </c>
    </row>
    <row r="279" spans="2:13">
      <c r="B279" s="37" t="str">
        <f>'8. Input IC huur Gasunie'!B232</f>
        <v>Asset 221</v>
      </c>
      <c r="F279" s="37" t="str">
        <f>'8. Input IC huur Gasunie'!F232</f>
        <v>39 ICT middelen 3 (balancering)</v>
      </c>
      <c r="G279" s="37">
        <f>'8. Input IC huur Gasunie'!G232</f>
        <v>2018</v>
      </c>
      <c r="H279" s="42">
        <f>'8. Input IC huur Gasunie'!H232</f>
        <v>13091088</v>
      </c>
      <c r="I279" s="37">
        <f>'8. Input IC huur Gasunie'!I232</f>
        <v>2021</v>
      </c>
      <c r="J279" s="42">
        <f>_xlfn.XLOOKUP(F279,'3. Input (des)investeringen '!$B$11:$B$81,'3. Input (des)investeringen '!$D$11:$D$81)</f>
        <v>15</v>
      </c>
      <c r="K279" s="42">
        <f>_xlfn.XLOOKUP(F279,'3. Input (des)investeringen '!$B$11:$B$81,'3. Input (des)investeringen '!$E$11:$E$81)</f>
        <v>0</v>
      </c>
      <c r="L279" s="42">
        <f>'8. Input IC huur Gasunie'!J232</f>
        <v>10587755.526147995</v>
      </c>
      <c r="M279" s="42">
        <f>'8. Input IC huur Gasunie'!K232</f>
        <v>0</v>
      </c>
    </row>
    <row r="280" spans="2:13">
      <c r="B280" s="37" t="str">
        <f>'8. Input IC huur Gasunie'!B233</f>
        <v>Asset 222</v>
      </c>
      <c r="F280" s="37" t="str">
        <f>'8. Input IC huur Gasunie'!F233</f>
        <v>39 ICT middelen 3 (KC)</v>
      </c>
      <c r="G280" s="37">
        <f>'8. Input IC huur Gasunie'!G233</f>
        <v>2019</v>
      </c>
      <c r="H280" s="42">
        <f>'8. Input IC huur Gasunie'!H233</f>
        <v>510273.00000000006</v>
      </c>
      <c r="I280" s="37">
        <f>'8. Input IC huur Gasunie'!I233</f>
        <v>2021</v>
      </c>
      <c r="J280" s="42">
        <f>_xlfn.XLOOKUP(F280,'3. Input (des)investeringen '!$B$11:$B$81,'3. Input (des)investeringen '!$D$11:$D$81)</f>
        <v>15</v>
      </c>
      <c r="K280" s="42">
        <f>_xlfn.XLOOKUP(F280,'3. Input (des)investeringen '!$B$11:$B$81,'3. Input (des)investeringen '!$E$11:$E$81)</f>
        <v>0</v>
      </c>
      <c r="L280" s="42">
        <f>'8. Input IC huur Gasunie'!J233</f>
        <v>443263.94964000006</v>
      </c>
      <c r="M280" s="42">
        <f>'8. Input IC huur Gasunie'!K233</f>
        <v>0</v>
      </c>
    </row>
    <row r="281" spans="2:13">
      <c r="B281" s="37" t="str">
        <f>'8. Input IC huur Gasunie'!B234</f>
        <v>Asset 223</v>
      </c>
      <c r="F281" s="37" t="str">
        <f>'8. Input IC huur Gasunie'!F234</f>
        <v>37 ICT middelen 1</v>
      </c>
      <c r="G281" s="37">
        <f>'8. Input IC huur Gasunie'!G234</f>
        <v>2020</v>
      </c>
      <c r="H281" s="42">
        <f>'8. Input IC huur Gasunie'!H234</f>
        <v>4054436.8604233577</v>
      </c>
      <c r="I281" s="37">
        <f>'8. Input IC huur Gasunie'!I234</f>
        <v>2021</v>
      </c>
      <c r="J281" s="42">
        <f>_xlfn.XLOOKUP(F281,'3. Input (des)investeringen '!$B$11:$B$81,'3. Input (des)investeringen '!$D$11:$D$81)</f>
        <v>5</v>
      </c>
      <c r="K281" s="42">
        <f>_xlfn.XLOOKUP(F281,'3. Input (des)investeringen '!$B$11:$B$81,'3. Input (des)investeringen '!$E$11:$E$81)</f>
        <v>1</v>
      </c>
      <c r="L281" s="42">
        <f>'8. Input IC huur Gasunie'!J234</f>
        <v>2883515.4951330922</v>
      </c>
      <c r="M281" s="42">
        <f>'8. Input IC huur Gasunie'!K234</f>
        <v>0</v>
      </c>
    </row>
    <row r="282" spans="2:13">
      <c r="B282" s="37" t="str">
        <f>'8. Input IC huur Gasunie'!B235</f>
        <v>Asset 224</v>
      </c>
      <c r="F282" s="37" t="str">
        <f>'8. Input IC huur Gasunie'!F235</f>
        <v>11 Werktuigen</v>
      </c>
      <c r="G282" s="37">
        <f>'8. Input IC huur Gasunie'!G235</f>
        <v>2021</v>
      </c>
      <c r="H282" s="42">
        <f>'8. Input IC huur Gasunie'!H235</f>
        <v>2667062.5363170211</v>
      </c>
      <c r="I282" s="37">
        <f>'8. Input IC huur Gasunie'!I235</f>
        <v>2021</v>
      </c>
      <c r="J282" s="42">
        <f>_xlfn.XLOOKUP(F282,'3. Input (des)investeringen '!$B$11:$B$81,'3. Input (des)investeringen '!$D$11:$D$81)</f>
        <v>10</v>
      </c>
      <c r="K282" s="42">
        <f>_xlfn.XLOOKUP(F282,'3. Input (des)investeringen '!$B$11:$B$81,'3. Input (des)investeringen '!$E$11:$E$81)</f>
        <v>1</v>
      </c>
      <c r="L282" s="42">
        <f>'8. Input IC huur Gasunie'!J235</f>
        <v>2533709.4095011703</v>
      </c>
      <c r="M282" s="42">
        <f>'8. Input IC huur Gasunie'!K235</f>
        <v>0</v>
      </c>
    </row>
    <row r="283" spans="2:13">
      <c r="B283" s="37" t="str">
        <f>'8. Input IC huur Gasunie'!B236</f>
        <v>Asset 225</v>
      </c>
      <c r="F283" s="37" t="str">
        <f>'8. Input IC huur Gasunie'!F236</f>
        <v>10 Gereedschap</v>
      </c>
      <c r="G283" s="37">
        <f>'8. Input IC huur Gasunie'!G236</f>
        <v>2021</v>
      </c>
      <c r="H283" s="42">
        <f>'8. Input IC huur Gasunie'!H236</f>
        <v>467492.45719026914</v>
      </c>
      <c r="I283" s="37">
        <f>'8. Input IC huur Gasunie'!I236</f>
        <v>2021</v>
      </c>
      <c r="J283" s="42">
        <f>_xlfn.XLOOKUP(F283,'3. Input (des)investeringen '!$B$11:$B$81,'3. Input (des)investeringen '!$D$11:$D$81)</f>
        <v>10</v>
      </c>
      <c r="K283" s="42">
        <f>_xlfn.XLOOKUP(F283,'3. Input (des)investeringen '!$B$11:$B$81,'3. Input (des)investeringen '!$E$11:$E$81)</f>
        <v>1</v>
      </c>
      <c r="L283" s="42">
        <f>'8. Input IC huur Gasunie'!J236</f>
        <v>444117.83433075569</v>
      </c>
      <c r="M283" s="42">
        <f>'8. Input IC huur Gasunie'!K236</f>
        <v>0</v>
      </c>
    </row>
    <row r="284" spans="2:13">
      <c r="B284" s="37" t="str">
        <f>'8. Input IC huur Gasunie'!B237</f>
        <v>Asset 226</v>
      </c>
      <c r="F284" s="37" t="str">
        <f>'8. Input IC huur Gasunie'!F237</f>
        <v>38 ICT middelen 2</v>
      </c>
      <c r="G284" s="37">
        <f>'8. Input IC huur Gasunie'!G237</f>
        <v>2021</v>
      </c>
      <c r="H284" s="42">
        <f>'8. Input IC huur Gasunie'!H237</f>
        <v>3432262.7310020467</v>
      </c>
      <c r="I284" s="37">
        <f>'8. Input IC huur Gasunie'!I237</f>
        <v>2021</v>
      </c>
      <c r="J284" s="42">
        <f>_xlfn.XLOOKUP(F284,'3. Input (des)investeringen '!$B$11:$B$81,'3. Input (des)investeringen '!$D$11:$D$81)</f>
        <v>10</v>
      </c>
      <c r="K284" s="42">
        <f>_xlfn.XLOOKUP(F284,'3. Input (des)investeringen '!$B$11:$B$81,'3. Input (des)investeringen '!$E$11:$E$81)</f>
        <v>1</v>
      </c>
      <c r="L284" s="42">
        <f>'8. Input IC huur Gasunie'!J237</f>
        <v>3260649.5944519443</v>
      </c>
      <c r="M284" s="42">
        <f>'8. Input IC huur Gasunie'!K237</f>
        <v>0</v>
      </c>
    </row>
    <row r="285" spans="2:13">
      <c r="B285" s="37" t="str">
        <f>'8. Input IC huur Gasunie'!B238</f>
        <v>Asset 227</v>
      </c>
      <c r="F285" s="37" t="str">
        <f>'8. Input IC huur Gasunie'!F238</f>
        <v>37 ICT middelen 1</v>
      </c>
      <c r="G285" s="37">
        <f>'8. Input IC huur Gasunie'!G238</f>
        <v>2021</v>
      </c>
      <c r="H285" s="42">
        <f>'8. Input IC huur Gasunie'!H238</f>
        <v>8176022.700880779</v>
      </c>
      <c r="I285" s="37">
        <f>'8. Input IC huur Gasunie'!I238</f>
        <v>2021</v>
      </c>
      <c r="J285" s="42">
        <f>_xlfn.XLOOKUP(F285,'3. Input (des)investeringen '!$B$11:$B$81,'3. Input (des)investeringen '!$D$11:$D$81)</f>
        <v>5</v>
      </c>
      <c r="K285" s="42">
        <f>_xlfn.XLOOKUP(F285,'3. Input (des)investeringen '!$B$11:$B$81,'3. Input (des)investeringen '!$E$11:$E$81)</f>
        <v>1</v>
      </c>
      <c r="L285" s="42">
        <f>'8. Input IC huur Gasunie'!J238</f>
        <v>7358420.4307927005</v>
      </c>
      <c r="M285" s="42">
        <f>'8. Input IC huur Gasunie'!K238</f>
        <v>0</v>
      </c>
    </row>
    <row r="286" spans="2:13">
      <c r="B286" s="37" t="str">
        <f>'8. Input IC huur Gasunie'!B239</f>
        <v>Asset 228</v>
      </c>
      <c r="F286" s="37" t="str">
        <f>'8. Input IC huur Gasunie'!F239</f>
        <v>39 ICT middelen 3</v>
      </c>
      <c r="G286" s="37">
        <f>'8. Input IC huur Gasunie'!G239</f>
        <v>2019</v>
      </c>
      <c r="H286" s="42">
        <f>'8. Input IC huur Gasunie'!H239</f>
        <v>1603714.1720507673</v>
      </c>
      <c r="I286" s="37">
        <f>'8. Input IC huur Gasunie'!I239</f>
        <v>2021</v>
      </c>
      <c r="J286" s="42">
        <f>_xlfn.XLOOKUP(F286,'3. Input (des)investeringen '!$B$11:$B$81,'3. Input (des)investeringen '!$D$11:$D$81)</f>
        <v>15</v>
      </c>
      <c r="K286" s="42">
        <f>_xlfn.XLOOKUP(F286,'3. Input (des)investeringen '!$B$11:$B$81,'3. Input (des)investeringen '!$E$11:$E$81)</f>
        <v>1</v>
      </c>
      <c r="L286" s="42">
        <f>'8. Input IC huur Gasunie'!J239</f>
        <v>1393114.426977061</v>
      </c>
      <c r="M286" s="42">
        <f>'8. Input IC huur Gasunie'!K239</f>
        <v>0</v>
      </c>
    </row>
    <row r="287" spans="2:13">
      <c r="B287" s="37" t="str">
        <f>'8. Input IC huur Gasunie'!B240</f>
        <v>Asset 229</v>
      </c>
      <c r="F287" s="37" t="str">
        <f>'8. Input IC huur Gasunie'!F240</f>
        <v>39 ICT middelen 3 (balancering)</v>
      </c>
      <c r="G287" s="37">
        <f>'8. Input IC huur Gasunie'!G240</f>
        <v>2019</v>
      </c>
      <c r="H287" s="42">
        <f>'8. Input IC huur Gasunie'!H240</f>
        <v>315883</v>
      </c>
      <c r="I287" s="37">
        <f>'8. Input IC huur Gasunie'!I240</f>
        <v>2021</v>
      </c>
      <c r="J287" s="42">
        <f>_xlfn.XLOOKUP(F287,'3. Input (des)investeringen '!$B$11:$B$81,'3. Input (des)investeringen '!$D$11:$D$81)</f>
        <v>15</v>
      </c>
      <c r="K287" s="42">
        <f>_xlfn.XLOOKUP(F287,'3. Input (des)investeringen '!$B$11:$B$81,'3. Input (des)investeringen '!$E$11:$E$81)</f>
        <v>0</v>
      </c>
      <c r="L287" s="42">
        <f>'8. Input IC huur Gasunie'!J240</f>
        <v>274401.24443999998</v>
      </c>
      <c r="M287" s="42">
        <f>'8. Input IC huur Gasunie'!K240</f>
        <v>0</v>
      </c>
    </row>
    <row r="288" spans="2:13">
      <c r="B288" s="37" t="str">
        <f>'8. Input IC huur Gasunie'!B241</f>
        <v>Asset 230</v>
      </c>
      <c r="F288" s="37" t="str">
        <f>'8. Input IC huur Gasunie'!F241</f>
        <v>39 ICT middelen 3</v>
      </c>
      <c r="G288" s="37">
        <f>'8. Input IC huur Gasunie'!G241</f>
        <v>2020</v>
      </c>
      <c r="H288" s="42">
        <f>'8. Input IC huur Gasunie'!H241</f>
        <v>437.7361508808076</v>
      </c>
      <c r="I288" s="37">
        <f>'8. Input IC huur Gasunie'!I241</f>
        <v>2021</v>
      </c>
      <c r="J288" s="42">
        <f>_xlfn.XLOOKUP(F288,'3. Input (des)investeringen '!$B$11:$B$81,'3. Input (des)investeringen '!$D$11:$D$81)</f>
        <v>15</v>
      </c>
      <c r="K288" s="42">
        <f>_xlfn.XLOOKUP(F288,'3. Input (des)investeringen '!$B$11:$B$81,'3. Input (des)investeringen '!$E$11:$E$81)</f>
        <v>1</v>
      </c>
      <c r="L288" s="42">
        <f>'8. Input IC huur Gasunie'!J241</f>
        <v>400.26593636541048</v>
      </c>
      <c r="M288" s="42">
        <f>'8. Input IC huur Gasunie'!K241</f>
        <v>0</v>
      </c>
    </row>
    <row r="289" spans="2:36">
      <c r="B289" s="37" t="str">
        <f>'8. Input IC huur Gasunie'!B242</f>
        <v>Asset 231</v>
      </c>
      <c r="F289" s="37" t="str">
        <f>'8. Input IC huur Gasunie'!F242</f>
        <v>05 Wegen en terreinvoorzieningen</v>
      </c>
      <c r="G289" s="37">
        <f>'8. Input IC huur Gasunie'!G242</f>
        <v>2020</v>
      </c>
      <c r="H289" s="42">
        <f>'8. Input IC huur Gasunie'!H242</f>
        <v>274981.09053004743</v>
      </c>
      <c r="I289" s="37">
        <f>'8. Input IC huur Gasunie'!I242</f>
        <v>2021</v>
      </c>
      <c r="J289" s="42">
        <f>_xlfn.XLOOKUP(F289,'3. Input (des)investeringen '!$B$11:$B$81,'3. Input (des)investeringen '!$D$11:$D$81)</f>
        <v>10</v>
      </c>
      <c r="K289" s="42">
        <f>_xlfn.XLOOKUP(F289,'3. Input (des)investeringen '!$B$11:$B$81,'3. Input (des)investeringen '!$E$11:$E$81)</f>
        <v>0</v>
      </c>
      <c r="L289" s="42">
        <f>'8. Input IC huur Gasunie'!J242</f>
        <v>237473.66978174893</v>
      </c>
      <c r="M289" s="42">
        <f>'8. Input IC huur Gasunie'!K242</f>
        <v>0</v>
      </c>
    </row>
    <row r="290" spans="2:36">
      <c r="B290" s="37" t="str">
        <f>'8. Input IC huur Gasunie'!B243</f>
        <v>Asset 232</v>
      </c>
      <c r="F290" s="37" t="str">
        <f>'8. Input IC huur Gasunie'!F243</f>
        <v>04 Terreinen</v>
      </c>
      <c r="G290" s="37">
        <f>'8. Input IC huur Gasunie'!G243</f>
        <v>2020</v>
      </c>
      <c r="H290" s="42">
        <f>'8. Input IC huur Gasunie'!H243</f>
        <v>1155506.2616599156</v>
      </c>
      <c r="I290" s="37">
        <f>'8. Input IC huur Gasunie'!I243</f>
        <v>2021</v>
      </c>
      <c r="J290" s="42">
        <f>_xlfn.XLOOKUP(F290,'3. Input (des)investeringen '!$B$11:$B$81,'3. Input (des)investeringen '!$D$11:$D$81)</f>
        <v>0</v>
      </c>
      <c r="K290" s="42">
        <f>_xlfn.XLOOKUP(F290,'3. Input (des)investeringen '!$B$11:$B$81,'3. Input (des)investeringen '!$E$11:$E$81)</f>
        <v>0</v>
      </c>
      <c r="L290" s="42">
        <f>'8. Input IC huur Gasunie'!J243</f>
        <v>1173994.3618464742</v>
      </c>
      <c r="M290" s="42">
        <f>'8. Input IC huur Gasunie'!K243</f>
        <v>0</v>
      </c>
    </row>
    <row r="291" spans="2:36">
      <c r="B291" s="37" t="str">
        <f>'8. Input IC huur Gasunie'!B244</f>
        <v>Asset 233</v>
      </c>
      <c r="F291" s="37" t="str">
        <f>'8. Input IC huur Gasunie'!F244</f>
        <v>08 Inrichting gebouwen</v>
      </c>
      <c r="G291" s="37">
        <f>'8. Input IC huur Gasunie'!G244</f>
        <v>2020</v>
      </c>
      <c r="H291" s="42">
        <f>'8. Input IC huur Gasunie'!H244</f>
        <v>227204.18889764068</v>
      </c>
      <c r="I291" s="37">
        <f>'8. Input IC huur Gasunie'!I244</f>
        <v>2021</v>
      </c>
      <c r="J291" s="42">
        <f>_xlfn.XLOOKUP(F291,'3. Input (des)investeringen '!$B$11:$B$81,'3. Input (des)investeringen '!$D$11:$D$81)</f>
        <v>10</v>
      </c>
      <c r="K291" s="42">
        <f>_xlfn.XLOOKUP(F291,'3. Input (des)investeringen '!$B$11:$B$81,'3. Input (des)investeringen '!$E$11:$E$81)</f>
        <v>0</v>
      </c>
      <c r="L291" s="42">
        <f>'8. Input IC huur Gasunie'!J244</f>
        <v>196213.53753200249</v>
      </c>
      <c r="M291" s="42">
        <f>'8. Input IC huur Gasunie'!K244</f>
        <v>0</v>
      </c>
    </row>
    <row r="292" spans="2:36">
      <c r="B292" s="37" t="str">
        <f>'8. Input IC huur Gasunie'!B245</f>
        <v>Asset 234</v>
      </c>
      <c r="F292" s="37" t="str">
        <f>'8. Input IC huur Gasunie'!F245</f>
        <v>11 Werktuigen</v>
      </c>
      <c r="G292" s="37">
        <f>'8. Input IC huur Gasunie'!G245</f>
        <v>2020</v>
      </c>
      <c r="H292" s="42">
        <f>'8. Input IC huur Gasunie'!H245</f>
        <v>880855.41897943604</v>
      </c>
      <c r="I292" s="37">
        <f>'8. Input IC huur Gasunie'!I245</f>
        <v>2021</v>
      </c>
      <c r="J292" s="42">
        <f>_xlfn.XLOOKUP(F292,'3. Input (des)investeringen '!$B$11:$B$81,'3. Input (des)investeringen '!$D$11:$D$81)</f>
        <v>10</v>
      </c>
      <c r="K292" s="42">
        <f>_xlfn.XLOOKUP(F292,'3. Input (des)investeringen '!$B$11:$B$81,'3. Input (des)investeringen '!$E$11:$E$81)</f>
        <v>1</v>
      </c>
      <c r="L292" s="42">
        <f>'8. Input IC huur Gasunie'!J245</f>
        <v>760706.73983064084</v>
      </c>
      <c r="M292" s="42">
        <f>'8. Input IC huur Gasunie'!K245</f>
        <v>0</v>
      </c>
    </row>
    <row r="293" spans="2:36">
      <c r="B293" s="37" t="str">
        <f>'8. Input IC huur Gasunie'!B246</f>
        <v>Asset 235</v>
      </c>
      <c r="F293" s="37" t="str">
        <f>'8. Input IC huur Gasunie'!F246</f>
        <v>14 Overig rollend materieel</v>
      </c>
      <c r="G293" s="37">
        <f>'8. Input IC huur Gasunie'!G246</f>
        <v>2020</v>
      </c>
      <c r="H293" s="42">
        <f>'8. Input IC huur Gasunie'!H246</f>
        <v>111163.8757407683</v>
      </c>
      <c r="I293" s="37">
        <f>'8. Input IC huur Gasunie'!I246</f>
        <v>2021</v>
      </c>
      <c r="J293" s="42">
        <f>_xlfn.XLOOKUP(F293,'3. Input (des)investeringen '!$B$11:$B$81,'3. Input (des)investeringen '!$D$11:$D$81)</f>
        <v>10</v>
      </c>
      <c r="K293" s="42">
        <f>_xlfn.XLOOKUP(F293,'3. Input (des)investeringen '!$B$11:$B$81,'3. Input (des)investeringen '!$E$11:$E$81)</f>
        <v>1</v>
      </c>
      <c r="L293" s="42">
        <f>'8. Input IC huur Gasunie'!J246</f>
        <v>96001.123089727509</v>
      </c>
      <c r="M293" s="42">
        <f>'8. Input IC huur Gasunie'!K246</f>
        <v>0</v>
      </c>
    </row>
    <row r="294" spans="2:36">
      <c r="B294" s="37" t="str">
        <f>'8. Input IC huur Gasunie'!B247</f>
        <v>Asset 236</v>
      </c>
      <c r="F294" s="37" t="str">
        <f>'8. Input IC huur Gasunie'!F247</f>
        <v>38 ICT middelen 2</v>
      </c>
      <c r="G294" s="37">
        <f>'8. Input IC huur Gasunie'!G247</f>
        <v>2020</v>
      </c>
      <c r="H294" s="42">
        <f>'8. Input IC huur Gasunie'!H247</f>
        <v>2253829.6322485749</v>
      </c>
      <c r="I294" s="37">
        <f>'8. Input IC huur Gasunie'!I247</f>
        <v>2021</v>
      </c>
      <c r="J294" s="42">
        <f>_xlfn.XLOOKUP(F294,'3. Input (des)investeringen '!$B$11:$B$81,'3. Input (des)investeringen '!$D$11:$D$81)</f>
        <v>10</v>
      </c>
      <c r="K294" s="42">
        <f>_xlfn.XLOOKUP(F294,'3. Input (des)investeringen '!$B$11:$B$81,'3. Input (des)investeringen '!$E$11:$E$81)</f>
        <v>1</v>
      </c>
      <c r="L294" s="42">
        <f>'8. Input IC huur Gasunie'!J247</f>
        <v>1946407.2704098693</v>
      </c>
      <c r="M294" s="42">
        <f>'8. Input IC huur Gasunie'!K247</f>
        <v>0</v>
      </c>
    </row>
    <row r="295" spans="2:36">
      <c r="B295" s="37" t="str">
        <f>'8. Input IC huur Gasunie'!B248</f>
        <v>Asset 237</v>
      </c>
      <c r="F295" s="37" t="str">
        <f>'8. Input IC huur Gasunie'!F248</f>
        <v>20 Kantoorgebouwen</v>
      </c>
      <c r="G295" s="37">
        <f>'8. Input IC huur Gasunie'!G248</f>
        <v>2020</v>
      </c>
      <c r="H295" s="42">
        <f>'8. Input IC huur Gasunie'!H248</f>
        <v>715175.01653112471</v>
      </c>
      <c r="I295" s="37">
        <f>'8. Input IC huur Gasunie'!I248</f>
        <v>2021</v>
      </c>
      <c r="J295" s="42">
        <f>_xlfn.XLOOKUP(F295,'3. Input (des)investeringen '!$B$11:$B$81,'3. Input (des)investeringen '!$D$11:$D$81)</f>
        <v>30</v>
      </c>
      <c r="K295" s="42">
        <f>_xlfn.XLOOKUP(F295,'3. Input (des)investeringen '!$B$11:$B$81,'3. Input (des)investeringen '!$E$11:$E$81)</f>
        <v>0</v>
      </c>
      <c r="L295" s="42">
        <f>'8. Input IC huur Gasunie'!J248</f>
        <v>690286.92595584155</v>
      </c>
      <c r="M295" s="42">
        <f>'8. Input IC huur Gasunie'!K248</f>
        <v>0</v>
      </c>
    </row>
    <row r="296" spans="2:36">
      <c r="B296" s="37" t="str">
        <f>'8. Input IC huur Gasunie'!B249</f>
        <v>Asset 238</v>
      </c>
      <c r="F296" s="37" t="str">
        <f>'8. Input IC huur Gasunie'!F249</f>
        <v>06 Utiliteitsgebouwen</v>
      </c>
      <c r="G296" s="37">
        <f>'8. Input IC huur Gasunie'!G249</f>
        <v>2020</v>
      </c>
      <c r="H296" s="42">
        <f>'8. Input IC huur Gasunie'!H249</f>
        <v>611310.12783119339</v>
      </c>
      <c r="I296" s="37">
        <f>'8. Input IC huur Gasunie'!I249</f>
        <v>2021</v>
      </c>
      <c r="J296" s="42">
        <f>_xlfn.XLOOKUP(F296,'3. Input (des)investeringen '!$B$11:$B$81,'3. Input (des)investeringen '!$D$11:$D$81)</f>
        <v>30</v>
      </c>
      <c r="K296" s="42">
        <f>_xlfn.XLOOKUP(F296,'3. Input (des)investeringen '!$B$11:$B$81,'3. Input (des)investeringen '!$E$11:$E$81)</f>
        <v>0</v>
      </c>
      <c r="L296" s="42">
        <f>'8. Input IC huur Gasunie'!J249</f>
        <v>590036.53538266791</v>
      </c>
      <c r="M296" s="42">
        <f>'8. Input IC huur Gasunie'!K249</f>
        <v>0</v>
      </c>
    </row>
    <row r="297" spans="2:36">
      <c r="B297" s="37" t="str">
        <f>'8. Input IC huur Gasunie'!B250</f>
        <v>Asset 239</v>
      </c>
      <c r="F297" s="37" t="str">
        <f>'8. Input IC huur Gasunie'!F250</f>
        <v>08 Inrichting gebouwen</v>
      </c>
      <c r="G297" s="37">
        <f>'8. Input IC huur Gasunie'!G250</f>
        <v>2021</v>
      </c>
      <c r="H297" s="42">
        <f>'8. Input IC huur Gasunie'!H250</f>
        <v>384242.51972392667</v>
      </c>
      <c r="I297" s="37">
        <f>'8. Input IC huur Gasunie'!I250</f>
        <v>2021</v>
      </c>
      <c r="J297" s="42">
        <f>_xlfn.XLOOKUP(F297,'3. Input (des)investeringen '!$B$11:$B$81,'3. Input (des)investeringen '!$D$11:$D$81)</f>
        <v>10</v>
      </c>
      <c r="K297" s="42">
        <f>_xlfn.XLOOKUP(F297,'3. Input (des)investeringen '!$B$11:$B$81,'3. Input (des)investeringen '!$E$11:$E$81)</f>
        <v>0</v>
      </c>
      <c r="L297" s="42">
        <f>'8. Input IC huur Gasunie'!J250</f>
        <v>365030.39373773034</v>
      </c>
      <c r="M297" s="42">
        <f>'8. Input IC huur Gasunie'!K250</f>
        <v>0</v>
      </c>
    </row>
    <row r="298" spans="2:36">
      <c r="B298" s="37" t="str">
        <f>'8. Input IC huur Gasunie'!B251</f>
        <v>Asset 240</v>
      </c>
      <c r="F298" s="37" t="str">
        <f>'8. Input IC huur Gasunie'!F251</f>
        <v>20 Kantoorgebouwen</v>
      </c>
      <c r="G298" s="37">
        <f>'8. Input IC huur Gasunie'!G251</f>
        <v>2021</v>
      </c>
      <c r="H298" s="42">
        <f>'8. Input IC huur Gasunie'!H251</f>
        <v>1098657.1778898467</v>
      </c>
      <c r="I298" s="37">
        <f>'8. Input IC huur Gasunie'!I251</f>
        <v>2021</v>
      </c>
      <c r="J298" s="42">
        <f>_xlfn.XLOOKUP(F298,'3. Input (des)investeringen '!$B$11:$B$81,'3. Input (des)investeringen '!$D$11:$D$81)</f>
        <v>30</v>
      </c>
      <c r="K298" s="42">
        <f>_xlfn.XLOOKUP(F298,'3. Input (des)investeringen '!$B$11:$B$81,'3. Input (des)investeringen '!$E$11:$E$81)</f>
        <v>0</v>
      </c>
      <c r="L298" s="42">
        <f>'8. Input IC huur Gasunie'!J251</f>
        <v>1080346.2249250161</v>
      </c>
      <c r="M298" s="42">
        <f>'8. Input IC huur Gasunie'!K251</f>
        <v>0</v>
      </c>
    </row>
    <row r="299" spans="2:36">
      <c r="B299" s="37" t="str">
        <f>'8. Input IC huur Gasunie'!B252</f>
        <v>Asset 241</v>
      </c>
      <c r="F299" s="37" t="str">
        <f>'8. Input IC huur Gasunie'!F252</f>
        <v>03 Verremeting</v>
      </c>
      <c r="G299" s="37">
        <f>'8. Input IC huur Gasunie'!G252</f>
        <v>1993</v>
      </c>
      <c r="H299" s="42">
        <f>'8. Input IC huur Gasunie'!H252</f>
        <v>27208128.690000001</v>
      </c>
      <c r="I299" s="37">
        <f>'8. Input IC huur Gasunie'!I252</f>
        <v>2021</v>
      </c>
      <c r="J299" s="42">
        <f>_xlfn.XLOOKUP(F299,'3. Input (des)investeringen '!$B$11:$B$81,'3. Input (des)investeringen '!$D$11:$D$81)</f>
        <v>5</v>
      </c>
      <c r="K299" s="42">
        <f>_xlfn.XLOOKUP(F299,'3. Input (des)investeringen '!$B$11:$B$81,'3. Input (des)investeringen '!$E$11:$E$81)</f>
        <v>1</v>
      </c>
      <c r="L299" s="42">
        <f>'8. Input IC huur Gasunie'!J252</f>
        <v>0</v>
      </c>
      <c r="M299" s="42">
        <f>'8. Input IC huur Gasunie'!K252</f>
        <v>0</v>
      </c>
    </row>
    <row r="300" spans="2:36">
      <c r="B300" s="37" t="str">
        <f>'8. Input IC huur Gasunie'!B253</f>
        <v>Asset 242</v>
      </c>
      <c r="F300" s="37" t="str">
        <f>'8. Input IC huur Gasunie'!F253</f>
        <v>06 Utiliteitsgebouwen</v>
      </c>
      <c r="G300" s="37">
        <f>'8. Input IC huur Gasunie'!G253</f>
        <v>2021</v>
      </c>
      <c r="H300" s="42">
        <f>'8. Input IC huur Gasunie'!H253</f>
        <v>114485.52709029273</v>
      </c>
      <c r="I300" s="37">
        <f>'8. Input IC huur Gasunie'!I253</f>
        <v>2021</v>
      </c>
      <c r="J300" s="42">
        <f>_xlfn.XLOOKUP(F300,'3. Input (des)investeringen '!$B$11:$B$81,'3. Input (des)investeringen '!$D$11:$D$81)</f>
        <v>30</v>
      </c>
      <c r="K300" s="42">
        <f>_xlfn.XLOOKUP(F300,'3. Input (des)investeringen '!$B$11:$B$81,'3. Input (des)investeringen '!$E$11:$E$81)</f>
        <v>0</v>
      </c>
      <c r="L300" s="42">
        <f>'8. Input IC huur Gasunie'!J253</f>
        <v>112577.43497212119</v>
      </c>
      <c r="M300" s="42">
        <f>'8. Input IC huur Gasunie'!K253</f>
        <v>0</v>
      </c>
    </row>
    <row r="301" spans="2:36">
      <c r="B301" s="37" t="str">
        <f>'8. Input IC huur Gasunie'!B254</f>
        <v>Asset 243</v>
      </c>
      <c r="F301" s="37" t="str">
        <f>'8. Input IC huur Gasunie'!F254</f>
        <v>38 ICT middelen 2</v>
      </c>
      <c r="G301" s="37">
        <f>'8. Input IC huur Gasunie'!G254</f>
        <v>2019</v>
      </c>
      <c r="H301" s="42">
        <f>'8. Input IC huur Gasunie'!H254</f>
        <v>5155994.869123158</v>
      </c>
      <c r="I301" s="37">
        <f>'8. Input IC huur Gasunie'!I254</f>
        <v>2021</v>
      </c>
      <c r="J301" s="42">
        <f>_xlfn.XLOOKUP(F301,'3. Input (des)investeringen '!$B$11:$B$81,'3. Input (des)investeringen '!$D$11:$D$81)</f>
        <v>10</v>
      </c>
      <c r="K301" s="42">
        <f>_xlfn.XLOOKUP(F301,'3. Input (des)investeringen '!$B$11:$B$81,'3. Input (des)investeringen '!$E$11:$E$81)</f>
        <v>1</v>
      </c>
      <c r="L301" s="42">
        <f>'8. Input IC huur Gasunie'!J254</f>
        <v>4031018.6606189152</v>
      </c>
      <c r="M301" s="42">
        <f>'8. Input IC huur Gasunie'!K254</f>
        <v>0</v>
      </c>
    </row>
    <row r="302" spans="2:36">
      <c r="L302" s="89"/>
    </row>
    <row r="303" spans="2:36" s="33" customFormat="1">
      <c r="B303" s="33" t="s">
        <v>1047</v>
      </c>
    </row>
    <row r="304" spans="2:36" s="36" customFormat="1">
      <c r="R304" s="36" t="s">
        <v>886</v>
      </c>
      <c r="X304" s="36" t="s">
        <v>887</v>
      </c>
      <c r="AD304" s="36" t="s">
        <v>889</v>
      </c>
      <c r="AJ304" s="36" t="s">
        <v>890</v>
      </c>
    </row>
    <row r="305" spans="2:40" s="39" customFormat="1">
      <c r="B305" s="39" t="s">
        <v>1048</v>
      </c>
      <c r="F305" s="39" t="s">
        <v>895</v>
      </c>
      <c r="G305" s="39" t="s">
        <v>553</v>
      </c>
      <c r="H305" s="39" t="s">
        <v>1049</v>
      </c>
      <c r="I305" s="39" t="s">
        <v>1050</v>
      </c>
      <c r="J305" s="39" t="s">
        <v>302</v>
      </c>
      <c r="K305" s="39" t="s">
        <v>1045</v>
      </c>
      <c r="L305" s="39" t="s">
        <v>556</v>
      </c>
      <c r="N305" s="39" t="s">
        <v>1051</v>
      </c>
      <c r="P305" s="39" t="s">
        <v>931</v>
      </c>
      <c r="R305" s="45">
        <v>2022</v>
      </c>
      <c r="S305" s="45">
        <v>2023</v>
      </c>
      <c r="T305" s="45">
        <v>2024</v>
      </c>
      <c r="U305" s="45">
        <v>2025</v>
      </c>
      <c r="V305" s="45">
        <v>2026</v>
      </c>
      <c r="X305" s="45">
        <v>2022</v>
      </c>
      <c r="Y305" s="45">
        <v>2023</v>
      </c>
      <c r="Z305" s="45">
        <v>2024</v>
      </c>
      <c r="AA305" s="45">
        <v>2025</v>
      </c>
      <c r="AB305" s="45">
        <v>2026</v>
      </c>
      <c r="AD305" s="45">
        <v>2022</v>
      </c>
      <c r="AE305" s="45">
        <v>2023</v>
      </c>
      <c r="AF305" s="45">
        <v>2024</v>
      </c>
      <c r="AG305" s="45">
        <v>2025</v>
      </c>
      <c r="AH305" s="45">
        <v>2026</v>
      </c>
      <c r="AJ305" s="45">
        <v>2022</v>
      </c>
      <c r="AK305" s="45">
        <v>2023</v>
      </c>
      <c r="AL305" s="45">
        <v>2024</v>
      </c>
      <c r="AM305" s="45">
        <v>2025</v>
      </c>
      <c r="AN305" s="45">
        <v>2026</v>
      </c>
    </row>
    <row r="307" spans="2:40">
      <c r="B307" s="37" t="str">
        <f>B59</f>
        <v>Asset 1</v>
      </c>
      <c r="F307" s="37" t="str">
        <f t="shared" ref="F307:L308" si="0">F59</f>
        <v>05 Wegen en terreinvoorzieningen</v>
      </c>
      <c r="G307" s="37">
        <f t="shared" si="0"/>
        <v>1971</v>
      </c>
      <c r="H307" s="52">
        <f t="shared" si="0"/>
        <v>47083.78</v>
      </c>
      <c r="I307" s="37">
        <f t="shared" si="0"/>
        <v>2021</v>
      </c>
      <c r="J307" s="52">
        <f t="shared" si="0"/>
        <v>10</v>
      </c>
      <c r="K307" s="177">
        <f t="shared" si="0"/>
        <v>0</v>
      </c>
      <c r="L307" s="52">
        <f t="shared" si="0"/>
        <v>0</v>
      </c>
      <c r="N307" s="43">
        <f>L307*IF(K307=1,$F$19,1)</f>
        <v>0</v>
      </c>
      <c r="P307" s="38">
        <f>MAX(0,IF(G307&lt;=2021, J307-2021+G307-0.5,J307))</f>
        <v>0</v>
      </c>
      <c r="R307" s="43">
        <f t="shared" ref="R307:V316" si="1">IF(R$305&lt;=$G307+$J307,VDB($L307*(1-$F$25),0,$P307,R$305-2022,MIN(R$305-2021,$P307),$F$22),0)</f>
        <v>0</v>
      </c>
      <c r="S307" s="43">
        <f t="shared" si="1"/>
        <v>0</v>
      </c>
      <c r="T307" s="43">
        <f t="shared" si="1"/>
        <v>0</v>
      </c>
      <c r="U307" s="43">
        <f t="shared" si="1"/>
        <v>0</v>
      </c>
      <c r="V307" s="43">
        <f t="shared" si="1"/>
        <v>0</v>
      </c>
      <c r="X307" s="43">
        <f t="shared" ref="X307:AB316" si="2">IF(X$305&lt;=$G307+$J307,VDB($L307*$F$25,0,$P307,X$305-2022,MIN(X$305-2021,$P307),1),0)</f>
        <v>0</v>
      </c>
      <c r="Y307" s="43">
        <f t="shared" si="2"/>
        <v>0</v>
      </c>
      <c r="Z307" s="43">
        <f t="shared" si="2"/>
        <v>0</v>
      </c>
      <c r="AA307" s="43">
        <f t="shared" si="2"/>
        <v>0</v>
      </c>
      <c r="AB307" s="43">
        <f t="shared" si="2"/>
        <v>0</v>
      </c>
      <c r="AD307" s="43">
        <f>IF(OR(AD$305&lt;=$G307+$J307,$J307=0),IF(AC307=0,$L307,AC307)-R307-X307,0)</f>
        <v>0</v>
      </c>
      <c r="AE307" s="43">
        <f t="shared" ref="AE307:AH307" si="3">IF(OR(AE$305&lt;=$G307+$J307,$J307=0),IF(AD307=0,$L307,AD307)-S307-Y307,0)</f>
        <v>0</v>
      </c>
      <c r="AF307" s="43">
        <f t="shared" si="3"/>
        <v>0</v>
      </c>
      <c r="AG307" s="43">
        <f t="shared" si="3"/>
        <v>0</v>
      </c>
      <c r="AH307" s="43">
        <f t="shared" si="3"/>
        <v>0</v>
      </c>
      <c r="AJ307" s="43">
        <f>(R307+X307+AD307*I$16)*IF($K307=1,$F$19,1)</f>
        <v>0</v>
      </c>
      <c r="AK307" s="43">
        <f t="shared" ref="AK307:AN307" si="4">(S307+Y307+AE307*J$16)*IF($K307=1,$F$19,1)</f>
        <v>0</v>
      </c>
      <c r="AL307" s="43">
        <f t="shared" si="4"/>
        <v>0</v>
      </c>
      <c r="AM307" s="43">
        <f t="shared" si="4"/>
        <v>0</v>
      </c>
      <c r="AN307" s="43">
        <f t="shared" si="4"/>
        <v>0</v>
      </c>
    </row>
    <row r="308" spans="2:40">
      <c r="B308" s="37" t="str">
        <f t="shared" ref="B308:B371" si="5">B60</f>
        <v>Asset 2</v>
      </c>
      <c r="F308" s="37" t="str">
        <f t="shared" si="0"/>
        <v>06 Utiliteitsgebouwen</v>
      </c>
      <c r="G308" s="37">
        <f t="shared" si="0"/>
        <v>1961</v>
      </c>
      <c r="H308" s="52">
        <f t="shared" si="0"/>
        <v>50334.43</v>
      </c>
      <c r="I308" s="37">
        <f t="shared" si="0"/>
        <v>2021</v>
      </c>
      <c r="J308" s="52">
        <f t="shared" si="0"/>
        <v>30</v>
      </c>
      <c r="K308" s="177">
        <f t="shared" si="0"/>
        <v>0</v>
      </c>
      <c r="L308" s="52">
        <f t="shared" si="0"/>
        <v>0</v>
      </c>
      <c r="N308" s="43">
        <f t="shared" ref="N308:N310" si="6">L308*IF(K308=1,$F$19,1)</f>
        <v>0</v>
      </c>
      <c r="P308" s="38">
        <f t="shared" ref="P308:P371" si="7">MAX(0,IF(G308&lt;=2021, J308-2021+G308-0.5,J308))</f>
        <v>0</v>
      </c>
      <c r="R308" s="43">
        <f t="shared" si="1"/>
        <v>0</v>
      </c>
      <c r="S308" s="43">
        <f t="shared" si="1"/>
        <v>0</v>
      </c>
      <c r="T308" s="43">
        <f t="shared" si="1"/>
        <v>0</v>
      </c>
      <c r="U308" s="43">
        <f t="shared" si="1"/>
        <v>0</v>
      </c>
      <c r="V308" s="43">
        <f t="shared" si="1"/>
        <v>0</v>
      </c>
      <c r="X308" s="43">
        <f t="shared" si="2"/>
        <v>0</v>
      </c>
      <c r="Y308" s="43">
        <f t="shared" si="2"/>
        <v>0</v>
      </c>
      <c r="Z308" s="43">
        <f t="shared" si="2"/>
        <v>0</v>
      </c>
      <c r="AA308" s="43">
        <f t="shared" si="2"/>
        <v>0</v>
      </c>
      <c r="AB308" s="43">
        <f t="shared" si="2"/>
        <v>0</v>
      </c>
      <c r="AD308" s="43">
        <f t="shared" ref="AD308:AD310" si="8">IF(OR(AD$305&lt;=$G308+$J308,$J308=0),IF(AC308=0,$L308,AC308)-R308-X308,0)</f>
        <v>0</v>
      </c>
      <c r="AE308" s="43">
        <f t="shared" ref="AE308:AE310" si="9">IF(OR(AE$305&lt;=$G308+$J308,$J308=0),IF(AD308=0,$L308,AD308)-S308-Y308,0)</f>
        <v>0</v>
      </c>
      <c r="AF308" s="43">
        <f t="shared" ref="AF308:AF310" si="10">IF(OR(AF$305&lt;=$G308+$J308,$J308=0),IF(AE308=0,$L308,AE308)-T308-Z308,0)</f>
        <v>0</v>
      </c>
      <c r="AG308" s="43">
        <f t="shared" ref="AG308:AG310" si="11">IF(OR(AG$305&lt;=$G308+$J308,$J308=0),IF(AF308=0,$L308,AF308)-U308-AA308,0)</f>
        <v>0</v>
      </c>
      <c r="AH308" s="43">
        <f t="shared" ref="AH308:AH310" si="12">IF(OR(AH$305&lt;=$G308+$J308,$J308=0),IF(AG308=0,$L308,AG308)-V308-AB308,0)</f>
        <v>0</v>
      </c>
      <c r="AJ308" s="43">
        <f t="shared" ref="AJ308:AJ371" si="13">(R308+X308+AD308*I$16)*IF($K308=1,$F$19,1)</f>
        <v>0</v>
      </c>
      <c r="AK308" s="43">
        <f t="shared" ref="AK308:AK371" si="14">(S308+Y308+AE308*J$16)*IF($K308=1,$F$19,1)</f>
        <v>0</v>
      </c>
      <c r="AL308" s="43">
        <f t="shared" ref="AL308:AL371" si="15">(T308+Z308+AF308*K$16)*IF($K308=1,$F$19,1)</f>
        <v>0</v>
      </c>
      <c r="AM308" s="43">
        <f t="shared" ref="AM308:AM371" si="16">(U308+AA308+AG308*L$16)*IF($K308=1,$F$19,1)</f>
        <v>0</v>
      </c>
      <c r="AN308" s="43">
        <f t="shared" ref="AN308:AN371" si="17">(V308+AB308+AH308*M$16)*IF($K308=1,$F$19,1)</f>
        <v>0</v>
      </c>
    </row>
    <row r="309" spans="2:40">
      <c r="B309" s="37" t="str">
        <f t="shared" si="5"/>
        <v>Asset 3</v>
      </c>
      <c r="F309" s="37" t="str">
        <f t="shared" ref="F309:L309" si="18">F61</f>
        <v>06 Utiliteitsgebouwen</v>
      </c>
      <c r="G309" s="37">
        <f t="shared" si="18"/>
        <v>1972</v>
      </c>
      <c r="H309" s="52">
        <f t="shared" si="18"/>
        <v>2621.49</v>
      </c>
      <c r="I309" s="37">
        <f t="shared" si="18"/>
        <v>2021</v>
      </c>
      <c r="J309" s="52">
        <f t="shared" si="18"/>
        <v>30</v>
      </c>
      <c r="K309" s="177">
        <f t="shared" si="18"/>
        <v>0</v>
      </c>
      <c r="L309" s="52">
        <f t="shared" si="18"/>
        <v>0</v>
      </c>
      <c r="N309" s="43">
        <f t="shared" si="6"/>
        <v>0</v>
      </c>
      <c r="P309" s="38">
        <f t="shared" si="7"/>
        <v>0</v>
      </c>
      <c r="R309" s="43">
        <f t="shared" si="1"/>
        <v>0</v>
      </c>
      <c r="S309" s="43">
        <f t="shared" si="1"/>
        <v>0</v>
      </c>
      <c r="T309" s="43">
        <f t="shared" si="1"/>
        <v>0</v>
      </c>
      <c r="U309" s="43">
        <f t="shared" si="1"/>
        <v>0</v>
      </c>
      <c r="V309" s="43">
        <f t="shared" si="1"/>
        <v>0</v>
      </c>
      <c r="X309" s="43">
        <f t="shared" si="2"/>
        <v>0</v>
      </c>
      <c r="Y309" s="43">
        <f t="shared" si="2"/>
        <v>0</v>
      </c>
      <c r="Z309" s="43">
        <f t="shared" si="2"/>
        <v>0</v>
      </c>
      <c r="AA309" s="43">
        <f t="shared" si="2"/>
        <v>0</v>
      </c>
      <c r="AB309" s="43">
        <f t="shared" si="2"/>
        <v>0</v>
      </c>
      <c r="AD309" s="43">
        <f t="shared" si="8"/>
        <v>0</v>
      </c>
      <c r="AE309" s="43">
        <f t="shared" si="9"/>
        <v>0</v>
      </c>
      <c r="AF309" s="43">
        <f t="shared" si="10"/>
        <v>0</v>
      </c>
      <c r="AG309" s="43">
        <f t="shared" si="11"/>
        <v>0</v>
      </c>
      <c r="AH309" s="43">
        <f t="shared" si="12"/>
        <v>0</v>
      </c>
      <c r="AJ309" s="43">
        <f t="shared" si="13"/>
        <v>0</v>
      </c>
      <c r="AK309" s="43">
        <f t="shared" si="14"/>
        <v>0</v>
      </c>
      <c r="AL309" s="43">
        <f t="shared" si="15"/>
        <v>0</v>
      </c>
      <c r="AM309" s="43">
        <f t="shared" si="16"/>
        <v>0</v>
      </c>
      <c r="AN309" s="43">
        <f t="shared" si="17"/>
        <v>0</v>
      </c>
    </row>
    <row r="310" spans="2:40">
      <c r="B310" s="37" t="str">
        <f t="shared" si="5"/>
        <v>Asset 4</v>
      </c>
      <c r="F310" s="37" t="str">
        <f t="shared" ref="F310:L310" si="19">F62</f>
        <v>08 Inrichting gebouwen</v>
      </c>
      <c r="G310" s="37">
        <f t="shared" si="19"/>
        <v>1997</v>
      </c>
      <c r="H310" s="52">
        <f t="shared" si="19"/>
        <v>151227.48000000004</v>
      </c>
      <c r="I310" s="37">
        <f t="shared" si="19"/>
        <v>2021</v>
      </c>
      <c r="J310" s="52">
        <f t="shared" si="19"/>
        <v>10</v>
      </c>
      <c r="K310" s="177">
        <f t="shared" si="19"/>
        <v>0</v>
      </c>
      <c r="L310" s="52">
        <f t="shared" si="19"/>
        <v>0</v>
      </c>
      <c r="N310" s="43">
        <f t="shared" si="6"/>
        <v>0</v>
      </c>
      <c r="P310" s="38">
        <f t="shared" si="7"/>
        <v>0</v>
      </c>
      <c r="R310" s="43">
        <f t="shared" si="1"/>
        <v>0</v>
      </c>
      <c r="S310" s="43">
        <f t="shared" si="1"/>
        <v>0</v>
      </c>
      <c r="T310" s="43">
        <f t="shared" si="1"/>
        <v>0</v>
      </c>
      <c r="U310" s="43">
        <f t="shared" si="1"/>
        <v>0</v>
      </c>
      <c r="V310" s="43">
        <f t="shared" si="1"/>
        <v>0</v>
      </c>
      <c r="X310" s="43">
        <f t="shared" si="2"/>
        <v>0</v>
      </c>
      <c r="Y310" s="43">
        <f t="shared" si="2"/>
        <v>0</v>
      </c>
      <c r="Z310" s="43">
        <f t="shared" si="2"/>
        <v>0</v>
      </c>
      <c r="AA310" s="43">
        <f t="shared" si="2"/>
        <v>0</v>
      </c>
      <c r="AB310" s="43">
        <f t="shared" si="2"/>
        <v>0</v>
      </c>
      <c r="AD310" s="43">
        <f t="shared" si="8"/>
        <v>0</v>
      </c>
      <c r="AE310" s="43">
        <f t="shared" si="9"/>
        <v>0</v>
      </c>
      <c r="AF310" s="43">
        <f t="shared" si="10"/>
        <v>0</v>
      </c>
      <c r="AG310" s="43">
        <f t="shared" si="11"/>
        <v>0</v>
      </c>
      <c r="AH310" s="43">
        <f t="shared" si="12"/>
        <v>0</v>
      </c>
      <c r="AJ310" s="43">
        <f t="shared" si="13"/>
        <v>0</v>
      </c>
      <c r="AK310" s="43">
        <f t="shared" si="14"/>
        <v>0</v>
      </c>
      <c r="AL310" s="43">
        <f t="shared" si="15"/>
        <v>0</v>
      </c>
      <c r="AM310" s="43">
        <f t="shared" si="16"/>
        <v>0</v>
      </c>
      <c r="AN310" s="43">
        <f t="shared" si="17"/>
        <v>0</v>
      </c>
    </row>
    <row r="311" spans="2:40">
      <c r="B311" s="37" t="str">
        <f t="shared" si="5"/>
        <v>Asset 5</v>
      </c>
      <c r="F311" s="37" t="str">
        <f t="shared" ref="F311:L311" si="20">F63</f>
        <v>11 Werktuigen</v>
      </c>
      <c r="G311" s="37">
        <f t="shared" si="20"/>
        <v>2009</v>
      </c>
      <c r="H311" s="52">
        <f t="shared" si="20"/>
        <v>1313895.18</v>
      </c>
      <c r="I311" s="37">
        <f t="shared" si="20"/>
        <v>2021</v>
      </c>
      <c r="J311" s="52">
        <f t="shared" si="20"/>
        <v>10</v>
      </c>
      <c r="K311" s="177">
        <f t="shared" si="20"/>
        <v>1</v>
      </c>
      <c r="L311" s="52">
        <f t="shared" si="20"/>
        <v>0</v>
      </c>
      <c r="N311" s="43">
        <f t="shared" ref="N311:N374" si="21">L311*IF(K311=1,$F$19,1)</f>
        <v>0</v>
      </c>
      <c r="P311" s="38">
        <f t="shared" si="7"/>
        <v>0</v>
      </c>
      <c r="R311" s="43">
        <f t="shared" si="1"/>
        <v>0</v>
      </c>
      <c r="S311" s="43">
        <f t="shared" si="1"/>
        <v>0</v>
      </c>
      <c r="T311" s="43">
        <f t="shared" si="1"/>
        <v>0</v>
      </c>
      <c r="U311" s="43">
        <f t="shared" si="1"/>
        <v>0</v>
      </c>
      <c r="V311" s="43">
        <f t="shared" si="1"/>
        <v>0</v>
      </c>
      <c r="X311" s="43">
        <f t="shared" si="2"/>
        <v>0</v>
      </c>
      <c r="Y311" s="43">
        <f t="shared" si="2"/>
        <v>0</v>
      </c>
      <c r="Z311" s="43">
        <f t="shared" si="2"/>
        <v>0</v>
      </c>
      <c r="AA311" s="43">
        <f t="shared" si="2"/>
        <v>0</v>
      </c>
      <c r="AB311" s="43">
        <f t="shared" si="2"/>
        <v>0</v>
      </c>
      <c r="AD311" s="43">
        <f t="shared" ref="AD311:AD374" si="22">IF(OR(AD$305&lt;=$G311+$J311,$J311=0),IF(AC311=0,$L311,AC311)-R311-X311,0)</f>
        <v>0</v>
      </c>
      <c r="AE311" s="43">
        <f t="shared" ref="AE311:AE374" si="23">IF(OR(AE$305&lt;=$G311+$J311,$J311=0),IF(AD311=0,$L311,AD311)-S311-Y311,0)</f>
        <v>0</v>
      </c>
      <c r="AF311" s="43">
        <f t="shared" ref="AF311:AF374" si="24">IF(OR(AF$305&lt;=$G311+$J311,$J311=0),IF(AE311=0,$L311,AE311)-T311-Z311,0)</f>
        <v>0</v>
      </c>
      <c r="AG311" s="43">
        <f t="shared" ref="AG311:AG374" si="25">IF(OR(AG$305&lt;=$G311+$J311,$J311=0),IF(AF311=0,$L311,AF311)-U311-AA311,0)</f>
        <v>0</v>
      </c>
      <c r="AH311" s="43">
        <f t="shared" ref="AH311:AH374" si="26">IF(OR(AH$305&lt;=$G311+$J311,$J311=0),IF(AG311=0,$L311,AG311)-V311-AB311,0)</f>
        <v>0</v>
      </c>
      <c r="AJ311" s="43">
        <f t="shared" si="13"/>
        <v>0</v>
      </c>
      <c r="AK311" s="43">
        <f t="shared" si="14"/>
        <v>0</v>
      </c>
      <c r="AL311" s="43">
        <f t="shared" si="15"/>
        <v>0</v>
      </c>
      <c r="AM311" s="43">
        <f t="shared" si="16"/>
        <v>0</v>
      </c>
      <c r="AN311" s="43">
        <f t="shared" si="17"/>
        <v>0</v>
      </c>
    </row>
    <row r="312" spans="2:40">
      <c r="B312" s="37" t="str">
        <f t="shared" si="5"/>
        <v>Asset 6</v>
      </c>
      <c r="F312" s="37" t="str">
        <f t="shared" ref="F312:L312" si="27">F64</f>
        <v>37 ICT middelen 1</v>
      </c>
      <c r="G312" s="37">
        <f t="shared" si="27"/>
        <v>2009</v>
      </c>
      <c r="H312" s="52">
        <f t="shared" si="27"/>
        <v>3658553.4539964925</v>
      </c>
      <c r="I312" s="37">
        <f t="shared" si="27"/>
        <v>2021</v>
      </c>
      <c r="J312" s="52">
        <f t="shared" si="27"/>
        <v>5</v>
      </c>
      <c r="K312" s="177">
        <f t="shared" si="27"/>
        <v>1</v>
      </c>
      <c r="L312" s="52">
        <f t="shared" si="27"/>
        <v>0</v>
      </c>
      <c r="N312" s="43">
        <f t="shared" si="21"/>
        <v>0</v>
      </c>
      <c r="P312" s="38">
        <f t="shared" si="7"/>
        <v>0</v>
      </c>
      <c r="R312" s="43">
        <f t="shared" si="1"/>
        <v>0</v>
      </c>
      <c r="S312" s="43">
        <f t="shared" si="1"/>
        <v>0</v>
      </c>
      <c r="T312" s="43">
        <f t="shared" si="1"/>
        <v>0</v>
      </c>
      <c r="U312" s="43">
        <f t="shared" si="1"/>
        <v>0</v>
      </c>
      <c r="V312" s="43">
        <f t="shared" si="1"/>
        <v>0</v>
      </c>
      <c r="X312" s="43">
        <f t="shared" si="2"/>
        <v>0</v>
      </c>
      <c r="Y312" s="43">
        <f t="shared" si="2"/>
        <v>0</v>
      </c>
      <c r="Z312" s="43">
        <f t="shared" si="2"/>
        <v>0</v>
      </c>
      <c r="AA312" s="43">
        <f t="shared" si="2"/>
        <v>0</v>
      </c>
      <c r="AB312" s="43">
        <f t="shared" si="2"/>
        <v>0</v>
      </c>
      <c r="AD312" s="43">
        <f t="shared" si="22"/>
        <v>0</v>
      </c>
      <c r="AE312" s="43">
        <f t="shared" si="23"/>
        <v>0</v>
      </c>
      <c r="AF312" s="43">
        <f t="shared" si="24"/>
        <v>0</v>
      </c>
      <c r="AG312" s="43">
        <f t="shared" si="25"/>
        <v>0</v>
      </c>
      <c r="AH312" s="43">
        <f t="shared" si="26"/>
        <v>0</v>
      </c>
      <c r="AJ312" s="43">
        <f t="shared" si="13"/>
        <v>0</v>
      </c>
      <c r="AK312" s="43">
        <f t="shared" si="14"/>
        <v>0</v>
      </c>
      <c r="AL312" s="43">
        <f t="shared" si="15"/>
        <v>0</v>
      </c>
      <c r="AM312" s="43">
        <f t="shared" si="16"/>
        <v>0</v>
      </c>
      <c r="AN312" s="43">
        <f t="shared" si="17"/>
        <v>0</v>
      </c>
    </row>
    <row r="313" spans="2:40">
      <c r="B313" s="37" t="str">
        <f t="shared" si="5"/>
        <v>Asset 7</v>
      </c>
      <c r="F313" s="37" t="str">
        <f t="shared" ref="F313:L313" si="28">F65</f>
        <v>37 ICT middelen 1</v>
      </c>
      <c r="G313" s="37">
        <f t="shared" si="28"/>
        <v>2010</v>
      </c>
      <c r="H313" s="52">
        <f t="shared" si="28"/>
        <v>17379179.522018339</v>
      </c>
      <c r="I313" s="37">
        <f t="shared" si="28"/>
        <v>2021</v>
      </c>
      <c r="J313" s="52">
        <f t="shared" si="28"/>
        <v>5</v>
      </c>
      <c r="K313" s="177">
        <f t="shared" si="28"/>
        <v>1</v>
      </c>
      <c r="L313" s="52">
        <f t="shared" si="28"/>
        <v>0</v>
      </c>
      <c r="N313" s="43">
        <f t="shared" si="21"/>
        <v>0</v>
      </c>
      <c r="P313" s="38">
        <f t="shared" si="7"/>
        <v>0</v>
      </c>
      <c r="R313" s="43">
        <f t="shared" si="1"/>
        <v>0</v>
      </c>
      <c r="S313" s="43">
        <f t="shared" si="1"/>
        <v>0</v>
      </c>
      <c r="T313" s="43">
        <f t="shared" si="1"/>
        <v>0</v>
      </c>
      <c r="U313" s="43">
        <f t="shared" si="1"/>
        <v>0</v>
      </c>
      <c r="V313" s="43">
        <f t="shared" si="1"/>
        <v>0</v>
      </c>
      <c r="X313" s="43">
        <f t="shared" si="2"/>
        <v>0</v>
      </c>
      <c r="Y313" s="43">
        <f t="shared" si="2"/>
        <v>0</v>
      </c>
      <c r="Z313" s="43">
        <f t="shared" si="2"/>
        <v>0</v>
      </c>
      <c r="AA313" s="43">
        <f t="shared" si="2"/>
        <v>0</v>
      </c>
      <c r="AB313" s="43">
        <f t="shared" si="2"/>
        <v>0</v>
      </c>
      <c r="AD313" s="43">
        <f t="shared" si="22"/>
        <v>0</v>
      </c>
      <c r="AE313" s="43">
        <f t="shared" si="23"/>
        <v>0</v>
      </c>
      <c r="AF313" s="43">
        <f t="shared" si="24"/>
        <v>0</v>
      </c>
      <c r="AG313" s="43">
        <f t="shared" si="25"/>
        <v>0</v>
      </c>
      <c r="AH313" s="43">
        <f t="shared" si="26"/>
        <v>0</v>
      </c>
      <c r="AJ313" s="43">
        <f t="shared" si="13"/>
        <v>0</v>
      </c>
      <c r="AK313" s="43">
        <f t="shared" si="14"/>
        <v>0</v>
      </c>
      <c r="AL313" s="43">
        <f t="shared" si="15"/>
        <v>0</v>
      </c>
      <c r="AM313" s="43">
        <f t="shared" si="16"/>
        <v>0</v>
      </c>
      <c r="AN313" s="43">
        <f t="shared" si="17"/>
        <v>0</v>
      </c>
    </row>
    <row r="314" spans="2:40">
      <c r="B314" s="37" t="str">
        <f t="shared" si="5"/>
        <v>Asset 8</v>
      </c>
      <c r="F314" s="37" t="str">
        <f t="shared" ref="F314:L314" si="29">F66</f>
        <v>10 Gereedschap</v>
      </c>
      <c r="G314" s="37">
        <f t="shared" si="29"/>
        <v>2010</v>
      </c>
      <c r="H314" s="52">
        <f t="shared" si="29"/>
        <v>2369604.1752097155</v>
      </c>
      <c r="I314" s="37">
        <f t="shared" si="29"/>
        <v>2021</v>
      </c>
      <c r="J314" s="52">
        <f t="shared" si="29"/>
        <v>10</v>
      </c>
      <c r="K314" s="177">
        <f t="shared" si="29"/>
        <v>1</v>
      </c>
      <c r="L314" s="52">
        <f t="shared" si="29"/>
        <v>0</v>
      </c>
      <c r="N314" s="43">
        <f t="shared" si="21"/>
        <v>0</v>
      </c>
      <c r="P314" s="38">
        <f t="shared" si="7"/>
        <v>0</v>
      </c>
      <c r="R314" s="43">
        <f t="shared" si="1"/>
        <v>0</v>
      </c>
      <c r="S314" s="43">
        <f t="shared" si="1"/>
        <v>0</v>
      </c>
      <c r="T314" s="43">
        <f t="shared" si="1"/>
        <v>0</v>
      </c>
      <c r="U314" s="43">
        <f t="shared" si="1"/>
        <v>0</v>
      </c>
      <c r="V314" s="43">
        <f t="shared" si="1"/>
        <v>0</v>
      </c>
      <c r="X314" s="43">
        <f t="shared" si="2"/>
        <v>0</v>
      </c>
      <c r="Y314" s="43">
        <f t="shared" si="2"/>
        <v>0</v>
      </c>
      <c r="Z314" s="43">
        <f t="shared" si="2"/>
        <v>0</v>
      </c>
      <c r="AA314" s="43">
        <f t="shared" si="2"/>
        <v>0</v>
      </c>
      <c r="AB314" s="43">
        <f t="shared" si="2"/>
        <v>0</v>
      </c>
      <c r="AD314" s="43">
        <f t="shared" si="22"/>
        <v>0</v>
      </c>
      <c r="AE314" s="43">
        <f t="shared" si="23"/>
        <v>0</v>
      </c>
      <c r="AF314" s="43">
        <f t="shared" si="24"/>
        <v>0</v>
      </c>
      <c r="AG314" s="43">
        <f t="shared" si="25"/>
        <v>0</v>
      </c>
      <c r="AH314" s="43">
        <f t="shared" si="26"/>
        <v>0</v>
      </c>
      <c r="AJ314" s="43">
        <f t="shared" si="13"/>
        <v>0</v>
      </c>
      <c r="AK314" s="43">
        <f t="shared" si="14"/>
        <v>0</v>
      </c>
      <c r="AL314" s="43">
        <f t="shared" si="15"/>
        <v>0</v>
      </c>
      <c r="AM314" s="43">
        <f t="shared" si="16"/>
        <v>0</v>
      </c>
      <c r="AN314" s="43">
        <f t="shared" si="17"/>
        <v>0</v>
      </c>
    </row>
    <row r="315" spans="2:40">
      <c r="B315" s="37" t="str">
        <f t="shared" si="5"/>
        <v>Asset 9</v>
      </c>
      <c r="F315" s="37" t="str">
        <f t="shared" ref="F315:L315" si="30">F67</f>
        <v>37 ICT middelen 1 (transparency)</v>
      </c>
      <c r="G315" s="37">
        <f t="shared" si="30"/>
        <v>2010</v>
      </c>
      <c r="H315" s="52">
        <f t="shared" si="30"/>
        <v>137063.35897796138</v>
      </c>
      <c r="I315" s="37">
        <f t="shared" si="30"/>
        <v>2021</v>
      </c>
      <c r="J315" s="52">
        <f t="shared" si="30"/>
        <v>5</v>
      </c>
      <c r="K315" s="177">
        <f t="shared" si="30"/>
        <v>0</v>
      </c>
      <c r="L315" s="52">
        <f t="shared" si="30"/>
        <v>0</v>
      </c>
      <c r="N315" s="43">
        <f t="shared" si="21"/>
        <v>0</v>
      </c>
      <c r="P315" s="38">
        <f t="shared" si="7"/>
        <v>0</v>
      </c>
      <c r="R315" s="43">
        <f t="shared" si="1"/>
        <v>0</v>
      </c>
      <c r="S315" s="43">
        <f t="shared" si="1"/>
        <v>0</v>
      </c>
      <c r="T315" s="43">
        <f t="shared" si="1"/>
        <v>0</v>
      </c>
      <c r="U315" s="43">
        <f t="shared" si="1"/>
        <v>0</v>
      </c>
      <c r="V315" s="43">
        <f t="shared" si="1"/>
        <v>0</v>
      </c>
      <c r="X315" s="43">
        <f t="shared" si="2"/>
        <v>0</v>
      </c>
      <c r="Y315" s="43">
        <f t="shared" si="2"/>
        <v>0</v>
      </c>
      <c r="Z315" s="43">
        <f t="shared" si="2"/>
        <v>0</v>
      </c>
      <c r="AA315" s="43">
        <f t="shared" si="2"/>
        <v>0</v>
      </c>
      <c r="AB315" s="43">
        <f t="shared" si="2"/>
        <v>0</v>
      </c>
      <c r="AD315" s="43">
        <f t="shared" si="22"/>
        <v>0</v>
      </c>
      <c r="AE315" s="43">
        <f t="shared" si="23"/>
        <v>0</v>
      </c>
      <c r="AF315" s="43">
        <f t="shared" si="24"/>
        <v>0</v>
      </c>
      <c r="AG315" s="43">
        <f t="shared" si="25"/>
        <v>0</v>
      </c>
      <c r="AH315" s="43">
        <f t="shared" si="26"/>
        <v>0</v>
      </c>
      <c r="AJ315" s="43">
        <f t="shared" si="13"/>
        <v>0</v>
      </c>
      <c r="AK315" s="43">
        <f t="shared" si="14"/>
        <v>0</v>
      </c>
      <c r="AL315" s="43">
        <f t="shared" si="15"/>
        <v>0</v>
      </c>
      <c r="AM315" s="43">
        <f t="shared" si="16"/>
        <v>0</v>
      </c>
      <c r="AN315" s="43">
        <f t="shared" si="17"/>
        <v>0</v>
      </c>
    </row>
    <row r="316" spans="2:40">
      <c r="B316" s="37" t="str">
        <f t="shared" si="5"/>
        <v>Asset 10</v>
      </c>
      <c r="F316" s="37" t="str">
        <f t="shared" ref="F316:L316" si="31">F68</f>
        <v>11 Werktuigen (gaschromatografen en comptabele meters)</v>
      </c>
      <c r="G316" s="37">
        <f t="shared" si="31"/>
        <v>2011</v>
      </c>
      <c r="H316" s="52">
        <f t="shared" si="31"/>
        <v>852201.48356837523</v>
      </c>
      <c r="I316" s="37">
        <f t="shared" si="31"/>
        <v>2021</v>
      </c>
      <c r="J316" s="52">
        <f t="shared" si="31"/>
        <v>10</v>
      </c>
      <c r="K316" s="177">
        <f t="shared" si="31"/>
        <v>0</v>
      </c>
      <c r="L316" s="52">
        <f t="shared" si="31"/>
        <v>0</v>
      </c>
      <c r="N316" s="43">
        <f t="shared" si="21"/>
        <v>0</v>
      </c>
      <c r="P316" s="38">
        <f t="shared" si="7"/>
        <v>0</v>
      </c>
      <c r="R316" s="43">
        <f t="shared" si="1"/>
        <v>0</v>
      </c>
      <c r="S316" s="43">
        <f t="shared" si="1"/>
        <v>0</v>
      </c>
      <c r="T316" s="43">
        <f t="shared" si="1"/>
        <v>0</v>
      </c>
      <c r="U316" s="43">
        <f t="shared" si="1"/>
        <v>0</v>
      </c>
      <c r="V316" s="43">
        <f t="shared" si="1"/>
        <v>0</v>
      </c>
      <c r="X316" s="43">
        <f t="shared" si="2"/>
        <v>0</v>
      </c>
      <c r="Y316" s="43">
        <f t="shared" si="2"/>
        <v>0</v>
      </c>
      <c r="Z316" s="43">
        <f t="shared" si="2"/>
        <v>0</v>
      </c>
      <c r="AA316" s="43">
        <f t="shared" si="2"/>
        <v>0</v>
      </c>
      <c r="AB316" s="43">
        <f t="shared" si="2"/>
        <v>0</v>
      </c>
      <c r="AD316" s="43">
        <f t="shared" si="22"/>
        <v>0</v>
      </c>
      <c r="AE316" s="43">
        <f t="shared" si="23"/>
        <v>0</v>
      </c>
      <c r="AF316" s="43">
        <f t="shared" si="24"/>
        <v>0</v>
      </c>
      <c r="AG316" s="43">
        <f t="shared" si="25"/>
        <v>0</v>
      </c>
      <c r="AH316" s="43">
        <f t="shared" si="26"/>
        <v>0</v>
      </c>
      <c r="AJ316" s="43">
        <f t="shared" si="13"/>
        <v>0</v>
      </c>
      <c r="AK316" s="43">
        <f t="shared" si="14"/>
        <v>0</v>
      </c>
      <c r="AL316" s="43">
        <f t="shared" si="15"/>
        <v>0</v>
      </c>
      <c r="AM316" s="43">
        <f t="shared" si="16"/>
        <v>0</v>
      </c>
      <c r="AN316" s="43">
        <f t="shared" si="17"/>
        <v>0</v>
      </c>
    </row>
    <row r="317" spans="2:40">
      <c r="B317" s="37" t="str">
        <f t="shared" si="5"/>
        <v>Asset 11</v>
      </c>
      <c r="F317" s="37" t="str">
        <f t="shared" ref="F317:L317" si="32">F69</f>
        <v>20 Kantoorgebouwen</v>
      </c>
      <c r="G317" s="37">
        <f t="shared" si="32"/>
        <v>2011</v>
      </c>
      <c r="H317" s="52">
        <f t="shared" si="32"/>
        <v>3100554.2541983742</v>
      </c>
      <c r="I317" s="37">
        <f t="shared" si="32"/>
        <v>2021</v>
      </c>
      <c r="J317" s="52">
        <f t="shared" si="32"/>
        <v>30</v>
      </c>
      <c r="K317" s="177">
        <f t="shared" si="32"/>
        <v>0</v>
      </c>
      <c r="L317" s="52">
        <f t="shared" si="32"/>
        <v>2372891.9585730941</v>
      </c>
      <c r="N317" s="43">
        <f t="shared" si="21"/>
        <v>2372891.9585730941</v>
      </c>
      <c r="P317" s="38">
        <f t="shared" si="7"/>
        <v>19.5</v>
      </c>
      <c r="R317" s="43">
        <f t="shared" ref="R317:V326" si="33">IF(R$305&lt;=$G317+$J317,VDB($L317*(1-$F$25),0,$P317,R$305-2022,MIN(R$305-2021,$P317),$F$22),0)</f>
        <v>142373.51751438566</v>
      </c>
      <c r="S317" s="43">
        <f t="shared" si="33"/>
        <v>132881.94968009327</v>
      </c>
      <c r="T317" s="43">
        <f t="shared" si="33"/>
        <v>124023.15303475372</v>
      </c>
      <c r="U317" s="43">
        <f t="shared" si="33"/>
        <v>115754.94283243682</v>
      </c>
      <c r="V317" s="43">
        <f t="shared" si="33"/>
        <v>108037.94664360769</v>
      </c>
      <c r="X317" s="43">
        <f t="shared" ref="X317:AB326" si="34">IF(X$305&lt;=$G317+$J317,VDB($L317*$F$25,0,$P317,X$305-2022,MIN(X$305-2021,$P317),1),0)</f>
        <v>12168.676710631253</v>
      </c>
      <c r="Y317" s="43">
        <f t="shared" si="34"/>
        <v>12168.676710631253</v>
      </c>
      <c r="Z317" s="43">
        <f t="shared" si="34"/>
        <v>12168.676710631253</v>
      </c>
      <c r="AA317" s="43">
        <f t="shared" si="34"/>
        <v>12168.676710631253</v>
      </c>
      <c r="AB317" s="43">
        <f t="shared" si="34"/>
        <v>12168.676710631253</v>
      </c>
      <c r="AD317" s="43">
        <f t="shared" si="22"/>
        <v>2218349.7643480771</v>
      </c>
      <c r="AE317" s="43">
        <f t="shared" si="23"/>
        <v>2073299.1379573527</v>
      </c>
      <c r="AF317" s="43">
        <f t="shared" si="24"/>
        <v>1937107.3082119678</v>
      </c>
      <c r="AG317" s="43">
        <f t="shared" si="25"/>
        <v>1809183.6886688997</v>
      </c>
      <c r="AH317" s="43">
        <f t="shared" si="26"/>
        <v>1688977.0653146608</v>
      </c>
      <c r="AJ317" s="43">
        <f>(R317+X317+AD317*I$16)*IF($K317=1,$F$19,1)</f>
        <v>229966.08621285154</v>
      </c>
      <c r="AK317" s="43">
        <f t="shared" si="14"/>
        <v>213469.49794331717</v>
      </c>
      <c r="AL317" s="43">
        <f t="shared" si="15"/>
        <v>209801.90745743975</v>
      </c>
      <c r="AM317" s="43">
        <f t="shared" si="16"/>
        <v>196672.59971248626</v>
      </c>
      <c r="AN317" s="43">
        <f t="shared" si="17"/>
        <v>184387.75183619605</v>
      </c>
    </row>
    <row r="318" spans="2:40">
      <c r="B318" s="37" t="str">
        <f t="shared" si="5"/>
        <v>Asset 12</v>
      </c>
      <c r="F318" s="37" t="str">
        <f t="shared" ref="F318:L318" si="35">F70</f>
        <v>37 ICT middelen 1</v>
      </c>
      <c r="G318" s="37">
        <f t="shared" si="35"/>
        <v>2011</v>
      </c>
      <c r="H318" s="52">
        <f t="shared" si="35"/>
        <v>30115806.268534236</v>
      </c>
      <c r="I318" s="37">
        <f t="shared" si="35"/>
        <v>2021</v>
      </c>
      <c r="J318" s="52">
        <f t="shared" si="35"/>
        <v>5</v>
      </c>
      <c r="K318" s="177">
        <f t="shared" si="35"/>
        <v>1</v>
      </c>
      <c r="L318" s="52">
        <f t="shared" si="35"/>
        <v>0</v>
      </c>
      <c r="N318" s="43">
        <f t="shared" si="21"/>
        <v>0</v>
      </c>
      <c r="P318" s="38">
        <f t="shared" si="7"/>
        <v>0</v>
      </c>
      <c r="R318" s="43">
        <f t="shared" si="33"/>
        <v>0</v>
      </c>
      <c r="S318" s="43">
        <f t="shared" si="33"/>
        <v>0</v>
      </c>
      <c r="T318" s="43">
        <f t="shared" si="33"/>
        <v>0</v>
      </c>
      <c r="U318" s="43">
        <f t="shared" si="33"/>
        <v>0</v>
      </c>
      <c r="V318" s="43">
        <f t="shared" si="33"/>
        <v>0</v>
      </c>
      <c r="X318" s="43">
        <f t="shared" si="34"/>
        <v>0</v>
      </c>
      <c r="Y318" s="43">
        <f t="shared" si="34"/>
        <v>0</v>
      </c>
      <c r="Z318" s="43">
        <f t="shared" si="34"/>
        <v>0</v>
      </c>
      <c r="AA318" s="43">
        <f t="shared" si="34"/>
        <v>0</v>
      </c>
      <c r="AB318" s="43">
        <f t="shared" si="34"/>
        <v>0</v>
      </c>
      <c r="AD318" s="43">
        <f t="shared" si="22"/>
        <v>0</v>
      </c>
      <c r="AE318" s="43">
        <f t="shared" si="23"/>
        <v>0</v>
      </c>
      <c r="AF318" s="43">
        <f t="shared" si="24"/>
        <v>0</v>
      </c>
      <c r="AG318" s="43">
        <f t="shared" si="25"/>
        <v>0</v>
      </c>
      <c r="AH318" s="43">
        <f t="shared" si="26"/>
        <v>0</v>
      </c>
      <c r="AJ318" s="43">
        <f t="shared" si="13"/>
        <v>0</v>
      </c>
      <c r="AK318" s="43">
        <f t="shared" si="14"/>
        <v>0</v>
      </c>
      <c r="AL318" s="43">
        <f t="shared" si="15"/>
        <v>0</v>
      </c>
      <c r="AM318" s="43">
        <f t="shared" si="16"/>
        <v>0</v>
      </c>
      <c r="AN318" s="43">
        <f t="shared" si="17"/>
        <v>0</v>
      </c>
    </row>
    <row r="319" spans="2:40">
      <c r="B319" s="37" t="str">
        <f t="shared" si="5"/>
        <v>Asset 13</v>
      </c>
      <c r="F319" s="37" t="str">
        <f t="shared" ref="F319:L319" si="36">F71</f>
        <v>06 Utiliteitsgebouwen</v>
      </c>
      <c r="G319" s="37">
        <f t="shared" si="36"/>
        <v>2011</v>
      </c>
      <c r="H319" s="52">
        <f t="shared" si="36"/>
        <v>2437521.6070272112</v>
      </c>
      <c r="I319" s="37">
        <f t="shared" si="36"/>
        <v>2021</v>
      </c>
      <c r="J319" s="52">
        <f t="shared" si="36"/>
        <v>30</v>
      </c>
      <c r="K319" s="177">
        <f t="shared" si="36"/>
        <v>0</v>
      </c>
      <c r="L319" s="52">
        <f t="shared" si="36"/>
        <v>1865464.9930189459</v>
      </c>
      <c r="N319" s="43">
        <f t="shared" si="21"/>
        <v>1865464.9930189459</v>
      </c>
      <c r="P319" s="38">
        <f t="shared" si="7"/>
        <v>19.5</v>
      </c>
      <c r="R319" s="43">
        <f t="shared" si="33"/>
        <v>111927.89958113675</v>
      </c>
      <c r="S319" s="43">
        <f t="shared" si="33"/>
        <v>104466.03960906097</v>
      </c>
      <c r="T319" s="43">
        <f t="shared" si="33"/>
        <v>97501.636968456922</v>
      </c>
      <c r="U319" s="43">
        <f t="shared" si="33"/>
        <v>91001.527837226458</v>
      </c>
      <c r="V319" s="43">
        <f t="shared" si="33"/>
        <v>84934.759314744704</v>
      </c>
      <c r="X319" s="43">
        <f t="shared" si="34"/>
        <v>9566.4871436869016</v>
      </c>
      <c r="Y319" s="43">
        <f t="shared" si="34"/>
        <v>9566.4871436869016</v>
      </c>
      <c r="Z319" s="43">
        <f t="shared" si="34"/>
        <v>9566.4871436869016</v>
      </c>
      <c r="AA319" s="43">
        <f t="shared" si="34"/>
        <v>9566.4871436869016</v>
      </c>
      <c r="AB319" s="43">
        <f t="shared" si="34"/>
        <v>9566.4871436869016</v>
      </c>
      <c r="AD319" s="43">
        <f t="shared" si="22"/>
        <v>1743970.6062941223</v>
      </c>
      <c r="AE319" s="43">
        <f t="shared" si="23"/>
        <v>1629938.0795413745</v>
      </c>
      <c r="AF319" s="43">
        <f t="shared" si="24"/>
        <v>1522869.9554292306</v>
      </c>
      <c r="AG319" s="43">
        <f t="shared" si="25"/>
        <v>1422301.9404483172</v>
      </c>
      <c r="AH319" s="43">
        <f t="shared" si="26"/>
        <v>1327800.6939898855</v>
      </c>
      <c r="AJ319" s="43">
        <f t="shared" si="13"/>
        <v>180789.38733882381</v>
      </c>
      <c r="AK319" s="43">
        <f t="shared" si="14"/>
        <v>167820.48337761324</v>
      </c>
      <c r="AL319" s="43">
        <f t="shared" si="15"/>
        <v>164937.18241845458</v>
      </c>
      <c r="AM319" s="43">
        <f t="shared" si="16"/>
        <v>154615.48871794943</v>
      </c>
      <c r="AN319" s="43">
        <f t="shared" si="17"/>
        <v>144957.67283004726</v>
      </c>
    </row>
    <row r="320" spans="2:40">
      <c r="B320" s="37" t="str">
        <f t="shared" si="5"/>
        <v>Asset 14</v>
      </c>
      <c r="F320" s="37" t="str">
        <f t="shared" ref="F320:L320" si="37">F72</f>
        <v>10 Gereedschap</v>
      </c>
      <c r="G320" s="37">
        <f t="shared" si="37"/>
        <v>2011</v>
      </c>
      <c r="H320" s="52">
        <f t="shared" si="37"/>
        <v>322323.48030063207</v>
      </c>
      <c r="I320" s="37">
        <f t="shared" si="37"/>
        <v>2021</v>
      </c>
      <c r="J320" s="52">
        <f t="shared" si="37"/>
        <v>10</v>
      </c>
      <c r="K320" s="177">
        <f t="shared" si="37"/>
        <v>1</v>
      </c>
      <c r="L320" s="52">
        <f t="shared" si="37"/>
        <v>0</v>
      </c>
      <c r="N320" s="43">
        <f t="shared" si="21"/>
        <v>0</v>
      </c>
      <c r="P320" s="38">
        <f t="shared" si="7"/>
        <v>0</v>
      </c>
      <c r="R320" s="43">
        <f t="shared" si="33"/>
        <v>0</v>
      </c>
      <c r="S320" s="43">
        <f t="shared" si="33"/>
        <v>0</v>
      </c>
      <c r="T320" s="43">
        <f t="shared" si="33"/>
        <v>0</v>
      </c>
      <c r="U320" s="43">
        <f t="shared" si="33"/>
        <v>0</v>
      </c>
      <c r="V320" s="43">
        <f t="shared" si="33"/>
        <v>0</v>
      </c>
      <c r="X320" s="43">
        <f t="shared" si="34"/>
        <v>0</v>
      </c>
      <c r="Y320" s="43">
        <f t="shared" si="34"/>
        <v>0</v>
      </c>
      <c r="Z320" s="43">
        <f t="shared" si="34"/>
        <v>0</v>
      </c>
      <c r="AA320" s="43">
        <f t="shared" si="34"/>
        <v>0</v>
      </c>
      <c r="AB320" s="43">
        <f t="shared" si="34"/>
        <v>0</v>
      </c>
      <c r="AD320" s="43">
        <f t="shared" si="22"/>
        <v>0</v>
      </c>
      <c r="AE320" s="43">
        <f t="shared" si="23"/>
        <v>0</v>
      </c>
      <c r="AF320" s="43">
        <f t="shared" si="24"/>
        <v>0</v>
      </c>
      <c r="AG320" s="43">
        <f t="shared" si="25"/>
        <v>0</v>
      </c>
      <c r="AH320" s="43">
        <f t="shared" si="26"/>
        <v>0</v>
      </c>
      <c r="AJ320" s="43">
        <f t="shared" si="13"/>
        <v>0</v>
      </c>
      <c r="AK320" s="43">
        <f t="shared" si="14"/>
        <v>0</v>
      </c>
      <c r="AL320" s="43">
        <f t="shared" si="15"/>
        <v>0</v>
      </c>
      <c r="AM320" s="43">
        <f t="shared" si="16"/>
        <v>0</v>
      </c>
      <c r="AN320" s="43">
        <f t="shared" si="17"/>
        <v>0</v>
      </c>
    </row>
    <row r="321" spans="2:40">
      <c r="B321" s="37" t="str">
        <f t="shared" si="5"/>
        <v>Asset 15</v>
      </c>
      <c r="F321" s="37" t="str">
        <f t="shared" ref="F321:L321" si="38">F73</f>
        <v>14 Overig rollend materieel</v>
      </c>
      <c r="G321" s="37">
        <f t="shared" si="38"/>
        <v>2011</v>
      </c>
      <c r="H321" s="52">
        <f t="shared" si="38"/>
        <v>4126005.7948834877</v>
      </c>
      <c r="I321" s="37">
        <f t="shared" si="38"/>
        <v>2021</v>
      </c>
      <c r="J321" s="52">
        <f t="shared" si="38"/>
        <v>10</v>
      </c>
      <c r="K321" s="177">
        <f t="shared" si="38"/>
        <v>1</v>
      </c>
      <c r="L321" s="52">
        <f t="shared" si="38"/>
        <v>0</v>
      </c>
      <c r="N321" s="43">
        <f t="shared" si="21"/>
        <v>0</v>
      </c>
      <c r="P321" s="38">
        <f t="shared" si="7"/>
        <v>0</v>
      </c>
      <c r="R321" s="43">
        <f t="shared" si="33"/>
        <v>0</v>
      </c>
      <c r="S321" s="43">
        <f t="shared" si="33"/>
        <v>0</v>
      </c>
      <c r="T321" s="43">
        <f t="shared" si="33"/>
        <v>0</v>
      </c>
      <c r="U321" s="43">
        <f t="shared" si="33"/>
        <v>0</v>
      </c>
      <c r="V321" s="43">
        <f t="shared" si="33"/>
        <v>0</v>
      </c>
      <c r="X321" s="43">
        <f t="shared" si="34"/>
        <v>0</v>
      </c>
      <c r="Y321" s="43">
        <f t="shared" si="34"/>
        <v>0</v>
      </c>
      <c r="Z321" s="43">
        <f t="shared" si="34"/>
        <v>0</v>
      </c>
      <c r="AA321" s="43">
        <f t="shared" si="34"/>
        <v>0</v>
      </c>
      <c r="AB321" s="43">
        <f t="shared" si="34"/>
        <v>0</v>
      </c>
      <c r="AD321" s="43">
        <f t="shared" si="22"/>
        <v>0</v>
      </c>
      <c r="AE321" s="43">
        <f t="shared" si="23"/>
        <v>0</v>
      </c>
      <c r="AF321" s="43">
        <f t="shared" si="24"/>
        <v>0</v>
      </c>
      <c r="AG321" s="43">
        <f t="shared" si="25"/>
        <v>0</v>
      </c>
      <c r="AH321" s="43">
        <f t="shared" si="26"/>
        <v>0</v>
      </c>
      <c r="AJ321" s="43">
        <f t="shared" si="13"/>
        <v>0</v>
      </c>
      <c r="AK321" s="43">
        <f t="shared" si="14"/>
        <v>0</v>
      </c>
      <c r="AL321" s="43">
        <f t="shared" si="15"/>
        <v>0</v>
      </c>
      <c r="AM321" s="43">
        <f t="shared" si="16"/>
        <v>0</v>
      </c>
      <c r="AN321" s="43">
        <f t="shared" si="17"/>
        <v>0</v>
      </c>
    </row>
    <row r="322" spans="2:40">
      <c r="B322" s="37" t="str">
        <f t="shared" si="5"/>
        <v>Asset 16</v>
      </c>
      <c r="F322" s="37" t="str">
        <f t="shared" ref="F322:L322" si="39">F74</f>
        <v>37 ICT middelen 1</v>
      </c>
      <c r="G322" s="37">
        <f t="shared" si="39"/>
        <v>2012</v>
      </c>
      <c r="H322" s="52">
        <f t="shared" si="39"/>
        <v>22695798.709637098</v>
      </c>
      <c r="I322" s="37">
        <f t="shared" si="39"/>
        <v>2021</v>
      </c>
      <c r="J322" s="52">
        <f t="shared" si="39"/>
        <v>5</v>
      </c>
      <c r="K322" s="177">
        <f t="shared" si="39"/>
        <v>1</v>
      </c>
      <c r="L322" s="52">
        <f t="shared" si="39"/>
        <v>0</v>
      </c>
      <c r="N322" s="43">
        <f t="shared" si="21"/>
        <v>0</v>
      </c>
      <c r="P322" s="38">
        <f t="shared" si="7"/>
        <v>0</v>
      </c>
      <c r="R322" s="43">
        <f t="shared" si="33"/>
        <v>0</v>
      </c>
      <c r="S322" s="43">
        <f t="shared" si="33"/>
        <v>0</v>
      </c>
      <c r="T322" s="43">
        <f t="shared" si="33"/>
        <v>0</v>
      </c>
      <c r="U322" s="43">
        <f t="shared" si="33"/>
        <v>0</v>
      </c>
      <c r="V322" s="43">
        <f t="shared" si="33"/>
        <v>0</v>
      </c>
      <c r="X322" s="43">
        <f t="shared" si="34"/>
        <v>0</v>
      </c>
      <c r="Y322" s="43">
        <f t="shared" si="34"/>
        <v>0</v>
      </c>
      <c r="Z322" s="43">
        <f t="shared" si="34"/>
        <v>0</v>
      </c>
      <c r="AA322" s="43">
        <f t="shared" si="34"/>
        <v>0</v>
      </c>
      <c r="AB322" s="43">
        <f t="shared" si="34"/>
        <v>0</v>
      </c>
      <c r="AD322" s="43">
        <f t="shared" si="22"/>
        <v>0</v>
      </c>
      <c r="AE322" s="43">
        <f t="shared" si="23"/>
        <v>0</v>
      </c>
      <c r="AF322" s="43">
        <f t="shared" si="24"/>
        <v>0</v>
      </c>
      <c r="AG322" s="43">
        <f t="shared" si="25"/>
        <v>0</v>
      </c>
      <c r="AH322" s="43">
        <f t="shared" si="26"/>
        <v>0</v>
      </c>
      <c r="AJ322" s="43">
        <f t="shared" si="13"/>
        <v>0</v>
      </c>
      <c r="AK322" s="43">
        <f t="shared" si="14"/>
        <v>0</v>
      </c>
      <c r="AL322" s="43">
        <f t="shared" si="15"/>
        <v>0</v>
      </c>
      <c r="AM322" s="43">
        <f t="shared" si="16"/>
        <v>0</v>
      </c>
      <c r="AN322" s="43">
        <f t="shared" si="17"/>
        <v>0</v>
      </c>
    </row>
    <row r="323" spans="2:40">
      <c r="B323" s="37" t="str">
        <f t="shared" si="5"/>
        <v>Asset 17</v>
      </c>
      <c r="F323" s="37" t="str">
        <f t="shared" ref="F323:L323" si="40">F75</f>
        <v>37 ICT middelen 1</v>
      </c>
      <c r="G323" s="37">
        <f t="shared" si="40"/>
        <v>2013</v>
      </c>
      <c r="H323" s="52">
        <f t="shared" si="40"/>
        <v>18719949.80436749</v>
      </c>
      <c r="I323" s="37">
        <f t="shared" si="40"/>
        <v>2021</v>
      </c>
      <c r="J323" s="52">
        <f t="shared" si="40"/>
        <v>5</v>
      </c>
      <c r="K323" s="177">
        <f t="shared" si="40"/>
        <v>1</v>
      </c>
      <c r="L323" s="52">
        <f t="shared" si="40"/>
        <v>0</v>
      </c>
      <c r="N323" s="43">
        <f t="shared" si="21"/>
        <v>0</v>
      </c>
      <c r="P323" s="38">
        <f t="shared" si="7"/>
        <v>0</v>
      </c>
      <c r="R323" s="43">
        <f t="shared" si="33"/>
        <v>0</v>
      </c>
      <c r="S323" s="43">
        <f t="shared" si="33"/>
        <v>0</v>
      </c>
      <c r="T323" s="43">
        <f t="shared" si="33"/>
        <v>0</v>
      </c>
      <c r="U323" s="43">
        <f t="shared" si="33"/>
        <v>0</v>
      </c>
      <c r="V323" s="43">
        <f t="shared" si="33"/>
        <v>0</v>
      </c>
      <c r="X323" s="43">
        <f t="shared" si="34"/>
        <v>0</v>
      </c>
      <c r="Y323" s="43">
        <f t="shared" si="34"/>
        <v>0</v>
      </c>
      <c r="Z323" s="43">
        <f t="shared" si="34"/>
        <v>0</v>
      </c>
      <c r="AA323" s="43">
        <f t="shared" si="34"/>
        <v>0</v>
      </c>
      <c r="AB323" s="43">
        <f t="shared" si="34"/>
        <v>0</v>
      </c>
      <c r="AD323" s="43">
        <f t="shared" si="22"/>
        <v>0</v>
      </c>
      <c r="AE323" s="43">
        <f t="shared" si="23"/>
        <v>0</v>
      </c>
      <c r="AF323" s="43">
        <f t="shared" si="24"/>
        <v>0</v>
      </c>
      <c r="AG323" s="43">
        <f t="shared" si="25"/>
        <v>0</v>
      </c>
      <c r="AH323" s="43">
        <f t="shared" si="26"/>
        <v>0</v>
      </c>
      <c r="AJ323" s="43">
        <f t="shared" si="13"/>
        <v>0</v>
      </c>
      <c r="AK323" s="43">
        <f t="shared" si="14"/>
        <v>0</v>
      </c>
      <c r="AL323" s="43">
        <f t="shared" si="15"/>
        <v>0</v>
      </c>
      <c r="AM323" s="43">
        <f t="shared" si="16"/>
        <v>0</v>
      </c>
      <c r="AN323" s="43">
        <f t="shared" si="17"/>
        <v>0</v>
      </c>
    </row>
    <row r="324" spans="2:40">
      <c r="B324" s="37" t="str">
        <f t="shared" si="5"/>
        <v>Asset 18</v>
      </c>
      <c r="F324" s="37" t="str">
        <f t="shared" ref="F324:L324" si="41">F76</f>
        <v>14 Overig rollend materieel</v>
      </c>
      <c r="G324" s="37">
        <f t="shared" si="41"/>
        <v>2013</v>
      </c>
      <c r="H324" s="52">
        <f t="shared" si="41"/>
        <v>14233.766853302437</v>
      </c>
      <c r="I324" s="37">
        <f t="shared" si="41"/>
        <v>2021</v>
      </c>
      <c r="J324" s="52">
        <f t="shared" si="41"/>
        <v>10</v>
      </c>
      <c r="K324" s="177">
        <f t="shared" si="41"/>
        <v>1</v>
      </c>
      <c r="L324" s="52">
        <f t="shared" si="41"/>
        <v>2395.0433871794298</v>
      </c>
      <c r="N324" s="43">
        <f t="shared" si="21"/>
        <v>2395.0433871794298</v>
      </c>
      <c r="P324" s="38">
        <f t="shared" si="7"/>
        <v>1.5</v>
      </c>
      <c r="R324" s="43">
        <f t="shared" si="33"/>
        <v>1868.1338419999554</v>
      </c>
      <c r="S324" s="43">
        <f t="shared" si="33"/>
        <v>287.40520646153141</v>
      </c>
      <c r="T324" s="43">
        <f t="shared" si="33"/>
        <v>0</v>
      </c>
      <c r="U324" s="43">
        <f t="shared" si="33"/>
        <v>0</v>
      </c>
      <c r="V324" s="43">
        <f t="shared" si="33"/>
        <v>0</v>
      </c>
      <c r="X324" s="43">
        <f t="shared" si="34"/>
        <v>159.66955914529532</v>
      </c>
      <c r="Y324" s="43">
        <f t="shared" si="34"/>
        <v>79.834779572647676</v>
      </c>
      <c r="Z324" s="43">
        <f t="shared" si="34"/>
        <v>0</v>
      </c>
      <c r="AA324" s="43">
        <f t="shared" si="34"/>
        <v>0</v>
      </c>
      <c r="AB324" s="43">
        <f t="shared" si="34"/>
        <v>0</v>
      </c>
      <c r="AD324" s="43">
        <f t="shared" si="22"/>
        <v>367.23998603417908</v>
      </c>
      <c r="AE324" s="43">
        <f t="shared" si="23"/>
        <v>0</v>
      </c>
      <c r="AF324" s="43">
        <f t="shared" si="24"/>
        <v>0</v>
      </c>
      <c r="AG324" s="43">
        <f t="shared" si="25"/>
        <v>0</v>
      </c>
      <c r="AH324" s="43">
        <f t="shared" si="26"/>
        <v>0</v>
      </c>
      <c r="AJ324" s="43">
        <f t="shared" si="13"/>
        <v>2040.2895606704128</v>
      </c>
      <c r="AK324" s="43">
        <f t="shared" si="14"/>
        <v>367.23998603417908</v>
      </c>
      <c r="AL324" s="43">
        <f t="shared" si="15"/>
        <v>0</v>
      </c>
      <c r="AM324" s="43">
        <f t="shared" si="16"/>
        <v>0</v>
      </c>
      <c r="AN324" s="43">
        <f t="shared" si="17"/>
        <v>0</v>
      </c>
    </row>
    <row r="325" spans="2:40">
      <c r="B325" s="37" t="str">
        <f t="shared" si="5"/>
        <v>Asset 19</v>
      </c>
      <c r="F325" s="37" t="str">
        <f t="shared" ref="F325:L325" si="42">F77</f>
        <v>10 Gereedschap</v>
      </c>
      <c r="G325" s="37">
        <f t="shared" si="42"/>
        <v>2013</v>
      </c>
      <c r="H325" s="52">
        <f t="shared" si="42"/>
        <v>717715.3058753697</v>
      </c>
      <c r="I325" s="37">
        <f t="shared" si="42"/>
        <v>2021</v>
      </c>
      <c r="J325" s="52">
        <f t="shared" si="42"/>
        <v>10</v>
      </c>
      <c r="K325" s="177">
        <f t="shared" si="42"/>
        <v>1</v>
      </c>
      <c r="L325" s="52">
        <f t="shared" si="42"/>
        <v>120766.29573396736</v>
      </c>
      <c r="N325" s="43">
        <f t="shared" si="21"/>
        <v>120766.29573396736</v>
      </c>
      <c r="P325" s="38">
        <f t="shared" si="7"/>
        <v>1.5</v>
      </c>
      <c r="R325" s="43">
        <f t="shared" si="33"/>
        <v>94197.710672494548</v>
      </c>
      <c r="S325" s="43">
        <f t="shared" si="33"/>
        <v>14491.955488076084</v>
      </c>
      <c r="T325" s="43">
        <f t="shared" si="33"/>
        <v>0</v>
      </c>
      <c r="U325" s="43">
        <f t="shared" si="33"/>
        <v>0</v>
      </c>
      <c r="V325" s="43">
        <f t="shared" si="33"/>
        <v>0</v>
      </c>
      <c r="X325" s="43">
        <f t="shared" si="34"/>
        <v>8051.0863822644906</v>
      </c>
      <c r="Y325" s="43">
        <f t="shared" si="34"/>
        <v>4025.5431911322457</v>
      </c>
      <c r="Z325" s="43">
        <f t="shared" si="34"/>
        <v>0</v>
      </c>
      <c r="AA325" s="43">
        <f t="shared" si="34"/>
        <v>0</v>
      </c>
      <c r="AB325" s="43">
        <f t="shared" si="34"/>
        <v>0</v>
      </c>
      <c r="AD325" s="43">
        <f t="shared" si="22"/>
        <v>18517.498679208322</v>
      </c>
      <c r="AE325" s="43">
        <f t="shared" si="23"/>
        <v>-8.1854523159563541E-12</v>
      </c>
      <c r="AF325" s="43">
        <f t="shared" si="24"/>
        <v>0</v>
      </c>
      <c r="AG325" s="43">
        <f t="shared" si="25"/>
        <v>0</v>
      </c>
      <c r="AH325" s="43">
        <f t="shared" si="26"/>
        <v>0</v>
      </c>
      <c r="AJ325" s="43">
        <f t="shared" si="13"/>
        <v>102878.39200985212</v>
      </c>
      <c r="AK325" s="43">
        <f t="shared" si="14"/>
        <v>18517.498679208329</v>
      </c>
      <c r="AL325" s="43">
        <f t="shared" si="15"/>
        <v>0</v>
      </c>
      <c r="AM325" s="43">
        <f t="shared" si="16"/>
        <v>0</v>
      </c>
      <c r="AN325" s="43">
        <f t="shared" si="17"/>
        <v>0</v>
      </c>
    </row>
    <row r="326" spans="2:40">
      <c r="B326" s="37" t="str">
        <f t="shared" si="5"/>
        <v>Asset 20</v>
      </c>
      <c r="F326" s="37" t="str">
        <f t="shared" ref="F326:L326" si="43">F78</f>
        <v>37 ICT middelen 1</v>
      </c>
      <c r="G326" s="37">
        <f t="shared" si="43"/>
        <v>2014</v>
      </c>
      <c r="H326" s="52">
        <f t="shared" si="43"/>
        <v>29278944.009914741</v>
      </c>
      <c r="I326" s="37">
        <f t="shared" si="43"/>
        <v>2021</v>
      </c>
      <c r="J326" s="52">
        <f t="shared" si="43"/>
        <v>5</v>
      </c>
      <c r="K326" s="177">
        <f t="shared" si="43"/>
        <v>1</v>
      </c>
      <c r="L326" s="52">
        <f t="shared" si="43"/>
        <v>0</v>
      </c>
      <c r="N326" s="43">
        <f t="shared" si="21"/>
        <v>0</v>
      </c>
      <c r="P326" s="38">
        <f t="shared" si="7"/>
        <v>0</v>
      </c>
      <c r="R326" s="43">
        <f t="shared" si="33"/>
        <v>0</v>
      </c>
      <c r="S326" s="43">
        <f t="shared" si="33"/>
        <v>0</v>
      </c>
      <c r="T326" s="43">
        <f t="shared" si="33"/>
        <v>0</v>
      </c>
      <c r="U326" s="43">
        <f t="shared" si="33"/>
        <v>0</v>
      </c>
      <c r="V326" s="43">
        <f t="shared" si="33"/>
        <v>0</v>
      </c>
      <c r="X326" s="43">
        <f t="shared" si="34"/>
        <v>0</v>
      </c>
      <c r="Y326" s="43">
        <f t="shared" si="34"/>
        <v>0</v>
      </c>
      <c r="Z326" s="43">
        <f t="shared" si="34"/>
        <v>0</v>
      </c>
      <c r="AA326" s="43">
        <f t="shared" si="34"/>
        <v>0</v>
      </c>
      <c r="AB326" s="43">
        <f t="shared" si="34"/>
        <v>0</v>
      </c>
      <c r="AD326" s="43">
        <f t="shared" si="22"/>
        <v>0</v>
      </c>
      <c r="AE326" s="43">
        <f t="shared" si="23"/>
        <v>0</v>
      </c>
      <c r="AF326" s="43">
        <f t="shared" si="24"/>
        <v>0</v>
      </c>
      <c r="AG326" s="43">
        <f t="shared" si="25"/>
        <v>0</v>
      </c>
      <c r="AH326" s="43">
        <f t="shared" si="26"/>
        <v>0</v>
      </c>
      <c r="AJ326" s="43">
        <f t="shared" si="13"/>
        <v>0</v>
      </c>
      <c r="AK326" s="43">
        <f t="shared" si="14"/>
        <v>0</v>
      </c>
      <c r="AL326" s="43">
        <f t="shared" si="15"/>
        <v>0</v>
      </c>
      <c r="AM326" s="43">
        <f t="shared" si="16"/>
        <v>0</v>
      </c>
      <c r="AN326" s="43">
        <f t="shared" si="17"/>
        <v>0</v>
      </c>
    </row>
    <row r="327" spans="2:40">
      <c r="B327" s="37" t="str">
        <f t="shared" si="5"/>
        <v>Asset 21</v>
      </c>
      <c r="F327" s="37" t="str">
        <f t="shared" ref="F327:L327" si="44">F79</f>
        <v>38 ICT middelen 2</v>
      </c>
      <c r="G327" s="37">
        <f t="shared" si="44"/>
        <v>2014</v>
      </c>
      <c r="H327" s="52">
        <f t="shared" si="44"/>
        <v>149619.99545874962</v>
      </c>
      <c r="I327" s="37">
        <f t="shared" si="44"/>
        <v>2021</v>
      </c>
      <c r="J327" s="52">
        <f t="shared" si="44"/>
        <v>10</v>
      </c>
      <c r="K327" s="177">
        <f t="shared" si="44"/>
        <v>1</v>
      </c>
      <c r="L327" s="52">
        <f t="shared" si="44"/>
        <v>40816.786477904512</v>
      </c>
      <c r="N327" s="43">
        <f t="shared" si="21"/>
        <v>40816.786477904512</v>
      </c>
      <c r="P327" s="38">
        <f t="shared" si="7"/>
        <v>2.5</v>
      </c>
      <c r="R327" s="43">
        <f t="shared" ref="R327:V336" si="45">IF(R$305&lt;=$G327+$J327,VDB($L327*(1-$F$25),0,$P327,R$305-2022,MIN(R$305-2021,$P327),$F$22),0)</f>
        <v>19102.256071659311</v>
      </c>
      <c r="S327" s="43">
        <f t="shared" si="45"/>
        <v>11755.234505636499</v>
      </c>
      <c r="T327" s="43">
        <f t="shared" si="45"/>
        <v>5877.6172528182497</v>
      </c>
      <c r="U327" s="43">
        <f t="shared" si="45"/>
        <v>0</v>
      </c>
      <c r="V327" s="43">
        <f t="shared" si="45"/>
        <v>0</v>
      </c>
      <c r="X327" s="43">
        <f t="shared" ref="X327:AB336" si="46">IF(X$305&lt;=$G327+$J327,VDB($L327*$F$25,0,$P327,X$305-2022,MIN(X$305-2021,$P327),1),0)</f>
        <v>1632.6714591161808</v>
      </c>
      <c r="Y327" s="43">
        <f t="shared" si="46"/>
        <v>1632.6714591161806</v>
      </c>
      <c r="Z327" s="43">
        <f t="shared" si="46"/>
        <v>816.33572955809029</v>
      </c>
      <c r="AA327" s="43">
        <f t="shared" si="46"/>
        <v>0</v>
      </c>
      <c r="AB327" s="43">
        <f t="shared" si="46"/>
        <v>0</v>
      </c>
      <c r="AD327" s="43">
        <f t="shared" si="22"/>
        <v>20081.858947129022</v>
      </c>
      <c r="AE327" s="43">
        <f t="shared" si="23"/>
        <v>6693.9529823763414</v>
      </c>
      <c r="AF327" s="43">
        <f t="shared" si="24"/>
        <v>1.4779288903810084E-12</v>
      </c>
      <c r="AG327" s="43">
        <f t="shared" si="25"/>
        <v>0</v>
      </c>
      <c r="AH327" s="43">
        <f t="shared" si="26"/>
        <v>0</v>
      </c>
      <c r="AJ327" s="43">
        <f t="shared" si="13"/>
        <v>21417.710734977878</v>
      </c>
      <c r="AK327" s="43">
        <f t="shared" si="14"/>
        <v>13608.806413171098</v>
      </c>
      <c r="AL327" s="43">
        <f t="shared" si="15"/>
        <v>6693.9529823763396</v>
      </c>
      <c r="AM327" s="43">
        <f t="shared" si="16"/>
        <v>0</v>
      </c>
      <c r="AN327" s="43">
        <f t="shared" si="17"/>
        <v>0</v>
      </c>
    </row>
    <row r="328" spans="2:40">
      <c r="B328" s="37" t="str">
        <f t="shared" si="5"/>
        <v>Asset 22</v>
      </c>
      <c r="F328" s="37" t="str">
        <f t="shared" ref="F328:L328" si="47">F80</f>
        <v>37 ICT middelen 1 (transparency)</v>
      </c>
      <c r="G328" s="37">
        <f t="shared" si="47"/>
        <v>2014</v>
      </c>
      <c r="H328" s="52">
        <f t="shared" si="47"/>
        <v>180341</v>
      </c>
      <c r="I328" s="37">
        <f t="shared" si="47"/>
        <v>2021</v>
      </c>
      <c r="J328" s="52">
        <f t="shared" si="47"/>
        <v>5</v>
      </c>
      <c r="K328" s="177">
        <f t="shared" si="47"/>
        <v>0</v>
      </c>
      <c r="L328" s="52">
        <f t="shared" si="47"/>
        <v>0</v>
      </c>
      <c r="N328" s="43">
        <f t="shared" si="21"/>
        <v>0</v>
      </c>
      <c r="P328" s="38">
        <f t="shared" si="7"/>
        <v>0</v>
      </c>
      <c r="R328" s="43">
        <f t="shared" si="45"/>
        <v>0</v>
      </c>
      <c r="S328" s="43">
        <f t="shared" si="45"/>
        <v>0</v>
      </c>
      <c r="T328" s="43">
        <f t="shared" si="45"/>
        <v>0</v>
      </c>
      <c r="U328" s="43">
        <f t="shared" si="45"/>
        <v>0</v>
      </c>
      <c r="V328" s="43">
        <f t="shared" si="45"/>
        <v>0</v>
      </c>
      <c r="X328" s="43">
        <f t="shared" si="46"/>
        <v>0</v>
      </c>
      <c r="Y328" s="43">
        <f t="shared" si="46"/>
        <v>0</v>
      </c>
      <c r="Z328" s="43">
        <f t="shared" si="46"/>
        <v>0</v>
      </c>
      <c r="AA328" s="43">
        <f t="shared" si="46"/>
        <v>0</v>
      </c>
      <c r="AB328" s="43">
        <f t="shared" si="46"/>
        <v>0</v>
      </c>
      <c r="AD328" s="43">
        <f t="shared" si="22"/>
        <v>0</v>
      </c>
      <c r="AE328" s="43">
        <f t="shared" si="23"/>
        <v>0</v>
      </c>
      <c r="AF328" s="43">
        <f t="shared" si="24"/>
        <v>0</v>
      </c>
      <c r="AG328" s="43">
        <f t="shared" si="25"/>
        <v>0</v>
      </c>
      <c r="AH328" s="43">
        <f t="shared" si="26"/>
        <v>0</v>
      </c>
      <c r="AJ328" s="43">
        <f t="shared" si="13"/>
        <v>0</v>
      </c>
      <c r="AK328" s="43">
        <f t="shared" si="14"/>
        <v>0</v>
      </c>
      <c r="AL328" s="43">
        <f t="shared" si="15"/>
        <v>0</v>
      </c>
      <c r="AM328" s="43">
        <f t="shared" si="16"/>
        <v>0</v>
      </c>
      <c r="AN328" s="43">
        <f t="shared" si="17"/>
        <v>0</v>
      </c>
    </row>
    <row r="329" spans="2:40">
      <c r="B329" s="37" t="str">
        <f t="shared" si="5"/>
        <v>Asset 23</v>
      </c>
      <c r="F329" s="37" t="str">
        <f t="shared" ref="F329:L329" si="48">F81</f>
        <v>37 ICT middelen 1</v>
      </c>
      <c r="G329" s="37">
        <f t="shared" si="48"/>
        <v>2015</v>
      </c>
      <c r="H329" s="52">
        <f t="shared" si="48"/>
        <v>16219637.049707994</v>
      </c>
      <c r="I329" s="37">
        <f t="shared" si="48"/>
        <v>2021</v>
      </c>
      <c r="J329" s="52">
        <f t="shared" si="48"/>
        <v>5</v>
      </c>
      <c r="K329" s="177">
        <f t="shared" si="48"/>
        <v>1</v>
      </c>
      <c r="L329" s="52">
        <f t="shared" si="48"/>
        <v>0</v>
      </c>
      <c r="N329" s="43">
        <f t="shared" si="21"/>
        <v>0</v>
      </c>
      <c r="P329" s="38">
        <f t="shared" si="7"/>
        <v>0</v>
      </c>
      <c r="R329" s="43">
        <f t="shared" si="45"/>
        <v>0</v>
      </c>
      <c r="S329" s="43">
        <f t="shared" si="45"/>
        <v>0</v>
      </c>
      <c r="T329" s="43">
        <f t="shared" si="45"/>
        <v>0</v>
      </c>
      <c r="U329" s="43">
        <f t="shared" si="45"/>
        <v>0</v>
      </c>
      <c r="V329" s="43">
        <f t="shared" si="45"/>
        <v>0</v>
      </c>
      <c r="X329" s="43">
        <f t="shared" si="46"/>
        <v>0</v>
      </c>
      <c r="Y329" s="43">
        <f t="shared" si="46"/>
        <v>0</v>
      </c>
      <c r="Z329" s="43">
        <f t="shared" si="46"/>
        <v>0</v>
      </c>
      <c r="AA329" s="43">
        <f t="shared" si="46"/>
        <v>0</v>
      </c>
      <c r="AB329" s="43">
        <f t="shared" si="46"/>
        <v>0</v>
      </c>
      <c r="AD329" s="43">
        <f t="shared" si="22"/>
        <v>0</v>
      </c>
      <c r="AE329" s="43">
        <f t="shared" si="23"/>
        <v>0</v>
      </c>
      <c r="AF329" s="43">
        <f t="shared" si="24"/>
        <v>0</v>
      </c>
      <c r="AG329" s="43">
        <f t="shared" si="25"/>
        <v>0</v>
      </c>
      <c r="AH329" s="43">
        <f t="shared" si="26"/>
        <v>0</v>
      </c>
      <c r="AJ329" s="43">
        <f t="shared" si="13"/>
        <v>0</v>
      </c>
      <c r="AK329" s="43">
        <f t="shared" si="14"/>
        <v>0</v>
      </c>
      <c r="AL329" s="43">
        <f t="shared" si="15"/>
        <v>0</v>
      </c>
      <c r="AM329" s="43">
        <f t="shared" si="16"/>
        <v>0</v>
      </c>
      <c r="AN329" s="43">
        <f t="shared" si="17"/>
        <v>0</v>
      </c>
    </row>
    <row r="330" spans="2:40">
      <c r="B330" s="37" t="str">
        <f t="shared" si="5"/>
        <v>Asset 24</v>
      </c>
      <c r="F330" s="37" t="str">
        <f t="shared" ref="F330:L330" si="49">F82</f>
        <v>14 Overig rollend materieel</v>
      </c>
      <c r="G330" s="37">
        <f t="shared" si="49"/>
        <v>2015</v>
      </c>
      <c r="H330" s="52">
        <f t="shared" si="49"/>
        <v>9111235.8707030155</v>
      </c>
      <c r="I330" s="37">
        <f t="shared" si="49"/>
        <v>2021</v>
      </c>
      <c r="J330" s="52">
        <f t="shared" si="49"/>
        <v>10</v>
      </c>
      <c r="K330" s="177">
        <f t="shared" si="49"/>
        <v>1</v>
      </c>
      <c r="L330" s="52">
        <f t="shared" si="49"/>
        <v>3445348.23215965</v>
      </c>
      <c r="N330" s="43">
        <f t="shared" si="21"/>
        <v>3445348.23215965</v>
      </c>
      <c r="P330" s="38">
        <f t="shared" si="7"/>
        <v>3.5</v>
      </c>
      <c r="R330" s="43">
        <f t="shared" si="45"/>
        <v>1151730.6947505118</v>
      </c>
      <c r="S330" s="43">
        <f t="shared" si="45"/>
        <v>779633.08567726938</v>
      </c>
      <c r="T330" s="43">
        <f t="shared" si="45"/>
        <v>779633.08567726938</v>
      </c>
      <c r="U330" s="43">
        <f t="shared" si="45"/>
        <v>389816.54283863469</v>
      </c>
      <c r="V330" s="43">
        <f t="shared" si="45"/>
        <v>0</v>
      </c>
      <c r="X330" s="43">
        <f t="shared" si="46"/>
        <v>98438.520918847149</v>
      </c>
      <c r="Y330" s="43">
        <f t="shared" si="46"/>
        <v>98438.520918847149</v>
      </c>
      <c r="Z330" s="43">
        <f t="shared" si="46"/>
        <v>98438.520918847149</v>
      </c>
      <c r="AA330" s="43">
        <f t="shared" si="46"/>
        <v>49219.260459423575</v>
      </c>
      <c r="AB330" s="43">
        <f t="shared" si="46"/>
        <v>0</v>
      </c>
      <c r="AD330" s="43">
        <f t="shared" si="22"/>
        <v>2195179.0164902909</v>
      </c>
      <c r="AE330" s="43">
        <f t="shared" si="23"/>
        <v>1317107.4098941744</v>
      </c>
      <c r="AF330" s="43">
        <f t="shared" si="24"/>
        <v>439035.80329805787</v>
      </c>
      <c r="AG330" s="43">
        <f t="shared" si="25"/>
        <v>-3.92901711165905E-10</v>
      </c>
      <c r="AH330" s="43">
        <f t="shared" si="26"/>
        <v>0</v>
      </c>
      <c r="AJ330" s="43">
        <f t="shared" si="13"/>
        <v>1324805.3022300287</v>
      </c>
      <c r="AK330" s="43">
        <f t="shared" si="14"/>
        <v>921536.15112262429</v>
      </c>
      <c r="AL330" s="43">
        <f t="shared" si="15"/>
        <v>894754.96712144278</v>
      </c>
      <c r="AM330" s="43">
        <f t="shared" si="16"/>
        <v>439035.80329805828</v>
      </c>
      <c r="AN330" s="43">
        <f t="shared" si="17"/>
        <v>0</v>
      </c>
    </row>
    <row r="331" spans="2:40">
      <c r="B331" s="37" t="str">
        <f t="shared" si="5"/>
        <v>Asset 25</v>
      </c>
      <c r="F331" s="37" t="str">
        <f t="shared" ref="F331:L331" si="50">F83</f>
        <v>10 Gereedschap</v>
      </c>
      <c r="G331" s="37">
        <f t="shared" si="50"/>
        <v>2015</v>
      </c>
      <c r="H331" s="52">
        <f t="shared" si="50"/>
        <v>1215996.3265953835</v>
      </c>
      <c r="I331" s="37">
        <f t="shared" si="50"/>
        <v>2021</v>
      </c>
      <c r="J331" s="52">
        <f t="shared" si="50"/>
        <v>10</v>
      </c>
      <c r="K331" s="177">
        <f t="shared" si="50"/>
        <v>1</v>
      </c>
      <c r="L331" s="52">
        <f t="shared" si="50"/>
        <v>459820.25420057232</v>
      </c>
      <c r="N331" s="43">
        <f t="shared" si="21"/>
        <v>459820.25420057232</v>
      </c>
      <c r="P331" s="38">
        <f t="shared" si="7"/>
        <v>3.5</v>
      </c>
      <c r="R331" s="43">
        <f t="shared" si="45"/>
        <v>153711.34211847704</v>
      </c>
      <c r="S331" s="43">
        <f t="shared" si="45"/>
        <v>104050.75466481522</v>
      </c>
      <c r="T331" s="43">
        <f t="shared" si="45"/>
        <v>104050.75466481522</v>
      </c>
      <c r="U331" s="43">
        <f t="shared" si="45"/>
        <v>52025.37733240761</v>
      </c>
      <c r="V331" s="43">
        <f t="shared" si="45"/>
        <v>0</v>
      </c>
      <c r="X331" s="43">
        <f t="shared" si="46"/>
        <v>13137.721548587782</v>
      </c>
      <c r="Y331" s="43">
        <f t="shared" si="46"/>
        <v>13137.721548587782</v>
      </c>
      <c r="Z331" s="43">
        <f t="shared" si="46"/>
        <v>13137.721548587782</v>
      </c>
      <c r="AA331" s="43">
        <f t="shared" si="46"/>
        <v>6568.8607742938912</v>
      </c>
      <c r="AB331" s="43">
        <f t="shared" si="46"/>
        <v>0</v>
      </c>
      <c r="AD331" s="43">
        <f t="shared" si="22"/>
        <v>292971.1905335075</v>
      </c>
      <c r="AE331" s="43">
        <f t="shared" si="23"/>
        <v>175782.71432010451</v>
      </c>
      <c r="AF331" s="43">
        <f t="shared" si="24"/>
        <v>58594.238106701509</v>
      </c>
      <c r="AG331" s="43">
        <f t="shared" si="25"/>
        <v>7.2759576141834259E-12</v>
      </c>
      <c r="AH331" s="43">
        <f t="shared" si="26"/>
        <v>0</v>
      </c>
      <c r="AJ331" s="43">
        <f t="shared" si="13"/>
        <v>176810.08414520408</v>
      </c>
      <c r="AK331" s="43">
        <f t="shared" si="14"/>
        <v>122989.30578596646</v>
      </c>
      <c r="AL331" s="43">
        <f t="shared" si="15"/>
        <v>119415.05726145767</v>
      </c>
      <c r="AM331" s="43">
        <f t="shared" si="16"/>
        <v>58594.238106701501</v>
      </c>
      <c r="AN331" s="43">
        <f t="shared" si="17"/>
        <v>0</v>
      </c>
    </row>
    <row r="332" spans="2:40">
      <c r="B332" s="37" t="str">
        <f t="shared" si="5"/>
        <v>Asset 26</v>
      </c>
      <c r="F332" s="37" t="str">
        <f t="shared" ref="F332:L332" si="51">F84</f>
        <v>13 Aanhangwagens (gaschromatografen en comptabele meters)</v>
      </c>
      <c r="G332" s="37">
        <f t="shared" si="51"/>
        <v>2015</v>
      </c>
      <c r="H332" s="52">
        <f t="shared" si="51"/>
        <v>7968.6502792695001</v>
      </c>
      <c r="I332" s="37">
        <f t="shared" si="51"/>
        <v>2021</v>
      </c>
      <c r="J332" s="52">
        <f t="shared" si="51"/>
        <v>10</v>
      </c>
      <c r="K332" s="177">
        <f t="shared" si="51"/>
        <v>0</v>
      </c>
      <c r="L332" s="52">
        <f t="shared" si="51"/>
        <v>3013.2877188110033</v>
      </c>
      <c r="N332" s="43">
        <f t="shared" si="21"/>
        <v>3013.2877188110033</v>
      </c>
      <c r="P332" s="38">
        <f t="shared" si="7"/>
        <v>3.5</v>
      </c>
      <c r="R332" s="43">
        <f t="shared" si="45"/>
        <v>1007.2990374311069</v>
      </c>
      <c r="S332" s="43">
        <f t="shared" si="45"/>
        <v>681.8639637995185</v>
      </c>
      <c r="T332" s="43">
        <f t="shared" si="45"/>
        <v>681.8639637995185</v>
      </c>
      <c r="U332" s="43">
        <f t="shared" si="45"/>
        <v>340.93198189975925</v>
      </c>
      <c r="V332" s="43">
        <f t="shared" si="45"/>
        <v>0</v>
      </c>
      <c r="X332" s="43">
        <f t="shared" si="46"/>
        <v>86.093934823171523</v>
      </c>
      <c r="Y332" s="43">
        <f t="shared" si="46"/>
        <v>86.093934823171523</v>
      </c>
      <c r="Z332" s="43">
        <f t="shared" si="46"/>
        <v>86.093934823171523</v>
      </c>
      <c r="AA332" s="43">
        <f t="shared" si="46"/>
        <v>43.046967411585761</v>
      </c>
      <c r="AB332" s="43">
        <f t="shared" si="46"/>
        <v>0</v>
      </c>
      <c r="AD332" s="43">
        <f t="shared" si="22"/>
        <v>1919.8947465567248</v>
      </c>
      <c r="AE332" s="43">
        <f t="shared" si="23"/>
        <v>1151.9368479340349</v>
      </c>
      <c r="AF332" s="43">
        <f t="shared" si="24"/>
        <v>383.97894931134482</v>
      </c>
      <c r="AG332" s="43">
        <f t="shared" si="25"/>
        <v>-1.9184653865522705E-13</v>
      </c>
      <c r="AH332" s="43">
        <f t="shared" si="26"/>
        <v>0</v>
      </c>
      <c r="AJ332" s="43">
        <f t="shared" si="13"/>
        <v>1158.6693936372071</v>
      </c>
      <c r="AK332" s="43">
        <f t="shared" si="14"/>
        <v>805.97181460451316</v>
      </c>
      <c r="AL332" s="43">
        <f t="shared" si="15"/>
        <v>782.54909869652113</v>
      </c>
      <c r="AM332" s="43">
        <f t="shared" si="16"/>
        <v>383.97894931134499</v>
      </c>
      <c r="AN332" s="43">
        <f t="shared" si="17"/>
        <v>0</v>
      </c>
    </row>
    <row r="333" spans="2:40">
      <c r="B333" s="37" t="str">
        <f t="shared" si="5"/>
        <v>Asset 27</v>
      </c>
      <c r="F333" s="37" t="str">
        <f t="shared" ref="F333:L333" si="52">F85</f>
        <v>37 ICT middelen 1</v>
      </c>
      <c r="G333" s="37">
        <f t="shared" si="52"/>
        <v>2016</v>
      </c>
      <c r="H333" s="52">
        <f t="shared" si="52"/>
        <v>15289349.60564645</v>
      </c>
      <c r="I333" s="37">
        <f t="shared" si="52"/>
        <v>2021</v>
      </c>
      <c r="J333" s="52">
        <f t="shared" si="52"/>
        <v>5</v>
      </c>
      <c r="K333" s="177">
        <f t="shared" si="52"/>
        <v>1</v>
      </c>
      <c r="L333" s="52">
        <f t="shared" si="52"/>
        <v>0</v>
      </c>
      <c r="N333" s="43">
        <f t="shared" si="21"/>
        <v>0</v>
      </c>
      <c r="P333" s="38">
        <f t="shared" si="7"/>
        <v>0</v>
      </c>
      <c r="R333" s="43">
        <f t="shared" si="45"/>
        <v>0</v>
      </c>
      <c r="S333" s="43">
        <f t="shared" si="45"/>
        <v>0</v>
      </c>
      <c r="T333" s="43">
        <f t="shared" si="45"/>
        <v>0</v>
      </c>
      <c r="U333" s="43">
        <f t="shared" si="45"/>
        <v>0</v>
      </c>
      <c r="V333" s="43">
        <f t="shared" si="45"/>
        <v>0</v>
      </c>
      <c r="X333" s="43">
        <f t="shared" si="46"/>
        <v>0</v>
      </c>
      <c r="Y333" s="43">
        <f t="shared" si="46"/>
        <v>0</v>
      </c>
      <c r="Z333" s="43">
        <f t="shared" si="46"/>
        <v>0</v>
      </c>
      <c r="AA333" s="43">
        <f t="shared" si="46"/>
        <v>0</v>
      </c>
      <c r="AB333" s="43">
        <f t="shared" si="46"/>
        <v>0</v>
      </c>
      <c r="AD333" s="43">
        <f t="shared" si="22"/>
        <v>0</v>
      </c>
      <c r="AE333" s="43">
        <f t="shared" si="23"/>
        <v>0</v>
      </c>
      <c r="AF333" s="43">
        <f t="shared" si="24"/>
        <v>0</v>
      </c>
      <c r="AG333" s="43">
        <f t="shared" si="25"/>
        <v>0</v>
      </c>
      <c r="AH333" s="43">
        <f t="shared" si="26"/>
        <v>0</v>
      </c>
      <c r="AJ333" s="43">
        <f t="shared" si="13"/>
        <v>0</v>
      </c>
      <c r="AK333" s="43">
        <f t="shared" si="14"/>
        <v>0</v>
      </c>
      <c r="AL333" s="43">
        <f t="shared" si="15"/>
        <v>0</v>
      </c>
      <c r="AM333" s="43">
        <f t="shared" si="16"/>
        <v>0</v>
      </c>
      <c r="AN333" s="43">
        <f t="shared" si="17"/>
        <v>0</v>
      </c>
    </row>
    <row r="334" spans="2:40">
      <c r="B334" s="37" t="str">
        <f t="shared" si="5"/>
        <v>Asset 28</v>
      </c>
      <c r="F334" s="37" t="str">
        <f t="shared" ref="F334:L334" si="53">F86</f>
        <v>11 Werktuigen</v>
      </c>
      <c r="G334" s="37">
        <f t="shared" si="53"/>
        <v>2016</v>
      </c>
      <c r="H334" s="52">
        <f t="shared" si="53"/>
        <v>1481397.6896878041</v>
      </c>
      <c r="I334" s="37">
        <f t="shared" si="53"/>
        <v>2021</v>
      </c>
      <c r="J334" s="52">
        <f t="shared" si="53"/>
        <v>10</v>
      </c>
      <c r="K334" s="177">
        <f t="shared" si="53"/>
        <v>1</v>
      </c>
      <c r="L334" s="52">
        <f t="shared" si="53"/>
        <v>714515.13830443297</v>
      </c>
      <c r="N334" s="43">
        <f t="shared" si="21"/>
        <v>714515.13830443297</v>
      </c>
      <c r="P334" s="38">
        <f t="shared" si="7"/>
        <v>4.5</v>
      </c>
      <c r="R334" s="43">
        <f t="shared" si="45"/>
        <v>185773.93595915259</v>
      </c>
      <c r="S334" s="43">
        <f t="shared" si="45"/>
        <v>132105.91001539741</v>
      </c>
      <c r="T334" s="43">
        <f t="shared" si="45"/>
        <v>130073.51139977589</v>
      </c>
      <c r="U334" s="43">
        <f t="shared" si="45"/>
        <v>130073.51139977589</v>
      </c>
      <c r="V334" s="43">
        <f t="shared" si="45"/>
        <v>65036.755699887945</v>
      </c>
      <c r="X334" s="43">
        <f t="shared" si="46"/>
        <v>15878.114184542957</v>
      </c>
      <c r="Y334" s="43">
        <f t="shared" si="46"/>
        <v>15878.114184542957</v>
      </c>
      <c r="Z334" s="43">
        <f t="shared" si="46"/>
        <v>15878.114184542957</v>
      </c>
      <c r="AA334" s="43">
        <f t="shared" si="46"/>
        <v>15878.114184542957</v>
      </c>
      <c r="AB334" s="43">
        <f t="shared" si="46"/>
        <v>7939.0570922714787</v>
      </c>
      <c r="AD334" s="43">
        <f t="shared" si="22"/>
        <v>512863.08816073748</v>
      </c>
      <c r="AE334" s="43">
        <f t="shared" si="23"/>
        <v>364879.0639607971</v>
      </c>
      <c r="AF334" s="43">
        <f t="shared" si="24"/>
        <v>218927.43837647824</v>
      </c>
      <c r="AG334" s="43">
        <f t="shared" si="25"/>
        <v>72975.812792159399</v>
      </c>
      <c r="AH334" s="43">
        <f t="shared" si="26"/>
        <v>-2.4556356947869062E-11</v>
      </c>
      <c r="AJ334" s="43">
        <f t="shared" si="13"/>
        <v>219089.39514116064</v>
      </c>
      <c r="AK334" s="43">
        <f t="shared" si="14"/>
        <v>160025.03331064669</v>
      </c>
      <c r="AL334" s="43">
        <f t="shared" si="15"/>
        <v>154270.86824262503</v>
      </c>
      <c r="AM334" s="43">
        <f t="shared" si="16"/>
        <v>148724.7064704209</v>
      </c>
      <c r="AN334" s="43">
        <f t="shared" si="17"/>
        <v>72975.812792159428</v>
      </c>
    </row>
    <row r="335" spans="2:40">
      <c r="B335" s="37" t="str">
        <f t="shared" si="5"/>
        <v>Asset 29</v>
      </c>
      <c r="F335" s="37" t="str">
        <f t="shared" ref="F335:L335" si="54">F87</f>
        <v>14 Overig rollend materieel</v>
      </c>
      <c r="G335" s="37">
        <f t="shared" si="54"/>
        <v>2016</v>
      </c>
      <c r="H335" s="52">
        <f t="shared" si="54"/>
        <v>5338260.5379699524</v>
      </c>
      <c r="I335" s="37">
        <f t="shared" si="54"/>
        <v>2021</v>
      </c>
      <c r="J335" s="52">
        <f t="shared" si="54"/>
        <v>10</v>
      </c>
      <c r="K335" s="177">
        <f t="shared" si="54"/>
        <v>1</v>
      </c>
      <c r="L335" s="52">
        <f t="shared" si="54"/>
        <v>2574776.5054207225</v>
      </c>
      <c r="N335" s="43">
        <f t="shared" si="21"/>
        <v>2574776.5054207225</v>
      </c>
      <c r="P335" s="38">
        <f t="shared" si="7"/>
        <v>4.5</v>
      </c>
      <c r="R335" s="43">
        <f t="shared" si="45"/>
        <v>669441.89140938804</v>
      </c>
      <c r="S335" s="43">
        <f t="shared" si="45"/>
        <v>476047.56722445367</v>
      </c>
      <c r="T335" s="43">
        <f t="shared" si="45"/>
        <v>468723.7584979235</v>
      </c>
      <c r="U335" s="43">
        <f t="shared" si="45"/>
        <v>468723.7584979235</v>
      </c>
      <c r="V335" s="43">
        <f t="shared" si="45"/>
        <v>234361.87924896175</v>
      </c>
      <c r="X335" s="43">
        <f t="shared" si="46"/>
        <v>57217.255676016059</v>
      </c>
      <c r="Y335" s="43">
        <f t="shared" si="46"/>
        <v>57217.255676016059</v>
      </c>
      <c r="Z335" s="43">
        <f t="shared" si="46"/>
        <v>57217.255676016059</v>
      </c>
      <c r="AA335" s="43">
        <f t="shared" si="46"/>
        <v>57217.255676016059</v>
      </c>
      <c r="AB335" s="43">
        <f t="shared" si="46"/>
        <v>28608.627838008029</v>
      </c>
      <c r="AD335" s="43">
        <f t="shared" si="22"/>
        <v>1848117.3583353185</v>
      </c>
      <c r="AE335" s="43">
        <f t="shared" si="23"/>
        <v>1314852.5354348489</v>
      </c>
      <c r="AF335" s="43">
        <f t="shared" si="24"/>
        <v>788911.52126090927</v>
      </c>
      <c r="AG335" s="43">
        <f t="shared" si="25"/>
        <v>262970.50708696974</v>
      </c>
      <c r="AH335" s="43">
        <f t="shared" si="26"/>
        <v>-4.0017766878008842E-11</v>
      </c>
      <c r="AJ335" s="43">
        <f t="shared" si="13"/>
        <v>789495.13726880495</v>
      </c>
      <c r="AK335" s="43">
        <f t="shared" si="14"/>
        <v>576654.95656981983</v>
      </c>
      <c r="AL335" s="43">
        <f t="shared" si="15"/>
        <v>555919.65198185411</v>
      </c>
      <c r="AM335" s="43">
        <f t="shared" si="16"/>
        <v>535933.89344324439</v>
      </c>
      <c r="AN335" s="43">
        <f t="shared" si="17"/>
        <v>262970.5070869698</v>
      </c>
    </row>
    <row r="336" spans="2:40">
      <c r="B336" s="37" t="str">
        <f t="shared" si="5"/>
        <v>Asset 30</v>
      </c>
      <c r="F336" s="37" t="str">
        <f t="shared" ref="F336:L336" si="55">F88</f>
        <v>37 ICT middelen 1</v>
      </c>
      <c r="G336" s="37">
        <f t="shared" si="55"/>
        <v>2017</v>
      </c>
      <c r="H336" s="52">
        <f t="shared" si="55"/>
        <v>17348227.126304951</v>
      </c>
      <c r="I336" s="37">
        <f t="shared" si="55"/>
        <v>2021</v>
      </c>
      <c r="J336" s="52">
        <f t="shared" si="55"/>
        <v>5</v>
      </c>
      <c r="K336" s="177">
        <f t="shared" si="55"/>
        <v>1</v>
      </c>
      <c r="L336" s="52">
        <f t="shared" si="55"/>
        <v>1855729.3459505453</v>
      </c>
      <c r="N336" s="43">
        <f t="shared" si="21"/>
        <v>1855729.3459505453</v>
      </c>
      <c r="P336" s="38">
        <f t="shared" si="7"/>
        <v>0.5</v>
      </c>
      <c r="R336" s="43">
        <f t="shared" si="45"/>
        <v>1670156.4113554908</v>
      </c>
      <c r="S336" s="43">
        <f t="shared" si="45"/>
        <v>0</v>
      </c>
      <c r="T336" s="43">
        <f t="shared" si="45"/>
        <v>0</v>
      </c>
      <c r="U336" s="43">
        <f t="shared" si="45"/>
        <v>0</v>
      </c>
      <c r="V336" s="43">
        <f t="shared" si="45"/>
        <v>0</v>
      </c>
      <c r="X336" s="43">
        <f t="shared" si="46"/>
        <v>185572.93459505454</v>
      </c>
      <c r="Y336" s="43">
        <f t="shared" si="46"/>
        <v>0</v>
      </c>
      <c r="Z336" s="43">
        <f t="shared" si="46"/>
        <v>0</v>
      </c>
      <c r="AA336" s="43">
        <f t="shared" si="46"/>
        <v>0</v>
      </c>
      <c r="AB336" s="43">
        <f t="shared" si="46"/>
        <v>0</v>
      </c>
      <c r="AD336" s="43">
        <f t="shared" si="22"/>
        <v>-5.8207660913467407E-11</v>
      </c>
      <c r="AE336" s="43">
        <f t="shared" si="23"/>
        <v>0</v>
      </c>
      <c r="AF336" s="43">
        <f t="shared" si="24"/>
        <v>0</v>
      </c>
      <c r="AG336" s="43">
        <f t="shared" si="25"/>
        <v>0</v>
      </c>
      <c r="AH336" s="43">
        <f t="shared" si="26"/>
        <v>0</v>
      </c>
      <c r="AJ336" s="43">
        <f t="shared" si="13"/>
        <v>1855729.3459505453</v>
      </c>
      <c r="AK336" s="43">
        <f t="shared" si="14"/>
        <v>0</v>
      </c>
      <c r="AL336" s="43">
        <f t="shared" si="15"/>
        <v>0</v>
      </c>
      <c r="AM336" s="43">
        <f t="shared" si="16"/>
        <v>0</v>
      </c>
      <c r="AN336" s="43">
        <f t="shared" si="17"/>
        <v>0</v>
      </c>
    </row>
    <row r="337" spans="2:40">
      <c r="B337" s="37" t="str">
        <f t="shared" si="5"/>
        <v>Asset 31</v>
      </c>
      <c r="F337" s="37" t="str">
        <f t="shared" ref="F337:L337" si="56">F89</f>
        <v>05 Wegen en terreinvoorzieningen</v>
      </c>
      <c r="G337" s="37">
        <f t="shared" si="56"/>
        <v>2012</v>
      </c>
      <c r="H337" s="52">
        <f t="shared" si="56"/>
        <v>56189.23</v>
      </c>
      <c r="I337" s="37">
        <f t="shared" si="56"/>
        <v>2021</v>
      </c>
      <c r="J337" s="52">
        <f t="shared" si="56"/>
        <v>10</v>
      </c>
      <c r="K337" s="177">
        <f t="shared" si="56"/>
        <v>0</v>
      </c>
      <c r="L337" s="52">
        <f t="shared" si="56"/>
        <v>3224.0442736663617</v>
      </c>
      <c r="N337" s="43">
        <f t="shared" si="21"/>
        <v>3224.0442736663617</v>
      </c>
      <c r="P337" s="38">
        <f t="shared" si="7"/>
        <v>0.5</v>
      </c>
      <c r="R337" s="43">
        <f t="shared" ref="R337:V346" si="57">IF(R$305&lt;=$G337+$J337,VDB($L337*(1-$F$25),0,$P337,R$305-2022,MIN(R$305-2021,$P337),$F$22),0)</f>
        <v>2901.6398462997258</v>
      </c>
      <c r="S337" s="43">
        <f t="shared" si="57"/>
        <v>0</v>
      </c>
      <c r="T337" s="43">
        <f t="shared" si="57"/>
        <v>0</v>
      </c>
      <c r="U337" s="43">
        <f t="shared" si="57"/>
        <v>0</v>
      </c>
      <c r="V337" s="43">
        <f t="shared" si="57"/>
        <v>0</v>
      </c>
      <c r="X337" s="43">
        <f t="shared" ref="X337:AB346" si="58">IF(X$305&lt;=$G337+$J337,VDB($L337*$F$25,0,$P337,X$305-2022,MIN(X$305-2021,$P337),1),0)</f>
        <v>322.40442736663618</v>
      </c>
      <c r="Y337" s="43">
        <f t="shared" si="58"/>
        <v>0</v>
      </c>
      <c r="Z337" s="43">
        <f t="shared" si="58"/>
        <v>0</v>
      </c>
      <c r="AA337" s="43">
        <f t="shared" si="58"/>
        <v>0</v>
      </c>
      <c r="AB337" s="43">
        <f t="shared" si="58"/>
        <v>0</v>
      </c>
      <c r="AD337" s="43">
        <f t="shared" si="22"/>
        <v>-2.8421709430404007E-13</v>
      </c>
      <c r="AE337" s="43">
        <f t="shared" si="23"/>
        <v>0</v>
      </c>
      <c r="AF337" s="43">
        <f t="shared" si="24"/>
        <v>0</v>
      </c>
      <c r="AG337" s="43">
        <f t="shared" si="25"/>
        <v>0</v>
      </c>
      <c r="AH337" s="43">
        <f t="shared" si="26"/>
        <v>0</v>
      </c>
      <c r="AJ337" s="43">
        <f t="shared" si="13"/>
        <v>3224.0442736663622</v>
      </c>
      <c r="AK337" s="43">
        <f t="shared" si="14"/>
        <v>0</v>
      </c>
      <c r="AL337" s="43">
        <f t="shared" si="15"/>
        <v>0</v>
      </c>
      <c r="AM337" s="43">
        <f t="shared" si="16"/>
        <v>0</v>
      </c>
      <c r="AN337" s="43">
        <f t="shared" si="17"/>
        <v>0</v>
      </c>
    </row>
    <row r="338" spans="2:40">
      <c r="B338" s="37" t="str">
        <f t="shared" si="5"/>
        <v>Asset 32</v>
      </c>
      <c r="F338" s="37" t="str">
        <f t="shared" ref="F338:L338" si="59">F90</f>
        <v>37 ICT middelen 1</v>
      </c>
      <c r="G338" s="37">
        <f t="shared" si="59"/>
        <v>2018</v>
      </c>
      <c r="H338" s="52">
        <f t="shared" si="59"/>
        <v>20811887.293785572</v>
      </c>
      <c r="I338" s="37">
        <f t="shared" si="59"/>
        <v>2021</v>
      </c>
      <c r="J338" s="52">
        <f t="shared" si="59"/>
        <v>5</v>
      </c>
      <c r="K338" s="177">
        <f t="shared" si="59"/>
        <v>1</v>
      </c>
      <c r="L338" s="52">
        <f t="shared" si="59"/>
        <v>6586494.0110704908</v>
      </c>
      <c r="N338" s="43">
        <f t="shared" si="21"/>
        <v>6586494.0110704908</v>
      </c>
      <c r="P338" s="38">
        <f t="shared" si="7"/>
        <v>1.5</v>
      </c>
      <c r="R338" s="43">
        <f t="shared" si="57"/>
        <v>5137465.3286349839</v>
      </c>
      <c r="S338" s="43">
        <f t="shared" si="57"/>
        <v>790379.28132845834</v>
      </c>
      <c r="T338" s="43">
        <f t="shared" si="57"/>
        <v>0</v>
      </c>
      <c r="U338" s="43">
        <f t="shared" si="57"/>
        <v>0</v>
      </c>
      <c r="V338" s="43">
        <f t="shared" si="57"/>
        <v>0</v>
      </c>
      <c r="X338" s="43">
        <f t="shared" si="58"/>
        <v>439099.60073803272</v>
      </c>
      <c r="Y338" s="43">
        <f t="shared" si="58"/>
        <v>219549.80036901636</v>
      </c>
      <c r="Z338" s="43">
        <f t="shared" si="58"/>
        <v>0</v>
      </c>
      <c r="AA338" s="43">
        <f t="shared" si="58"/>
        <v>0</v>
      </c>
      <c r="AB338" s="43">
        <f t="shared" si="58"/>
        <v>0</v>
      </c>
      <c r="AD338" s="43">
        <f t="shared" si="22"/>
        <v>1009929.0816974742</v>
      </c>
      <c r="AE338" s="43">
        <f t="shared" si="23"/>
        <v>-4.6566128730773926E-10</v>
      </c>
      <c r="AF338" s="43">
        <f t="shared" si="24"/>
        <v>0</v>
      </c>
      <c r="AG338" s="43">
        <f t="shared" si="25"/>
        <v>0</v>
      </c>
      <c r="AH338" s="43">
        <f t="shared" si="26"/>
        <v>0</v>
      </c>
      <c r="AJ338" s="43">
        <f t="shared" si="13"/>
        <v>5610902.518150731</v>
      </c>
      <c r="AK338" s="43">
        <f t="shared" si="14"/>
        <v>1009929.0816974747</v>
      </c>
      <c r="AL338" s="43">
        <f t="shared" si="15"/>
        <v>0</v>
      </c>
      <c r="AM338" s="43">
        <f t="shared" si="16"/>
        <v>0</v>
      </c>
      <c r="AN338" s="43">
        <f t="shared" si="17"/>
        <v>0</v>
      </c>
    </row>
    <row r="339" spans="2:40">
      <c r="B339" s="37" t="str">
        <f t="shared" si="5"/>
        <v>Asset 33</v>
      </c>
      <c r="F339" s="37" t="str">
        <f t="shared" ref="F339:L339" si="60">F91</f>
        <v>37 ICT middelen 1</v>
      </c>
      <c r="G339" s="37">
        <f t="shared" si="60"/>
        <v>2005</v>
      </c>
      <c r="H339" s="52">
        <f t="shared" si="60"/>
        <v>3284081.86</v>
      </c>
      <c r="I339" s="37">
        <f t="shared" si="60"/>
        <v>2021</v>
      </c>
      <c r="J339" s="52">
        <f t="shared" si="60"/>
        <v>5</v>
      </c>
      <c r="K339" s="177">
        <f t="shared" si="60"/>
        <v>1</v>
      </c>
      <c r="L339" s="52">
        <f t="shared" si="60"/>
        <v>0</v>
      </c>
      <c r="N339" s="43">
        <f t="shared" si="21"/>
        <v>0</v>
      </c>
      <c r="P339" s="38">
        <f t="shared" si="7"/>
        <v>0</v>
      </c>
      <c r="R339" s="43">
        <f t="shared" si="57"/>
        <v>0</v>
      </c>
      <c r="S339" s="43">
        <f t="shared" si="57"/>
        <v>0</v>
      </c>
      <c r="T339" s="43">
        <f t="shared" si="57"/>
        <v>0</v>
      </c>
      <c r="U339" s="43">
        <f t="shared" si="57"/>
        <v>0</v>
      </c>
      <c r="V339" s="43">
        <f t="shared" si="57"/>
        <v>0</v>
      </c>
      <c r="X339" s="43">
        <f t="shared" si="58"/>
        <v>0</v>
      </c>
      <c r="Y339" s="43">
        <f t="shared" si="58"/>
        <v>0</v>
      </c>
      <c r="Z339" s="43">
        <f t="shared" si="58"/>
        <v>0</v>
      </c>
      <c r="AA339" s="43">
        <f t="shared" si="58"/>
        <v>0</v>
      </c>
      <c r="AB339" s="43">
        <f t="shared" si="58"/>
        <v>0</v>
      </c>
      <c r="AD339" s="43">
        <f t="shared" si="22"/>
        <v>0</v>
      </c>
      <c r="AE339" s="43">
        <f t="shared" si="23"/>
        <v>0</v>
      </c>
      <c r="AF339" s="43">
        <f t="shared" si="24"/>
        <v>0</v>
      </c>
      <c r="AG339" s="43">
        <f t="shared" si="25"/>
        <v>0</v>
      </c>
      <c r="AH339" s="43">
        <f t="shared" si="26"/>
        <v>0</v>
      </c>
      <c r="AJ339" s="43">
        <f t="shared" si="13"/>
        <v>0</v>
      </c>
      <c r="AK339" s="43">
        <f t="shared" si="14"/>
        <v>0</v>
      </c>
      <c r="AL339" s="43">
        <f t="shared" si="15"/>
        <v>0</v>
      </c>
      <c r="AM339" s="43">
        <f t="shared" si="16"/>
        <v>0</v>
      </c>
      <c r="AN339" s="43">
        <f t="shared" si="17"/>
        <v>0</v>
      </c>
    </row>
    <row r="340" spans="2:40">
      <c r="B340" s="37" t="str">
        <f t="shared" si="5"/>
        <v>Asset 34</v>
      </c>
      <c r="F340" s="37" t="str">
        <f t="shared" ref="F340:L340" si="61">F92</f>
        <v>14 Overig rollend materieel</v>
      </c>
      <c r="G340" s="37">
        <f t="shared" si="61"/>
        <v>2005</v>
      </c>
      <c r="H340" s="52">
        <f t="shared" si="61"/>
        <v>1438517.3199999998</v>
      </c>
      <c r="I340" s="37">
        <f t="shared" si="61"/>
        <v>2021</v>
      </c>
      <c r="J340" s="52">
        <f t="shared" si="61"/>
        <v>10</v>
      </c>
      <c r="K340" s="177">
        <f t="shared" si="61"/>
        <v>1</v>
      </c>
      <c r="L340" s="52">
        <f t="shared" si="61"/>
        <v>0</v>
      </c>
      <c r="N340" s="43">
        <f t="shared" si="21"/>
        <v>0</v>
      </c>
      <c r="P340" s="38">
        <f t="shared" si="7"/>
        <v>0</v>
      </c>
      <c r="R340" s="43">
        <f t="shared" si="57"/>
        <v>0</v>
      </c>
      <c r="S340" s="43">
        <f t="shared" si="57"/>
        <v>0</v>
      </c>
      <c r="T340" s="43">
        <f t="shared" si="57"/>
        <v>0</v>
      </c>
      <c r="U340" s="43">
        <f t="shared" si="57"/>
        <v>0</v>
      </c>
      <c r="V340" s="43">
        <f t="shared" si="57"/>
        <v>0</v>
      </c>
      <c r="X340" s="43">
        <f t="shared" si="58"/>
        <v>0</v>
      </c>
      <c r="Y340" s="43">
        <f t="shared" si="58"/>
        <v>0</v>
      </c>
      <c r="Z340" s="43">
        <f t="shared" si="58"/>
        <v>0</v>
      </c>
      <c r="AA340" s="43">
        <f t="shared" si="58"/>
        <v>0</v>
      </c>
      <c r="AB340" s="43">
        <f t="shared" si="58"/>
        <v>0</v>
      </c>
      <c r="AD340" s="43">
        <f t="shared" si="22"/>
        <v>0</v>
      </c>
      <c r="AE340" s="43">
        <f t="shared" si="23"/>
        <v>0</v>
      </c>
      <c r="AF340" s="43">
        <f t="shared" si="24"/>
        <v>0</v>
      </c>
      <c r="AG340" s="43">
        <f t="shared" si="25"/>
        <v>0</v>
      </c>
      <c r="AH340" s="43">
        <f t="shared" si="26"/>
        <v>0</v>
      </c>
      <c r="AJ340" s="43">
        <f t="shared" si="13"/>
        <v>0</v>
      </c>
      <c r="AK340" s="43">
        <f t="shared" si="14"/>
        <v>0</v>
      </c>
      <c r="AL340" s="43">
        <f t="shared" si="15"/>
        <v>0</v>
      </c>
      <c r="AM340" s="43">
        <f t="shared" si="16"/>
        <v>0</v>
      </c>
      <c r="AN340" s="43">
        <f t="shared" si="17"/>
        <v>0</v>
      </c>
    </row>
    <row r="341" spans="2:40">
      <c r="B341" s="37" t="str">
        <f t="shared" si="5"/>
        <v>Asset 35</v>
      </c>
      <c r="F341" s="37" t="str">
        <f t="shared" ref="F341:L341" si="62">F93</f>
        <v>11 Werktuigen</v>
      </c>
      <c r="G341" s="37">
        <f t="shared" si="62"/>
        <v>2005</v>
      </c>
      <c r="H341" s="52">
        <f t="shared" si="62"/>
        <v>499809.02999999997</v>
      </c>
      <c r="I341" s="37">
        <f t="shared" si="62"/>
        <v>2021</v>
      </c>
      <c r="J341" s="52">
        <f t="shared" si="62"/>
        <v>10</v>
      </c>
      <c r="K341" s="177">
        <f t="shared" si="62"/>
        <v>1</v>
      </c>
      <c r="L341" s="52">
        <f t="shared" si="62"/>
        <v>0</v>
      </c>
      <c r="N341" s="43">
        <f t="shared" si="21"/>
        <v>0</v>
      </c>
      <c r="P341" s="38">
        <f t="shared" si="7"/>
        <v>0</v>
      </c>
      <c r="R341" s="43">
        <f t="shared" si="57"/>
        <v>0</v>
      </c>
      <c r="S341" s="43">
        <f t="shared" si="57"/>
        <v>0</v>
      </c>
      <c r="T341" s="43">
        <f t="shared" si="57"/>
        <v>0</v>
      </c>
      <c r="U341" s="43">
        <f t="shared" si="57"/>
        <v>0</v>
      </c>
      <c r="V341" s="43">
        <f t="shared" si="57"/>
        <v>0</v>
      </c>
      <c r="X341" s="43">
        <f t="shared" si="58"/>
        <v>0</v>
      </c>
      <c r="Y341" s="43">
        <f t="shared" si="58"/>
        <v>0</v>
      </c>
      <c r="Z341" s="43">
        <f t="shared" si="58"/>
        <v>0</v>
      </c>
      <c r="AA341" s="43">
        <f t="shared" si="58"/>
        <v>0</v>
      </c>
      <c r="AB341" s="43">
        <f t="shared" si="58"/>
        <v>0</v>
      </c>
      <c r="AD341" s="43">
        <f t="shared" si="22"/>
        <v>0</v>
      </c>
      <c r="AE341" s="43">
        <f t="shared" si="23"/>
        <v>0</v>
      </c>
      <c r="AF341" s="43">
        <f t="shared" si="24"/>
        <v>0</v>
      </c>
      <c r="AG341" s="43">
        <f t="shared" si="25"/>
        <v>0</v>
      </c>
      <c r="AH341" s="43">
        <f t="shared" si="26"/>
        <v>0</v>
      </c>
      <c r="AJ341" s="43">
        <f t="shared" si="13"/>
        <v>0</v>
      </c>
      <c r="AK341" s="43">
        <f t="shared" si="14"/>
        <v>0</v>
      </c>
      <c r="AL341" s="43">
        <f t="shared" si="15"/>
        <v>0</v>
      </c>
      <c r="AM341" s="43">
        <f t="shared" si="16"/>
        <v>0</v>
      </c>
      <c r="AN341" s="43">
        <f t="shared" si="17"/>
        <v>0</v>
      </c>
    </row>
    <row r="342" spans="2:40">
      <c r="B342" s="37" t="str">
        <f t="shared" si="5"/>
        <v>Asset 36</v>
      </c>
      <c r="F342" s="37" t="str">
        <f t="shared" ref="F342:L342" si="63">F94</f>
        <v>14 Overig rollend materieel (odorisatie)</v>
      </c>
      <c r="G342" s="37">
        <f t="shared" si="63"/>
        <v>2005</v>
      </c>
      <c r="H342" s="52">
        <f t="shared" si="63"/>
        <v>245809.3</v>
      </c>
      <c r="I342" s="37">
        <f t="shared" si="63"/>
        <v>2021</v>
      </c>
      <c r="J342" s="52">
        <f t="shared" si="63"/>
        <v>10</v>
      </c>
      <c r="K342" s="177">
        <f t="shared" si="63"/>
        <v>0</v>
      </c>
      <c r="L342" s="52">
        <f t="shared" si="63"/>
        <v>0</v>
      </c>
      <c r="N342" s="43">
        <f t="shared" si="21"/>
        <v>0</v>
      </c>
      <c r="P342" s="38">
        <f t="shared" si="7"/>
        <v>0</v>
      </c>
      <c r="R342" s="43">
        <f t="shared" si="57"/>
        <v>0</v>
      </c>
      <c r="S342" s="43">
        <f t="shared" si="57"/>
        <v>0</v>
      </c>
      <c r="T342" s="43">
        <f t="shared" si="57"/>
        <v>0</v>
      </c>
      <c r="U342" s="43">
        <f t="shared" si="57"/>
        <v>0</v>
      </c>
      <c r="V342" s="43">
        <f t="shared" si="57"/>
        <v>0</v>
      </c>
      <c r="X342" s="43">
        <f t="shared" si="58"/>
        <v>0</v>
      </c>
      <c r="Y342" s="43">
        <f t="shared" si="58"/>
        <v>0</v>
      </c>
      <c r="Z342" s="43">
        <f t="shared" si="58"/>
        <v>0</v>
      </c>
      <c r="AA342" s="43">
        <f t="shared" si="58"/>
        <v>0</v>
      </c>
      <c r="AB342" s="43">
        <f t="shared" si="58"/>
        <v>0</v>
      </c>
      <c r="AD342" s="43">
        <f t="shared" si="22"/>
        <v>0</v>
      </c>
      <c r="AE342" s="43">
        <f t="shared" si="23"/>
        <v>0</v>
      </c>
      <c r="AF342" s="43">
        <f t="shared" si="24"/>
        <v>0</v>
      </c>
      <c r="AG342" s="43">
        <f t="shared" si="25"/>
        <v>0</v>
      </c>
      <c r="AH342" s="43">
        <f t="shared" si="26"/>
        <v>0</v>
      </c>
      <c r="AJ342" s="43">
        <f t="shared" si="13"/>
        <v>0</v>
      </c>
      <c r="AK342" s="43">
        <f t="shared" si="14"/>
        <v>0</v>
      </c>
      <c r="AL342" s="43">
        <f t="shared" si="15"/>
        <v>0</v>
      </c>
      <c r="AM342" s="43">
        <f t="shared" si="16"/>
        <v>0</v>
      </c>
      <c r="AN342" s="43">
        <f t="shared" si="17"/>
        <v>0</v>
      </c>
    </row>
    <row r="343" spans="2:40">
      <c r="B343" s="37" t="str">
        <f t="shared" si="5"/>
        <v>Asset 37</v>
      </c>
      <c r="F343" s="37" t="str">
        <f t="shared" ref="F343:L343" si="64">F95</f>
        <v>10 Gereedschap</v>
      </c>
      <c r="G343" s="37">
        <f t="shared" si="64"/>
        <v>2005</v>
      </c>
      <c r="H343" s="52">
        <f t="shared" si="64"/>
        <v>58217.59</v>
      </c>
      <c r="I343" s="37">
        <f t="shared" si="64"/>
        <v>2021</v>
      </c>
      <c r="J343" s="52">
        <f t="shared" si="64"/>
        <v>10</v>
      </c>
      <c r="K343" s="177">
        <f t="shared" si="64"/>
        <v>1</v>
      </c>
      <c r="L343" s="52">
        <f t="shared" si="64"/>
        <v>0</v>
      </c>
      <c r="N343" s="43">
        <f t="shared" si="21"/>
        <v>0</v>
      </c>
      <c r="P343" s="38">
        <f t="shared" si="7"/>
        <v>0</v>
      </c>
      <c r="R343" s="43">
        <f t="shared" si="57"/>
        <v>0</v>
      </c>
      <c r="S343" s="43">
        <f t="shared" si="57"/>
        <v>0</v>
      </c>
      <c r="T343" s="43">
        <f t="shared" si="57"/>
        <v>0</v>
      </c>
      <c r="U343" s="43">
        <f t="shared" si="57"/>
        <v>0</v>
      </c>
      <c r="V343" s="43">
        <f t="shared" si="57"/>
        <v>0</v>
      </c>
      <c r="X343" s="43">
        <f t="shared" si="58"/>
        <v>0</v>
      </c>
      <c r="Y343" s="43">
        <f t="shared" si="58"/>
        <v>0</v>
      </c>
      <c r="Z343" s="43">
        <f t="shared" si="58"/>
        <v>0</v>
      </c>
      <c r="AA343" s="43">
        <f t="shared" si="58"/>
        <v>0</v>
      </c>
      <c r="AB343" s="43">
        <f t="shared" si="58"/>
        <v>0</v>
      </c>
      <c r="AD343" s="43">
        <f t="shared" si="22"/>
        <v>0</v>
      </c>
      <c r="AE343" s="43">
        <f t="shared" si="23"/>
        <v>0</v>
      </c>
      <c r="AF343" s="43">
        <f t="shared" si="24"/>
        <v>0</v>
      </c>
      <c r="AG343" s="43">
        <f t="shared" si="25"/>
        <v>0</v>
      </c>
      <c r="AH343" s="43">
        <f t="shared" si="26"/>
        <v>0</v>
      </c>
      <c r="AJ343" s="43">
        <f t="shared" si="13"/>
        <v>0</v>
      </c>
      <c r="AK343" s="43">
        <f t="shared" si="14"/>
        <v>0</v>
      </c>
      <c r="AL343" s="43">
        <f t="shared" si="15"/>
        <v>0</v>
      </c>
      <c r="AM343" s="43">
        <f t="shared" si="16"/>
        <v>0</v>
      </c>
      <c r="AN343" s="43">
        <f t="shared" si="17"/>
        <v>0</v>
      </c>
    </row>
    <row r="344" spans="2:40">
      <c r="B344" s="37" t="str">
        <f t="shared" si="5"/>
        <v>Asset 38</v>
      </c>
      <c r="F344" s="37" t="str">
        <f t="shared" ref="F344:L344" si="65">F96</f>
        <v>37 ICT middelen 1</v>
      </c>
      <c r="G344" s="37">
        <f t="shared" si="65"/>
        <v>2006</v>
      </c>
      <c r="H344" s="52">
        <f t="shared" si="65"/>
        <v>4639319.7116944697</v>
      </c>
      <c r="I344" s="37">
        <f t="shared" si="65"/>
        <v>2021</v>
      </c>
      <c r="J344" s="52">
        <f t="shared" si="65"/>
        <v>5</v>
      </c>
      <c r="K344" s="177">
        <f t="shared" si="65"/>
        <v>1</v>
      </c>
      <c r="L344" s="52">
        <f t="shared" si="65"/>
        <v>0</v>
      </c>
      <c r="N344" s="43">
        <f t="shared" si="21"/>
        <v>0</v>
      </c>
      <c r="P344" s="38">
        <f t="shared" si="7"/>
        <v>0</v>
      </c>
      <c r="R344" s="43">
        <f t="shared" si="57"/>
        <v>0</v>
      </c>
      <c r="S344" s="43">
        <f t="shared" si="57"/>
        <v>0</v>
      </c>
      <c r="T344" s="43">
        <f t="shared" si="57"/>
        <v>0</v>
      </c>
      <c r="U344" s="43">
        <f t="shared" si="57"/>
        <v>0</v>
      </c>
      <c r="V344" s="43">
        <f t="shared" si="57"/>
        <v>0</v>
      </c>
      <c r="X344" s="43">
        <f t="shared" si="58"/>
        <v>0</v>
      </c>
      <c r="Y344" s="43">
        <f t="shared" si="58"/>
        <v>0</v>
      </c>
      <c r="Z344" s="43">
        <f t="shared" si="58"/>
        <v>0</v>
      </c>
      <c r="AA344" s="43">
        <f t="shared" si="58"/>
        <v>0</v>
      </c>
      <c r="AB344" s="43">
        <f t="shared" si="58"/>
        <v>0</v>
      </c>
      <c r="AD344" s="43">
        <f t="shared" si="22"/>
        <v>0</v>
      </c>
      <c r="AE344" s="43">
        <f t="shared" si="23"/>
        <v>0</v>
      </c>
      <c r="AF344" s="43">
        <f t="shared" si="24"/>
        <v>0</v>
      </c>
      <c r="AG344" s="43">
        <f t="shared" si="25"/>
        <v>0</v>
      </c>
      <c r="AH344" s="43">
        <f t="shared" si="26"/>
        <v>0</v>
      </c>
      <c r="AJ344" s="43">
        <f t="shared" si="13"/>
        <v>0</v>
      </c>
      <c r="AK344" s="43">
        <f t="shared" si="14"/>
        <v>0</v>
      </c>
      <c r="AL344" s="43">
        <f t="shared" si="15"/>
        <v>0</v>
      </c>
      <c r="AM344" s="43">
        <f t="shared" si="16"/>
        <v>0</v>
      </c>
      <c r="AN344" s="43">
        <f t="shared" si="17"/>
        <v>0</v>
      </c>
    </row>
    <row r="345" spans="2:40">
      <c r="B345" s="37" t="str">
        <f t="shared" si="5"/>
        <v>Asset 39</v>
      </c>
      <c r="F345" s="37" t="str">
        <f t="shared" ref="F345:L345" si="66">F97</f>
        <v>08 Inrichting gebouwen</v>
      </c>
      <c r="G345" s="37">
        <f t="shared" si="66"/>
        <v>2006</v>
      </c>
      <c r="H345" s="52">
        <f t="shared" si="66"/>
        <v>68586.959999999992</v>
      </c>
      <c r="I345" s="37">
        <f t="shared" si="66"/>
        <v>2021</v>
      </c>
      <c r="J345" s="52">
        <f t="shared" si="66"/>
        <v>10</v>
      </c>
      <c r="K345" s="177">
        <f t="shared" si="66"/>
        <v>0</v>
      </c>
      <c r="L345" s="52">
        <f t="shared" si="66"/>
        <v>0</v>
      </c>
      <c r="N345" s="43">
        <f t="shared" si="21"/>
        <v>0</v>
      </c>
      <c r="P345" s="38">
        <f t="shared" si="7"/>
        <v>0</v>
      </c>
      <c r="R345" s="43">
        <f t="shared" si="57"/>
        <v>0</v>
      </c>
      <c r="S345" s="43">
        <f t="shared" si="57"/>
        <v>0</v>
      </c>
      <c r="T345" s="43">
        <f t="shared" si="57"/>
        <v>0</v>
      </c>
      <c r="U345" s="43">
        <f t="shared" si="57"/>
        <v>0</v>
      </c>
      <c r="V345" s="43">
        <f t="shared" si="57"/>
        <v>0</v>
      </c>
      <c r="X345" s="43">
        <f t="shared" si="58"/>
        <v>0</v>
      </c>
      <c r="Y345" s="43">
        <f t="shared" si="58"/>
        <v>0</v>
      </c>
      <c r="Z345" s="43">
        <f t="shared" si="58"/>
        <v>0</v>
      </c>
      <c r="AA345" s="43">
        <f t="shared" si="58"/>
        <v>0</v>
      </c>
      <c r="AB345" s="43">
        <f t="shared" si="58"/>
        <v>0</v>
      </c>
      <c r="AD345" s="43">
        <f t="shared" si="22"/>
        <v>0</v>
      </c>
      <c r="AE345" s="43">
        <f t="shared" si="23"/>
        <v>0</v>
      </c>
      <c r="AF345" s="43">
        <f t="shared" si="24"/>
        <v>0</v>
      </c>
      <c r="AG345" s="43">
        <f t="shared" si="25"/>
        <v>0</v>
      </c>
      <c r="AH345" s="43">
        <f t="shared" si="26"/>
        <v>0</v>
      </c>
      <c r="AJ345" s="43">
        <f t="shared" si="13"/>
        <v>0</v>
      </c>
      <c r="AK345" s="43">
        <f t="shared" si="14"/>
        <v>0</v>
      </c>
      <c r="AL345" s="43">
        <f t="shared" si="15"/>
        <v>0</v>
      </c>
      <c r="AM345" s="43">
        <f t="shared" si="16"/>
        <v>0</v>
      </c>
      <c r="AN345" s="43">
        <f t="shared" si="17"/>
        <v>0</v>
      </c>
    </row>
    <row r="346" spans="2:40">
      <c r="B346" s="37" t="str">
        <f t="shared" si="5"/>
        <v>Asset 40</v>
      </c>
      <c r="F346" s="37" t="str">
        <f t="shared" ref="F346:L346" si="67">F98</f>
        <v>20 Kantoorgebouwen</v>
      </c>
      <c r="G346" s="37">
        <f t="shared" si="67"/>
        <v>2006</v>
      </c>
      <c r="H346" s="52">
        <f t="shared" si="67"/>
        <v>104600</v>
      </c>
      <c r="I346" s="37">
        <f t="shared" si="67"/>
        <v>2021</v>
      </c>
      <c r="J346" s="52">
        <f t="shared" si="67"/>
        <v>30</v>
      </c>
      <c r="K346" s="177">
        <f t="shared" si="67"/>
        <v>0</v>
      </c>
      <c r="L346" s="52">
        <f t="shared" si="67"/>
        <v>64112.024048213396</v>
      </c>
      <c r="N346" s="43">
        <f t="shared" si="21"/>
        <v>64112.024048213396</v>
      </c>
      <c r="P346" s="38">
        <f t="shared" si="7"/>
        <v>14.5</v>
      </c>
      <c r="R346" s="43">
        <f t="shared" si="57"/>
        <v>5173.1771128558403</v>
      </c>
      <c r="S346" s="43">
        <f t="shared" si="57"/>
        <v>4709.3750268756612</v>
      </c>
      <c r="T346" s="43">
        <f t="shared" si="57"/>
        <v>4287.1551968799122</v>
      </c>
      <c r="U346" s="43">
        <f t="shared" si="57"/>
        <v>3902.7895585389547</v>
      </c>
      <c r="V346" s="43">
        <f t="shared" si="57"/>
        <v>3774.1261664992089</v>
      </c>
      <c r="X346" s="43">
        <f t="shared" si="58"/>
        <v>442.1518899876786</v>
      </c>
      <c r="Y346" s="43">
        <f t="shared" si="58"/>
        <v>442.15188998767866</v>
      </c>
      <c r="Z346" s="43">
        <f t="shared" si="58"/>
        <v>442.15188998767866</v>
      </c>
      <c r="AA346" s="43">
        <f t="shared" si="58"/>
        <v>442.15188998767866</v>
      </c>
      <c r="AB346" s="43">
        <f t="shared" si="58"/>
        <v>442.15188998767866</v>
      </c>
      <c r="AD346" s="43">
        <f t="shared" si="22"/>
        <v>58496.695045369881</v>
      </c>
      <c r="AE346" s="43">
        <f t="shared" si="23"/>
        <v>53345.168128506542</v>
      </c>
      <c r="AF346" s="43">
        <f t="shared" si="24"/>
        <v>48615.861041638957</v>
      </c>
      <c r="AG346" s="43">
        <f t="shared" si="25"/>
        <v>44270.919593112325</v>
      </c>
      <c r="AH346" s="43">
        <f t="shared" si="26"/>
        <v>40054.641536625444</v>
      </c>
      <c r="AJ346" s="43">
        <f t="shared" si="13"/>
        <v>7604.2166343860945</v>
      </c>
      <c r="AK346" s="43">
        <f t="shared" si="14"/>
        <v>6911.9174651040557</v>
      </c>
      <c r="AL346" s="43">
        <f t="shared" si="15"/>
        <v>6576.7098064498705</v>
      </c>
      <c r="AM346" s="43">
        <f t="shared" si="16"/>
        <v>6027.2363930649017</v>
      </c>
      <c r="AN346" s="43">
        <f t="shared" si="17"/>
        <v>5738.3544348786545</v>
      </c>
    </row>
    <row r="347" spans="2:40">
      <c r="B347" s="37" t="str">
        <f t="shared" si="5"/>
        <v>Asset 41</v>
      </c>
      <c r="F347" s="37" t="str">
        <f t="shared" ref="F347:L347" si="68">F99</f>
        <v>09 Bedrijfsinventaris</v>
      </c>
      <c r="G347" s="37">
        <f t="shared" si="68"/>
        <v>2006</v>
      </c>
      <c r="H347" s="52">
        <f t="shared" si="68"/>
        <v>243251.93</v>
      </c>
      <c r="I347" s="37">
        <f t="shared" si="68"/>
        <v>2021</v>
      </c>
      <c r="J347" s="52">
        <f t="shared" si="68"/>
        <v>10</v>
      </c>
      <c r="K347" s="177">
        <f t="shared" si="68"/>
        <v>1</v>
      </c>
      <c r="L347" s="52">
        <f t="shared" si="68"/>
        <v>0</v>
      </c>
      <c r="N347" s="43">
        <f t="shared" si="21"/>
        <v>0</v>
      </c>
      <c r="P347" s="38">
        <f t="shared" si="7"/>
        <v>0</v>
      </c>
      <c r="R347" s="43">
        <f t="shared" ref="R347:V356" si="69">IF(R$305&lt;=$G347+$J347,VDB($L347*(1-$F$25),0,$P347,R$305-2022,MIN(R$305-2021,$P347),$F$22),0)</f>
        <v>0</v>
      </c>
      <c r="S347" s="43">
        <f t="shared" si="69"/>
        <v>0</v>
      </c>
      <c r="T347" s="43">
        <f t="shared" si="69"/>
        <v>0</v>
      </c>
      <c r="U347" s="43">
        <f t="shared" si="69"/>
        <v>0</v>
      </c>
      <c r="V347" s="43">
        <f t="shared" si="69"/>
        <v>0</v>
      </c>
      <c r="X347" s="43">
        <f t="shared" ref="X347:AB356" si="70">IF(X$305&lt;=$G347+$J347,VDB($L347*$F$25,0,$P347,X$305-2022,MIN(X$305-2021,$P347),1),0)</f>
        <v>0</v>
      </c>
      <c r="Y347" s="43">
        <f t="shared" si="70"/>
        <v>0</v>
      </c>
      <c r="Z347" s="43">
        <f t="shared" si="70"/>
        <v>0</v>
      </c>
      <c r="AA347" s="43">
        <f t="shared" si="70"/>
        <v>0</v>
      </c>
      <c r="AB347" s="43">
        <f t="shared" si="70"/>
        <v>0</v>
      </c>
      <c r="AD347" s="43">
        <f t="shared" si="22"/>
        <v>0</v>
      </c>
      <c r="AE347" s="43">
        <f t="shared" si="23"/>
        <v>0</v>
      </c>
      <c r="AF347" s="43">
        <f t="shared" si="24"/>
        <v>0</v>
      </c>
      <c r="AG347" s="43">
        <f t="shared" si="25"/>
        <v>0</v>
      </c>
      <c r="AH347" s="43">
        <f t="shared" si="26"/>
        <v>0</v>
      </c>
      <c r="AJ347" s="43">
        <f t="shared" si="13"/>
        <v>0</v>
      </c>
      <c r="AK347" s="43">
        <f t="shared" si="14"/>
        <v>0</v>
      </c>
      <c r="AL347" s="43">
        <f t="shared" si="15"/>
        <v>0</v>
      </c>
      <c r="AM347" s="43">
        <f t="shared" si="16"/>
        <v>0</v>
      </c>
      <c r="AN347" s="43">
        <f t="shared" si="17"/>
        <v>0</v>
      </c>
    </row>
    <row r="348" spans="2:40">
      <c r="B348" s="37" t="str">
        <f t="shared" si="5"/>
        <v>Asset 42</v>
      </c>
      <c r="F348" s="37" t="str">
        <f t="shared" ref="F348:L348" si="71">F100</f>
        <v>10 Gereedschap</v>
      </c>
      <c r="G348" s="37">
        <f t="shared" si="71"/>
        <v>2006</v>
      </c>
      <c r="H348" s="52">
        <f t="shared" si="71"/>
        <v>585474.13</v>
      </c>
      <c r="I348" s="37">
        <f t="shared" si="71"/>
        <v>2021</v>
      </c>
      <c r="J348" s="52">
        <f t="shared" si="71"/>
        <v>10</v>
      </c>
      <c r="K348" s="177">
        <f t="shared" si="71"/>
        <v>1</v>
      </c>
      <c r="L348" s="52">
        <f t="shared" si="71"/>
        <v>0</v>
      </c>
      <c r="N348" s="43">
        <f t="shared" si="21"/>
        <v>0</v>
      </c>
      <c r="P348" s="38">
        <f t="shared" si="7"/>
        <v>0</v>
      </c>
      <c r="R348" s="43">
        <f t="shared" si="69"/>
        <v>0</v>
      </c>
      <c r="S348" s="43">
        <f t="shared" si="69"/>
        <v>0</v>
      </c>
      <c r="T348" s="43">
        <f t="shared" si="69"/>
        <v>0</v>
      </c>
      <c r="U348" s="43">
        <f t="shared" si="69"/>
        <v>0</v>
      </c>
      <c r="V348" s="43">
        <f t="shared" si="69"/>
        <v>0</v>
      </c>
      <c r="X348" s="43">
        <f t="shared" si="70"/>
        <v>0</v>
      </c>
      <c r="Y348" s="43">
        <f t="shared" si="70"/>
        <v>0</v>
      </c>
      <c r="Z348" s="43">
        <f t="shared" si="70"/>
        <v>0</v>
      </c>
      <c r="AA348" s="43">
        <f t="shared" si="70"/>
        <v>0</v>
      </c>
      <c r="AB348" s="43">
        <f t="shared" si="70"/>
        <v>0</v>
      </c>
      <c r="AD348" s="43">
        <f t="shared" si="22"/>
        <v>0</v>
      </c>
      <c r="AE348" s="43">
        <f t="shared" si="23"/>
        <v>0</v>
      </c>
      <c r="AF348" s="43">
        <f t="shared" si="24"/>
        <v>0</v>
      </c>
      <c r="AG348" s="43">
        <f t="shared" si="25"/>
        <v>0</v>
      </c>
      <c r="AH348" s="43">
        <f t="shared" si="26"/>
        <v>0</v>
      </c>
      <c r="AJ348" s="43">
        <f t="shared" si="13"/>
        <v>0</v>
      </c>
      <c r="AK348" s="43">
        <f t="shared" si="14"/>
        <v>0</v>
      </c>
      <c r="AL348" s="43">
        <f t="shared" si="15"/>
        <v>0</v>
      </c>
      <c r="AM348" s="43">
        <f t="shared" si="16"/>
        <v>0</v>
      </c>
      <c r="AN348" s="43">
        <f t="shared" si="17"/>
        <v>0</v>
      </c>
    </row>
    <row r="349" spans="2:40">
      <c r="B349" s="37" t="str">
        <f t="shared" si="5"/>
        <v>Asset 43</v>
      </c>
      <c r="F349" s="37" t="str">
        <f t="shared" ref="F349:L349" si="72">F101</f>
        <v>08 Inrichting gebouwen</v>
      </c>
      <c r="G349" s="37">
        <f t="shared" si="72"/>
        <v>2007</v>
      </c>
      <c r="H349" s="52">
        <f t="shared" si="72"/>
        <v>332079.90999999997</v>
      </c>
      <c r="I349" s="37">
        <f t="shared" si="72"/>
        <v>2021</v>
      </c>
      <c r="J349" s="52">
        <f t="shared" si="72"/>
        <v>10</v>
      </c>
      <c r="K349" s="177">
        <f t="shared" si="72"/>
        <v>0</v>
      </c>
      <c r="L349" s="52">
        <f t="shared" si="72"/>
        <v>0</v>
      </c>
      <c r="N349" s="43">
        <f t="shared" si="21"/>
        <v>0</v>
      </c>
      <c r="P349" s="38">
        <f t="shared" si="7"/>
        <v>0</v>
      </c>
      <c r="R349" s="43">
        <f t="shared" si="69"/>
        <v>0</v>
      </c>
      <c r="S349" s="43">
        <f t="shared" si="69"/>
        <v>0</v>
      </c>
      <c r="T349" s="43">
        <f t="shared" si="69"/>
        <v>0</v>
      </c>
      <c r="U349" s="43">
        <f t="shared" si="69"/>
        <v>0</v>
      </c>
      <c r="V349" s="43">
        <f t="shared" si="69"/>
        <v>0</v>
      </c>
      <c r="X349" s="43">
        <f t="shared" si="70"/>
        <v>0</v>
      </c>
      <c r="Y349" s="43">
        <f t="shared" si="70"/>
        <v>0</v>
      </c>
      <c r="Z349" s="43">
        <f t="shared" si="70"/>
        <v>0</v>
      </c>
      <c r="AA349" s="43">
        <f t="shared" si="70"/>
        <v>0</v>
      </c>
      <c r="AB349" s="43">
        <f t="shared" si="70"/>
        <v>0</v>
      </c>
      <c r="AD349" s="43">
        <f t="shared" si="22"/>
        <v>0</v>
      </c>
      <c r="AE349" s="43">
        <f t="shared" si="23"/>
        <v>0</v>
      </c>
      <c r="AF349" s="43">
        <f t="shared" si="24"/>
        <v>0</v>
      </c>
      <c r="AG349" s="43">
        <f t="shared" si="25"/>
        <v>0</v>
      </c>
      <c r="AH349" s="43">
        <f t="shared" si="26"/>
        <v>0</v>
      </c>
      <c r="AJ349" s="43">
        <f t="shared" si="13"/>
        <v>0</v>
      </c>
      <c r="AK349" s="43">
        <f t="shared" si="14"/>
        <v>0</v>
      </c>
      <c r="AL349" s="43">
        <f t="shared" si="15"/>
        <v>0</v>
      </c>
      <c r="AM349" s="43">
        <f t="shared" si="16"/>
        <v>0</v>
      </c>
      <c r="AN349" s="43">
        <f t="shared" si="17"/>
        <v>0</v>
      </c>
    </row>
    <row r="350" spans="2:40">
      <c r="B350" s="37" t="str">
        <f t="shared" si="5"/>
        <v>Asset 44</v>
      </c>
      <c r="F350" s="37" t="str">
        <f t="shared" ref="F350:L350" si="73">F102</f>
        <v>20 Kantoorgebouwen</v>
      </c>
      <c r="G350" s="37">
        <f t="shared" si="73"/>
        <v>2007</v>
      </c>
      <c r="H350" s="52">
        <f t="shared" si="73"/>
        <v>163550.16999999998</v>
      </c>
      <c r="I350" s="37">
        <f t="shared" si="73"/>
        <v>2021</v>
      </c>
      <c r="J350" s="52">
        <f t="shared" si="73"/>
        <v>30</v>
      </c>
      <c r="K350" s="177">
        <f t="shared" si="73"/>
        <v>0</v>
      </c>
      <c r="L350" s="52">
        <f t="shared" si="73"/>
        <v>105677.9899746046</v>
      </c>
      <c r="N350" s="43">
        <f t="shared" si="21"/>
        <v>105677.9899746046</v>
      </c>
      <c r="P350" s="38">
        <f t="shared" si="7"/>
        <v>15.5</v>
      </c>
      <c r="R350" s="43">
        <f t="shared" si="69"/>
        <v>7976.9837593733801</v>
      </c>
      <c r="S350" s="43">
        <f t="shared" si="69"/>
        <v>7307.9464118130318</v>
      </c>
      <c r="T350" s="43">
        <f t="shared" si="69"/>
        <v>6695.0218740480686</v>
      </c>
      <c r="U350" s="43">
        <f t="shared" si="69"/>
        <v>6133.5039104182306</v>
      </c>
      <c r="V350" s="43">
        <f t="shared" si="69"/>
        <v>5825.803045347081</v>
      </c>
      <c r="X350" s="43">
        <f t="shared" si="70"/>
        <v>681.79348370712648</v>
      </c>
      <c r="Y350" s="43">
        <f t="shared" si="70"/>
        <v>681.79348370712648</v>
      </c>
      <c r="Z350" s="43">
        <f t="shared" si="70"/>
        <v>681.79348370712648</v>
      </c>
      <c r="AA350" s="43">
        <f t="shared" si="70"/>
        <v>681.79348370712648</v>
      </c>
      <c r="AB350" s="43">
        <f t="shared" si="70"/>
        <v>681.79348370712648</v>
      </c>
      <c r="AD350" s="43">
        <f t="shared" si="22"/>
        <v>97019.212731524094</v>
      </c>
      <c r="AE350" s="43">
        <f t="shared" si="23"/>
        <v>89029.472836003944</v>
      </c>
      <c r="AF350" s="43">
        <f t="shared" si="24"/>
        <v>81652.657478248759</v>
      </c>
      <c r="AG350" s="43">
        <f t="shared" si="25"/>
        <v>74837.3600841234</v>
      </c>
      <c r="AH350" s="43">
        <f t="shared" si="26"/>
        <v>68329.763555069192</v>
      </c>
      <c r="AJ350" s="43">
        <f t="shared" si="13"/>
        <v>11957.430475952326</v>
      </c>
      <c r="AK350" s="43">
        <f t="shared" si="14"/>
        <v>10927.712499108289</v>
      </c>
      <c r="AL350" s="43">
        <f t="shared" si="15"/>
        <v>10479.616341928648</v>
      </c>
      <c r="AM350" s="43">
        <f t="shared" si="16"/>
        <v>9659.1170773220456</v>
      </c>
      <c r="AN350" s="43">
        <f t="shared" si="17"/>
        <v>9104.127544146837</v>
      </c>
    </row>
    <row r="351" spans="2:40">
      <c r="B351" s="37" t="str">
        <f t="shared" si="5"/>
        <v>Asset 45</v>
      </c>
      <c r="F351" s="37" t="str">
        <f t="shared" ref="F351:L351" si="74">F103</f>
        <v>37 ICT middelen 1</v>
      </c>
      <c r="G351" s="37">
        <f t="shared" si="74"/>
        <v>2007</v>
      </c>
      <c r="H351" s="52">
        <f t="shared" si="74"/>
        <v>21517730.71653875</v>
      </c>
      <c r="I351" s="37">
        <f t="shared" si="74"/>
        <v>2021</v>
      </c>
      <c r="J351" s="52">
        <f t="shared" si="74"/>
        <v>5</v>
      </c>
      <c r="K351" s="177">
        <f t="shared" si="74"/>
        <v>1</v>
      </c>
      <c r="L351" s="52">
        <f t="shared" si="74"/>
        <v>0</v>
      </c>
      <c r="N351" s="43">
        <f t="shared" si="21"/>
        <v>0</v>
      </c>
      <c r="P351" s="38">
        <f t="shared" si="7"/>
        <v>0</v>
      </c>
      <c r="R351" s="43">
        <f t="shared" si="69"/>
        <v>0</v>
      </c>
      <c r="S351" s="43">
        <f t="shared" si="69"/>
        <v>0</v>
      </c>
      <c r="T351" s="43">
        <f t="shared" si="69"/>
        <v>0</v>
      </c>
      <c r="U351" s="43">
        <f t="shared" si="69"/>
        <v>0</v>
      </c>
      <c r="V351" s="43">
        <f t="shared" si="69"/>
        <v>0</v>
      </c>
      <c r="X351" s="43">
        <f t="shared" si="70"/>
        <v>0</v>
      </c>
      <c r="Y351" s="43">
        <f t="shared" si="70"/>
        <v>0</v>
      </c>
      <c r="Z351" s="43">
        <f t="shared" si="70"/>
        <v>0</v>
      </c>
      <c r="AA351" s="43">
        <f t="shared" si="70"/>
        <v>0</v>
      </c>
      <c r="AB351" s="43">
        <f t="shared" si="70"/>
        <v>0</v>
      </c>
      <c r="AD351" s="43">
        <f t="shared" si="22"/>
        <v>0</v>
      </c>
      <c r="AE351" s="43">
        <f t="shared" si="23"/>
        <v>0</v>
      </c>
      <c r="AF351" s="43">
        <f t="shared" si="24"/>
        <v>0</v>
      </c>
      <c r="AG351" s="43">
        <f t="shared" si="25"/>
        <v>0</v>
      </c>
      <c r="AH351" s="43">
        <f t="shared" si="26"/>
        <v>0</v>
      </c>
      <c r="AJ351" s="43">
        <f t="shared" si="13"/>
        <v>0</v>
      </c>
      <c r="AK351" s="43">
        <f t="shared" si="14"/>
        <v>0</v>
      </c>
      <c r="AL351" s="43">
        <f t="shared" si="15"/>
        <v>0</v>
      </c>
      <c r="AM351" s="43">
        <f t="shared" si="16"/>
        <v>0</v>
      </c>
      <c r="AN351" s="43">
        <f t="shared" si="17"/>
        <v>0</v>
      </c>
    </row>
    <row r="352" spans="2:40">
      <c r="B352" s="37" t="str">
        <f t="shared" si="5"/>
        <v>Asset 46</v>
      </c>
      <c r="F352" s="37" t="str">
        <f t="shared" ref="F352:L352" si="75">F104</f>
        <v>10 Gereedschap</v>
      </c>
      <c r="G352" s="37">
        <f t="shared" si="75"/>
        <v>2007</v>
      </c>
      <c r="H352" s="52">
        <f t="shared" si="75"/>
        <v>611283.49</v>
      </c>
      <c r="I352" s="37">
        <f t="shared" si="75"/>
        <v>2021</v>
      </c>
      <c r="J352" s="52">
        <f t="shared" si="75"/>
        <v>10</v>
      </c>
      <c r="K352" s="177">
        <f t="shared" si="75"/>
        <v>1</v>
      </c>
      <c r="L352" s="52">
        <f t="shared" si="75"/>
        <v>0</v>
      </c>
      <c r="N352" s="43">
        <f t="shared" si="21"/>
        <v>0</v>
      </c>
      <c r="P352" s="38">
        <f t="shared" si="7"/>
        <v>0</v>
      </c>
      <c r="R352" s="43">
        <f t="shared" si="69"/>
        <v>0</v>
      </c>
      <c r="S352" s="43">
        <f t="shared" si="69"/>
        <v>0</v>
      </c>
      <c r="T352" s="43">
        <f t="shared" si="69"/>
        <v>0</v>
      </c>
      <c r="U352" s="43">
        <f t="shared" si="69"/>
        <v>0</v>
      </c>
      <c r="V352" s="43">
        <f t="shared" si="69"/>
        <v>0</v>
      </c>
      <c r="X352" s="43">
        <f t="shared" si="70"/>
        <v>0</v>
      </c>
      <c r="Y352" s="43">
        <f t="shared" si="70"/>
        <v>0</v>
      </c>
      <c r="Z352" s="43">
        <f t="shared" si="70"/>
        <v>0</v>
      </c>
      <c r="AA352" s="43">
        <f t="shared" si="70"/>
        <v>0</v>
      </c>
      <c r="AB352" s="43">
        <f t="shared" si="70"/>
        <v>0</v>
      </c>
      <c r="AD352" s="43">
        <f t="shared" si="22"/>
        <v>0</v>
      </c>
      <c r="AE352" s="43">
        <f t="shared" si="23"/>
        <v>0</v>
      </c>
      <c r="AF352" s="43">
        <f t="shared" si="24"/>
        <v>0</v>
      </c>
      <c r="AG352" s="43">
        <f t="shared" si="25"/>
        <v>0</v>
      </c>
      <c r="AH352" s="43">
        <f t="shared" si="26"/>
        <v>0</v>
      </c>
      <c r="AJ352" s="43">
        <f t="shared" si="13"/>
        <v>0</v>
      </c>
      <c r="AK352" s="43">
        <f t="shared" si="14"/>
        <v>0</v>
      </c>
      <c r="AL352" s="43">
        <f t="shared" si="15"/>
        <v>0</v>
      </c>
      <c r="AM352" s="43">
        <f t="shared" si="16"/>
        <v>0</v>
      </c>
      <c r="AN352" s="43">
        <f t="shared" si="17"/>
        <v>0</v>
      </c>
    </row>
    <row r="353" spans="2:40">
      <c r="B353" s="37" t="str">
        <f t="shared" si="5"/>
        <v>Asset 47</v>
      </c>
      <c r="F353" s="37" t="str">
        <f t="shared" ref="F353:L353" si="76">F105</f>
        <v>09 Bedrijfsinventaris</v>
      </c>
      <c r="G353" s="37">
        <f t="shared" si="76"/>
        <v>2007</v>
      </c>
      <c r="H353" s="52">
        <f t="shared" si="76"/>
        <v>87193.72</v>
      </c>
      <c r="I353" s="37">
        <f t="shared" si="76"/>
        <v>2021</v>
      </c>
      <c r="J353" s="52">
        <f t="shared" si="76"/>
        <v>10</v>
      </c>
      <c r="K353" s="177">
        <f t="shared" si="76"/>
        <v>1</v>
      </c>
      <c r="L353" s="52">
        <f t="shared" si="76"/>
        <v>0</v>
      </c>
      <c r="N353" s="43">
        <f t="shared" si="21"/>
        <v>0</v>
      </c>
      <c r="P353" s="38">
        <f t="shared" si="7"/>
        <v>0</v>
      </c>
      <c r="R353" s="43">
        <f t="shared" si="69"/>
        <v>0</v>
      </c>
      <c r="S353" s="43">
        <f t="shared" si="69"/>
        <v>0</v>
      </c>
      <c r="T353" s="43">
        <f t="shared" si="69"/>
        <v>0</v>
      </c>
      <c r="U353" s="43">
        <f t="shared" si="69"/>
        <v>0</v>
      </c>
      <c r="V353" s="43">
        <f t="shared" si="69"/>
        <v>0</v>
      </c>
      <c r="X353" s="43">
        <f t="shared" si="70"/>
        <v>0</v>
      </c>
      <c r="Y353" s="43">
        <f t="shared" si="70"/>
        <v>0</v>
      </c>
      <c r="Z353" s="43">
        <f t="shared" si="70"/>
        <v>0</v>
      </c>
      <c r="AA353" s="43">
        <f t="shared" si="70"/>
        <v>0</v>
      </c>
      <c r="AB353" s="43">
        <f t="shared" si="70"/>
        <v>0</v>
      </c>
      <c r="AD353" s="43">
        <f t="shared" si="22"/>
        <v>0</v>
      </c>
      <c r="AE353" s="43">
        <f t="shared" si="23"/>
        <v>0</v>
      </c>
      <c r="AF353" s="43">
        <f t="shared" si="24"/>
        <v>0</v>
      </c>
      <c r="AG353" s="43">
        <f t="shared" si="25"/>
        <v>0</v>
      </c>
      <c r="AH353" s="43">
        <f t="shared" si="26"/>
        <v>0</v>
      </c>
      <c r="AJ353" s="43">
        <f t="shared" si="13"/>
        <v>0</v>
      </c>
      <c r="AK353" s="43">
        <f t="shared" si="14"/>
        <v>0</v>
      </c>
      <c r="AL353" s="43">
        <f t="shared" si="15"/>
        <v>0</v>
      </c>
      <c r="AM353" s="43">
        <f t="shared" si="16"/>
        <v>0</v>
      </c>
      <c r="AN353" s="43">
        <f t="shared" si="17"/>
        <v>0</v>
      </c>
    </row>
    <row r="354" spans="2:40">
      <c r="B354" s="37" t="str">
        <f t="shared" si="5"/>
        <v>Asset 48</v>
      </c>
      <c r="F354" s="37" t="str">
        <f t="shared" ref="F354:L354" si="77">F106</f>
        <v>13 Aanhangwagens</v>
      </c>
      <c r="G354" s="37">
        <f t="shared" si="77"/>
        <v>2007</v>
      </c>
      <c r="H354" s="52">
        <f t="shared" si="77"/>
        <v>25760.58</v>
      </c>
      <c r="I354" s="37">
        <f t="shared" si="77"/>
        <v>2021</v>
      </c>
      <c r="J354" s="52">
        <f t="shared" si="77"/>
        <v>10</v>
      </c>
      <c r="K354" s="177">
        <f t="shared" si="77"/>
        <v>1</v>
      </c>
      <c r="L354" s="52">
        <f t="shared" si="77"/>
        <v>0</v>
      </c>
      <c r="N354" s="43">
        <f t="shared" si="21"/>
        <v>0</v>
      </c>
      <c r="P354" s="38">
        <f t="shared" si="7"/>
        <v>0</v>
      </c>
      <c r="R354" s="43">
        <f t="shared" si="69"/>
        <v>0</v>
      </c>
      <c r="S354" s="43">
        <f t="shared" si="69"/>
        <v>0</v>
      </c>
      <c r="T354" s="43">
        <f t="shared" si="69"/>
        <v>0</v>
      </c>
      <c r="U354" s="43">
        <f t="shared" si="69"/>
        <v>0</v>
      </c>
      <c r="V354" s="43">
        <f t="shared" si="69"/>
        <v>0</v>
      </c>
      <c r="X354" s="43">
        <f t="shared" si="70"/>
        <v>0</v>
      </c>
      <c r="Y354" s="43">
        <f t="shared" si="70"/>
        <v>0</v>
      </c>
      <c r="Z354" s="43">
        <f t="shared" si="70"/>
        <v>0</v>
      </c>
      <c r="AA354" s="43">
        <f t="shared" si="70"/>
        <v>0</v>
      </c>
      <c r="AB354" s="43">
        <f t="shared" si="70"/>
        <v>0</v>
      </c>
      <c r="AD354" s="43">
        <f t="shared" si="22"/>
        <v>0</v>
      </c>
      <c r="AE354" s="43">
        <f t="shared" si="23"/>
        <v>0</v>
      </c>
      <c r="AF354" s="43">
        <f t="shared" si="24"/>
        <v>0</v>
      </c>
      <c r="AG354" s="43">
        <f t="shared" si="25"/>
        <v>0</v>
      </c>
      <c r="AH354" s="43">
        <f t="shared" si="26"/>
        <v>0</v>
      </c>
      <c r="AJ354" s="43">
        <f t="shared" si="13"/>
        <v>0</v>
      </c>
      <c r="AK354" s="43">
        <f t="shared" si="14"/>
        <v>0</v>
      </c>
      <c r="AL354" s="43">
        <f t="shared" si="15"/>
        <v>0</v>
      </c>
      <c r="AM354" s="43">
        <f t="shared" si="16"/>
        <v>0</v>
      </c>
      <c r="AN354" s="43">
        <f t="shared" si="17"/>
        <v>0</v>
      </c>
    </row>
    <row r="355" spans="2:40">
      <c r="B355" s="37" t="str">
        <f t="shared" si="5"/>
        <v>Asset 49</v>
      </c>
      <c r="F355" s="37" t="str">
        <f t="shared" ref="F355:L355" si="78">F107</f>
        <v>37 ICT middelen 1 (gaschromatografen en comptabele meting)</v>
      </c>
      <c r="G355" s="37">
        <f t="shared" si="78"/>
        <v>2007</v>
      </c>
      <c r="H355" s="52">
        <f t="shared" si="78"/>
        <v>140047.50693888956</v>
      </c>
      <c r="I355" s="37">
        <f t="shared" si="78"/>
        <v>2021</v>
      </c>
      <c r="J355" s="52">
        <f t="shared" si="78"/>
        <v>5</v>
      </c>
      <c r="K355" s="177">
        <f t="shared" si="78"/>
        <v>0</v>
      </c>
      <c r="L355" s="52">
        <f t="shared" si="78"/>
        <v>0</v>
      </c>
      <c r="N355" s="43">
        <f t="shared" si="21"/>
        <v>0</v>
      </c>
      <c r="P355" s="38">
        <f t="shared" si="7"/>
        <v>0</v>
      </c>
      <c r="R355" s="43">
        <f t="shared" si="69"/>
        <v>0</v>
      </c>
      <c r="S355" s="43">
        <f t="shared" si="69"/>
        <v>0</v>
      </c>
      <c r="T355" s="43">
        <f t="shared" si="69"/>
        <v>0</v>
      </c>
      <c r="U355" s="43">
        <f t="shared" si="69"/>
        <v>0</v>
      </c>
      <c r="V355" s="43">
        <f t="shared" si="69"/>
        <v>0</v>
      </c>
      <c r="X355" s="43">
        <f t="shared" si="70"/>
        <v>0</v>
      </c>
      <c r="Y355" s="43">
        <f t="shared" si="70"/>
        <v>0</v>
      </c>
      <c r="Z355" s="43">
        <f t="shared" si="70"/>
        <v>0</v>
      </c>
      <c r="AA355" s="43">
        <f t="shared" si="70"/>
        <v>0</v>
      </c>
      <c r="AB355" s="43">
        <f t="shared" si="70"/>
        <v>0</v>
      </c>
      <c r="AD355" s="43">
        <f t="shared" si="22"/>
        <v>0</v>
      </c>
      <c r="AE355" s="43">
        <f t="shared" si="23"/>
        <v>0</v>
      </c>
      <c r="AF355" s="43">
        <f t="shared" si="24"/>
        <v>0</v>
      </c>
      <c r="AG355" s="43">
        <f t="shared" si="25"/>
        <v>0</v>
      </c>
      <c r="AH355" s="43">
        <f t="shared" si="26"/>
        <v>0</v>
      </c>
      <c r="AJ355" s="43">
        <f t="shared" si="13"/>
        <v>0</v>
      </c>
      <c r="AK355" s="43">
        <f t="shared" si="14"/>
        <v>0</v>
      </c>
      <c r="AL355" s="43">
        <f t="shared" si="15"/>
        <v>0</v>
      </c>
      <c r="AM355" s="43">
        <f t="shared" si="16"/>
        <v>0</v>
      </c>
      <c r="AN355" s="43">
        <f t="shared" si="17"/>
        <v>0</v>
      </c>
    </row>
    <row r="356" spans="2:40">
      <c r="B356" s="37" t="str">
        <f t="shared" si="5"/>
        <v>Asset 50</v>
      </c>
      <c r="F356" s="37" t="str">
        <f t="shared" ref="F356:L356" si="79">F108</f>
        <v>37 ICT middelen 1</v>
      </c>
      <c r="G356" s="37">
        <f t="shared" si="79"/>
        <v>2008</v>
      </c>
      <c r="H356" s="52">
        <f t="shared" si="79"/>
        <v>1405801.5634173665</v>
      </c>
      <c r="I356" s="37">
        <f t="shared" si="79"/>
        <v>2021</v>
      </c>
      <c r="J356" s="52">
        <f t="shared" si="79"/>
        <v>5</v>
      </c>
      <c r="K356" s="177">
        <f t="shared" si="79"/>
        <v>1</v>
      </c>
      <c r="L356" s="52">
        <f t="shared" si="79"/>
        <v>0</v>
      </c>
      <c r="N356" s="43">
        <f t="shared" si="21"/>
        <v>0</v>
      </c>
      <c r="P356" s="38">
        <f t="shared" si="7"/>
        <v>0</v>
      </c>
      <c r="R356" s="43">
        <f t="shared" si="69"/>
        <v>0</v>
      </c>
      <c r="S356" s="43">
        <f t="shared" si="69"/>
        <v>0</v>
      </c>
      <c r="T356" s="43">
        <f t="shared" si="69"/>
        <v>0</v>
      </c>
      <c r="U356" s="43">
        <f t="shared" si="69"/>
        <v>0</v>
      </c>
      <c r="V356" s="43">
        <f t="shared" si="69"/>
        <v>0</v>
      </c>
      <c r="X356" s="43">
        <f t="shared" si="70"/>
        <v>0</v>
      </c>
      <c r="Y356" s="43">
        <f t="shared" si="70"/>
        <v>0</v>
      </c>
      <c r="Z356" s="43">
        <f t="shared" si="70"/>
        <v>0</v>
      </c>
      <c r="AA356" s="43">
        <f t="shared" si="70"/>
        <v>0</v>
      </c>
      <c r="AB356" s="43">
        <f t="shared" si="70"/>
        <v>0</v>
      </c>
      <c r="AD356" s="43">
        <f t="shared" si="22"/>
        <v>0</v>
      </c>
      <c r="AE356" s="43">
        <f t="shared" si="23"/>
        <v>0</v>
      </c>
      <c r="AF356" s="43">
        <f t="shared" si="24"/>
        <v>0</v>
      </c>
      <c r="AG356" s="43">
        <f t="shared" si="25"/>
        <v>0</v>
      </c>
      <c r="AH356" s="43">
        <f t="shared" si="26"/>
        <v>0</v>
      </c>
      <c r="AJ356" s="43">
        <f t="shared" si="13"/>
        <v>0</v>
      </c>
      <c r="AK356" s="43">
        <f t="shared" si="14"/>
        <v>0</v>
      </c>
      <c r="AL356" s="43">
        <f t="shared" si="15"/>
        <v>0</v>
      </c>
      <c r="AM356" s="43">
        <f t="shared" si="16"/>
        <v>0</v>
      </c>
      <c r="AN356" s="43">
        <f t="shared" si="17"/>
        <v>0</v>
      </c>
    </row>
    <row r="357" spans="2:40">
      <c r="B357" s="37" t="str">
        <f t="shared" si="5"/>
        <v>Asset 51</v>
      </c>
      <c r="F357" s="37" t="str">
        <f t="shared" ref="F357:L357" si="80">F109</f>
        <v>13 Aanhangwagens</v>
      </c>
      <c r="G357" s="37">
        <f t="shared" si="80"/>
        <v>2008</v>
      </c>
      <c r="H357" s="52">
        <f t="shared" si="80"/>
        <v>6485.6</v>
      </c>
      <c r="I357" s="37">
        <f t="shared" si="80"/>
        <v>2021</v>
      </c>
      <c r="J357" s="52">
        <f t="shared" si="80"/>
        <v>10</v>
      </c>
      <c r="K357" s="177">
        <f t="shared" si="80"/>
        <v>1</v>
      </c>
      <c r="L357" s="52">
        <f t="shared" si="80"/>
        <v>0</v>
      </c>
      <c r="N357" s="43">
        <f t="shared" si="21"/>
        <v>0</v>
      </c>
      <c r="P357" s="38">
        <f t="shared" si="7"/>
        <v>0</v>
      </c>
      <c r="R357" s="43">
        <f t="shared" ref="R357:V366" si="81">IF(R$305&lt;=$G357+$J357,VDB($L357*(1-$F$25),0,$P357,R$305-2022,MIN(R$305-2021,$P357),$F$22),0)</f>
        <v>0</v>
      </c>
      <c r="S357" s="43">
        <f t="shared" si="81"/>
        <v>0</v>
      </c>
      <c r="T357" s="43">
        <f t="shared" si="81"/>
        <v>0</v>
      </c>
      <c r="U357" s="43">
        <f t="shared" si="81"/>
        <v>0</v>
      </c>
      <c r="V357" s="43">
        <f t="shared" si="81"/>
        <v>0</v>
      </c>
      <c r="X357" s="43">
        <f t="shared" ref="X357:AB366" si="82">IF(X$305&lt;=$G357+$J357,VDB($L357*$F$25,0,$P357,X$305-2022,MIN(X$305-2021,$P357),1),0)</f>
        <v>0</v>
      </c>
      <c r="Y357" s="43">
        <f t="shared" si="82"/>
        <v>0</v>
      </c>
      <c r="Z357" s="43">
        <f t="shared" si="82"/>
        <v>0</v>
      </c>
      <c r="AA357" s="43">
        <f t="shared" si="82"/>
        <v>0</v>
      </c>
      <c r="AB357" s="43">
        <f t="shared" si="82"/>
        <v>0</v>
      </c>
      <c r="AD357" s="43">
        <f t="shared" si="22"/>
        <v>0</v>
      </c>
      <c r="AE357" s="43">
        <f t="shared" si="23"/>
        <v>0</v>
      </c>
      <c r="AF357" s="43">
        <f t="shared" si="24"/>
        <v>0</v>
      </c>
      <c r="AG357" s="43">
        <f t="shared" si="25"/>
        <v>0</v>
      </c>
      <c r="AH357" s="43">
        <f t="shared" si="26"/>
        <v>0</v>
      </c>
      <c r="AJ357" s="43">
        <f t="shared" si="13"/>
        <v>0</v>
      </c>
      <c r="AK357" s="43">
        <f t="shared" si="14"/>
        <v>0</v>
      </c>
      <c r="AL357" s="43">
        <f t="shared" si="15"/>
        <v>0</v>
      </c>
      <c r="AM357" s="43">
        <f t="shared" si="16"/>
        <v>0</v>
      </c>
      <c r="AN357" s="43">
        <f t="shared" si="17"/>
        <v>0</v>
      </c>
    </row>
    <row r="358" spans="2:40">
      <c r="B358" s="37" t="str">
        <f t="shared" si="5"/>
        <v>Asset 52</v>
      </c>
      <c r="F358" s="37" t="str">
        <f t="shared" ref="F358:L358" si="83">F110</f>
        <v>04 Terreinen</v>
      </c>
      <c r="G358" s="37">
        <f t="shared" si="83"/>
        <v>1956</v>
      </c>
      <c r="H358" s="52">
        <f t="shared" si="83"/>
        <v>32433.599999999999</v>
      </c>
      <c r="I358" s="37">
        <f t="shared" si="83"/>
        <v>2021</v>
      </c>
      <c r="J358" s="52">
        <f t="shared" si="83"/>
        <v>0</v>
      </c>
      <c r="K358" s="177">
        <f t="shared" si="83"/>
        <v>0</v>
      </c>
      <c r="L358" s="52">
        <f t="shared" si="83"/>
        <v>275057.7098199001</v>
      </c>
      <c r="N358" s="43">
        <f t="shared" si="21"/>
        <v>275057.7098199001</v>
      </c>
      <c r="P358" s="38">
        <f t="shared" si="7"/>
        <v>0</v>
      </c>
      <c r="R358" s="43">
        <f t="shared" si="81"/>
        <v>0</v>
      </c>
      <c r="S358" s="43">
        <f t="shared" si="81"/>
        <v>0</v>
      </c>
      <c r="T358" s="43">
        <f t="shared" si="81"/>
        <v>0</v>
      </c>
      <c r="U358" s="43">
        <f t="shared" si="81"/>
        <v>0</v>
      </c>
      <c r="V358" s="43">
        <f t="shared" si="81"/>
        <v>0</v>
      </c>
      <c r="X358" s="43">
        <f t="shared" si="82"/>
        <v>0</v>
      </c>
      <c r="Y358" s="43">
        <f t="shared" si="82"/>
        <v>0</v>
      </c>
      <c r="Z358" s="43">
        <f t="shared" si="82"/>
        <v>0</v>
      </c>
      <c r="AA358" s="43">
        <f t="shared" si="82"/>
        <v>0</v>
      </c>
      <c r="AB358" s="43">
        <f t="shared" si="82"/>
        <v>0</v>
      </c>
      <c r="AD358" s="43">
        <f t="shared" si="22"/>
        <v>275057.7098199001</v>
      </c>
      <c r="AE358" s="43">
        <f t="shared" si="23"/>
        <v>275057.7098199001</v>
      </c>
      <c r="AF358" s="43">
        <f t="shared" si="24"/>
        <v>275057.7098199001</v>
      </c>
      <c r="AG358" s="43">
        <f t="shared" si="25"/>
        <v>275057.7098199001</v>
      </c>
      <c r="AH358" s="43">
        <f t="shared" si="26"/>
        <v>275057.7098199001</v>
      </c>
      <c r="AJ358" s="43">
        <f t="shared" si="13"/>
        <v>9351.9621338766046</v>
      </c>
      <c r="AK358" s="43">
        <f t="shared" si="14"/>
        <v>9076.9044240567036</v>
      </c>
      <c r="AL358" s="43">
        <f t="shared" si="15"/>
        <v>10452.192973156203</v>
      </c>
      <c r="AM358" s="43">
        <f t="shared" si="16"/>
        <v>10452.192973156203</v>
      </c>
      <c r="AN358" s="43">
        <f t="shared" si="17"/>
        <v>10452.192973156203</v>
      </c>
    </row>
    <row r="359" spans="2:40">
      <c r="B359" s="37" t="str">
        <f t="shared" si="5"/>
        <v>Asset 53</v>
      </c>
      <c r="F359" s="37" t="str">
        <f t="shared" ref="F359:L359" si="84">F111</f>
        <v>04 Terreinen</v>
      </c>
      <c r="G359" s="37">
        <f t="shared" si="84"/>
        <v>1968</v>
      </c>
      <c r="H359" s="52">
        <f t="shared" si="84"/>
        <v>219516.18</v>
      </c>
      <c r="I359" s="37">
        <f t="shared" si="84"/>
        <v>2021</v>
      </c>
      <c r="J359" s="52">
        <f t="shared" si="84"/>
        <v>0</v>
      </c>
      <c r="K359" s="177">
        <f t="shared" si="84"/>
        <v>0</v>
      </c>
      <c r="L359" s="52">
        <f t="shared" si="84"/>
        <v>1219692.8562955547</v>
      </c>
      <c r="N359" s="43">
        <f t="shared" si="21"/>
        <v>1219692.8562955547</v>
      </c>
      <c r="P359" s="38">
        <f t="shared" si="7"/>
        <v>0</v>
      </c>
      <c r="R359" s="43">
        <f t="shared" si="81"/>
        <v>0</v>
      </c>
      <c r="S359" s="43">
        <f t="shared" si="81"/>
        <v>0</v>
      </c>
      <c r="T359" s="43">
        <f t="shared" si="81"/>
        <v>0</v>
      </c>
      <c r="U359" s="43">
        <f t="shared" si="81"/>
        <v>0</v>
      </c>
      <c r="V359" s="43">
        <f t="shared" si="81"/>
        <v>0</v>
      </c>
      <c r="X359" s="43">
        <f t="shared" si="82"/>
        <v>0</v>
      </c>
      <c r="Y359" s="43">
        <f t="shared" si="82"/>
        <v>0</v>
      </c>
      <c r="Z359" s="43">
        <f t="shared" si="82"/>
        <v>0</v>
      </c>
      <c r="AA359" s="43">
        <f t="shared" si="82"/>
        <v>0</v>
      </c>
      <c r="AB359" s="43">
        <f t="shared" si="82"/>
        <v>0</v>
      </c>
      <c r="AD359" s="43">
        <f t="shared" si="22"/>
        <v>1219692.8562955547</v>
      </c>
      <c r="AE359" s="43">
        <f t="shared" si="23"/>
        <v>1219692.8562955547</v>
      </c>
      <c r="AF359" s="43">
        <f t="shared" si="24"/>
        <v>1219692.8562955547</v>
      </c>
      <c r="AG359" s="43">
        <f t="shared" si="25"/>
        <v>1219692.8562955547</v>
      </c>
      <c r="AH359" s="43">
        <f t="shared" si="26"/>
        <v>1219692.8562955547</v>
      </c>
      <c r="AJ359" s="43">
        <f t="shared" si="13"/>
        <v>41469.557114048861</v>
      </c>
      <c r="AK359" s="43">
        <f t="shared" si="14"/>
        <v>40249.864257753303</v>
      </c>
      <c r="AL359" s="43">
        <f t="shared" si="15"/>
        <v>46348.328539231079</v>
      </c>
      <c r="AM359" s="43">
        <f t="shared" si="16"/>
        <v>46348.328539231079</v>
      </c>
      <c r="AN359" s="43">
        <f t="shared" si="17"/>
        <v>46348.328539231079</v>
      </c>
    </row>
    <row r="360" spans="2:40">
      <c r="B360" s="37" t="str">
        <f t="shared" si="5"/>
        <v>Asset 54</v>
      </c>
      <c r="F360" s="37" t="str">
        <f t="shared" ref="F360:L360" si="85">F112</f>
        <v>04 Terreinen</v>
      </c>
      <c r="G360" s="37">
        <f t="shared" si="85"/>
        <v>1972</v>
      </c>
      <c r="H360" s="52">
        <f t="shared" si="85"/>
        <v>411128.51</v>
      </c>
      <c r="I360" s="37">
        <f t="shared" si="85"/>
        <v>2021</v>
      </c>
      <c r="J360" s="52">
        <f t="shared" si="85"/>
        <v>0</v>
      </c>
      <c r="K360" s="177">
        <f t="shared" si="85"/>
        <v>0</v>
      </c>
      <c r="L360" s="52">
        <f t="shared" si="85"/>
        <v>1824024.3386379536</v>
      </c>
      <c r="N360" s="43">
        <f t="shared" si="21"/>
        <v>1824024.3386379536</v>
      </c>
      <c r="P360" s="38">
        <f t="shared" si="7"/>
        <v>0</v>
      </c>
      <c r="R360" s="43">
        <f t="shared" si="81"/>
        <v>0</v>
      </c>
      <c r="S360" s="43">
        <f t="shared" si="81"/>
        <v>0</v>
      </c>
      <c r="T360" s="43">
        <f t="shared" si="81"/>
        <v>0</v>
      </c>
      <c r="U360" s="43">
        <f t="shared" si="81"/>
        <v>0</v>
      </c>
      <c r="V360" s="43">
        <f t="shared" si="81"/>
        <v>0</v>
      </c>
      <c r="X360" s="43">
        <f t="shared" si="82"/>
        <v>0</v>
      </c>
      <c r="Y360" s="43">
        <f t="shared" si="82"/>
        <v>0</v>
      </c>
      <c r="Z360" s="43">
        <f t="shared" si="82"/>
        <v>0</v>
      </c>
      <c r="AA360" s="43">
        <f t="shared" si="82"/>
        <v>0</v>
      </c>
      <c r="AB360" s="43">
        <f t="shared" si="82"/>
        <v>0</v>
      </c>
      <c r="AD360" s="43">
        <f t="shared" si="22"/>
        <v>1824024.3386379536</v>
      </c>
      <c r="AE360" s="43">
        <f t="shared" si="23"/>
        <v>1824024.3386379536</v>
      </c>
      <c r="AF360" s="43">
        <f t="shared" si="24"/>
        <v>1824024.3386379536</v>
      </c>
      <c r="AG360" s="43">
        <f t="shared" si="25"/>
        <v>1824024.3386379536</v>
      </c>
      <c r="AH360" s="43">
        <f t="shared" si="26"/>
        <v>1824024.3386379536</v>
      </c>
      <c r="AJ360" s="43">
        <f t="shared" si="13"/>
        <v>62016.827513690427</v>
      </c>
      <c r="AK360" s="43">
        <f t="shared" si="14"/>
        <v>60192.803175052475</v>
      </c>
      <c r="AL360" s="43">
        <f t="shared" si="15"/>
        <v>69312.924868242233</v>
      </c>
      <c r="AM360" s="43">
        <f t="shared" si="16"/>
        <v>69312.924868242233</v>
      </c>
      <c r="AN360" s="43">
        <f t="shared" si="17"/>
        <v>69312.924868242233</v>
      </c>
    </row>
    <row r="361" spans="2:40">
      <c r="B361" s="37" t="str">
        <f t="shared" si="5"/>
        <v>Asset 55</v>
      </c>
      <c r="F361" s="37" t="str">
        <f t="shared" ref="F361:L361" si="86">F113</f>
        <v>05 Wegen en terreinvoorzieningen</v>
      </c>
      <c r="G361" s="37">
        <f t="shared" si="86"/>
        <v>1970</v>
      </c>
      <c r="H361" s="52">
        <f t="shared" si="86"/>
        <v>65342.54</v>
      </c>
      <c r="I361" s="37">
        <f t="shared" si="86"/>
        <v>2021</v>
      </c>
      <c r="J361" s="52">
        <f t="shared" si="86"/>
        <v>10</v>
      </c>
      <c r="K361" s="177">
        <f t="shared" si="86"/>
        <v>0</v>
      </c>
      <c r="L361" s="52">
        <f t="shared" si="86"/>
        <v>0</v>
      </c>
      <c r="N361" s="43">
        <f t="shared" si="21"/>
        <v>0</v>
      </c>
      <c r="P361" s="38">
        <f t="shared" si="7"/>
        <v>0</v>
      </c>
      <c r="R361" s="43">
        <f t="shared" si="81"/>
        <v>0</v>
      </c>
      <c r="S361" s="43">
        <f t="shared" si="81"/>
        <v>0</v>
      </c>
      <c r="T361" s="43">
        <f t="shared" si="81"/>
        <v>0</v>
      </c>
      <c r="U361" s="43">
        <f t="shared" si="81"/>
        <v>0</v>
      </c>
      <c r="V361" s="43">
        <f t="shared" si="81"/>
        <v>0</v>
      </c>
      <c r="X361" s="43">
        <f t="shared" si="82"/>
        <v>0</v>
      </c>
      <c r="Y361" s="43">
        <f t="shared" si="82"/>
        <v>0</v>
      </c>
      <c r="Z361" s="43">
        <f t="shared" si="82"/>
        <v>0</v>
      </c>
      <c r="AA361" s="43">
        <f t="shared" si="82"/>
        <v>0</v>
      </c>
      <c r="AB361" s="43">
        <f t="shared" si="82"/>
        <v>0</v>
      </c>
      <c r="AD361" s="43">
        <f t="shared" si="22"/>
        <v>0</v>
      </c>
      <c r="AE361" s="43">
        <f t="shared" si="23"/>
        <v>0</v>
      </c>
      <c r="AF361" s="43">
        <f t="shared" si="24"/>
        <v>0</v>
      </c>
      <c r="AG361" s="43">
        <f t="shared" si="25"/>
        <v>0</v>
      </c>
      <c r="AH361" s="43">
        <f t="shared" si="26"/>
        <v>0</v>
      </c>
      <c r="AJ361" s="43">
        <f t="shared" si="13"/>
        <v>0</v>
      </c>
      <c r="AK361" s="43">
        <f t="shared" si="14"/>
        <v>0</v>
      </c>
      <c r="AL361" s="43">
        <f t="shared" si="15"/>
        <v>0</v>
      </c>
      <c r="AM361" s="43">
        <f t="shared" si="16"/>
        <v>0</v>
      </c>
      <c r="AN361" s="43">
        <f t="shared" si="17"/>
        <v>0</v>
      </c>
    </row>
    <row r="362" spans="2:40">
      <c r="B362" s="37" t="str">
        <f t="shared" si="5"/>
        <v>Asset 56</v>
      </c>
      <c r="F362" s="37" t="str">
        <f t="shared" ref="F362:L362" si="87">F114</f>
        <v>06 Utiliteitsgebouwen</v>
      </c>
      <c r="G362" s="37">
        <f t="shared" si="87"/>
        <v>1980</v>
      </c>
      <c r="H362" s="52">
        <f t="shared" si="87"/>
        <v>1188787.02</v>
      </c>
      <c r="I362" s="37">
        <f t="shared" si="87"/>
        <v>2021</v>
      </c>
      <c r="J362" s="52">
        <f t="shared" si="87"/>
        <v>30</v>
      </c>
      <c r="K362" s="177">
        <f t="shared" si="87"/>
        <v>0</v>
      </c>
      <c r="L362" s="52">
        <f t="shared" si="87"/>
        <v>0</v>
      </c>
      <c r="N362" s="43">
        <f t="shared" si="21"/>
        <v>0</v>
      </c>
      <c r="P362" s="38">
        <f t="shared" si="7"/>
        <v>0</v>
      </c>
      <c r="R362" s="43">
        <f t="shared" si="81"/>
        <v>0</v>
      </c>
      <c r="S362" s="43">
        <f t="shared" si="81"/>
        <v>0</v>
      </c>
      <c r="T362" s="43">
        <f t="shared" si="81"/>
        <v>0</v>
      </c>
      <c r="U362" s="43">
        <f t="shared" si="81"/>
        <v>0</v>
      </c>
      <c r="V362" s="43">
        <f t="shared" si="81"/>
        <v>0</v>
      </c>
      <c r="X362" s="43">
        <f t="shared" si="82"/>
        <v>0</v>
      </c>
      <c r="Y362" s="43">
        <f t="shared" si="82"/>
        <v>0</v>
      </c>
      <c r="Z362" s="43">
        <f t="shared" si="82"/>
        <v>0</v>
      </c>
      <c r="AA362" s="43">
        <f t="shared" si="82"/>
        <v>0</v>
      </c>
      <c r="AB362" s="43">
        <f t="shared" si="82"/>
        <v>0</v>
      </c>
      <c r="AD362" s="43">
        <f t="shared" si="22"/>
        <v>0</v>
      </c>
      <c r="AE362" s="43">
        <f t="shared" si="23"/>
        <v>0</v>
      </c>
      <c r="AF362" s="43">
        <f t="shared" si="24"/>
        <v>0</v>
      </c>
      <c r="AG362" s="43">
        <f t="shared" si="25"/>
        <v>0</v>
      </c>
      <c r="AH362" s="43">
        <f t="shared" si="26"/>
        <v>0</v>
      </c>
      <c r="AJ362" s="43">
        <f t="shared" si="13"/>
        <v>0</v>
      </c>
      <c r="AK362" s="43">
        <f t="shared" si="14"/>
        <v>0</v>
      </c>
      <c r="AL362" s="43">
        <f t="shared" si="15"/>
        <v>0</v>
      </c>
      <c r="AM362" s="43">
        <f t="shared" si="16"/>
        <v>0</v>
      </c>
      <c r="AN362" s="43">
        <f t="shared" si="17"/>
        <v>0</v>
      </c>
    </row>
    <row r="363" spans="2:40">
      <c r="B363" s="37" t="str">
        <f t="shared" si="5"/>
        <v>Asset 57</v>
      </c>
      <c r="F363" s="37" t="str">
        <f t="shared" ref="F363:L363" si="88">F115</f>
        <v>06 Utiliteitsgebouwen</v>
      </c>
      <c r="G363" s="37">
        <f t="shared" si="88"/>
        <v>1971</v>
      </c>
      <c r="H363" s="52">
        <f t="shared" si="88"/>
        <v>1287617.6299999999</v>
      </c>
      <c r="I363" s="37">
        <f t="shared" si="88"/>
        <v>2021</v>
      </c>
      <c r="J363" s="52">
        <f t="shared" si="88"/>
        <v>30</v>
      </c>
      <c r="K363" s="177">
        <f t="shared" si="88"/>
        <v>0</v>
      </c>
      <c r="L363" s="52">
        <f t="shared" si="88"/>
        <v>0</v>
      </c>
      <c r="N363" s="43">
        <f t="shared" si="21"/>
        <v>0</v>
      </c>
      <c r="P363" s="38">
        <f t="shared" si="7"/>
        <v>0</v>
      </c>
      <c r="R363" s="43">
        <f t="shared" si="81"/>
        <v>0</v>
      </c>
      <c r="S363" s="43">
        <f t="shared" si="81"/>
        <v>0</v>
      </c>
      <c r="T363" s="43">
        <f t="shared" si="81"/>
        <v>0</v>
      </c>
      <c r="U363" s="43">
        <f t="shared" si="81"/>
        <v>0</v>
      </c>
      <c r="V363" s="43">
        <f t="shared" si="81"/>
        <v>0</v>
      </c>
      <c r="X363" s="43">
        <f t="shared" si="82"/>
        <v>0</v>
      </c>
      <c r="Y363" s="43">
        <f t="shared" si="82"/>
        <v>0</v>
      </c>
      <c r="Z363" s="43">
        <f t="shared" si="82"/>
        <v>0</v>
      </c>
      <c r="AA363" s="43">
        <f t="shared" si="82"/>
        <v>0</v>
      </c>
      <c r="AB363" s="43">
        <f t="shared" si="82"/>
        <v>0</v>
      </c>
      <c r="AD363" s="43">
        <f t="shared" si="22"/>
        <v>0</v>
      </c>
      <c r="AE363" s="43">
        <f t="shared" si="23"/>
        <v>0</v>
      </c>
      <c r="AF363" s="43">
        <f t="shared" si="24"/>
        <v>0</v>
      </c>
      <c r="AG363" s="43">
        <f t="shared" si="25"/>
        <v>0</v>
      </c>
      <c r="AH363" s="43">
        <f t="shared" si="26"/>
        <v>0</v>
      </c>
      <c r="AJ363" s="43">
        <f t="shared" si="13"/>
        <v>0</v>
      </c>
      <c r="AK363" s="43">
        <f t="shared" si="14"/>
        <v>0</v>
      </c>
      <c r="AL363" s="43">
        <f t="shared" si="15"/>
        <v>0</v>
      </c>
      <c r="AM363" s="43">
        <f t="shared" si="16"/>
        <v>0</v>
      </c>
      <c r="AN363" s="43">
        <f t="shared" si="17"/>
        <v>0</v>
      </c>
    </row>
    <row r="364" spans="2:40">
      <c r="B364" s="37" t="str">
        <f t="shared" si="5"/>
        <v>Asset 58</v>
      </c>
      <c r="F364" s="37" t="str">
        <f t="shared" ref="F364:L364" si="89">F116</f>
        <v>06 Utiliteitsgebouwen</v>
      </c>
      <c r="G364" s="37">
        <f t="shared" si="89"/>
        <v>1986</v>
      </c>
      <c r="H364" s="52">
        <f t="shared" si="89"/>
        <v>986052.31</v>
      </c>
      <c r="I364" s="37">
        <f t="shared" si="89"/>
        <v>2021</v>
      </c>
      <c r="J364" s="52">
        <f t="shared" si="89"/>
        <v>30</v>
      </c>
      <c r="K364" s="177">
        <f t="shared" si="89"/>
        <v>0</v>
      </c>
      <c r="L364" s="52">
        <f t="shared" si="89"/>
        <v>0</v>
      </c>
      <c r="N364" s="43">
        <f t="shared" si="21"/>
        <v>0</v>
      </c>
      <c r="P364" s="38">
        <f t="shared" si="7"/>
        <v>0</v>
      </c>
      <c r="R364" s="43">
        <f t="shared" si="81"/>
        <v>0</v>
      </c>
      <c r="S364" s="43">
        <f t="shared" si="81"/>
        <v>0</v>
      </c>
      <c r="T364" s="43">
        <f t="shared" si="81"/>
        <v>0</v>
      </c>
      <c r="U364" s="43">
        <f t="shared" si="81"/>
        <v>0</v>
      </c>
      <c r="V364" s="43">
        <f t="shared" si="81"/>
        <v>0</v>
      </c>
      <c r="X364" s="43">
        <f t="shared" si="82"/>
        <v>0</v>
      </c>
      <c r="Y364" s="43">
        <f t="shared" si="82"/>
        <v>0</v>
      </c>
      <c r="Z364" s="43">
        <f t="shared" si="82"/>
        <v>0</v>
      </c>
      <c r="AA364" s="43">
        <f t="shared" si="82"/>
        <v>0</v>
      </c>
      <c r="AB364" s="43">
        <f t="shared" si="82"/>
        <v>0</v>
      </c>
      <c r="AD364" s="43">
        <f t="shared" si="22"/>
        <v>0</v>
      </c>
      <c r="AE364" s="43">
        <f t="shared" si="23"/>
        <v>0</v>
      </c>
      <c r="AF364" s="43">
        <f t="shared" si="24"/>
        <v>0</v>
      </c>
      <c r="AG364" s="43">
        <f t="shared" si="25"/>
        <v>0</v>
      </c>
      <c r="AH364" s="43">
        <f t="shared" si="26"/>
        <v>0</v>
      </c>
      <c r="AJ364" s="43">
        <f t="shared" si="13"/>
        <v>0</v>
      </c>
      <c r="AK364" s="43">
        <f t="shared" si="14"/>
        <v>0</v>
      </c>
      <c r="AL364" s="43">
        <f t="shared" si="15"/>
        <v>0</v>
      </c>
      <c r="AM364" s="43">
        <f t="shared" si="16"/>
        <v>0</v>
      </c>
      <c r="AN364" s="43">
        <f t="shared" si="17"/>
        <v>0</v>
      </c>
    </row>
    <row r="365" spans="2:40">
      <c r="B365" s="37" t="str">
        <f t="shared" si="5"/>
        <v>Asset 59</v>
      </c>
      <c r="F365" s="37" t="str">
        <f t="shared" ref="F365:L365" si="90">F117</f>
        <v>06 Utiliteitsgebouwen</v>
      </c>
      <c r="G365" s="37">
        <f t="shared" si="90"/>
        <v>1988</v>
      </c>
      <c r="H365" s="52">
        <f t="shared" si="90"/>
        <v>45049.48</v>
      </c>
      <c r="I365" s="37">
        <f t="shared" si="90"/>
        <v>2021</v>
      </c>
      <c r="J365" s="52">
        <f t="shared" si="90"/>
        <v>30</v>
      </c>
      <c r="K365" s="177">
        <f t="shared" si="90"/>
        <v>0</v>
      </c>
      <c r="L365" s="52">
        <f t="shared" si="90"/>
        <v>0</v>
      </c>
      <c r="N365" s="43">
        <f t="shared" si="21"/>
        <v>0</v>
      </c>
      <c r="P365" s="38">
        <f t="shared" si="7"/>
        <v>0</v>
      </c>
      <c r="R365" s="43">
        <f t="shared" si="81"/>
        <v>0</v>
      </c>
      <c r="S365" s="43">
        <f t="shared" si="81"/>
        <v>0</v>
      </c>
      <c r="T365" s="43">
        <f t="shared" si="81"/>
        <v>0</v>
      </c>
      <c r="U365" s="43">
        <f t="shared" si="81"/>
        <v>0</v>
      </c>
      <c r="V365" s="43">
        <f t="shared" si="81"/>
        <v>0</v>
      </c>
      <c r="X365" s="43">
        <f t="shared" si="82"/>
        <v>0</v>
      </c>
      <c r="Y365" s="43">
        <f t="shared" si="82"/>
        <v>0</v>
      </c>
      <c r="Z365" s="43">
        <f t="shared" si="82"/>
        <v>0</v>
      </c>
      <c r="AA365" s="43">
        <f t="shared" si="82"/>
        <v>0</v>
      </c>
      <c r="AB365" s="43">
        <f t="shared" si="82"/>
        <v>0</v>
      </c>
      <c r="AD365" s="43">
        <f t="shared" si="22"/>
        <v>0</v>
      </c>
      <c r="AE365" s="43">
        <f t="shared" si="23"/>
        <v>0</v>
      </c>
      <c r="AF365" s="43">
        <f t="shared" si="24"/>
        <v>0</v>
      </c>
      <c r="AG365" s="43">
        <f t="shared" si="25"/>
        <v>0</v>
      </c>
      <c r="AH365" s="43">
        <f t="shared" si="26"/>
        <v>0</v>
      </c>
      <c r="AJ365" s="43">
        <f t="shared" si="13"/>
        <v>0</v>
      </c>
      <c r="AK365" s="43">
        <f t="shared" si="14"/>
        <v>0</v>
      </c>
      <c r="AL365" s="43">
        <f t="shared" si="15"/>
        <v>0</v>
      </c>
      <c r="AM365" s="43">
        <f t="shared" si="16"/>
        <v>0</v>
      </c>
      <c r="AN365" s="43">
        <f t="shared" si="17"/>
        <v>0</v>
      </c>
    </row>
    <row r="366" spans="2:40">
      <c r="B366" s="37" t="str">
        <f t="shared" si="5"/>
        <v>Asset 60</v>
      </c>
      <c r="F366" s="37" t="str">
        <f t="shared" ref="F366:L366" si="91">F118</f>
        <v>04 Terreinen</v>
      </c>
      <c r="G366" s="37">
        <f t="shared" si="91"/>
        <v>1969</v>
      </c>
      <c r="H366" s="52">
        <f t="shared" si="91"/>
        <v>35732.019999999997</v>
      </c>
      <c r="I366" s="37">
        <f t="shared" si="91"/>
        <v>2021</v>
      </c>
      <c r="J366" s="52">
        <f t="shared" si="91"/>
        <v>0</v>
      </c>
      <c r="K366" s="177">
        <f t="shared" si="91"/>
        <v>0</v>
      </c>
      <c r="L366" s="52">
        <f t="shared" si="91"/>
        <v>192194.60406110552</v>
      </c>
      <c r="N366" s="43">
        <f t="shared" si="21"/>
        <v>192194.60406110552</v>
      </c>
      <c r="P366" s="38">
        <f t="shared" si="7"/>
        <v>0</v>
      </c>
      <c r="R366" s="43">
        <f t="shared" si="81"/>
        <v>0</v>
      </c>
      <c r="S366" s="43">
        <f t="shared" si="81"/>
        <v>0</v>
      </c>
      <c r="T366" s="43">
        <f t="shared" si="81"/>
        <v>0</v>
      </c>
      <c r="U366" s="43">
        <f t="shared" si="81"/>
        <v>0</v>
      </c>
      <c r="V366" s="43">
        <f t="shared" si="81"/>
        <v>0</v>
      </c>
      <c r="X366" s="43">
        <f t="shared" si="82"/>
        <v>0</v>
      </c>
      <c r="Y366" s="43">
        <f t="shared" si="82"/>
        <v>0</v>
      </c>
      <c r="Z366" s="43">
        <f t="shared" si="82"/>
        <v>0</v>
      </c>
      <c r="AA366" s="43">
        <f t="shared" si="82"/>
        <v>0</v>
      </c>
      <c r="AB366" s="43">
        <f t="shared" si="82"/>
        <v>0</v>
      </c>
      <c r="AD366" s="43">
        <f t="shared" si="22"/>
        <v>192194.60406110552</v>
      </c>
      <c r="AE366" s="43">
        <f t="shared" si="23"/>
        <v>192194.60406110552</v>
      </c>
      <c r="AF366" s="43">
        <f t="shared" si="24"/>
        <v>192194.60406110552</v>
      </c>
      <c r="AG366" s="43">
        <f t="shared" si="25"/>
        <v>192194.60406110552</v>
      </c>
      <c r="AH366" s="43">
        <f t="shared" si="26"/>
        <v>192194.60406110552</v>
      </c>
      <c r="AJ366" s="43">
        <f t="shared" si="13"/>
        <v>6534.6165380775883</v>
      </c>
      <c r="AK366" s="43">
        <f t="shared" si="14"/>
        <v>6342.4219340164827</v>
      </c>
      <c r="AL366" s="43">
        <f t="shared" si="15"/>
        <v>7303.3949543220097</v>
      </c>
      <c r="AM366" s="43">
        <f t="shared" si="16"/>
        <v>7303.3949543220097</v>
      </c>
      <c r="AN366" s="43">
        <f t="shared" si="17"/>
        <v>7303.3949543220097</v>
      </c>
    </row>
    <row r="367" spans="2:40">
      <c r="B367" s="37" t="str">
        <f t="shared" si="5"/>
        <v>Asset 61</v>
      </c>
      <c r="F367" s="37" t="str">
        <f t="shared" ref="F367:L367" si="92">F119</f>
        <v>06 Utiliteitsgebouwen</v>
      </c>
      <c r="G367" s="37">
        <f t="shared" si="92"/>
        <v>1993</v>
      </c>
      <c r="H367" s="52">
        <f t="shared" si="92"/>
        <v>4915025</v>
      </c>
      <c r="I367" s="37">
        <f t="shared" si="92"/>
        <v>2021</v>
      </c>
      <c r="J367" s="52">
        <f t="shared" si="92"/>
        <v>30</v>
      </c>
      <c r="K367" s="177">
        <f t="shared" si="92"/>
        <v>0</v>
      </c>
      <c r="L367" s="52">
        <f t="shared" si="92"/>
        <v>420683.7813984917</v>
      </c>
      <c r="N367" s="43">
        <f t="shared" si="21"/>
        <v>420683.7813984917</v>
      </c>
      <c r="P367" s="38">
        <f t="shared" si="7"/>
        <v>1.5</v>
      </c>
      <c r="R367" s="43">
        <f t="shared" ref="R367:V376" si="93">IF(R$305&lt;=$G367+$J367,VDB($L367*(1-$F$25),0,$P367,R$305-2022,MIN(R$305-2021,$P367),$F$22),0)</f>
        <v>328133.34949082352</v>
      </c>
      <c r="S367" s="43">
        <f t="shared" si="93"/>
        <v>50482.053767819016</v>
      </c>
      <c r="T367" s="43">
        <f t="shared" si="93"/>
        <v>0</v>
      </c>
      <c r="U367" s="43">
        <f t="shared" si="93"/>
        <v>0</v>
      </c>
      <c r="V367" s="43">
        <f t="shared" si="93"/>
        <v>0</v>
      </c>
      <c r="X367" s="43">
        <f t="shared" ref="X367:AB376" si="94">IF(X$305&lt;=$G367+$J367,VDB($L367*$F$25,0,$P367,X$305-2022,MIN(X$305-2021,$P367),1),0)</f>
        <v>28045.585426566115</v>
      </c>
      <c r="Y367" s="43">
        <f t="shared" si="94"/>
        <v>14022.792713283057</v>
      </c>
      <c r="Z367" s="43">
        <f t="shared" si="94"/>
        <v>0</v>
      </c>
      <c r="AA367" s="43">
        <f t="shared" si="94"/>
        <v>0</v>
      </c>
      <c r="AB367" s="43">
        <f t="shared" si="94"/>
        <v>0</v>
      </c>
      <c r="AD367" s="43">
        <f t="shared" si="22"/>
        <v>64504.846481102068</v>
      </c>
      <c r="AE367" s="43">
        <f t="shared" si="23"/>
        <v>-5.4569682106375694E-12</v>
      </c>
      <c r="AF367" s="43">
        <f t="shared" si="24"/>
        <v>0</v>
      </c>
      <c r="AG367" s="43">
        <f t="shared" si="25"/>
        <v>0</v>
      </c>
      <c r="AH367" s="43">
        <f t="shared" si="26"/>
        <v>0</v>
      </c>
      <c r="AJ367" s="43">
        <f t="shared" si="13"/>
        <v>358372.09969774709</v>
      </c>
      <c r="AK367" s="43">
        <f t="shared" si="14"/>
        <v>64504.846481102075</v>
      </c>
      <c r="AL367" s="43">
        <f t="shared" si="15"/>
        <v>0</v>
      </c>
      <c r="AM367" s="43">
        <f t="shared" si="16"/>
        <v>0</v>
      </c>
      <c r="AN367" s="43">
        <f t="shared" si="17"/>
        <v>0</v>
      </c>
    </row>
    <row r="368" spans="2:40">
      <c r="B368" s="37" t="str">
        <f t="shared" si="5"/>
        <v>Asset 62</v>
      </c>
      <c r="F368" s="37" t="str">
        <f t="shared" ref="F368:L368" si="95">F120</f>
        <v>04 Terreinen</v>
      </c>
      <c r="G368" s="37">
        <f t="shared" si="95"/>
        <v>1990</v>
      </c>
      <c r="H368" s="52">
        <f t="shared" si="95"/>
        <v>4936129.59</v>
      </c>
      <c r="I368" s="37">
        <f t="shared" si="95"/>
        <v>2021</v>
      </c>
      <c r="J368" s="52">
        <f t="shared" si="95"/>
        <v>0</v>
      </c>
      <c r="K368" s="177">
        <f t="shared" si="95"/>
        <v>0</v>
      </c>
      <c r="L368" s="52">
        <f t="shared" si="95"/>
        <v>9367389.4688880406</v>
      </c>
      <c r="N368" s="43">
        <f t="shared" si="21"/>
        <v>9367389.4688880406</v>
      </c>
      <c r="P368" s="38">
        <f t="shared" si="7"/>
        <v>0</v>
      </c>
      <c r="R368" s="43">
        <f t="shared" si="93"/>
        <v>0</v>
      </c>
      <c r="S368" s="43">
        <f t="shared" si="93"/>
        <v>0</v>
      </c>
      <c r="T368" s="43">
        <f t="shared" si="93"/>
        <v>0</v>
      </c>
      <c r="U368" s="43">
        <f t="shared" si="93"/>
        <v>0</v>
      </c>
      <c r="V368" s="43">
        <f t="shared" si="93"/>
        <v>0</v>
      </c>
      <c r="X368" s="43">
        <f t="shared" si="94"/>
        <v>0</v>
      </c>
      <c r="Y368" s="43">
        <f t="shared" si="94"/>
        <v>0</v>
      </c>
      <c r="Z368" s="43">
        <f t="shared" si="94"/>
        <v>0</v>
      </c>
      <c r="AA368" s="43">
        <f t="shared" si="94"/>
        <v>0</v>
      </c>
      <c r="AB368" s="43">
        <f t="shared" si="94"/>
        <v>0</v>
      </c>
      <c r="AD368" s="43">
        <f t="shared" si="22"/>
        <v>9367389.4688880406</v>
      </c>
      <c r="AE368" s="43">
        <f t="shared" si="23"/>
        <v>9367389.4688880406</v>
      </c>
      <c r="AF368" s="43">
        <f t="shared" si="24"/>
        <v>9367389.4688880406</v>
      </c>
      <c r="AG368" s="43">
        <f t="shared" si="25"/>
        <v>9367389.4688880406</v>
      </c>
      <c r="AH368" s="43">
        <f t="shared" si="26"/>
        <v>9367389.4688880406</v>
      </c>
      <c r="AJ368" s="43">
        <f t="shared" si="13"/>
        <v>318491.24194219342</v>
      </c>
      <c r="AK368" s="43">
        <f t="shared" si="14"/>
        <v>309123.85247330536</v>
      </c>
      <c r="AL368" s="43">
        <f t="shared" si="15"/>
        <v>355960.79981774552</v>
      </c>
      <c r="AM368" s="43">
        <f t="shared" si="16"/>
        <v>355960.79981774552</v>
      </c>
      <c r="AN368" s="43">
        <f t="shared" si="17"/>
        <v>355960.79981774552</v>
      </c>
    </row>
    <row r="369" spans="2:40">
      <c r="B369" s="37" t="str">
        <f t="shared" si="5"/>
        <v>Asset 63</v>
      </c>
      <c r="F369" s="37" t="str">
        <f t="shared" ref="F369:L369" si="96">F121</f>
        <v>09 Bedrijfsinventaris</v>
      </c>
      <c r="G369" s="37">
        <f t="shared" si="96"/>
        <v>1994</v>
      </c>
      <c r="H369" s="52">
        <f t="shared" si="96"/>
        <v>5646696.2199999997</v>
      </c>
      <c r="I369" s="37">
        <f t="shared" si="96"/>
        <v>2021</v>
      </c>
      <c r="J369" s="52">
        <f t="shared" si="96"/>
        <v>10</v>
      </c>
      <c r="K369" s="177">
        <f t="shared" si="96"/>
        <v>1</v>
      </c>
      <c r="L369" s="52">
        <f t="shared" si="96"/>
        <v>0</v>
      </c>
      <c r="N369" s="43">
        <f t="shared" si="21"/>
        <v>0</v>
      </c>
      <c r="P369" s="38">
        <f t="shared" si="7"/>
        <v>0</v>
      </c>
      <c r="R369" s="43">
        <f t="shared" si="93"/>
        <v>0</v>
      </c>
      <c r="S369" s="43">
        <f t="shared" si="93"/>
        <v>0</v>
      </c>
      <c r="T369" s="43">
        <f t="shared" si="93"/>
        <v>0</v>
      </c>
      <c r="U369" s="43">
        <f t="shared" si="93"/>
        <v>0</v>
      </c>
      <c r="V369" s="43">
        <f t="shared" si="93"/>
        <v>0</v>
      </c>
      <c r="X369" s="43">
        <f t="shared" si="94"/>
        <v>0</v>
      </c>
      <c r="Y369" s="43">
        <f t="shared" si="94"/>
        <v>0</v>
      </c>
      <c r="Z369" s="43">
        <f t="shared" si="94"/>
        <v>0</v>
      </c>
      <c r="AA369" s="43">
        <f t="shared" si="94"/>
        <v>0</v>
      </c>
      <c r="AB369" s="43">
        <f t="shared" si="94"/>
        <v>0</v>
      </c>
      <c r="AD369" s="43">
        <f t="shared" si="22"/>
        <v>0</v>
      </c>
      <c r="AE369" s="43">
        <f t="shared" si="23"/>
        <v>0</v>
      </c>
      <c r="AF369" s="43">
        <f t="shared" si="24"/>
        <v>0</v>
      </c>
      <c r="AG369" s="43">
        <f t="shared" si="25"/>
        <v>0</v>
      </c>
      <c r="AH369" s="43">
        <f t="shared" si="26"/>
        <v>0</v>
      </c>
      <c r="AJ369" s="43">
        <f t="shared" si="13"/>
        <v>0</v>
      </c>
      <c r="AK369" s="43">
        <f t="shared" si="14"/>
        <v>0</v>
      </c>
      <c r="AL369" s="43">
        <f t="shared" si="15"/>
        <v>0</v>
      </c>
      <c r="AM369" s="43">
        <f t="shared" si="16"/>
        <v>0</v>
      </c>
      <c r="AN369" s="43">
        <f t="shared" si="17"/>
        <v>0</v>
      </c>
    </row>
    <row r="370" spans="2:40">
      <c r="B370" s="37" t="str">
        <f t="shared" si="5"/>
        <v>Asset 64</v>
      </c>
      <c r="F370" s="37" t="str">
        <f t="shared" ref="F370:L370" si="97">F122</f>
        <v>06 Utiliteitsgebouwen</v>
      </c>
      <c r="G370" s="37">
        <f t="shared" si="97"/>
        <v>1994</v>
      </c>
      <c r="H370" s="52">
        <f t="shared" si="97"/>
        <v>326095.09000000003</v>
      </c>
      <c r="I370" s="37">
        <f t="shared" si="97"/>
        <v>2021</v>
      </c>
      <c r="J370" s="52">
        <f t="shared" si="97"/>
        <v>30</v>
      </c>
      <c r="K370" s="177">
        <f t="shared" si="97"/>
        <v>0</v>
      </c>
      <c r="L370" s="52">
        <f t="shared" si="97"/>
        <v>45606.0937185246</v>
      </c>
      <c r="N370" s="43">
        <f t="shared" si="21"/>
        <v>45606.0937185246</v>
      </c>
      <c r="P370" s="38">
        <f t="shared" si="7"/>
        <v>2.5</v>
      </c>
      <c r="R370" s="43">
        <f t="shared" si="93"/>
        <v>21343.651860269514</v>
      </c>
      <c r="S370" s="43">
        <f t="shared" si="93"/>
        <v>13134.554990935087</v>
      </c>
      <c r="T370" s="43">
        <f t="shared" si="93"/>
        <v>6567.2774954675433</v>
      </c>
      <c r="U370" s="43">
        <f t="shared" si="93"/>
        <v>0</v>
      </c>
      <c r="V370" s="43">
        <f t="shared" si="93"/>
        <v>0</v>
      </c>
      <c r="X370" s="43">
        <f t="shared" si="94"/>
        <v>1824.2437487409841</v>
      </c>
      <c r="Y370" s="43">
        <f t="shared" si="94"/>
        <v>1824.2437487409836</v>
      </c>
      <c r="Z370" s="43">
        <f t="shared" si="94"/>
        <v>912.12187437049181</v>
      </c>
      <c r="AA370" s="43">
        <f t="shared" si="94"/>
        <v>0</v>
      </c>
      <c r="AB370" s="43">
        <f t="shared" si="94"/>
        <v>0</v>
      </c>
      <c r="AD370" s="43">
        <f t="shared" si="22"/>
        <v>22438.198109514102</v>
      </c>
      <c r="AE370" s="43">
        <f t="shared" si="23"/>
        <v>7479.3993698380318</v>
      </c>
      <c r="AF370" s="43">
        <f t="shared" si="24"/>
        <v>-3.2969182939268649E-12</v>
      </c>
      <c r="AG370" s="43">
        <f t="shared" si="25"/>
        <v>0</v>
      </c>
      <c r="AH370" s="43">
        <f t="shared" si="26"/>
        <v>0</v>
      </c>
      <c r="AJ370" s="43">
        <f t="shared" si="13"/>
        <v>23930.794344733979</v>
      </c>
      <c r="AK370" s="43">
        <f t="shared" si="14"/>
        <v>15205.618918880726</v>
      </c>
      <c r="AL370" s="43">
        <f t="shared" si="15"/>
        <v>7479.3993698380355</v>
      </c>
      <c r="AM370" s="43">
        <f t="shared" si="16"/>
        <v>0</v>
      </c>
      <c r="AN370" s="43">
        <f t="shared" si="17"/>
        <v>0</v>
      </c>
    </row>
    <row r="371" spans="2:40">
      <c r="B371" s="37" t="str">
        <f t="shared" si="5"/>
        <v>Asset 65</v>
      </c>
      <c r="F371" s="37" t="str">
        <f t="shared" ref="F371:L371" si="98">F123</f>
        <v>05 Wegen en terreinvoorzieningen</v>
      </c>
      <c r="G371" s="37">
        <f t="shared" si="98"/>
        <v>1993</v>
      </c>
      <c r="H371" s="52">
        <f t="shared" si="98"/>
        <v>174007.47</v>
      </c>
      <c r="I371" s="37">
        <f t="shared" si="98"/>
        <v>2021</v>
      </c>
      <c r="J371" s="52">
        <f t="shared" si="98"/>
        <v>10</v>
      </c>
      <c r="K371" s="177">
        <f t="shared" si="98"/>
        <v>0</v>
      </c>
      <c r="L371" s="52">
        <f t="shared" si="98"/>
        <v>0</v>
      </c>
      <c r="N371" s="43">
        <f t="shared" si="21"/>
        <v>0</v>
      </c>
      <c r="P371" s="38">
        <f t="shared" si="7"/>
        <v>0</v>
      </c>
      <c r="R371" s="43">
        <f t="shared" si="93"/>
        <v>0</v>
      </c>
      <c r="S371" s="43">
        <f t="shared" si="93"/>
        <v>0</v>
      </c>
      <c r="T371" s="43">
        <f t="shared" si="93"/>
        <v>0</v>
      </c>
      <c r="U371" s="43">
        <f t="shared" si="93"/>
        <v>0</v>
      </c>
      <c r="V371" s="43">
        <f t="shared" si="93"/>
        <v>0</v>
      </c>
      <c r="X371" s="43">
        <f t="shared" si="94"/>
        <v>0</v>
      </c>
      <c r="Y371" s="43">
        <f t="shared" si="94"/>
        <v>0</v>
      </c>
      <c r="Z371" s="43">
        <f t="shared" si="94"/>
        <v>0</v>
      </c>
      <c r="AA371" s="43">
        <f t="shared" si="94"/>
        <v>0</v>
      </c>
      <c r="AB371" s="43">
        <f t="shared" si="94"/>
        <v>0</v>
      </c>
      <c r="AD371" s="43">
        <f t="shared" si="22"/>
        <v>0</v>
      </c>
      <c r="AE371" s="43">
        <f t="shared" si="23"/>
        <v>0</v>
      </c>
      <c r="AF371" s="43">
        <f t="shared" si="24"/>
        <v>0</v>
      </c>
      <c r="AG371" s="43">
        <f t="shared" si="25"/>
        <v>0</v>
      </c>
      <c r="AH371" s="43">
        <f t="shared" si="26"/>
        <v>0</v>
      </c>
      <c r="AJ371" s="43">
        <f t="shared" si="13"/>
        <v>0</v>
      </c>
      <c r="AK371" s="43">
        <f t="shared" si="14"/>
        <v>0</v>
      </c>
      <c r="AL371" s="43">
        <f t="shared" si="15"/>
        <v>0</v>
      </c>
      <c r="AM371" s="43">
        <f t="shared" si="16"/>
        <v>0</v>
      </c>
      <c r="AN371" s="43">
        <f t="shared" si="17"/>
        <v>0</v>
      </c>
    </row>
    <row r="372" spans="2:40">
      <c r="B372" s="37" t="str">
        <f t="shared" ref="B372:B435" si="99">B124</f>
        <v>Asset 66</v>
      </c>
      <c r="F372" s="37" t="str">
        <f t="shared" ref="F372:L372" si="100">F124</f>
        <v>20 Kantoorgebouwen</v>
      </c>
      <c r="G372" s="37">
        <f t="shared" si="100"/>
        <v>1991</v>
      </c>
      <c r="H372" s="52">
        <f t="shared" si="100"/>
        <v>475302.12</v>
      </c>
      <c r="I372" s="37">
        <f t="shared" si="100"/>
        <v>2021</v>
      </c>
      <c r="J372" s="52">
        <f t="shared" si="100"/>
        <v>30</v>
      </c>
      <c r="K372" s="177">
        <f t="shared" si="100"/>
        <v>0</v>
      </c>
      <c r="L372" s="52">
        <f t="shared" si="100"/>
        <v>0</v>
      </c>
      <c r="N372" s="43">
        <f t="shared" si="21"/>
        <v>0</v>
      </c>
      <c r="P372" s="38">
        <f t="shared" ref="P372:P435" si="101">MAX(0,IF(G372&lt;=2021, J372-2021+G372-0.5,J372))</f>
        <v>0</v>
      </c>
      <c r="R372" s="43">
        <f t="shared" si="93"/>
        <v>0</v>
      </c>
      <c r="S372" s="43">
        <f t="shared" si="93"/>
        <v>0</v>
      </c>
      <c r="T372" s="43">
        <f t="shared" si="93"/>
        <v>0</v>
      </c>
      <c r="U372" s="43">
        <f t="shared" si="93"/>
        <v>0</v>
      </c>
      <c r="V372" s="43">
        <f t="shared" si="93"/>
        <v>0</v>
      </c>
      <c r="X372" s="43">
        <f t="shared" si="94"/>
        <v>0</v>
      </c>
      <c r="Y372" s="43">
        <f t="shared" si="94"/>
        <v>0</v>
      </c>
      <c r="Z372" s="43">
        <f t="shared" si="94"/>
        <v>0</v>
      </c>
      <c r="AA372" s="43">
        <f t="shared" si="94"/>
        <v>0</v>
      </c>
      <c r="AB372" s="43">
        <f t="shared" si="94"/>
        <v>0</v>
      </c>
      <c r="AD372" s="43">
        <f t="shared" si="22"/>
        <v>0</v>
      </c>
      <c r="AE372" s="43">
        <f t="shared" si="23"/>
        <v>0</v>
      </c>
      <c r="AF372" s="43">
        <f t="shared" si="24"/>
        <v>0</v>
      </c>
      <c r="AG372" s="43">
        <f t="shared" si="25"/>
        <v>0</v>
      </c>
      <c r="AH372" s="43">
        <f t="shared" si="26"/>
        <v>0</v>
      </c>
      <c r="AJ372" s="43">
        <f t="shared" ref="AJ372:AJ435" si="102">(R372+X372+AD372*I$16)*IF($K372=1,$F$19,1)</f>
        <v>0</v>
      </c>
      <c r="AK372" s="43">
        <f t="shared" ref="AK372:AK435" si="103">(S372+Y372+AE372*J$16)*IF($K372=1,$F$19,1)</f>
        <v>0</v>
      </c>
      <c r="AL372" s="43">
        <f t="shared" ref="AL372:AL435" si="104">(T372+Z372+AF372*K$16)*IF($K372=1,$F$19,1)</f>
        <v>0</v>
      </c>
      <c r="AM372" s="43">
        <f t="shared" ref="AM372:AM435" si="105">(U372+AA372+AG372*L$16)*IF($K372=1,$F$19,1)</f>
        <v>0</v>
      </c>
      <c r="AN372" s="43">
        <f t="shared" ref="AN372:AN435" si="106">(V372+AB372+AH372*M$16)*IF($K372=1,$F$19,1)</f>
        <v>0</v>
      </c>
    </row>
    <row r="373" spans="2:40">
      <c r="B373" s="37" t="str">
        <f t="shared" si="99"/>
        <v>Asset 67</v>
      </c>
      <c r="F373" s="37" t="str">
        <f t="shared" ref="F373:L373" si="107">F125</f>
        <v>08 Inrichting gebouwen</v>
      </c>
      <c r="G373" s="37">
        <f t="shared" si="107"/>
        <v>1995</v>
      </c>
      <c r="H373" s="52">
        <f t="shared" si="107"/>
        <v>365539.92999999993</v>
      </c>
      <c r="I373" s="37">
        <f t="shared" si="107"/>
        <v>2021</v>
      </c>
      <c r="J373" s="52">
        <f t="shared" si="107"/>
        <v>10</v>
      </c>
      <c r="K373" s="177">
        <f t="shared" si="107"/>
        <v>0</v>
      </c>
      <c r="L373" s="52">
        <f t="shared" si="107"/>
        <v>0</v>
      </c>
      <c r="N373" s="43">
        <f t="shared" si="21"/>
        <v>0</v>
      </c>
      <c r="P373" s="38">
        <f t="shared" si="101"/>
        <v>0</v>
      </c>
      <c r="R373" s="43">
        <f t="shared" si="93"/>
        <v>0</v>
      </c>
      <c r="S373" s="43">
        <f t="shared" si="93"/>
        <v>0</v>
      </c>
      <c r="T373" s="43">
        <f t="shared" si="93"/>
        <v>0</v>
      </c>
      <c r="U373" s="43">
        <f t="shared" si="93"/>
        <v>0</v>
      </c>
      <c r="V373" s="43">
        <f t="shared" si="93"/>
        <v>0</v>
      </c>
      <c r="X373" s="43">
        <f t="shared" si="94"/>
        <v>0</v>
      </c>
      <c r="Y373" s="43">
        <f t="shared" si="94"/>
        <v>0</v>
      </c>
      <c r="Z373" s="43">
        <f t="shared" si="94"/>
        <v>0</v>
      </c>
      <c r="AA373" s="43">
        <f t="shared" si="94"/>
        <v>0</v>
      </c>
      <c r="AB373" s="43">
        <f t="shared" si="94"/>
        <v>0</v>
      </c>
      <c r="AD373" s="43">
        <f t="shared" si="22"/>
        <v>0</v>
      </c>
      <c r="AE373" s="43">
        <f t="shared" si="23"/>
        <v>0</v>
      </c>
      <c r="AF373" s="43">
        <f t="shared" si="24"/>
        <v>0</v>
      </c>
      <c r="AG373" s="43">
        <f t="shared" si="25"/>
        <v>0</v>
      </c>
      <c r="AH373" s="43">
        <f t="shared" si="26"/>
        <v>0</v>
      </c>
      <c r="AJ373" s="43">
        <f t="shared" si="102"/>
        <v>0</v>
      </c>
      <c r="AK373" s="43">
        <f t="shared" si="103"/>
        <v>0</v>
      </c>
      <c r="AL373" s="43">
        <f t="shared" si="104"/>
        <v>0</v>
      </c>
      <c r="AM373" s="43">
        <f t="shared" si="105"/>
        <v>0</v>
      </c>
      <c r="AN373" s="43">
        <f t="shared" si="106"/>
        <v>0</v>
      </c>
    </row>
    <row r="374" spans="2:40">
      <c r="B374" s="37" t="str">
        <f t="shared" si="99"/>
        <v>Asset 68</v>
      </c>
      <c r="F374" s="37" t="str">
        <f t="shared" ref="F374:L374" si="108">F126</f>
        <v>08 Inrichting gebouwen</v>
      </c>
      <c r="G374" s="37">
        <f t="shared" si="108"/>
        <v>1994</v>
      </c>
      <c r="H374" s="52">
        <f t="shared" si="108"/>
        <v>6615395.4499999993</v>
      </c>
      <c r="I374" s="37">
        <f t="shared" si="108"/>
        <v>2021</v>
      </c>
      <c r="J374" s="52">
        <f t="shared" si="108"/>
        <v>10</v>
      </c>
      <c r="K374" s="177">
        <f t="shared" si="108"/>
        <v>0</v>
      </c>
      <c r="L374" s="52">
        <f t="shared" si="108"/>
        <v>0</v>
      </c>
      <c r="N374" s="43">
        <f t="shared" si="21"/>
        <v>0</v>
      </c>
      <c r="P374" s="38">
        <f t="shared" si="101"/>
        <v>0</v>
      </c>
      <c r="R374" s="43">
        <f t="shared" si="93"/>
        <v>0</v>
      </c>
      <c r="S374" s="43">
        <f t="shared" si="93"/>
        <v>0</v>
      </c>
      <c r="T374" s="43">
        <f t="shared" si="93"/>
        <v>0</v>
      </c>
      <c r="U374" s="43">
        <f t="shared" si="93"/>
        <v>0</v>
      </c>
      <c r="V374" s="43">
        <f t="shared" si="93"/>
        <v>0</v>
      </c>
      <c r="X374" s="43">
        <f t="shared" si="94"/>
        <v>0</v>
      </c>
      <c r="Y374" s="43">
        <f t="shared" si="94"/>
        <v>0</v>
      </c>
      <c r="Z374" s="43">
        <f t="shared" si="94"/>
        <v>0</v>
      </c>
      <c r="AA374" s="43">
        <f t="shared" si="94"/>
        <v>0</v>
      </c>
      <c r="AB374" s="43">
        <f t="shared" si="94"/>
        <v>0</v>
      </c>
      <c r="AD374" s="43">
        <f t="shared" si="22"/>
        <v>0</v>
      </c>
      <c r="AE374" s="43">
        <f t="shared" si="23"/>
        <v>0</v>
      </c>
      <c r="AF374" s="43">
        <f t="shared" si="24"/>
        <v>0</v>
      </c>
      <c r="AG374" s="43">
        <f t="shared" si="25"/>
        <v>0</v>
      </c>
      <c r="AH374" s="43">
        <f t="shared" si="26"/>
        <v>0</v>
      </c>
      <c r="AJ374" s="43">
        <f t="shared" si="102"/>
        <v>0</v>
      </c>
      <c r="AK374" s="43">
        <f t="shared" si="103"/>
        <v>0</v>
      </c>
      <c r="AL374" s="43">
        <f t="shared" si="104"/>
        <v>0</v>
      </c>
      <c r="AM374" s="43">
        <f t="shared" si="105"/>
        <v>0</v>
      </c>
      <c r="AN374" s="43">
        <f t="shared" si="106"/>
        <v>0</v>
      </c>
    </row>
    <row r="375" spans="2:40">
      <c r="B375" s="37" t="str">
        <f t="shared" si="99"/>
        <v>Asset 69</v>
      </c>
      <c r="F375" s="37" t="str">
        <f t="shared" ref="F375:L375" si="109">F127</f>
        <v>20 Kantoorgebouwen</v>
      </c>
      <c r="G375" s="37">
        <f t="shared" si="109"/>
        <v>1998</v>
      </c>
      <c r="H375" s="52">
        <f t="shared" si="109"/>
        <v>789493.11</v>
      </c>
      <c r="I375" s="37">
        <f t="shared" si="109"/>
        <v>2021</v>
      </c>
      <c r="J375" s="52">
        <f t="shared" si="109"/>
        <v>30</v>
      </c>
      <c r="K375" s="177">
        <f t="shared" si="109"/>
        <v>0</v>
      </c>
      <c r="L375" s="52">
        <f t="shared" si="109"/>
        <v>263672.8175889462</v>
      </c>
      <c r="N375" s="43">
        <f t="shared" ref="N375:N438" si="110">L375*IF(K375=1,$F$19,1)</f>
        <v>263672.8175889462</v>
      </c>
      <c r="P375" s="38">
        <f t="shared" si="101"/>
        <v>6.5</v>
      </c>
      <c r="R375" s="43">
        <f t="shared" si="93"/>
        <v>47461.107166010319</v>
      </c>
      <c r="S375" s="43">
        <f t="shared" si="93"/>
        <v>37968.885732808259</v>
      </c>
      <c r="T375" s="43">
        <f t="shared" si="93"/>
        <v>33750.120651385114</v>
      </c>
      <c r="U375" s="43">
        <f t="shared" si="93"/>
        <v>33750.120651385114</v>
      </c>
      <c r="V375" s="43">
        <f t="shared" si="93"/>
        <v>33750.120651385114</v>
      </c>
      <c r="X375" s="43">
        <f t="shared" si="94"/>
        <v>4056.504885983788</v>
      </c>
      <c r="Y375" s="43">
        <f t="shared" si="94"/>
        <v>4056.5048859837875</v>
      </c>
      <c r="Z375" s="43">
        <f t="shared" si="94"/>
        <v>4056.5048859837875</v>
      </c>
      <c r="AA375" s="43">
        <f t="shared" si="94"/>
        <v>4056.5048859837875</v>
      </c>
      <c r="AB375" s="43">
        <f t="shared" si="94"/>
        <v>4056.5048859837875</v>
      </c>
      <c r="AD375" s="43">
        <f t="shared" ref="AD375:AD438" si="111">IF(OR(AD$305&lt;=$G375+$J375,$J375=0),IF(AC375=0,$L375,AC375)-R375-X375,0)</f>
        <v>212155.2055369521</v>
      </c>
      <c r="AE375" s="43">
        <f t="shared" ref="AE375:AE438" si="112">IF(OR(AE$305&lt;=$G375+$J375,$J375=0),IF(AD375=0,$L375,AD375)-S375-Y375,0)</f>
        <v>170129.81491816003</v>
      </c>
      <c r="AF375" s="43">
        <f t="shared" ref="AF375:AF438" si="113">IF(OR(AF$305&lt;=$G375+$J375,$J375=0),IF(AE375=0,$L375,AE375)-T375-Z375,0)</f>
        <v>132323.18938079113</v>
      </c>
      <c r="AG375" s="43">
        <f t="shared" ref="AG375:AG438" si="114">IF(OR(AG$305&lt;=$G375+$J375,$J375=0),IF(AF375=0,$L375,AF375)-U375-AA375,0)</f>
        <v>94516.563843422235</v>
      </c>
      <c r="AH375" s="43">
        <f t="shared" ref="AH375:AH438" si="115">IF(OR(AH$305&lt;=$G375+$J375,$J375=0),IF(AG375=0,$L375,AG375)-V375-AB375,0)</f>
        <v>56709.938306053336</v>
      </c>
      <c r="AJ375" s="43">
        <f t="shared" si="102"/>
        <v>58730.889040250477</v>
      </c>
      <c r="AK375" s="43">
        <f t="shared" si="103"/>
        <v>47639.674511091325</v>
      </c>
      <c r="AL375" s="43">
        <f t="shared" si="104"/>
        <v>42834.906733838958</v>
      </c>
      <c r="AM375" s="43">
        <f t="shared" si="105"/>
        <v>41398.254963418942</v>
      </c>
      <c r="AN375" s="43">
        <f t="shared" si="106"/>
        <v>39961.603192998926</v>
      </c>
    </row>
    <row r="376" spans="2:40">
      <c r="B376" s="37" t="str">
        <f t="shared" si="99"/>
        <v>Asset 70</v>
      </c>
      <c r="F376" s="37" t="str">
        <f t="shared" ref="F376:L376" si="116">F128</f>
        <v>20 Kantoorgebouwen</v>
      </c>
      <c r="G376" s="37">
        <f t="shared" si="116"/>
        <v>1995</v>
      </c>
      <c r="H376" s="52">
        <f t="shared" si="116"/>
        <v>93310335.520000011</v>
      </c>
      <c r="I376" s="37">
        <f t="shared" si="116"/>
        <v>2021</v>
      </c>
      <c r="J376" s="52">
        <f t="shared" si="116"/>
        <v>30</v>
      </c>
      <c r="K376" s="177">
        <f t="shared" si="116"/>
        <v>0</v>
      </c>
      <c r="L376" s="52">
        <f t="shared" si="116"/>
        <v>17806929.596040629</v>
      </c>
      <c r="N376" s="43">
        <f t="shared" si="110"/>
        <v>17806929.596040629</v>
      </c>
      <c r="P376" s="38">
        <f t="shared" si="101"/>
        <v>3.5</v>
      </c>
      <c r="R376" s="43">
        <f t="shared" si="93"/>
        <v>5952602.1792478682</v>
      </c>
      <c r="S376" s="43">
        <f t="shared" si="93"/>
        <v>4029453.7828754797</v>
      </c>
      <c r="T376" s="43">
        <f t="shared" si="93"/>
        <v>4029453.7828754797</v>
      </c>
      <c r="U376" s="43">
        <f t="shared" si="93"/>
        <v>2014726.8914377398</v>
      </c>
      <c r="V376" s="43">
        <f t="shared" si="93"/>
        <v>0</v>
      </c>
      <c r="X376" s="43">
        <f t="shared" si="94"/>
        <v>508769.41702973231</v>
      </c>
      <c r="Y376" s="43">
        <f t="shared" si="94"/>
        <v>508769.41702973231</v>
      </c>
      <c r="Z376" s="43">
        <f t="shared" si="94"/>
        <v>508769.41702973231</v>
      </c>
      <c r="AA376" s="43">
        <f t="shared" si="94"/>
        <v>254384.70851486616</v>
      </c>
      <c r="AB376" s="43">
        <f t="shared" si="94"/>
        <v>0</v>
      </c>
      <c r="AD376" s="43">
        <f t="shared" si="111"/>
        <v>11345557.999763029</v>
      </c>
      <c r="AE376" s="43">
        <f t="shared" si="112"/>
        <v>6807334.7998578167</v>
      </c>
      <c r="AF376" s="43">
        <f t="shared" si="113"/>
        <v>2269111.5999526046</v>
      </c>
      <c r="AG376" s="43">
        <f t="shared" si="114"/>
        <v>-1.3678800314664841E-9</v>
      </c>
      <c r="AH376" s="43">
        <f t="shared" si="115"/>
        <v>0</v>
      </c>
      <c r="AJ376" s="43">
        <f t="shared" si="102"/>
        <v>6847120.5682695433</v>
      </c>
      <c r="AK376" s="43">
        <f t="shared" si="103"/>
        <v>4762865.2483005198</v>
      </c>
      <c r="AL376" s="43">
        <f t="shared" si="104"/>
        <v>4624449.4407034107</v>
      </c>
      <c r="AM376" s="43">
        <f t="shared" si="105"/>
        <v>2269111.599952606</v>
      </c>
      <c r="AN376" s="43">
        <f t="shared" si="106"/>
        <v>0</v>
      </c>
    </row>
    <row r="377" spans="2:40">
      <c r="B377" s="37" t="str">
        <f t="shared" si="99"/>
        <v>Asset 71</v>
      </c>
      <c r="F377" s="37" t="str">
        <f t="shared" ref="F377:L377" si="117">F129</f>
        <v>09 Bedrijfsinventaris</v>
      </c>
      <c r="G377" s="37">
        <f t="shared" si="117"/>
        <v>1997</v>
      </c>
      <c r="H377" s="52">
        <f t="shared" si="117"/>
        <v>3767.74</v>
      </c>
      <c r="I377" s="37">
        <f t="shared" si="117"/>
        <v>2021</v>
      </c>
      <c r="J377" s="52">
        <f t="shared" si="117"/>
        <v>10</v>
      </c>
      <c r="K377" s="177">
        <f t="shared" si="117"/>
        <v>1</v>
      </c>
      <c r="L377" s="52">
        <f t="shared" si="117"/>
        <v>0</v>
      </c>
      <c r="N377" s="43">
        <f t="shared" si="110"/>
        <v>0</v>
      </c>
      <c r="P377" s="38">
        <f t="shared" si="101"/>
        <v>0</v>
      </c>
      <c r="R377" s="43">
        <f t="shared" ref="R377:V386" si="118">IF(R$305&lt;=$G377+$J377,VDB($L377*(1-$F$25),0,$P377,R$305-2022,MIN(R$305-2021,$P377),$F$22),0)</f>
        <v>0</v>
      </c>
      <c r="S377" s="43">
        <f t="shared" si="118"/>
        <v>0</v>
      </c>
      <c r="T377" s="43">
        <f t="shared" si="118"/>
        <v>0</v>
      </c>
      <c r="U377" s="43">
        <f t="shared" si="118"/>
        <v>0</v>
      </c>
      <c r="V377" s="43">
        <f t="shared" si="118"/>
        <v>0</v>
      </c>
      <c r="X377" s="43">
        <f t="shared" ref="X377:AB386" si="119">IF(X$305&lt;=$G377+$J377,VDB($L377*$F$25,0,$P377,X$305-2022,MIN(X$305-2021,$P377),1),0)</f>
        <v>0</v>
      </c>
      <c r="Y377" s="43">
        <f t="shared" si="119"/>
        <v>0</v>
      </c>
      <c r="Z377" s="43">
        <f t="shared" si="119"/>
        <v>0</v>
      </c>
      <c r="AA377" s="43">
        <f t="shared" si="119"/>
        <v>0</v>
      </c>
      <c r="AB377" s="43">
        <f t="shared" si="119"/>
        <v>0</v>
      </c>
      <c r="AD377" s="43">
        <f t="shared" si="111"/>
        <v>0</v>
      </c>
      <c r="AE377" s="43">
        <f t="shared" si="112"/>
        <v>0</v>
      </c>
      <c r="AF377" s="43">
        <f t="shared" si="113"/>
        <v>0</v>
      </c>
      <c r="AG377" s="43">
        <f t="shared" si="114"/>
        <v>0</v>
      </c>
      <c r="AH377" s="43">
        <f t="shared" si="115"/>
        <v>0</v>
      </c>
      <c r="AJ377" s="43">
        <f t="shared" si="102"/>
        <v>0</v>
      </c>
      <c r="AK377" s="43">
        <f t="shared" si="103"/>
        <v>0</v>
      </c>
      <c r="AL377" s="43">
        <f t="shared" si="104"/>
        <v>0</v>
      </c>
      <c r="AM377" s="43">
        <f t="shared" si="105"/>
        <v>0</v>
      </c>
      <c r="AN377" s="43">
        <f t="shared" si="106"/>
        <v>0</v>
      </c>
    </row>
    <row r="378" spans="2:40">
      <c r="B378" s="37" t="str">
        <f t="shared" si="99"/>
        <v>Asset 72</v>
      </c>
      <c r="F378" s="37" t="str">
        <f t="shared" ref="F378:L378" si="120">F130</f>
        <v>08 Inrichting gebouwen</v>
      </c>
      <c r="G378" s="37">
        <f t="shared" si="120"/>
        <v>2002</v>
      </c>
      <c r="H378" s="52">
        <f t="shared" si="120"/>
        <v>257167.26</v>
      </c>
      <c r="I378" s="37">
        <f t="shared" si="120"/>
        <v>2021</v>
      </c>
      <c r="J378" s="52">
        <f t="shared" si="120"/>
        <v>10</v>
      </c>
      <c r="K378" s="177">
        <f t="shared" si="120"/>
        <v>0</v>
      </c>
      <c r="L378" s="52">
        <f t="shared" si="120"/>
        <v>0</v>
      </c>
      <c r="N378" s="43">
        <f t="shared" si="110"/>
        <v>0</v>
      </c>
      <c r="P378" s="38">
        <f t="shared" si="101"/>
        <v>0</v>
      </c>
      <c r="R378" s="43">
        <f t="shared" si="118"/>
        <v>0</v>
      </c>
      <c r="S378" s="43">
        <f t="shared" si="118"/>
        <v>0</v>
      </c>
      <c r="T378" s="43">
        <f t="shared" si="118"/>
        <v>0</v>
      </c>
      <c r="U378" s="43">
        <f t="shared" si="118"/>
        <v>0</v>
      </c>
      <c r="V378" s="43">
        <f t="shared" si="118"/>
        <v>0</v>
      </c>
      <c r="X378" s="43">
        <f t="shared" si="119"/>
        <v>0</v>
      </c>
      <c r="Y378" s="43">
        <f t="shared" si="119"/>
        <v>0</v>
      </c>
      <c r="Z378" s="43">
        <f t="shared" si="119"/>
        <v>0</v>
      </c>
      <c r="AA378" s="43">
        <f t="shared" si="119"/>
        <v>0</v>
      </c>
      <c r="AB378" s="43">
        <f t="shared" si="119"/>
        <v>0</v>
      </c>
      <c r="AD378" s="43">
        <f t="shared" si="111"/>
        <v>0</v>
      </c>
      <c r="AE378" s="43">
        <f t="shared" si="112"/>
        <v>0</v>
      </c>
      <c r="AF378" s="43">
        <f t="shared" si="113"/>
        <v>0</v>
      </c>
      <c r="AG378" s="43">
        <f t="shared" si="114"/>
        <v>0</v>
      </c>
      <c r="AH378" s="43">
        <f t="shared" si="115"/>
        <v>0</v>
      </c>
      <c r="AJ378" s="43">
        <f t="shared" si="102"/>
        <v>0</v>
      </c>
      <c r="AK378" s="43">
        <f t="shared" si="103"/>
        <v>0</v>
      </c>
      <c r="AL378" s="43">
        <f t="shared" si="104"/>
        <v>0</v>
      </c>
      <c r="AM378" s="43">
        <f t="shared" si="105"/>
        <v>0</v>
      </c>
      <c r="AN378" s="43">
        <f t="shared" si="106"/>
        <v>0</v>
      </c>
    </row>
    <row r="379" spans="2:40">
      <c r="B379" s="37" t="str">
        <f t="shared" si="99"/>
        <v>Asset 73</v>
      </c>
      <c r="F379" s="37" t="str">
        <f t="shared" ref="F379:L379" si="121">F131</f>
        <v>20 Kantoorgebouwen</v>
      </c>
      <c r="G379" s="37">
        <f t="shared" si="121"/>
        <v>1997</v>
      </c>
      <c r="H379" s="52">
        <f t="shared" si="121"/>
        <v>9956.39</v>
      </c>
      <c r="I379" s="37">
        <f t="shared" si="121"/>
        <v>2021</v>
      </c>
      <c r="J379" s="52">
        <f t="shared" si="121"/>
        <v>30</v>
      </c>
      <c r="K379" s="177">
        <f t="shared" si="121"/>
        <v>0</v>
      </c>
      <c r="L379" s="52">
        <f t="shared" si="121"/>
        <v>2886.7927731398736</v>
      </c>
      <c r="N379" s="43">
        <f t="shared" si="110"/>
        <v>2886.7927731398736</v>
      </c>
      <c r="P379" s="38">
        <f t="shared" si="101"/>
        <v>5.5</v>
      </c>
      <c r="R379" s="43">
        <f t="shared" si="118"/>
        <v>614.09955355884586</v>
      </c>
      <c r="S379" s="43">
        <f t="shared" si="118"/>
        <v>468.94874999039138</v>
      </c>
      <c r="T379" s="43">
        <f t="shared" si="118"/>
        <v>432.8757692218997</v>
      </c>
      <c r="U379" s="43">
        <f t="shared" si="118"/>
        <v>432.8757692218997</v>
      </c>
      <c r="V379" s="43">
        <f t="shared" si="118"/>
        <v>432.8757692218997</v>
      </c>
      <c r="X379" s="43">
        <f t="shared" si="119"/>
        <v>52.487141329815884</v>
      </c>
      <c r="Y379" s="43">
        <f t="shared" si="119"/>
        <v>52.487141329815891</v>
      </c>
      <c r="Z379" s="43">
        <f t="shared" si="119"/>
        <v>52.487141329815891</v>
      </c>
      <c r="AA379" s="43">
        <f t="shared" si="119"/>
        <v>52.487141329815891</v>
      </c>
      <c r="AB379" s="43">
        <f t="shared" si="119"/>
        <v>52.487141329815891</v>
      </c>
      <c r="AD379" s="43">
        <f t="shared" si="111"/>
        <v>2220.2060782512117</v>
      </c>
      <c r="AE379" s="43">
        <f t="shared" si="112"/>
        <v>1698.7701869310044</v>
      </c>
      <c r="AF379" s="43">
        <f t="shared" si="113"/>
        <v>1213.407276379289</v>
      </c>
      <c r="AG379" s="43">
        <f t="shared" si="114"/>
        <v>728.04436582757342</v>
      </c>
      <c r="AH379" s="43">
        <f t="shared" si="115"/>
        <v>242.68145527585781</v>
      </c>
      <c r="AJ379" s="43">
        <f t="shared" si="102"/>
        <v>742.07370154920295</v>
      </c>
      <c r="AK379" s="43">
        <f t="shared" si="103"/>
        <v>577.49530748893039</v>
      </c>
      <c r="AL379" s="43">
        <f t="shared" si="104"/>
        <v>531.4723870541286</v>
      </c>
      <c r="AM379" s="43">
        <f t="shared" si="105"/>
        <v>513.02859645316335</v>
      </c>
      <c r="AN379" s="43">
        <f t="shared" si="106"/>
        <v>494.58480585219814</v>
      </c>
    </row>
    <row r="380" spans="2:40">
      <c r="B380" s="37" t="str">
        <f t="shared" si="99"/>
        <v>Asset 74</v>
      </c>
      <c r="F380" s="37" t="str">
        <f t="shared" ref="F380:L380" si="122">F132</f>
        <v>09 Bedrijfsinventaris</v>
      </c>
      <c r="G380" s="37">
        <f t="shared" si="122"/>
        <v>2002</v>
      </c>
      <c r="H380" s="52">
        <f t="shared" si="122"/>
        <v>259859.76</v>
      </c>
      <c r="I380" s="37">
        <f t="shared" si="122"/>
        <v>2021</v>
      </c>
      <c r="J380" s="52">
        <f t="shared" si="122"/>
        <v>10</v>
      </c>
      <c r="K380" s="177">
        <f t="shared" si="122"/>
        <v>1</v>
      </c>
      <c r="L380" s="52">
        <f t="shared" si="122"/>
        <v>0</v>
      </c>
      <c r="N380" s="43">
        <f t="shared" si="110"/>
        <v>0</v>
      </c>
      <c r="P380" s="38">
        <f t="shared" si="101"/>
        <v>0</v>
      </c>
      <c r="R380" s="43">
        <f t="shared" si="118"/>
        <v>0</v>
      </c>
      <c r="S380" s="43">
        <f t="shared" si="118"/>
        <v>0</v>
      </c>
      <c r="T380" s="43">
        <f t="shared" si="118"/>
        <v>0</v>
      </c>
      <c r="U380" s="43">
        <f t="shared" si="118"/>
        <v>0</v>
      </c>
      <c r="V380" s="43">
        <f t="shared" si="118"/>
        <v>0</v>
      </c>
      <c r="X380" s="43">
        <f t="shared" si="119"/>
        <v>0</v>
      </c>
      <c r="Y380" s="43">
        <f t="shared" si="119"/>
        <v>0</v>
      </c>
      <c r="Z380" s="43">
        <f t="shared" si="119"/>
        <v>0</v>
      </c>
      <c r="AA380" s="43">
        <f t="shared" si="119"/>
        <v>0</v>
      </c>
      <c r="AB380" s="43">
        <f t="shared" si="119"/>
        <v>0</v>
      </c>
      <c r="AD380" s="43">
        <f t="shared" si="111"/>
        <v>0</v>
      </c>
      <c r="AE380" s="43">
        <f t="shared" si="112"/>
        <v>0</v>
      </c>
      <c r="AF380" s="43">
        <f t="shared" si="113"/>
        <v>0</v>
      </c>
      <c r="AG380" s="43">
        <f t="shared" si="114"/>
        <v>0</v>
      </c>
      <c r="AH380" s="43">
        <f t="shared" si="115"/>
        <v>0</v>
      </c>
      <c r="AJ380" s="43">
        <f t="shared" si="102"/>
        <v>0</v>
      </c>
      <c r="AK380" s="43">
        <f t="shared" si="103"/>
        <v>0</v>
      </c>
      <c r="AL380" s="43">
        <f t="shared" si="104"/>
        <v>0</v>
      </c>
      <c r="AM380" s="43">
        <f t="shared" si="105"/>
        <v>0</v>
      </c>
      <c r="AN380" s="43">
        <f t="shared" si="106"/>
        <v>0</v>
      </c>
    </row>
    <row r="381" spans="2:40">
      <c r="B381" s="37" t="str">
        <f t="shared" si="99"/>
        <v>Asset 75</v>
      </c>
      <c r="F381" s="37" t="str">
        <f t="shared" ref="F381:L381" si="123">F133</f>
        <v>37 ICT middelen 1</v>
      </c>
      <c r="G381" s="37">
        <f t="shared" si="123"/>
        <v>1998</v>
      </c>
      <c r="H381" s="52">
        <f t="shared" si="123"/>
        <v>194674.43</v>
      </c>
      <c r="I381" s="37">
        <f t="shared" si="123"/>
        <v>2021</v>
      </c>
      <c r="J381" s="52">
        <f t="shared" si="123"/>
        <v>5</v>
      </c>
      <c r="K381" s="177">
        <f t="shared" si="123"/>
        <v>1</v>
      </c>
      <c r="L381" s="52">
        <f t="shared" si="123"/>
        <v>0</v>
      </c>
      <c r="N381" s="43">
        <f t="shared" si="110"/>
        <v>0</v>
      </c>
      <c r="P381" s="38">
        <f t="shared" si="101"/>
        <v>0</v>
      </c>
      <c r="R381" s="43">
        <f t="shared" si="118"/>
        <v>0</v>
      </c>
      <c r="S381" s="43">
        <f t="shared" si="118"/>
        <v>0</v>
      </c>
      <c r="T381" s="43">
        <f t="shared" si="118"/>
        <v>0</v>
      </c>
      <c r="U381" s="43">
        <f t="shared" si="118"/>
        <v>0</v>
      </c>
      <c r="V381" s="43">
        <f t="shared" si="118"/>
        <v>0</v>
      </c>
      <c r="X381" s="43">
        <f t="shared" si="119"/>
        <v>0</v>
      </c>
      <c r="Y381" s="43">
        <f t="shared" si="119"/>
        <v>0</v>
      </c>
      <c r="Z381" s="43">
        <f t="shared" si="119"/>
        <v>0</v>
      </c>
      <c r="AA381" s="43">
        <f t="shared" si="119"/>
        <v>0</v>
      </c>
      <c r="AB381" s="43">
        <f t="shared" si="119"/>
        <v>0</v>
      </c>
      <c r="AD381" s="43">
        <f t="shared" si="111"/>
        <v>0</v>
      </c>
      <c r="AE381" s="43">
        <f t="shared" si="112"/>
        <v>0</v>
      </c>
      <c r="AF381" s="43">
        <f t="shared" si="113"/>
        <v>0</v>
      </c>
      <c r="AG381" s="43">
        <f t="shared" si="114"/>
        <v>0</v>
      </c>
      <c r="AH381" s="43">
        <f t="shared" si="115"/>
        <v>0</v>
      </c>
      <c r="AJ381" s="43">
        <f t="shared" si="102"/>
        <v>0</v>
      </c>
      <c r="AK381" s="43">
        <f t="shared" si="103"/>
        <v>0</v>
      </c>
      <c r="AL381" s="43">
        <f t="shared" si="104"/>
        <v>0</v>
      </c>
      <c r="AM381" s="43">
        <f t="shared" si="105"/>
        <v>0</v>
      </c>
      <c r="AN381" s="43">
        <f t="shared" si="106"/>
        <v>0</v>
      </c>
    </row>
    <row r="382" spans="2:40">
      <c r="B382" s="37" t="str">
        <f t="shared" si="99"/>
        <v>Asset 76</v>
      </c>
      <c r="F382" s="37" t="str">
        <f t="shared" ref="F382:L382" si="124">F134</f>
        <v>13 Aanhangwagens</v>
      </c>
      <c r="G382" s="37">
        <f t="shared" si="124"/>
        <v>2000</v>
      </c>
      <c r="H382" s="52">
        <f t="shared" si="124"/>
        <v>5437.76</v>
      </c>
      <c r="I382" s="37">
        <f t="shared" si="124"/>
        <v>2021</v>
      </c>
      <c r="J382" s="52">
        <f t="shared" si="124"/>
        <v>10</v>
      </c>
      <c r="K382" s="177">
        <f t="shared" si="124"/>
        <v>1</v>
      </c>
      <c r="L382" s="52">
        <f t="shared" si="124"/>
        <v>0</v>
      </c>
      <c r="N382" s="43">
        <f t="shared" si="110"/>
        <v>0</v>
      </c>
      <c r="P382" s="38">
        <f t="shared" si="101"/>
        <v>0</v>
      </c>
      <c r="R382" s="43">
        <f t="shared" si="118"/>
        <v>0</v>
      </c>
      <c r="S382" s="43">
        <f t="shared" si="118"/>
        <v>0</v>
      </c>
      <c r="T382" s="43">
        <f t="shared" si="118"/>
        <v>0</v>
      </c>
      <c r="U382" s="43">
        <f t="shared" si="118"/>
        <v>0</v>
      </c>
      <c r="V382" s="43">
        <f t="shared" si="118"/>
        <v>0</v>
      </c>
      <c r="X382" s="43">
        <f t="shared" si="119"/>
        <v>0</v>
      </c>
      <c r="Y382" s="43">
        <f t="shared" si="119"/>
        <v>0</v>
      </c>
      <c r="Z382" s="43">
        <f t="shared" si="119"/>
        <v>0</v>
      </c>
      <c r="AA382" s="43">
        <f t="shared" si="119"/>
        <v>0</v>
      </c>
      <c r="AB382" s="43">
        <f t="shared" si="119"/>
        <v>0</v>
      </c>
      <c r="AD382" s="43">
        <f t="shared" si="111"/>
        <v>0</v>
      </c>
      <c r="AE382" s="43">
        <f t="shared" si="112"/>
        <v>0</v>
      </c>
      <c r="AF382" s="43">
        <f t="shared" si="113"/>
        <v>0</v>
      </c>
      <c r="AG382" s="43">
        <f t="shared" si="114"/>
        <v>0</v>
      </c>
      <c r="AH382" s="43">
        <f t="shared" si="115"/>
        <v>0</v>
      </c>
      <c r="AJ382" s="43">
        <f t="shared" si="102"/>
        <v>0</v>
      </c>
      <c r="AK382" s="43">
        <f t="shared" si="103"/>
        <v>0</v>
      </c>
      <c r="AL382" s="43">
        <f t="shared" si="104"/>
        <v>0</v>
      </c>
      <c r="AM382" s="43">
        <f t="shared" si="105"/>
        <v>0</v>
      </c>
      <c r="AN382" s="43">
        <f t="shared" si="106"/>
        <v>0</v>
      </c>
    </row>
    <row r="383" spans="2:40">
      <c r="B383" s="37" t="str">
        <f t="shared" si="99"/>
        <v>Asset 77</v>
      </c>
      <c r="F383" s="37" t="str">
        <f t="shared" ref="F383:L383" si="125">F135</f>
        <v>09 Bedrijfsinventaris</v>
      </c>
      <c r="G383" s="37">
        <f t="shared" si="125"/>
        <v>1998</v>
      </c>
      <c r="H383" s="52">
        <f t="shared" si="125"/>
        <v>159402.09</v>
      </c>
      <c r="I383" s="37">
        <f t="shared" si="125"/>
        <v>2021</v>
      </c>
      <c r="J383" s="52">
        <f t="shared" si="125"/>
        <v>10</v>
      </c>
      <c r="K383" s="177">
        <f t="shared" si="125"/>
        <v>1</v>
      </c>
      <c r="L383" s="52">
        <f t="shared" si="125"/>
        <v>0</v>
      </c>
      <c r="N383" s="43">
        <f t="shared" si="110"/>
        <v>0</v>
      </c>
      <c r="P383" s="38">
        <f t="shared" si="101"/>
        <v>0</v>
      </c>
      <c r="R383" s="43">
        <f t="shared" si="118"/>
        <v>0</v>
      </c>
      <c r="S383" s="43">
        <f t="shared" si="118"/>
        <v>0</v>
      </c>
      <c r="T383" s="43">
        <f t="shared" si="118"/>
        <v>0</v>
      </c>
      <c r="U383" s="43">
        <f t="shared" si="118"/>
        <v>0</v>
      </c>
      <c r="V383" s="43">
        <f t="shared" si="118"/>
        <v>0</v>
      </c>
      <c r="X383" s="43">
        <f t="shared" si="119"/>
        <v>0</v>
      </c>
      <c r="Y383" s="43">
        <f t="shared" si="119"/>
        <v>0</v>
      </c>
      <c r="Z383" s="43">
        <f t="shared" si="119"/>
        <v>0</v>
      </c>
      <c r="AA383" s="43">
        <f t="shared" si="119"/>
        <v>0</v>
      </c>
      <c r="AB383" s="43">
        <f t="shared" si="119"/>
        <v>0</v>
      </c>
      <c r="AD383" s="43">
        <f t="shared" si="111"/>
        <v>0</v>
      </c>
      <c r="AE383" s="43">
        <f t="shared" si="112"/>
        <v>0</v>
      </c>
      <c r="AF383" s="43">
        <f t="shared" si="113"/>
        <v>0</v>
      </c>
      <c r="AG383" s="43">
        <f t="shared" si="114"/>
        <v>0</v>
      </c>
      <c r="AH383" s="43">
        <f t="shared" si="115"/>
        <v>0</v>
      </c>
      <c r="AJ383" s="43">
        <f t="shared" si="102"/>
        <v>0</v>
      </c>
      <c r="AK383" s="43">
        <f t="shared" si="103"/>
        <v>0</v>
      </c>
      <c r="AL383" s="43">
        <f t="shared" si="104"/>
        <v>0</v>
      </c>
      <c r="AM383" s="43">
        <f t="shared" si="105"/>
        <v>0</v>
      </c>
      <c r="AN383" s="43">
        <f t="shared" si="106"/>
        <v>0</v>
      </c>
    </row>
    <row r="384" spans="2:40">
      <c r="B384" s="37" t="str">
        <f t="shared" si="99"/>
        <v>Asset 78</v>
      </c>
      <c r="F384" s="37" t="str">
        <f t="shared" ref="F384:L384" si="126">F136</f>
        <v>08 Inrichting gebouwen</v>
      </c>
      <c r="G384" s="37">
        <f t="shared" si="126"/>
        <v>1998</v>
      </c>
      <c r="H384" s="52">
        <f t="shared" si="126"/>
        <v>120568.99000000002</v>
      </c>
      <c r="I384" s="37">
        <f t="shared" si="126"/>
        <v>2021</v>
      </c>
      <c r="J384" s="52">
        <f t="shared" si="126"/>
        <v>10</v>
      </c>
      <c r="K384" s="177">
        <f t="shared" si="126"/>
        <v>0</v>
      </c>
      <c r="L384" s="52">
        <f t="shared" si="126"/>
        <v>0</v>
      </c>
      <c r="N384" s="43">
        <f t="shared" si="110"/>
        <v>0</v>
      </c>
      <c r="P384" s="38">
        <f t="shared" si="101"/>
        <v>0</v>
      </c>
      <c r="R384" s="43">
        <f t="shared" si="118"/>
        <v>0</v>
      </c>
      <c r="S384" s="43">
        <f t="shared" si="118"/>
        <v>0</v>
      </c>
      <c r="T384" s="43">
        <f t="shared" si="118"/>
        <v>0</v>
      </c>
      <c r="U384" s="43">
        <f t="shared" si="118"/>
        <v>0</v>
      </c>
      <c r="V384" s="43">
        <f t="shared" si="118"/>
        <v>0</v>
      </c>
      <c r="X384" s="43">
        <f t="shared" si="119"/>
        <v>0</v>
      </c>
      <c r="Y384" s="43">
        <f t="shared" si="119"/>
        <v>0</v>
      </c>
      <c r="Z384" s="43">
        <f t="shared" si="119"/>
        <v>0</v>
      </c>
      <c r="AA384" s="43">
        <f t="shared" si="119"/>
        <v>0</v>
      </c>
      <c r="AB384" s="43">
        <f t="shared" si="119"/>
        <v>0</v>
      </c>
      <c r="AD384" s="43">
        <f t="shared" si="111"/>
        <v>0</v>
      </c>
      <c r="AE384" s="43">
        <f t="shared" si="112"/>
        <v>0</v>
      </c>
      <c r="AF384" s="43">
        <f t="shared" si="113"/>
        <v>0</v>
      </c>
      <c r="AG384" s="43">
        <f t="shared" si="114"/>
        <v>0</v>
      </c>
      <c r="AH384" s="43">
        <f t="shared" si="115"/>
        <v>0</v>
      </c>
      <c r="AJ384" s="43">
        <f t="shared" si="102"/>
        <v>0</v>
      </c>
      <c r="AK384" s="43">
        <f t="shared" si="103"/>
        <v>0</v>
      </c>
      <c r="AL384" s="43">
        <f t="shared" si="104"/>
        <v>0</v>
      </c>
      <c r="AM384" s="43">
        <f t="shared" si="105"/>
        <v>0</v>
      </c>
      <c r="AN384" s="43">
        <f t="shared" si="106"/>
        <v>0</v>
      </c>
    </row>
    <row r="385" spans="2:40">
      <c r="B385" s="37" t="str">
        <f t="shared" si="99"/>
        <v>Asset 79</v>
      </c>
      <c r="F385" s="37" t="str">
        <f t="shared" ref="F385:L385" si="127">F137</f>
        <v>37 ICT middelen 1</v>
      </c>
      <c r="G385" s="37">
        <f t="shared" si="127"/>
        <v>2002</v>
      </c>
      <c r="H385" s="52">
        <f t="shared" si="127"/>
        <v>342396.39</v>
      </c>
      <c r="I385" s="37">
        <f t="shared" si="127"/>
        <v>2021</v>
      </c>
      <c r="J385" s="52">
        <f t="shared" si="127"/>
        <v>5</v>
      </c>
      <c r="K385" s="177">
        <f t="shared" si="127"/>
        <v>1</v>
      </c>
      <c r="L385" s="52">
        <f t="shared" si="127"/>
        <v>0</v>
      </c>
      <c r="N385" s="43">
        <f t="shared" si="110"/>
        <v>0</v>
      </c>
      <c r="P385" s="38">
        <f t="shared" si="101"/>
        <v>0</v>
      </c>
      <c r="R385" s="43">
        <f t="shared" si="118"/>
        <v>0</v>
      </c>
      <c r="S385" s="43">
        <f t="shared" si="118"/>
        <v>0</v>
      </c>
      <c r="T385" s="43">
        <f t="shared" si="118"/>
        <v>0</v>
      </c>
      <c r="U385" s="43">
        <f t="shared" si="118"/>
        <v>0</v>
      </c>
      <c r="V385" s="43">
        <f t="shared" si="118"/>
        <v>0</v>
      </c>
      <c r="X385" s="43">
        <f t="shared" si="119"/>
        <v>0</v>
      </c>
      <c r="Y385" s="43">
        <f t="shared" si="119"/>
        <v>0</v>
      </c>
      <c r="Z385" s="43">
        <f t="shared" si="119"/>
        <v>0</v>
      </c>
      <c r="AA385" s="43">
        <f t="shared" si="119"/>
        <v>0</v>
      </c>
      <c r="AB385" s="43">
        <f t="shared" si="119"/>
        <v>0</v>
      </c>
      <c r="AD385" s="43">
        <f t="shared" si="111"/>
        <v>0</v>
      </c>
      <c r="AE385" s="43">
        <f t="shared" si="112"/>
        <v>0</v>
      </c>
      <c r="AF385" s="43">
        <f t="shared" si="113"/>
        <v>0</v>
      </c>
      <c r="AG385" s="43">
        <f t="shared" si="114"/>
        <v>0</v>
      </c>
      <c r="AH385" s="43">
        <f t="shared" si="115"/>
        <v>0</v>
      </c>
      <c r="AJ385" s="43">
        <f t="shared" si="102"/>
        <v>0</v>
      </c>
      <c r="AK385" s="43">
        <f t="shared" si="103"/>
        <v>0</v>
      </c>
      <c r="AL385" s="43">
        <f t="shared" si="104"/>
        <v>0</v>
      </c>
      <c r="AM385" s="43">
        <f t="shared" si="105"/>
        <v>0</v>
      </c>
      <c r="AN385" s="43">
        <f t="shared" si="106"/>
        <v>0</v>
      </c>
    </row>
    <row r="386" spans="2:40">
      <c r="B386" s="37" t="str">
        <f t="shared" si="99"/>
        <v>Asset 80</v>
      </c>
      <c r="F386" s="37" t="str">
        <f t="shared" ref="F386:L386" si="128">F138</f>
        <v>37 ICT middelen 1 (gaschromatografen en comptabele meting)</v>
      </c>
      <c r="G386" s="37">
        <f t="shared" si="128"/>
        <v>2000</v>
      </c>
      <c r="H386" s="52">
        <f t="shared" si="128"/>
        <v>717051.87</v>
      </c>
      <c r="I386" s="37">
        <f t="shared" si="128"/>
        <v>2021</v>
      </c>
      <c r="J386" s="52">
        <f t="shared" si="128"/>
        <v>5</v>
      </c>
      <c r="K386" s="177">
        <f t="shared" si="128"/>
        <v>0</v>
      </c>
      <c r="L386" s="52">
        <f t="shared" si="128"/>
        <v>0</v>
      </c>
      <c r="N386" s="43">
        <f t="shared" si="110"/>
        <v>0</v>
      </c>
      <c r="P386" s="38">
        <f t="shared" si="101"/>
        <v>0</v>
      </c>
      <c r="R386" s="43">
        <f t="shared" si="118"/>
        <v>0</v>
      </c>
      <c r="S386" s="43">
        <f t="shared" si="118"/>
        <v>0</v>
      </c>
      <c r="T386" s="43">
        <f t="shared" si="118"/>
        <v>0</v>
      </c>
      <c r="U386" s="43">
        <f t="shared" si="118"/>
        <v>0</v>
      </c>
      <c r="V386" s="43">
        <f t="shared" si="118"/>
        <v>0</v>
      </c>
      <c r="X386" s="43">
        <f t="shared" si="119"/>
        <v>0</v>
      </c>
      <c r="Y386" s="43">
        <f t="shared" si="119"/>
        <v>0</v>
      </c>
      <c r="Z386" s="43">
        <f t="shared" si="119"/>
        <v>0</v>
      </c>
      <c r="AA386" s="43">
        <f t="shared" si="119"/>
        <v>0</v>
      </c>
      <c r="AB386" s="43">
        <f t="shared" si="119"/>
        <v>0</v>
      </c>
      <c r="AD386" s="43">
        <f t="shared" si="111"/>
        <v>0</v>
      </c>
      <c r="AE386" s="43">
        <f t="shared" si="112"/>
        <v>0</v>
      </c>
      <c r="AF386" s="43">
        <f t="shared" si="113"/>
        <v>0</v>
      </c>
      <c r="AG386" s="43">
        <f t="shared" si="114"/>
        <v>0</v>
      </c>
      <c r="AH386" s="43">
        <f t="shared" si="115"/>
        <v>0</v>
      </c>
      <c r="AJ386" s="43">
        <f t="shared" si="102"/>
        <v>0</v>
      </c>
      <c r="AK386" s="43">
        <f t="shared" si="103"/>
        <v>0</v>
      </c>
      <c r="AL386" s="43">
        <f t="shared" si="104"/>
        <v>0</v>
      </c>
      <c r="AM386" s="43">
        <f t="shared" si="105"/>
        <v>0</v>
      </c>
      <c r="AN386" s="43">
        <f t="shared" si="106"/>
        <v>0</v>
      </c>
    </row>
    <row r="387" spans="2:40">
      <c r="B387" s="37" t="str">
        <f t="shared" si="99"/>
        <v>Asset 81</v>
      </c>
      <c r="F387" s="37" t="str">
        <f t="shared" ref="F387:L387" si="129">F139</f>
        <v>09 Bedrijfsinventaris</v>
      </c>
      <c r="G387" s="37">
        <f t="shared" si="129"/>
        <v>1999</v>
      </c>
      <c r="H387" s="52">
        <f t="shared" si="129"/>
        <v>64305.72</v>
      </c>
      <c r="I387" s="37">
        <f t="shared" si="129"/>
        <v>2021</v>
      </c>
      <c r="J387" s="52">
        <f t="shared" si="129"/>
        <v>10</v>
      </c>
      <c r="K387" s="177">
        <f t="shared" si="129"/>
        <v>1</v>
      </c>
      <c r="L387" s="52">
        <f t="shared" si="129"/>
        <v>0</v>
      </c>
      <c r="N387" s="43">
        <f t="shared" si="110"/>
        <v>0</v>
      </c>
      <c r="P387" s="38">
        <f t="shared" si="101"/>
        <v>0</v>
      </c>
      <c r="R387" s="43">
        <f t="shared" ref="R387:V396" si="130">IF(R$305&lt;=$G387+$J387,VDB($L387*(1-$F$25),0,$P387,R$305-2022,MIN(R$305-2021,$P387),$F$22),0)</f>
        <v>0</v>
      </c>
      <c r="S387" s="43">
        <f t="shared" si="130"/>
        <v>0</v>
      </c>
      <c r="T387" s="43">
        <f t="shared" si="130"/>
        <v>0</v>
      </c>
      <c r="U387" s="43">
        <f t="shared" si="130"/>
        <v>0</v>
      </c>
      <c r="V387" s="43">
        <f t="shared" si="130"/>
        <v>0</v>
      </c>
      <c r="X387" s="43">
        <f t="shared" ref="X387:AB396" si="131">IF(X$305&lt;=$G387+$J387,VDB($L387*$F$25,0,$P387,X$305-2022,MIN(X$305-2021,$P387),1),0)</f>
        <v>0</v>
      </c>
      <c r="Y387" s="43">
        <f t="shared" si="131"/>
        <v>0</v>
      </c>
      <c r="Z387" s="43">
        <f t="shared" si="131"/>
        <v>0</v>
      </c>
      <c r="AA387" s="43">
        <f t="shared" si="131"/>
        <v>0</v>
      </c>
      <c r="AB387" s="43">
        <f t="shared" si="131"/>
        <v>0</v>
      </c>
      <c r="AD387" s="43">
        <f t="shared" si="111"/>
        <v>0</v>
      </c>
      <c r="AE387" s="43">
        <f t="shared" si="112"/>
        <v>0</v>
      </c>
      <c r="AF387" s="43">
        <f t="shared" si="113"/>
        <v>0</v>
      </c>
      <c r="AG387" s="43">
        <f t="shared" si="114"/>
        <v>0</v>
      </c>
      <c r="AH387" s="43">
        <f t="shared" si="115"/>
        <v>0</v>
      </c>
      <c r="AJ387" s="43">
        <f t="shared" si="102"/>
        <v>0</v>
      </c>
      <c r="AK387" s="43">
        <f t="shared" si="103"/>
        <v>0</v>
      </c>
      <c r="AL387" s="43">
        <f t="shared" si="104"/>
        <v>0</v>
      </c>
      <c r="AM387" s="43">
        <f t="shared" si="105"/>
        <v>0</v>
      </c>
      <c r="AN387" s="43">
        <f t="shared" si="106"/>
        <v>0</v>
      </c>
    </row>
    <row r="388" spans="2:40">
      <c r="B388" s="37" t="str">
        <f t="shared" si="99"/>
        <v>Asset 82</v>
      </c>
      <c r="F388" s="37" t="str">
        <f t="shared" ref="F388:L388" si="132">F140</f>
        <v>08 Inrichting gebouwen</v>
      </c>
      <c r="G388" s="37">
        <f t="shared" si="132"/>
        <v>1999</v>
      </c>
      <c r="H388" s="52">
        <f t="shared" si="132"/>
        <v>41263.56</v>
      </c>
      <c r="I388" s="37">
        <f t="shared" si="132"/>
        <v>2021</v>
      </c>
      <c r="J388" s="52">
        <f t="shared" si="132"/>
        <v>10</v>
      </c>
      <c r="K388" s="177">
        <f t="shared" si="132"/>
        <v>0</v>
      </c>
      <c r="L388" s="52">
        <f t="shared" si="132"/>
        <v>0</v>
      </c>
      <c r="N388" s="43">
        <f t="shared" si="110"/>
        <v>0</v>
      </c>
      <c r="P388" s="38">
        <f t="shared" si="101"/>
        <v>0</v>
      </c>
      <c r="R388" s="43">
        <f t="shared" si="130"/>
        <v>0</v>
      </c>
      <c r="S388" s="43">
        <f t="shared" si="130"/>
        <v>0</v>
      </c>
      <c r="T388" s="43">
        <f t="shared" si="130"/>
        <v>0</v>
      </c>
      <c r="U388" s="43">
        <f t="shared" si="130"/>
        <v>0</v>
      </c>
      <c r="V388" s="43">
        <f t="shared" si="130"/>
        <v>0</v>
      </c>
      <c r="X388" s="43">
        <f t="shared" si="131"/>
        <v>0</v>
      </c>
      <c r="Y388" s="43">
        <f t="shared" si="131"/>
        <v>0</v>
      </c>
      <c r="Z388" s="43">
        <f t="shared" si="131"/>
        <v>0</v>
      </c>
      <c r="AA388" s="43">
        <f t="shared" si="131"/>
        <v>0</v>
      </c>
      <c r="AB388" s="43">
        <f t="shared" si="131"/>
        <v>0</v>
      </c>
      <c r="AD388" s="43">
        <f t="shared" si="111"/>
        <v>0</v>
      </c>
      <c r="AE388" s="43">
        <f t="shared" si="112"/>
        <v>0</v>
      </c>
      <c r="AF388" s="43">
        <f t="shared" si="113"/>
        <v>0</v>
      </c>
      <c r="AG388" s="43">
        <f t="shared" si="114"/>
        <v>0</v>
      </c>
      <c r="AH388" s="43">
        <f t="shared" si="115"/>
        <v>0</v>
      </c>
      <c r="AJ388" s="43">
        <f t="shared" si="102"/>
        <v>0</v>
      </c>
      <c r="AK388" s="43">
        <f t="shared" si="103"/>
        <v>0</v>
      </c>
      <c r="AL388" s="43">
        <f t="shared" si="104"/>
        <v>0</v>
      </c>
      <c r="AM388" s="43">
        <f t="shared" si="105"/>
        <v>0</v>
      </c>
      <c r="AN388" s="43">
        <f t="shared" si="106"/>
        <v>0</v>
      </c>
    </row>
    <row r="389" spans="2:40">
      <c r="B389" s="37" t="str">
        <f t="shared" si="99"/>
        <v>Asset 83</v>
      </c>
      <c r="F389" s="37" t="str">
        <f t="shared" ref="F389:L389" si="133">F141</f>
        <v>09 Bedrijfsinventaris</v>
      </c>
      <c r="G389" s="37">
        <f t="shared" si="133"/>
        <v>2000</v>
      </c>
      <c r="H389" s="52">
        <f t="shared" si="133"/>
        <v>5312.4</v>
      </c>
      <c r="I389" s="37">
        <f t="shared" si="133"/>
        <v>2021</v>
      </c>
      <c r="J389" s="52">
        <f t="shared" si="133"/>
        <v>10</v>
      </c>
      <c r="K389" s="177">
        <f t="shared" si="133"/>
        <v>1</v>
      </c>
      <c r="L389" s="52">
        <f t="shared" si="133"/>
        <v>0</v>
      </c>
      <c r="N389" s="43">
        <f t="shared" si="110"/>
        <v>0</v>
      </c>
      <c r="P389" s="38">
        <f t="shared" si="101"/>
        <v>0</v>
      </c>
      <c r="R389" s="43">
        <f t="shared" si="130"/>
        <v>0</v>
      </c>
      <c r="S389" s="43">
        <f t="shared" si="130"/>
        <v>0</v>
      </c>
      <c r="T389" s="43">
        <f t="shared" si="130"/>
        <v>0</v>
      </c>
      <c r="U389" s="43">
        <f t="shared" si="130"/>
        <v>0</v>
      </c>
      <c r="V389" s="43">
        <f t="shared" si="130"/>
        <v>0</v>
      </c>
      <c r="X389" s="43">
        <f t="shared" si="131"/>
        <v>0</v>
      </c>
      <c r="Y389" s="43">
        <f t="shared" si="131"/>
        <v>0</v>
      </c>
      <c r="Z389" s="43">
        <f t="shared" si="131"/>
        <v>0</v>
      </c>
      <c r="AA389" s="43">
        <f t="shared" si="131"/>
        <v>0</v>
      </c>
      <c r="AB389" s="43">
        <f t="shared" si="131"/>
        <v>0</v>
      </c>
      <c r="AD389" s="43">
        <f t="shared" si="111"/>
        <v>0</v>
      </c>
      <c r="AE389" s="43">
        <f t="shared" si="112"/>
        <v>0</v>
      </c>
      <c r="AF389" s="43">
        <f t="shared" si="113"/>
        <v>0</v>
      </c>
      <c r="AG389" s="43">
        <f t="shared" si="114"/>
        <v>0</v>
      </c>
      <c r="AH389" s="43">
        <f t="shared" si="115"/>
        <v>0</v>
      </c>
      <c r="AJ389" s="43">
        <f t="shared" si="102"/>
        <v>0</v>
      </c>
      <c r="AK389" s="43">
        <f t="shared" si="103"/>
        <v>0</v>
      </c>
      <c r="AL389" s="43">
        <f t="shared" si="104"/>
        <v>0</v>
      </c>
      <c r="AM389" s="43">
        <f t="shared" si="105"/>
        <v>0</v>
      </c>
      <c r="AN389" s="43">
        <f t="shared" si="106"/>
        <v>0</v>
      </c>
    </row>
    <row r="390" spans="2:40">
      <c r="B390" s="37" t="str">
        <f t="shared" si="99"/>
        <v>Asset 84</v>
      </c>
      <c r="F390" s="37" t="str">
        <f t="shared" ref="F390:L390" si="134">F142</f>
        <v>37 ICT middelen 1</v>
      </c>
      <c r="G390" s="37">
        <f t="shared" si="134"/>
        <v>2001</v>
      </c>
      <c r="H390" s="52">
        <f t="shared" si="134"/>
        <v>1754908.7700000003</v>
      </c>
      <c r="I390" s="37">
        <f t="shared" si="134"/>
        <v>2021</v>
      </c>
      <c r="J390" s="52">
        <f t="shared" si="134"/>
        <v>5</v>
      </c>
      <c r="K390" s="177">
        <f t="shared" si="134"/>
        <v>1</v>
      </c>
      <c r="L390" s="52">
        <f t="shared" si="134"/>
        <v>0</v>
      </c>
      <c r="N390" s="43">
        <f t="shared" si="110"/>
        <v>0</v>
      </c>
      <c r="P390" s="38">
        <f t="shared" si="101"/>
        <v>0</v>
      </c>
      <c r="R390" s="43">
        <f t="shared" si="130"/>
        <v>0</v>
      </c>
      <c r="S390" s="43">
        <f t="shared" si="130"/>
        <v>0</v>
      </c>
      <c r="T390" s="43">
        <f t="shared" si="130"/>
        <v>0</v>
      </c>
      <c r="U390" s="43">
        <f t="shared" si="130"/>
        <v>0</v>
      </c>
      <c r="V390" s="43">
        <f t="shared" si="130"/>
        <v>0</v>
      </c>
      <c r="X390" s="43">
        <f t="shared" si="131"/>
        <v>0</v>
      </c>
      <c r="Y390" s="43">
        <f t="shared" si="131"/>
        <v>0</v>
      </c>
      <c r="Z390" s="43">
        <f t="shared" si="131"/>
        <v>0</v>
      </c>
      <c r="AA390" s="43">
        <f t="shared" si="131"/>
        <v>0</v>
      </c>
      <c r="AB390" s="43">
        <f t="shared" si="131"/>
        <v>0</v>
      </c>
      <c r="AD390" s="43">
        <f t="shared" si="111"/>
        <v>0</v>
      </c>
      <c r="AE390" s="43">
        <f t="shared" si="112"/>
        <v>0</v>
      </c>
      <c r="AF390" s="43">
        <f t="shared" si="113"/>
        <v>0</v>
      </c>
      <c r="AG390" s="43">
        <f t="shared" si="114"/>
        <v>0</v>
      </c>
      <c r="AH390" s="43">
        <f t="shared" si="115"/>
        <v>0</v>
      </c>
      <c r="AJ390" s="43">
        <f t="shared" si="102"/>
        <v>0</v>
      </c>
      <c r="AK390" s="43">
        <f t="shared" si="103"/>
        <v>0</v>
      </c>
      <c r="AL390" s="43">
        <f t="shared" si="104"/>
        <v>0</v>
      </c>
      <c r="AM390" s="43">
        <f t="shared" si="105"/>
        <v>0</v>
      </c>
      <c r="AN390" s="43">
        <f t="shared" si="106"/>
        <v>0</v>
      </c>
    </row>
    <row r="391" spans="2:40">
      <c r="B391" s="37" t="str">
        <f t="shared" si="99"/>
        <v>Asset 85</v>
      </c>
      <c r="F391" s="37" t="str">
        <f t="shared" ref="F391:L391" si="135">F143</f>
        <v>11 Werktuigen</v>
      </c>
      <c r="G391" s="37">
        <f t="shared" si="135"/>
        <v>2000</v>
      </c>
      <c r="H391" s="52">
        <f t="shared" si="135"/>
        <v>86461.709999999992</v>
      </c>
      <c r="I391" s="37">
        <f t="shared" si="135"/>
        <v>2021</v>
      </c>
      <c r="J391" s="52">
        <f t="shared" si="135"/>
        <v>10</v>
      </c>
      <c r="K391" s="177">
        <f t="shared" si="135"/>
        <v>1</v>
      </c>
      <c r="L391" s="52">
        <f t="shared" si="135"/>
        <v>0</v>
      </c>
      <c r="N391" s="43">
        <f t="shared" si="110"/>
        <v>0</v>
      </c>
      <c r="P391" s="38">
        <f t="shared" si="101"/>
        <v>0</v>
      </c>
      <c r="R391" s="43">
        <f t="shared" si="130"/>
        <v>0</v>
      </c>
      <c r="S391" s="43">
        <f t="shared" si="130"/>
        <v>0</v>
      </c>
      <c r="T391" s="43">
        <f t="shared" si="130"/>
        <v>0</v>
      </c>
      <c r="U391" s="43">
        <f t="shared" si="130"/>
        <v>0</v>
      </c>
      <c r="V391" s="43">
        <f t="shared" si="130"/>
        <v>0</v>
      </c>
      <c r="X391" s="43">
        <f t="shared" si="131"/>
        <v>0</v>
      </c>
      <c r="Y391" s="43">
        <f t="shared" si="131"/>
        <v>0</v>
      </c>
      <c r="Z391" s="43">
        <f t="shared" si="131"/>
        <v>0</v>
      </c>
      <c r="AA391" s="43">
        <f t="shared" si="131"/>
        <v>0</v>
      </c>
      <c r="AB391" s="43">
        <f t="shared" si="131"/>
        <v>0</v>
      </c>
      <c r="AD391" s="43">
        <f t="shared" si="111"/>
        <v>0</v>
      </c>
      <c r="AE391" s="43">
        <f t="shared" si="112"/>
        <v>0</v>
      </c>
      <c r="AF391" s="43">
        <f t="shared" si="113"/>
        <v>0</v>
      </c>
      <c r="AG391" s="43">
        <f t="shared" si="114"/>
        <v>0</v>
      </c>
      <c r="AH391" s="43">
        <f t="shared" si="115"/>
        <v>0</v>
      </c>
      <c r="AJ391" s="43">
        <f t="shared" si="102"/>
        <v>0</v>
      </c>
      <c r="AK391" s="43">
        <f t="shared" si="103"/>
        <v>0</v>
      </c>
      <c r="AL391" s="43">
        <f t="shared" si="104"/>
        <v>0</v>
      </c>
      <c r="AM391" s="43">
        <f t="shared" si="105"/>
        <v>0</v>
      </c>
      <c r="AN391" s="43">
        <f t="shared" si="106"/>
        <v>0</v>
      </c>
    </row>
    <row r="392" spans="2:40">
      <c r="B392" s="37" t="str">
        <f t="shared" si="99"/>
        <v>Asset 86</v>
      </c>
      <c r="F392" s="37" t="str">
        <f t="shared" ref="F392:L392" si="136">F144</f>
        <v>13 Aanhangwagens</v>
      </c>
      <c r="G392" s="37">
        <f t="shared" si="136"/>
        <v>1998</v>
      </c>
      <c r="H392" s="52">
        <f t="shared" si="136"/>
        <v>3630.24</v>
      </c>
      <c r="I392" s="37">
        <f t="shared" si="136"/>
        <v>2021</v>
      </c>
      <c r="J392" s="52">
        <f t="shared" si="136"/>
        <v>10</v>
      </c>
      <c r="K392" s="177">
        <f t="shared" si="136"/>
        <v>1</v>
      </c>
      <c r="L392" s="52">
        <f t="shared" si="136"/>
        <v>0</v>
      </c>
      <c r="N392" s="43">
        <f t="shared" si="110"/>
        <v>0</v>
      </c>
      <c r="P392" s="38">
        <f t="shared" si="101"/>
        <v>0</v>
      </c>
      <c r="R392" s="43">
        <f t="shared" si="130"/>
        <v>0</v>
      </c>
      <c r="S392" s="43">
        <f t="shared" si="130"/>
        <v>0</v>
      </c>
      <c r="T392" s="43">
        <f t="shared" si="130"/>
        <v>0</v>
      </c>
      <c r="U392" s="43">
        <f t="shared" si="130"/>
        <v>0</v>
      </c>
      <c r="V392" s="43">
        <f t="shared" si="130"/>
        <v>0</v>
      </c>
      <c r="X392" s="43">
        <f t="shared" si="131"/>
        <v>0</v>
      </c>
      <c r="Y392" s="43">
        <f t="shared" si="131"/>
        <v>0</v>
      </c>
      <c r="Z392" s="43">
        <f t="shared" si="131"/>
        <v>0</v>
      </c>
      <c r="AA392" s="43">
        <f t="shared" si="131"/>
        <v>0</v>
      </c>
      <c r="AB392" s="43">
        <f t="shared" si="131"/>
        <v>0</v>
      </c>
      <c r="AD392" s="43">
        <f t="shared" si="111"/>
        <v>0</v>
      </c>
      <c r="AE392" s="43">
        <f t="shared" si="112"/>
        <v>0</v>
      </c>
      <c r="AF392" s="43">
        <f t="shared" si="113"/>
        <v>0</v>
      </c>
      <c r="AG392" s="43">
        <f t="shared" si="114"/>
        <v>0</v>
      </c>
      <c r="AH392" s="43">
        <f t="shared" si="115"/>
        <v>0</v>
      </c>
      <c r="AJ392" s="43">
        <f t="shared" si="102"/>
        <v>0</v>
      </c>
      <c r="AK392" s="43">
        <f t="shared" si="103"/>
        <v>0</v>
      </c>
      <c r="AL392" s="43">
        <f t="shared" si="104"/>
        <v>0</v>
      </c>
      <c r="AM392" s="43">
        <f t="shared" si="105"/>
        <v>0</v>
      </c>
      <c r="AN392" s="43">
        <f t="shared" si="106"/>
        <v>0</v>
      </c>
    </row>
    <row r="393" spans="2:40">
      <c r="B393" s="37" t="str">
        <f t="shared" si="99"/>
        <v>Asset 87</v>
      </c>
      <c r="F393" s="37" t="str">
        <f t="shared" ref="F393:L393" si="137">F145</f>
        <v>37 ICT middelen 1</v>
      </c>
      <c r="G393" s="37">
        <f t="shared" si="137"/>
        <v>2000</v>
      </c>
      <c r="H393" s="52">
        <f t="shared" si="137"/>
        <v>63690.75</v>
      </c>
      <c r="I393" s="37">
        <f t="shared" si="137"/>
        <v>2021</v>
      </c>
      <c r="J393" s="52">
        <f t="shared" si="137"/>
        <v>5</v>
      </c>
      <c r="K393" s="177">
        <f t="shared" si="137"/>
        <v>1</v>
      </c>
      <c r="L393" s="52">
        <f t="shared" si="137"/>
        <v>0</v>
      </c>
      <c r="N393" s="43">
        <f t="shared" si="110"/>
        <v>0</v>
      </c>
      <c r="P393" s="38">
        <f t="shared" si="101"/>
        <v>0</v>
      </c>
      <c r="R393" s="43">
        <f t="shared" si="130"/>
        <v>0</v>
      </c>
      <c r="S393" s="43">
        <f t="shared" si="130"/>
        <v>0</v>
      </c>
      <c r="T393" s="43">
        <f t="shared" si="130"/>
        <v>0</v>
      </c>
      <c r="U393" s="43">
        <f t="shared" si="130"/>
        <v>0</v>
      </c>
      <c r="V393" s="43">
        <f t="shared" si="130"/>
        <v>0</v>
      </c>
      <c r="X393" s="43">
        <f t="shared" si="131"/>
        <v>0</v>
      </c>
      <c r="Y393" s="43">
        <f t="shared" si="131"/>
        <v>0</v>
      </c>
      <c r="Z393" s="43">
        <f t="shared" si="131"/>
        <v>0</v>
      </c>
      <c r="AA393" s="43">
        <f t="shared" si="131"/>
        <v>0</v>
      </c>
      <c r="AB393" s="43">
        <f t="shared" si="131"/>
        <v>0</v>
      </c>
      <c r="AD393" s="43">
        <f t="shared" si="111"/>
        <v>0</v>
      </c>
      <c r="AE393" s="43">
        <f t="shared" si="112"/>
        <v>0</v>
      </c>
      <c r="AF393" s="43">
        <f t="shared" si="113"/>
        <v>0</v>
      </c>
      <c r="AG393" s="43">
        <f t="shared" si="114"/>
        <v>0</v>
      </c>
      <c r="AH393" s="43">
        <f t="shared" si="115"/>
        <v>0</v>
      </c>
      <c r="AJ393" s="43">
        <f t="shared" si="102"/>
        <v>0</v>
      </c>
      <c r="AK393" s="43">
        <f t="shared" si="103"/>
        <v>0</v>
      </c>
      <c r="AL393" s="43">
        <f t="shared" si="104"/>
        <v>0</v>
      </c>
      <c r="AM393" s="43">
        <f t="shared" si="105"/>
        <v>0</v>
      </c>
      <c r="AN393" s="43">
        <f t="shared" si="106"/>
        <v>0</v>
      </c>
    </row>
    <row r="394" spans="2:40">
      <c r="B394" s="37" t="str">
        <f t="shared" si="99"/>
        <v>Asset 88</v>
      </c>
      <c r="F394" s="37" t="str">
        <f t="shared" ref="F394:L394" si="138">F146</f>
        <v>08 Inrichting gebouwen</v>
      </c>
      <c r="G394" s="37">
        <f t="shared" si="138"/>
        <v>2000</v>
      </c>
      <c r="H394" s="52">
        <f t="shared" si="138"/>
        <v>53314.77</v>
      </c>
      <c r="I394" s="37">
        <f t="shared" si="138"/>
        <v>2021</v>
      </c>
      <c r="J394" s="52">
        <f t="shared" si="138"/>
        <v>10</v>
      </c>
      <c r="K394" s="177">
        <f t="shared" si="138"/>
        <v>0</v>
      </c>
      <c r="L394" s="52">
        <f t="shared" si="138"/>
        <v>0</v>
      </c>
      <c r="N394" s="43">
        <f t="shared" si="110"/>
        <v>0</v>
      </c>
      <c r="P394" s="38">
        <f t="shared" si="101"/>
        <v>0</v>
      </c>
      <c r="R394" s="43">
        <f t="shared" si="130"/>
        <v>0</v>
      </c>
      <c r="S394" s="43">
        <f t="shared" si="130"/>
        <v>0</v>
      </c>
      <c r="T394" s="43">
        <f t="shared" si="130"/>
        <v>0</v>
      </c>
      <c r="U394" s="43">
        <f t="shared" si="130"/>
        <v>0</v>
      </c>
      <c r="V394" s="43">
        <f t="shared" si="130"/>
        <v>0</v>
      </c>
      <c r="X394" s="43">
        <f t="shared" si="131"/>
        <v>0</v>
      </c>
      <c r="Y394" s="43">
        <f t="shared" si="131"/>
        <v>0</v>
      </c>
      <c r="Z394" s="43">
        <f t="shared" si="131"/>
        <v>0</v>
      </c>
      <c r="AA394" s="43">
        <f t="shared" si="131"/>
        <v>0</v>
      </c>
      <c r="AB394" s="43">
        <f t="shared" si="131"/>
        <v>0</v>
      </c>
      <c r="AD394" s="43">
        <f t="shared" si="111"/>
        <v>0</v>
      </c>
      <c r="AE394" s="43">
        <f t="shared" si="112"/>
        <v>0</v>
      </c>
      <c r="AF394" s="43">
        <f t="shared" si="113"/>
        <v>0</v>
      </c>
      <c r="AG394" s="43">
        <f t="shared" si="114"/>
        <v>0</v>
      </c>
      <c r="AH394" s="43">
        <f t="shared" si="115"/>
        <v>0</v>
      </c>
      <c r="AJ394" s="43">
        <f t="shared" si="102"/>
        <v>0</v>
      </c>
      <c r="AK394" s="43">
        <f t="shared" si="103"/>
        <v>0</v>
      </c>
      <c r="AL394" s="43">
        <f t="shared" si="104"/>
        <v>0</v>
      </c>
      <c r="AM394" s="43">
        <f t="shared" si="105"/>
        <v>0</v>
      </c>
      <c r="AN394" s="43">
        <f t="shared" si="106"/>
        <v>0</v>
      </c>
    </row>
    <row r="395" spans="2:40">
      <c r="B395" s="37" t="str">
        <f t="shared" si="99"/>
        <v>Asset 89</v>
      </c>
      <c r="F395" s="37" t="str">
        <f t="shared" ref="F395:L395" si="139">F147</f>
        <v>14 Overig rollend materieel</v>
      </c>
      <c r="G395" s="37">
        <f t="shared" si="139"/>
        <v>2000</v>
      </c>
      <c r="H395" s="52">
        <f t="shared" si="139"/>
        <v>36334.86</v>
      </c>
      <c r="I395" s="37">
        <f t="shared" si="139"/>
        <v>2021</v>
      </c>
      <c r="J395" s="52">
        <f t="shared" si="139"/>
        <v>10</v>
      </c>
      <c r="K395" s="177">
        <f t="shared" si="139"/>
        <v>1</v>
      </c>
      <c r="L395" s="52">
        <f t="shared" si="139"/>
        <v>0</v>
      </c>
      <c r="N395" s="43">
        <f t="shared" si="110"/>
        <v>0</v>
      </c>
      <c r="P395" s="38">
        <f t="shared" si="101"/>
        <v>0</v>
      </c>
      <c r="R395" s="43">
        <f t="shared" si="130"/>
        <v>0</v>
      </c>
      <c r="S395" s="43">
        <f t="shared" si="130"/>
        <v>0</v>
      </c>
      <c r="T395" s="43">
        <f t="shared" si="130"/>
        <v>0</v>
      </c>
      <c r="U395" s="43">
        <f t="shared" si="130"/>
        <v>0</v>
      </c>
      <c r="V395" s="43">
        <f t="shared" si="130"/>
        <v>0</v>
      </c>
      <c r="X395" s="43">
        <f t="shared" si="131"/>
        <v>0</v>
      </c>
      <c r="Y395" s="43">
        <f t="shared" si="131"/>
        <v>0</v>
      </c>
      <c r="Z395" s="43">
        <f t="shared" si="131"/>
        <v>0</v>
      </c>
      <c r="AA395" s="43">
        <f t="shared" si="131"/>
        <v>0</v>
      </c>
      <c r="AB395" s="43">
        <f t="shared" si="131"/>
        <v>0</v>
      </c>
      <c r="AD395" s="43">
        <f t="shared" si="111"/>
        <v>0</v>
      </c>
      <c r="AE395" s="43">
        <f t="shared" si="112"/>
        <v>0</v>
      </c>
      <c r="AF395" s="43">
        <f t="shared" si="113"/>
        <v>0</v>
      </c>
      <c r="AG395" s="43">
        <f t="shared" si="114"/>
        <v>0</v>
      </c>
      <c r="AH395" s="43">
        <f t="shared" si="115"/>
        <v>0</v>
      </c>
      <c r="AJ395" s="43">
        <f t="shared" si="102"/>
        <v>0</v>
      </c>
      <c r="AK395" s="43">
        <f t="shared" si="103"/>
        <v>0</v>
      </c>
      <c r="AL395" s="43">
        <f t="shared" si="104"/>
        <v>0</v>
      </c>
      <c r="AM395" s="43">
        <f t="shared" si="105"/>
        <v>0</v>
      </c>
      <c r="AN395" s="43">
        <f t="shared" si="106"/>
        <v>0</v>
      </c>
    </row>
    <row r="396" spans="2:40">
      <c r="B396" s="37" t="str">
        <f t="shared" si="99"/>
        <v>Asset 90</v>
      </c>
      <c r="F396" s="37" t="str">
        <f t="shared" ref="F396:L396" si="140">F148</f>
        <v>06 Utiliteitsgebouwen</v>
      </c>
      <c r="G396" s="37">
        <f t="shared" si="140"/>
        <v>2000</v>
      </c>
      <c r="H396" s="52">
        <f t="shared" si="140"/>
        <v>61022.52</v>
      </c>
      <c r="I396" s="37">
        <f t="shared" si="140"/>
        <v>2021</v>
      </c>
      <c r="J396" s="52">
        <f t="shared" si="140"/>
        <v>30</v>
      </c>
      <c r="K396" s="177">
        <f t="shared" si="140"/>
        <v>0</v>
      </c>
      <c r="L396" s="52">
        <f t="shared" si="140"/>
        <v>25541.383007029126</v>
      </c>
      <c r="N396" s="43">
        <f t="shared" si="110"/>
        <v>25541.383007029126</v>
      </c>
      <c r="P396" s="38">
        <f t="shared" si="101"/>
        <v>8.5</v>
      </c>
      <c r="R396" s="43">
        <f t="shared" si="130"/>
        <v>3515.6962492028333</v>
      </c>
      <c r="S396" s="43">
        <f t="shared" si="130"/>
        <v>2978.0015287365177</v>
      </c>
      <c r="T396" s="43">
        <f t="shared" si="130"/>
        <v>2537.4687582133638</v>
      </c>
      <c r="U396" s="43">
        <f t="shared" si="130"/>
        <v>2537.4687582133638</v>
      </c>
      <c r="V396" s="43">
        <f t="shared" si="130"/>
        <v>2537.4687582133638</v>
      </c>
      <c r="X396" s="43">
        <f t="shared" si="131"/>
        <v>300.486858906225</v>
      </c>
      <c r="Y396" s="43">
        <f t="shared" si="131"/>
        <v>300.48685890622505</v>
      </c>
      <c r="Z396" s="43">
        <f t="shared" si="131"/>
        <v>300.48685890622505</v>
      </c>
      <c r="AA396" s="43">
        <f t="shared" si="131"/>
        <v>300.48685890622505</v>
      </c>
      <c r="AB396" s="43">
        <f t="shared" si="131"/>
        <v>300.48685890622505</v>
      </c>
      <c r="AD396" s="43">
        <f t="shared" si="111"/>
        <v>21725.199898920069</v>
      </c>
      <c r="AE396" s="43">
        <f t="shared" si="112"/>
        <v>18446.711511277328</v>
      </c>
      <c r="AF396" s="43">
        <f t="shared" si="113"/>
        <v>15608.755894157741</v>
      </c>
      <c r="AG396" s="43">
        <f t="shared" si="114"/>
        <v>12770.800277038154</v>
      </c>
      <c r="AH396" s="43">
        <f t="shared" si="115"/>
        <v>9932.8446599185663</v>
      </c>
      <c r="AJ396" s="43">
        <f t="shared" si="102"/>
        <v>4554.8399046723407</v>
      </c>
      <c r="AK396" s="43">
        <f t="shared" si="103"/>
        <v>3887.229867514895</v>
      </c>
      <c r="AL396" s="43">
        <f t="shared" si="104"/>
        <v>3431.088341097583</v>
      </c>
      <c r="AM396" s="43">
        <f t="shared" si="105"/>
        <v>3323.2460276470388</v>
      </c>
      <c r="AN396" s="43">
        <f t="shared" si="106"/>
        <v>3215.4037141964945</v>
      </c>
    </row>
    <row r="397" spans="2:40">
      <c r="B397" s="37" t="str">
        <f t="shared" si="99"/>
        <v>Asset 91</v>
      </c>
      <c r="F397" s="37" t="str">
        <f t="shared" ref="F397:L397" si="141">F149</f>
        <v>11 Werktuigen</v>
      </c>
      <c r="G397" s="37">
        <f t="shared" si="141"/>
        <v>2001</v>
      </c>
      <c r="H397" s="52">
        <f t="shared" si="141"/>
        <v>11928.48</v>
      </c>
      <c r="I397" s="37">
        <f t="shared" si="141"/>
        <v>2021</v>
      </c>
      <c r="J397" s="52">
        <f t="shared" si="141"/>
        <v>10</v>
      </c>
      <c r="K397" s="177">
        <f t="shared" si="141"/>
        <v>1</v>
      </c>
      <c r="L397" s="52">
        <f t="shared" si="141"/>
        <v>0</v>
      </c>
      <c r="N397" s="43">
        <f t="shared" si="110"/>
        <v>0</v>
      </c>
      <c r="P397" s="38">
        <f t="shared" si="101"/>
        <v>0</v>
      </c>
      <c r="R397" s="43">
        <f t="shared" ref="R397:V406" si="142">IF(R$305&lt;=$G397+$J397,VDB($L397*(1-$F$25),0,$P397,R$305-2022,MIN(R$305-2021,$P397),$F$22),0)</f>
        <v>0</v>
      </c>
      <c r="S397" s="43">
        <f t="shared" si="142"/>
        <v>0</v>
      </c>
      <c r="T397" s="43">
        <f t="shared" si="142"/>
        <v>0</v>
      </c>
      <c r="U397" s="43">
        <f t="shared" si="142"/>
        <v>0</v>
      </c>
      <c r="V397" s="43">
        <f t="shared" si="142"/>
        <v>0</v>
      </c>
      <c r="X397" s="43">
        <f t="shared" ref="X397:AB406" si="143">IF(X$305&lt;=$G397+$J397,VDB($L397*$F$25,0,$P397,X$305-2022,MIN(X$305-2021,$P397),1),0)</f>
        <v>0</v>
      </c>
      <c r="Y397" s="43">
        <f t="shared" si="143"/>
        <v>0</v>
      </c>
      <c r="Z397" s="43">
        <f t="shared" si="143"/>
        <v>0</v>
      </c>
      <c r="AA397" s="43">
        <f t="shared" si="143"/>
        <v>0</v>
      </c>
      <c r="AB397" s="43">
        <f t="shared" si="143"/>
        <v>0</v>
      </c>
      <c r="AD397" s="43">
        <f t="shared" si="111"/>
        <v>0</v>
      </c>
      <c r="AE397" s="43">
        <f t="shared" si="112"/>
        <v>0</v>
      </c>
      <c r="AF397" s="43">
        <f t="shared" si="113"/>
        <v>0</v>
      </c>
      <c r="AG397" s="43">
        <f t="shared" si="114"/>
        <v>0</v>
      </c>
      <c r="AH397" s="43">
        <f t="shared" si="115"/>
        <v>0</v>
      </c>
      <c r="AJ397" s="43">
        <f t="shared" si="102"/>
        <v>0</v>
      </c>
      <c r="AK397" s="43">
        <f t="shared" si="103"/>
        <v>0</v>
      </c>
      <c r="AL397" s="43">
        <f t="shared" si="104"/>
        <v>0</v>
      </c>
      <c r="AM397" s="43">
        <f t="shared" si="105"/>
        <v>0</v>
      </c>
      <c r="AN397" s="43">
        <f t="shared" si="106"/>
        <v>0</v>
      </c>
    </row>
    <row r="398" spans="2:40">
      <c r="B398" s="37" t="str">
        <f t="shared" si="99"/>
        <v>Asset 92</v>
      </c>
      <c r="F398" s="37" t="str">
        <f t="shared" ref="F398:L398" si="144">F150</f>
        <v>14 Overig rollend materieel</v>
      </c>
      <c r="G398" s="37">
        <f t="shared" si="144"/>
        <v>2001</v>
      </c>
      <c r="H398" s="52">
        <f t="shared" si="144"/>
        <v>70639.289999999994</v>
      </c>
      <c r="I398" s="37">
        <f t="shared" si="144"/>
        <v>2021</v>
      </c>
      <c r="J398" s="52">
        <f t="shared" si="144"/>
        <v>10</v>
      </c>
      <c r="K398" s="177">
        <f t="shared" si="144"/>
        <v>1</v>
      </c>
      <c r="L398" s="52">
        <f t="shared" si="144"/>
        <v>0</v>
      </c>
      <c r="N398" s="43">
        <f t="shared" si="110"/>
        <v>0</v>
      </c>
      <c r="P398" s="38">
        <f t="shared" si="101"/>
        <v>0</v>
      </c>
      <c r="R398" s="43">
        <f t="shared" si="142"/>
        <v>0</v>
      </c>
      <c r="S398" s="43">
        <f t="shared" si="142"/>
        <v>0</v>
      </c>
      <c r="T398" s="43">
        <f t="shared" si="142"/>
        <v>0</v>
      </c>
      <c r="U398" s="43">
        <f t="shared" si="142"/>
        <v>0</v>
      </c>
      <c r="V398" s="43">
        <f t="shared" si="142"/>
        <v>0</v>
      </c>
      <c r="X398" s="43">
        <f t="shared" si="143"/>
        <v>0</v>
      </c>
      <c r="Y398" s="43">
        <f t="shared" si="143"/>
        <v>0</v>
      </c>
      <c r="Z398" s="43">
        <f t="shared" si="143"/>
        <v>0</v>
      </c>
      <c r="AA398" s="43">
        <f t="shared" si="143"/>
        <v>0</v>
      </c>
      <c r="AB398" s="43">
        <f t="shared" si="143"/>
        <v>0</v>
      </c>
      <c r="AD398" s="43">
        <f t="shared" si="111"/>
        <v>0</v>
      </c>
      <c r="AE398" s="43">
        <f t="shared" si="112"/>
        <v>0</v>
      </c>
      <c r="AF398" s="43">
        <f t="shared" si="113"/>
        <v>0</v>
      </c>
      <c r="AG398" s="43">
        <f t="shared" si="114"/>
        <v>0</v>
      </c>
      <c r="AH398" s="43">
        <f t="shared" si="115"/>
        <v>0</v>
      </c>
      <c r="AJ398" s="43">
        <f t="shared" si="102"/>
        <v>0</v>
      </c>
      <c r="AK398" s="43">
        <f t="shared" si="103"/>
        <v>0</v>
      </c>
      <c r="AL398" s="43">
        <f t="shared" si="104"/>
        <v>0</v>
      </c>
      <c r="AM398" s="43">
        <f t="shared" si="105"/>
        <v>0</v>
      </c>
      <c r="AN398" s="43">
        <f t="shared" si="106"/>
        <v>0</v>
      </c>
    </row>
    <row r="399" spans="2:40">
      <c r="B399" s="37" t="str">
        <f t="shared" si="99"/>
        <v>Asset 93</v>
      </c>
      <c r="F399" s="37" t="str">
        <f t="shared" ref="F399:L399" si="145">F151</f>
        <v>09 Bedrijfsinventaris</v>
      </c>
      <c r="G399" s="37">
        <f t="shared" si="145"/>
        <v>2001</v>
      </c>
      <c r="H399" s="52">
        <f t="shared" si="145"/>
        <v>55051.729999999996</v>
      </c>
      <c r="I399" s="37">
        <f t="shared" si="145"/>
        <v>2021</v>
      </c>
      <c r="J399" s="52">
        <f t="shared" si="145"/>
        <v>10</v>
      </c>
      <c r="K399" s="177">
        <f t="shared" si="145"/>
        <v>1</v>
      </c>
      <c r="L399" s="52">
        <f t="shared" si="145"/>
        <v>0</v>
      </c>
      <c r="N399" s="43">
        <f t="shared" si="110"/>
        <v>0</v>
      </c>
      <c r="P399" s="38">
        <f t="shared" si="101"/>
        <v>0</v>
      </c>
      <c r="R399" s="43">
        <f t="shared" si="142"/>
        <v>0</v>
      </c>
      <c r="S399" s="43">
        <f t="shared" si="142"/>
        <v>0</v>
      </c>
      <c r="T399" s="43">
        <f t="shared" si="142"/>
        <v>0</v>
      </c>
      <c r="U399" s="43">
        <f t="shared" si="142"/>
        <v>0</v>
      </c>
      <c r="V399" s="43">
        <f t="shared" si="142"/>
        <v>0</v>
      </c>
      <c r="X399" s="43">
        <f t="shared" si="143"/>
        <v>0</v>
      </c>
      <c r="Y399" s="43">
        <f t="shared" si="143"/>
        <v>0</v>
      </c>
      <c r="Z399" s="43">
        <f t="shared" si="143"/>
        <v>0</v>
      </c>
      <c r="AA399" s="43">
        <f t="shared" si="143"/>
        <v>0</v>
      </c>
      <c r="AB399" s="43">
        <f t="shared" si="143"/>
        <v>0</v>
      </c>
      <c r="AD399" s="43">
        <f t="shared" si="111"/>
        <v>0</v>
      </c>
      <c r="AE399" s="43">
        <f t="shared" si="112"/>
        <v>0</v>
      </c>
      <c r="AF399" s="43">
        <f t="shared" si="113"/>
        <v>0</v>
      </c>
      <c r="AG399" s="43">
        <f t="shared" si="114"/>
        <v>0</v>
      </c>
      <c r="AH399" s="43">
        <f t="shared" si="115"/>
        <v>0</v>
      </c>
      <c r="AJ399" s="43">
        <f t="shared" si="102"/>
        <v>0</v>
      </c>
      <c r="AK399" s="43">
        <f t="shared" si="103"/>
        <v>0</v>
      </c>
      <c r="AL399" s="43">
        <f t="shared" si="104"/>
        <v>0</v>
      </c>
      <c r="AM399" s="43">
        <f t="shared" si="105"/>
        <v>0</v>
      </c>
      <c r="AN399" s="43">
        <f t="shared" si="106"/>
        <v>0</v>
      </c>
    </row>
    <row r="400" spans="2:40">
      <c r="B400" s="37" t="str">
        <f t="shared" si="99"/>
        <v>Asset 94</v>
      </c>
      <c r="F400" s="37" t="str">
        <f t="shared" ref="F400:L400" si="146">F152</f>
        <v>10 Gereedschap</v>
      </c>
      <c r="G400" s="37">
        <f t="shared" si="146"/>
        <v>2002</v>
      </c>
      <c r="H400" s="52">
        <f t="shared" si="146"/>
        <v>26546</v>
      </c>
      <c r="I400" s="37">
        <f t="shared" si="146"/>
        <v>2021</v>
      </c>
      <c r="J400" s="52">
        <f t="shared" si="146"/>
        <v>10</v>
      </c>
      <c r="K400" s="177">
        <f t="shared" si="146"/>
        <v>1</v>
      </c>
      <c r="L400" s="52">
        <f t="shared" si="146"/>
        <v>0</v>
      </c>
      <c r="N400" s="43">
        <f t="shared" si="110"/>
        <v>0</v>
      </c>
      <c r="P400" s="38">
        <f t="shared" si="101"/>
        <v>0</v>
      </c>
      <c r="R400" s="43">
        <f t="shared" si="142"/>
        <v>0</v>
      </c>
      <c r="S400" s="43">
        <f t="shared" si="142"/>
        <v>0</v>
      </c>
      <c r="T400" s="43">
        <f t="shared" si="142"/>
        <v>0</v>
      </c>
      <c r="U400" s="43">
        <f t="shared" si="142"/>
        <v>0</v>
      </c>
      <c r="V400" s="43">
        <f t="shared" si="142"/>
        <v>0</v>
      </c>
      <c r="X400" s="43">
        <f t="shared" si="143"/>
        <v>0</v>
      </c>
      <c r="Y400" s="43">
        <f t="shared" si="143"/>
        <v>0</v>
      </c>
      <c r="Z400" s="43">
        <f t="shared" si="143"/>
        <v>0</v>
      </c>
      <c r="AA400" s="43">
        <f t="shared" si="143"/>
        <v>0</v>
      </c>
      <c r="AB400" s="43">
        <f t="shared" si="143"/>
        <v>0</v>
      </c>
      <c r="AD400" s="43">
        <f t="shared" si="111"/>
        <v>0</v>
      </c>
      <c r="AE400" s="43">
        <f t="shared" si="112"/>
        <v>0</v>
      </c>
      <c r="AF400" s="43">
        <f t="shared" si="113"/>
        <v>0</v>
      </c>
      <c r="AG400" s="43">
        <f t="shared" si="114"/>
        <v>0</v>
      </c>
      <c r="AH400" s="43">
        <f t="shared" si="115"/>
        <v>0</v>
      </c>
      <c r="AJ400" s="43">
        <f t="shared" si="102"/>
        <v>0</v>
      </c>
      <c r="AK400" s="43">
        <f t="shared" si="103"/>
        <v>0</v>
      </c>
      <c r="AL400" s="43">
        <f t="shared" si="104"/>
        <v>0</v>
      </c>
      <c r="AM400" s="43">
        <f t="shared" si="105"/>
        <v>0</v>
      </c>
      <c r="AN400" s="43">
        <f t="shared" si="106"/>
        <v>0</v>
      </c>
    </row>
    <row r="401" spans="2:40">
      <c r="B401" s="37" t="str">
        <f t="shared" si="99"/>
        <v>Asset 95</v>
      </c>
      <c r="F401" s="37" t="str">
        <f t="shared" ref="F401:L401" si="147">F153</f>
        <v>03 Verremeting</v>
      </c>
      <c r="G401" s="37">
        <f t="shared" si="147"/>
        <v>2001</v>
      </c>
      <c r="H401" s="52">
        <f t="shared" si="147"/>
        <v>16968.61</v>
      </c>
      <c r="I401" s="37">
        <f t="shared" si="147"/>
        <v>2021</v>
      </c>
      <c r="J401" s="52">
        <f t="shared" si="147"/>
        <v>5</v>
      </c>
      <c r="K401" s="177">
        <f t="shared" si="147"/>
        <v>1</v>
      </c>
      <c r="L401" s="52">
        <f t="shared" si="147"/>
        <v>0</v>
      </c>
      <c r="N401" s="43">
        <f t="shared" si="110"/>
        <v>0</v>
      </c>
      <c r="P401" s="38">
        <f t="shared" si="101"/>
        <v>0</v>
      </c>
      <c r="R401" s="43">
        <f t="shared" si="142"/>
        <v>0</v>
      </c>
      <c r="S401" s="43">
        <f t="shared" si="142"/>
        <v>0</v>
      </c>
      <c r="T401" s="43">
        <f t="shared" si="142"/>
        <v>0</v>
      </c>
      <c r="U401" s="43">
        <f t="shared" si="142"/>
        <v>0</v>
      </c>
      <c r="V401" s="43">
        <f t="shared" si="142"/>
        <v>0</v>
      </c>
      <c r="X401" s="43">
        <f t="shared" si="143"/>
        <v>0</v>
      </c>
      <c r="Y401" s="43">
        <f t="shared" si="143"/>
        <v>0</v>
      </c>
      <c r="Z401" s="43">
        <f t="shared" si="143"/>
        <v>0</v>
      </c>
      <c r="AA401" s="43">
        <f t="shared" si="143"/>
        <v>0</v>
      </c>
      <c r="AB401" s="43">
        <f t="shared" si="143"/>
        <v>0</v>
      </c>
      <c r="AD401" s="43">
        <f t="shared" si="111"/>
        <v>0</v>
      </c>
      <c r="AE401" s="43">
        <f t="shared" si="112"/>
        <v>0</v>
      </c>
      <c r="AF401" s="43">
        <f t="shared" si="113"/>
        <v>0</v>
      </c>
      <c r="AG401" s="43">
        <f t="shared" si="114"/>
        <v>0</v>
      </c>
      <c r="AH401" s="43">
        <f t="shared" si="115"/>
        <v>0</v>
      </c>
      <c r="AJ401" s="43">
        <f t="shared" si="102"/>
        <v>0</v>
      </c>
      <c r="AK401" s="43">
        <f t="shared" si="103"/>
        <v>0</v>
      </c>
      <c r="AL401" s="43">
        <f t="shared" si="104"/>
        <v>0</v>
      </c>
      <c r="AM401" s="43">
        <f t="shared" si="105"/>
        <v>0</v>
      </c>
      <c r="AN401" s="43">
        <f t="shared" si="106"/>
        <v>0</v>
      </c>
    </row>
    <row r="402" spans="2:40">
      <c r="B402" s="37" t="str">
        <f t="shared" si="99"/>
        <v>Asset 96</v>
      </c>
      <c r="F402" s="37" t="str">
        <f t="shared" ref="F402:L402" si="148">F154</f>
        <v>08 Inrichting gebouwen</v>
      </c>
      <c r="G402" s="37">
        <f t="shared" si="148"/>
        <v>2001</v>
      </c>
      <c r="H402" s="52">
        <f t="shared" si="148"/>
        <v>7752.83</v>
      </c>
      <c r="I402" s="37">
        <f t="shared" si="148"/>
        <v>2021</v>
      </c>
      <c r="J402" s="52">
        <f t="shared" si="148"/>
        <v>10</v>
      </c>
      <c r="K402" s="177">
        <f t="shared" si="148"/>
        <v>0</v>
      </c>
      <c r="L402" s="52">
        <f t="shared" si="148"/>
        <v>0</v>
      </c>
      <c r="N402" s="43">
        <f t="shared" si="110"/>
        <v>0</v>
      </c>
      <c r="P402" s="38">
        <f t="shared" si="101"/>
        <v>0</v>
      </c>
      <c r="R402" s="43">
        <f t="shared" si="142"/>
        <v>0</v>
      </c>
      <c r="S402" s="43">
        <f t="shared" si="142"/>
        <v>0</v>
      </c>
      <c r="T402" s="43">
        <f t="shared" si="142"/>
        <v>0</v>
      </c>
      <c r="U402" s="43">
        <f t="shared" si="142"/>
        <v>0</v>
      </c>
      <c r="V402" s="43">
        <f t="shared" si="142"/>
        <v>0</v>
      </c>
      <c r="X402" s="43">
        <f t="shared" si="143"/>
        <v>0</v>
      </c>
      <c r="Y402" s="43">
        <f t="shared" si="143"/>
        <v>0</v>
      </c>
      <c r="Z402" s="43">
        <f t="shared" si="143"/>
        <v>0</v>
      </c>
      <c r="AA402" s="43">
        <f t="shared" si="143"/>
        <v>0</v>
      </c>
      <c r="AB402" s="43">
        <f t="shared" si="143"/>
        <v>0</v>
      </c>
      <c r="AD402" s="43">
        <f t="shared" si="111"/>
        <v>0</v>
      </c>
      <c r="AE402" s="43">
        <f t="shared" si="112"/>
        <v>0</v>
      </c>
      <c r="AF402" s="43">
        <f t="shared" si="113"/>
        <v>0</v>
      </c>
      <c r="AG402" s="43">
        <f t="shared" si="114"/>
        <v>0</v>
      </c>
      <c r="AH402" s="43">
        <f t="shared" si="115"/>
        <v>0</v>
      </c>
      <c r="AJ402" s="43">
        <f t="shared" si="102"/>
        <v>0</v>
      </c>
      <c r="AK402" s="43">
        <f t="shared" si="103"/>
        <v>0</v>
      </c>
      <c r="AL402" s="43">
        <f t="shared" si="104"/>
        <v>0</v>
      </c>
      <c r="AM402" s="43">
        <f t="shared" si="105"/>
        <v>0</v>
      </c>
      <c r="AN402" s="43">
        <f t="shared" si="106"/>
        <v>0</v>
      </c>
    </row>
    <row r="403" spans="2:40">
      <c r="B403" s="37" t="str">
        <f t="shared" si="99"/>
        <v>Asset 97</v>
      </c>
      <c r="F403" s="37" t="str">
        <f t="shared" ref="F403:L403" si="149">F155</f>
        <v>37 ICT middelen 1 (gaschromatografen en comptabele meting)</v>
      </c>
      <c r="G403" s="37">
        <f t="shared" si="149"/>
        <v>2001</v>
      </c>
      <c r="H403" s="52">
        <f t="shared" si="149"/>
        <v>757040.92</v>
      </c>
      <c r="I403" s="37">
        <f t="shared" si="149"/>
        <v>2021</v>
      </c>
      <c r="J403" s="52">
        <f t="shared" si="149"/>
        <v>5</v>
      </c>
      <c r="K403" s="177">
        <f t="shared" si="149"/>
        <v>0</v>
      </c>
      <c r="L403" s="52">
        <f t="shared" si="149"/>
        <v>0</v>
      </c>
      <c r="N403" s="43">
        <f t="shared" si="110"/>
        <v>0</v>
      </c>
      <c r="P403" s="38">
        <f t="shared" si="101"/>
        <v>0</v>
      </c>
      <c r="R403" s="43">
        <f t="shared" si="142"/>
        <v>0</v>
      </c>
      <c r="S403" s="43">
        <f t="shared" si="142"/>
        <v>0</v>
      </c>
      <c r="T403" s="43">
        <f t="shared" si="142"/>
        <v>0</v>
      </c>
      <c r="U403" s="43">
        <f t="shared" si="142"/>
        <v>0</v>
      </c>
      <c r="V403" s="43">
        <f t="shared" si="142"/>
        <v>0</v>
      </c>
      <c r="X403" s="43">
        <f t="shared" si="143"/>
        <v>0</v>
      </c>
      <c r="Y403" s="43">
        <f t="shared" si="143"/>
        <v>0</v>
      </c>
      <c r="Z403" s="43">
        <f t="shared" si="143"/>
        <v>0</v>
      </c>
      <c r="AA403" s="43">
        <f t="shared" si="143"/>
        <v>0</v>
      </c>
      <c r="AB403" s="43">
        <f t="shared" si="143"/>
        <v>0</v>
      </c>
      <c r="AD403" s="43">
        <f t="shared" si="111"/>
        <v>0</v>
      </c>
      <c r="AE403" s="43">
        <f t="shared" si="112"/>
        <v>0</v>
      </c>
      <c r="AF403" s="43">
        <f t="shared" si="113"/>
        <v>0</v>
      </c>
      <c r="AG403" s="43">
        <f t="shared" si="114"/>
        <v>0</v>
      </c>
      <c r="AH403" s="43">
        <f t="shared" si="115"/>
        <v>0</v>
      </c>
      <c r="AJ403" s="43">
        <f t="shared" si="102"/>
        <v>0</v>
      </c>
      <c r="AK403" s="43">
        <f t="shared" si="103"/>
        <v>0</v>
      </c>
      <c r="AL403" s="43">
        <f t="shared" si="104"/>
        <v>0</v>
      </c>
      <c r="AM403" s="43">
        <f t="shared" si="105"/>
        <v>0</v>
      </c>
      <c r="AN403" s="43">
        <f t="shared" si="106"/>
        <v>0</v>
      </c>
    </row>
    <row r="404" spans="2:40">
      <c r="B404" s="37" t="str">
        <f t="shared" si="99"/>
        <v>Asset 98</v>
      </c>
      <c r="F404" s="37" t="str">
        <f t="shared" ref="F404:L404" si="150">F156</f>
        <v>13 Aanhangwagens</v>
      </c>
      <c r="G404" s="37">
        <f t="shared" si="150"/>
        <v>2001</v>
      </c>
      <c r="H404" s="52">
        <f t="shared" si="150"/>
        <v>2746.92</v>
      </c>
      <c r="I404" s="37">
        <f t="shared" si="150"/>
        <v>2021</v>
      </c>
      <c r="J404" s="52">
        <f t="shared" si="150"/>
        <v>10</v>
      </c>
      <c r="K404" s="177">
        <f t="shared" si="150"/>
        <v>1</v>
      </c>
      <c r="L404" s="52">
        <f t="shared" si="150"/>
        <v>0</v>
      </c>
      <c r="N404" s="43">
        <f t="shared" si="110"/>
        <v>0</v>
      </c>
      <c r="P404" s="38">
        <f t="shared" si="101"/>
        <v>0</v>
      </c>
      <c r="R404" s="43">
        <f t="shared" si="142"/>
        <v>0</v>
      </c>
      <c r="S404" s="43">
        <f t="shared" si="142"/>
        <v>0</v>
      </c>
      <c r="T404" s="43">
        <f t="shared" si="142"/>
        <v>0</v>
      </c>
      <c r="U404" s="43">
        <f t="shared" si="142"/>
        <v>0</v>
      </c>
      <c r="V404" s="43">
        <f t="shared" si="142"/>
        <v>0</v>
      </c>
      <c r="X404" s="43">
        <f t="shared" si="143"/>
        <v>0</v>
      </c>
      <c r="Y404" s="43">
        <f t="shared" si="143"/>
        <v>0</v>
      </c>
      <c r="Z404" s="43">
        <f t="shared" si="143"/>
        <v>0</v>
      </c>
      <c r="AA404" s="43">
        <f t="shared" si="143"/>
        <v>0</v>
      </c>
      <c r="AB404" s="43">
        <f t="shared" si="143"/>
        <v>0</v>
      </c>
      <c r="AD404" s="43">
        <f t="shared" si="111"/>
        <v>0</v>
      </c>
      <c r="AE404" s="43">
        <f t="shared" si="112"/>
        <v>0</v>
      </c>
      <c r="AF404" s="43">
        <f t="shared" si="113"/>
        <v>0</v>
      </c>
      <c r="AG404" s="43">
        <f t="shared" si="114"/>
        <v>0</v>
      </c>
      <c r="AH404" s="43">
        <f t="shared" si="115"/>
        <v>0</v>
      </c>
      <c r="AJ404" s="43">
        <f t="shared" si="102"/>
        <v>0</v>
      </c>
      <c r="AK404" s="43">
        <f t="shared" si="103"/>
        <v>0</v>
      </c>
      <c r="AL404" s="43">
        <f t="shared" si="104"/>
        <v>0</v>
      </c>
      <c r="AM404" s="43">
        <f t="shared" si="105"/>
        <v>0</v>
      </c>
      <c r="AN404" s="43">
        <f t="shared" si="106"/>
        <v>0</v>
      </c>
    </row>
    <row r="405" spans="2:40">
      <c r="B405" s="37" t="str">
        <f t="shared" si="99"/>
        <v>Asset 99</v>
      </c>
      <c r="F405" s="37" t="str">
        <f t="shared" ref="F405:L405" si="151">F157</f>
        <v>11 Werktuigen</v>
      </c>
      <c r="G405" s="37">
        <f t="shared" si="151"/>
        <v>2002</v>
      </c>
      <c r="H405" s="52">
        <f t="shared" si="151"/>
        <v>108571.05</v>
      </c>
      <c r="I405" s="37">
        <f t="shared" si="151"/>
        <v>2021</v>
      </c>
      <c r="J405" s="52">
        <f t="shared" si="151"/>
        <v>10</v>
      </c>
      <c r="K405" s="177">
        <f t="shared" si="151"/>
        <v>1</v>
      </c>
      <c r="L405" s="52">
        <f t="shared" si="151"/>
        <v>0</v>
      </c>
      <c r="N405" s="43">
        <f t="shared" si="110"/>
        <v>0</v>
      </c>
      <c r="P405" s="38">
        <f t="shared" si="101"/>
        <v>0</v>
      </c>
      <c r="R405" s="43">
        <f t="shared" si="142"/>
        <v>0</v>
      </c>
      <c r="S405" s="43">
        <f t="shared" si="142"/>
        <v>0</v>
      </c>
      <c r="T405" s="43">
        <f t="shared" si="142"/>
        <v>0</v>
      </c>
      <c r="U405" s="43">
        <f t="shared" si="142"/>
        <v>0</v>
      </c>
      <c r="V405" s="43">
        <f t="shared" si="142"/>
        <v>0</v>
      </c>
      <c r="X405" s="43">
        <f t="shared" si="143"/>
        <v>0</v>
      </c>
      <c r="Y405" s="43">
        <f t="shared" si="143"/>
        <v>0</v>
      </c>
      <c r="Z405" s="43">
        <f t="shared" si="143"/>
        <v>0</v>
      </c>
      <c r="AA405" s="43">
        <f t="shared" si="143"/>
        <v>0</v>
      </c>
      <c r="AB405" s="43">
        <f t="shared" si="143"/>
        <v>0</v>
      </c>
      <c r="AD405" s="43">
        <f t="shared" si="111"/>
        <v>0</v>
      </c>
      <c r="AE405" s="43">
        <f t="shared" si="112"/>
        <v>0</v>
      </c>
      <c r="AF405" s="43">
        <f t="shared" si="113"/>
        <v>0</v>
      </c>
      <c r="AG405" s="43">
        <f t="shared" si="114"/>
        <v>0</v>
      </c>
      <c r="AH405" s="43">
        <f t="shared" si="115"/>
        <v>0</v>
      </c>
      <c r="AJ405" s="43">
        <f t="shared" si="102"/>
        <v>0</v>
      </c>
      <c r="AK405" s="43">
        <f t="shared" si="103"/>
        <v>0</v>
      </c>
      <c r="AL405" s="43">
        <f t="shared" si="104"/>
        <v>0</v>
      </c>
      <c r="AM405" s="43">
        <f t="shared" si="105"/>
        <v>0</v>
      </c>
      <c r="AN405" s="43">
        <f t="shared" si="106"/>
        <v>0</v>
      </c>
    </row>
    <row r="406" spans="2:40">
      <c r="B406" s="37" t="str">
        <f t="shared" si="99"/>
        <v>Asset 100</v>
      </c>
      <c r="F406" s="37" t="str">
        <f t="shared" ref="F406:L406" si="152">F158</f>
        <v>37 ICT middelen 1 (gaschromatografen en comptabele meting)</v>
      </c>
      <c r="G406" s="37">
        <f t="shared" si="152"/>
        <v>2002</v>
      </c>
      <c r="H406" s="52">
        <f t="shared" si="152"/>
        <v>27589.78</v>
      </c>
      <c r="I406" s="37">
        <f t="shared" si="152"/>
        <v>2021</v>
      </c>
      <c r="J406" s="52">
        <f t="shared" si="152"/>
        <v>5</v>
      </c>
      <c r="K406" s="177">
        <f t="shared" si="152"/>
        <v>0</v>
      </c>
      <c r="L406" s="52">
        <f t="shared" si="152"/>
        <v>0</v>
      </c>
      <c r="N406" s="43">
        <f t="shared" si="110"/>
        <v>0</v>
      </c>
      <c r="P406" s="38">
        <f t="shared" si="101"/>
        <v>0</v>
      </c>
      <c r="R406" s="43">
        <f t="shared" si="142"/>
        <v>0</v>
      </c>
      <c r="S406" s="43">
        <f t="shared" si="142"/>
        <v>0</v>
      </c>
      <c r="T406" s="43">
        <f t="shared" si="142"/>
        <v>0</v>
      </c>
      <c r="U406" s="43">
        <f t="shared" si="142"/>
        <v>0</v>
      </c>
      <c r="V406" s="43">
        <f t="shared" si="142"/>
        <v>0</v>
      </c>
      <c r="X406" s="43">
        <f t="shared" si="143"/>
        <v>0</v>
      </c>
      <c r="Y406" s="43">
        <f t="shared" si="143"/>
        <v>0</v>
      </c>
      <c r="Z406" s="43">
        <f t="shared" si="143"/>
        <v>0</v>
      </c>
      <c r="AA406" s="43">
        <f t="shared" si="143"/>
        <v>0</v>
      </c>
      <c r="AB406" s="43">
        <f t="shared" si="143"/>
        <v>0</v>
      </c>
      <c r="AD406" s="43">
        <f t="shared" si="111"/>
        <v>0</v>
      </c>
      <c r="AE406" s="43">
        <f t="shared" si="112"/>
        <v>0</v>
      </c>
      <c r="AF406" s="43">
        <f t="shared" si="113"/>
        <v>0</v>
      </c>
      <c r="AG406" s="43">
        <f t="shared" si="114"/>
        <v>0</v>
      </c>
      <c r="AH406" s="43">
        <f t="shared" si="115"/>
        <v>0</v>
      </c>
      <c r="AJ406" s="43">
        <f t="shared" si="102"/>
        <v>0</v>
      </c>
      <c r="AK406" s="43">
        <f t="shared" si="103"/>
        <v>0</v>
      </c>
      <c r="AL406" s="43">
        <f t="shared" si="104"/>
        <v>0</v>
      </c>
      <c r="AM406" s="43">
        <f t="shared" si="105"/>
        <v>0</v>
      </c>
      <c r="AN406" s="43">
        <f t="shared" si="106"/>
        <v>0</v>
      </c>
    </row>
    <row r="407" spans="2:40">
      <c r="B407" s="37" t="str">
        <f t="shared" si="99"/>
        <v>Asset 101</v>
      </c>
      <c r="F407" s="37" t="str">
        <f t="shared" ref="F407:L407" si="153">F159</f>
        <v>14 Overig rollend materieel</v>
      </c>
      <c r="G407" s="37">
        <f t="shared" si="153"/>
        <v>2002</v>
      </c>
      <c r="H407" s="52">
        <f t="shared" si="153"/>
        <v>7905</v>
      </c>
      <c r="I407" s="37">
        <f t="shared" si="153"/>
        <v>2021</v>
      </c>
      <c r="J407" s="52">
        <f t="shared" si="153"/>
        <v>10</v>
      </c>
      <c r="K407" s="177">
        <f t="shared" si="153"/>
        <v>1</v>
      </c>
      <c r="L407" s="52">
        <f t="shared" si="153"/>
        <v>0</v>
      </c>
      <c r="N407" s="43">
        <f t="shared" si="110"/>
        <v>0</v>
      </c>
      <c r="P407" s="38">
        <f t="shared" si="101"/>
        <v>0</v>
      </c>
      <c r="R407" s="43">
        <f t="shared" ref="R407:V416" si="154">IF(R$305&lt;=$G407+$J407,VDB($L407*(1-$F$25),0,$P407,R$305-2022,MIN(R$305-2021,$P407),$F$22),0)</f>
        <v>0</v>
      </c>
      <c r="S407" s="43">
        <f t="shared" si="154"/>
        <v>0</v>
      </c>
      <c r="T407" s="43">
        <f t="shared" si="154"/>
        <v>0</v>
      </c>
      <c r="U407" s="43">
        <f t="shared" si="154"/>
        <v>0</v>
      </c>
      <c r="V407" s="43">
        <f t="shared" si="154"/>
        <v>0</v>
      </c>
      <c r="X407" s="43">
        <f t="shared" ref="X407:AB416" si="155">IF(X$305&lt;=$G407+$J407,VDB($L407*$F$25,0,$P407,X$305-2022,MIN(X$305-2021,$P407),1),0)</f>
        <v>0</v>
      </c>
      <c r="Y407" s="43">
        <f t="shared" si="155"/>
        <v>0</v>
      </c>
      <c r="Z407" s="43">
        <f t="shared" si="155"/>
        <v>0</v>
      </c>
      <c r="AA407" s="43">
        <f t="shared" si="155"/>
        <v>0</v>
      </c>
      <c r="AB407" s="43">
        <f t="shared" si="155"/>
        <v>0</v>
      </c>
      <c r="AD407" s="43">
        <f t="shared" si="111"/>
        <v>0</v>
      </c>
      <c r="AE407" s="43">
        <f t="shared" si="112"/>
        <v>0</v>
      </c>
      <c r="AF407" s="43">
        <f t="shared" si="113"/>
        <v>0</v>
      </c>
      <c r="AG407" s="43">
        <f t="shared" si="114"/>
        <v>0</v>
      </c>
      <c r="AH407" s="43">
        <f t="shared" si="115"/>
        <v>0</v>
      </c>
      <c r="AJ407" s="43">
        <f t="shared" si="102"/>
        <v>0</v>
      </c>
      <c r="AK407" s="43">
        <f t="shared" si="103"/>
        <v>0</v>
      </c>
      <c r="AL407" s="43">
        <f t="shared" si="104"/>
        <v>0</v>
      </c>
      <c r="AM407" s="43">
        <f t="shared" si="105"/>
        <v>0</v>
      </c>
      <c r="AN407" s="43">
        <f t="shared" si="106"/>
        <v>0</v>
      </c>
    </row>
    <row r="408" spans="2:40">
      <c r="B408" s="37" t="str">
        <f t="shared" si="99"/>
        <v>Asset 102</v>
      </c>
      <c r="F408" s="37" t="str">
        <f t="shared" ref="F408:L408" si="156">F160</f>
        <v>13 Aanhangwagens</v>
      </c>
      <c r="G408" s="37">
        <f t="shared" si="156"/>
        <v>2002</v>
      </c>
      <c r="H408" s="52">
        <f t="shared" si="156"/>
        <v>1243</v>
      </c>
      <c r="I408" s="37">
        <f t="shared" si="156"/>
        <v>2021</v>
      </c>
      <c r="J408" s="52">
        <f t="shared" si="156"/>
        <v>10</v>
      </c>
      <c r="K408" s="177">
        <f t="shared" si="156"/>
        <v>1</v>
      </c>
      <c r="L408" s="52">
        <f t="shared" si="156"/>
        <v>0</v>
      </c>
      <c r="N408" s="43">
        <f t="shared" si="110"/>
        <v>0</v>
      </c>
      <c r="P408" s="38">
        <f t="shared" si="101"/>
        <v>0</v>
      </c>
      <c r="R408" s="43">
        <f t="shared" si="154"/>
        <v>0</v>
      </c>
      <c r="S408" s="43">
        <f t="shared" si="154"/>
        <v>0</v>
      </c>
      <c r="T408" s="43">
        <f t="shared" si="154"/>
        <v>0</v>
      </c>
      <c r="U408" s="43">
        <f t="shared" si="154"/>
        <v>0</v>
      </c>
      <c r="V408" s="43">
        <f t="shared" si="154"/>
        <v>0</v>
      </c>
      <c r="X408" s="43">
        <f t="shared" si="155"/>
        <v>0</v>
      </c>
      <c r="Y408" s="43">
        <f t="shared" si="155"/>
        <v>0</v>
      </c>
      <c r="Z408" s="43">
        <f t="shared" si="155"/>
        <v>0</v>
      </c>
      <c r="AA408" s="43">
        <f t="shared" si="155"/>
        <v>0</v>
      </c>
      <c r="AB408" s="43">
        <f t="shared" si="155"/>
        <v>0</v>
      </c>
      <c r="AD408" s="43">
        <f t="shared" si="111"/>
        <v>0</v>
      </c>
      <c r="AE408" s="43">
        <f t="shared" si="112"/>
        <v>0</v>
      </c>
      <c r="AF408" s="43">
        <f t="shared" si="113"/>
        <v>0</v>
      </c>
      <c r="AG408" s="43">
        <f t="shared" si="114"/>
        <v>0</v>
      </c>
      <c r="AH408" s="43">
        <f t="shared" si="115"/>
        <v>0</v>
      </c>
      <c r="AJ408" s="43">
        <f t="shared" si="102"/>
        <v>0</v>
      </c>
      <c r="AK408" s="43">
        <f t="shared" si="103"/>
        <v>0</v>
      </c>
      <c r="AL408" s="43">
        <f t="shared" si="104"/>
        <v>0</v>
      </c>
      <c r="AM408" s="43">
        <f t="shared" si="105"/>
        <v>0</v>
      </c>
      <c r="AN408" s="43">
        <f t="shared" si="106"/>
        <v>0</v>
      </c>
    </row>
    <row r="409" spans="2:40">
      <c r="B409" s="37" t="str">
        <f t="shared" si="99"/>
        <v>Asset 103</v>
      </c>
      <c r="F409" s="37" t="str">
        <f t="shared" ref="F409:L409" si="157">F161</f>
        <v>06 Utiliteitsgebouwen</v>
      </c>
      <c r="G409" s="37">
        <f t="shared" si="157"/>
        <v>2002</v>
      </c>
      <c r="H409" s="52">
        <f t="shared" si="157"/>
        <v>68637.27</v>
      </c>
      <c r="I409" s="37">
        <f t="shared" si="157"/>
        <v>2021</v>
      </c>
      <c r="J409" s="52">
        <f t="shared" si="157"/>
        <v>30</v>
      </c>
      <c r="K409" s="177">
        <f t="shared" si="157"/>
        <v>0</v>
      </c>
      <c r="L409" s="52">
        <f t="shared" si="157"/>
        <v>33068.469795601901</v>
      </c>
      <c r="N409" s="43">
        <f t="shared" si="110"/>
        <v>33068.469795601901</v>
      </c>
      <c r="P409" s="38">
        <f t="shared" si="101"/>
        <v>10.5</v>
      </c>
      <c r="R409" s="43">
        <f t="shared" si="154"/>
        <v>3684.7723486527834</v>
      </c>
      <c r="S409" s="43">
        <f t="shared" si="154"/>
        <v>3228.562438819582</v>
      </c>
      <c r="T409" s="43">
        <f t="shared" si="154"/>
        <v>2828.8356606800144</v>
      </c>
      <c r="U409" s="43">
        <f t="shared" si="154"/>
        <v>2669.2603157185777</v>
      </c>
      <c r="V409" s="43">
        <f t="shared" si="154"/>
        <v>2669.2603157185777</v>
      </c>
      <c r="X409" s="43">
        <f t="shared" si="155"/>
        <v>314.93780757716098</v>
      </c>
      <c r="Y409" s="43">
        <f t="shared" si="155"/>
        <v>314.93780757716098</v>
      </c>
      <c r="Z409" s="43">
        <f t="shared" si="155"/>
        <v>314.93780757716098</v>
      </c>
      <c r="AA409" s="43">
        <f t="shared" si="155"/>
        <v>314.93780757716098</v>
      </c>
      <c r="AB409" s="43">
        <f t="shared" si="155"/>
        <v>314.93780757716098</v>
      </c>
      <c r="AD409" s="43">
        <f t="shared" si="111"/>
        <v>29068.759639371958</v>
      </c>
      <c r="AE409" s="43">
        <f t="shared" si="112"/>
        <v>25525.259392975215</v>
      </c>
      <c r="AF409" s="43">
        <f t="shared" si="113"/>
        <v>22381.485924718039</v>
      </c>
      <c r="AG409" s="43">
        <f t="shared" si="114"/>
        <v>19397.287801422302</v>
      </c>
      <c r="AH409" s="43">
        <f t="shared" si="115"/>
        <v>16413.089678126566</v>
      </c>
      <c r="AJ409" s="43">
        <f t="shared" si="102"/>
        <v>4988.0479839685913</v>
      </c>
      <c r="AK409" s="43">
        <f t="shared" si="103"/>
        <v>4385.8338063649253</v>
      </c>
      <c r="AL409" s="43">
        <f t="shared" si="104"/>
        <v>3994.2699333964611</v>
      </c>
      <c r="AM409" s="43">
        <f t="shared" si="105"/>
        <v>3721.2950597497861</v>
      </c>
      <c r="AN409" s="43">
        <f t="shared" si="106"/>
        <v>3607.8955310645483</v>
      </c>
    </row>
    <row r="410" spans="2:40">
      <c r="B410" s="37" t="str">
        <f t="shared" si="99"/>
        <v>Asset 104</v>
      </c>
      <c r="F410" s="37" t="str">
        <f t="shared" ref="F410:L410" si="158">F162</f>
        <v>09 Bedrijfsinventaris</v>
      </c>
      <c r="G410" s="37">
        <f t="shared" si="158"/>
        <v>2003</v>
      </c>
      <c r="H410" s="52">
        <f t="shared" si="158"/>
        <v>108222.26</v>
      </c>
      <c r="I410" s="37">
        <f t="shared" si="158"/>
        <v>2021</v>
      </c>
      <c r="J410" s="52">
        <f t="shared" si="158"/>
        <v>10</v>
      </c>
      <c r="K410" s="177">
        <f t="shared" si="158"/>
        <v>1</v>
      </c>
      <c r="L410" s="52">
        <f t="shared" si="158"/>
        <v>0</v>
      </c>
      <c r="N410" s="43">
        <f t="shared" si="110"/>
        <v>0</v>
      </c>
      <c r="P410" s="38">
        <f t="shared" si="101"/>
        <v>0</v>
      </c>
      <c r="R410" s="43">
        <f t="shared" si="154"/>
        <v>0</v>
      </c>
      <c r="S410" s="43">
        <f t="shared" si="154"/>
        <v>0</v>
      </c>
      <c r="T410" s="43">
        <f t="shared" si="154"/>
        <v>0</v>
      </c>
      <c r="U410" s="43">
        <f t="shared" si="154"/>
        <v>0</v>
      </c>
      <c r="V410" s="43">
        <f t="shared" si="154"/>
        <v>0</v>
      </c>
      <c r="X410" s="43">
        <f t="shared" si="155"/>
        <v>0</v>
      </c>
      <c r="Y410" s="43">
        <f t="shared" si="155"/>
        <v>0</v>
      </c>
      <c r="Z410" s="43">
        <f t="shared" si="155"/>
        <v>0</v>
      </c>
      <c r="AA410" s="43">
        <f t="shared" si="155"/>
        <v>0</v>
      </c>
      <c r="AB410" s="43">
        <f t="shared" si="155"/>
        <v>0</v>
      </c>
      <c r="AD410" s="43">
        <f t="shared" si="111"/>
        <v>0</v>
      </c>
      <c r="AE410" s="43">
        <f t="shared" si="112"/>
        <v>0</v>
      </c>
      <c r="AF410" s="43">
        <f t="shared" si="113"/>
        <v>0</v>
      </c>
      <c r="AG410" s="43">
        <f t="shared" si="114"/>
        <v>0</v>
      </c>
      <c r="AH410" s="43">
        <f t="shared" si="115"/>
        <v>0</v>
      </c>
      <c r="AJ410" s="43">
        <f t="shared" si="102"/>
        <v>0</v>
      </c>
      <c r="AK410" s="43">
        <f t="shared" si="103"/>
        <v>0</v>
      </c>
      <c r="AL410" s="43">
        <f t="shared" si="104"/>
        <v>0</v>
      </c>
      <c r="AM410" s="43">
        <f t="shared" si="105"/>
        <v>0</v>
      </c>
      <c r="AN410" s="43">
        <f t="shared" si="106"/>
        <v>0</v>
      </c>
    </row>
    <row r="411" spans="2:40">
      <c r="B411" s="37" t="str">
        <f t="shared" si="99"/>
        <v>Asset 105</v>
      </c>
      <c r="F411" s="37" t="str">
        <f t="shared" ref="F411:L411" si="159">F163</f>
        <v>11 Werktuigen</v>
      </c>
      <c r="G411" s="37">
        <f t="shared" si="159"/>
        <v>2003</v>
      </c>
      <c r="H411" s="52">
        <f t="shared" si="159"/>
        <v>135681.9</v>
      </c>
      <c r="I411" s="37">
        <f t="shared" si="159"/>
        <v>2021</v>
      </c>
      <c r="J411" s="52">
        <f t="shared" si="159"/>
        <v>10</v>
      </c>
      <c r="K411" s="177">
        <f t="shared" si="159"/>
        <v>1</v>
      </c>
      <c r="L411" s="52">
        <f t="shared" si="159"/>
        <v>0</v>
      </c>
      <c r="N411" s="43">
        <f t="shared" si="110"/>
        <v>0</v>
      </c>
      <c r="P411" s="38">
        <f t="shared" si="101"/>
        <v>0</v>
      </c>
      <c r="R411" s="43">
        <f t="shared" si="154"/>
        <v>0</v>
      </c>
      <c r="S411" s="43">
        <f t="shared" si="154"/>
        <v>0</v>
      </c>
      <c r="T411" s="43">
        <f t="shared" si="154"/>
        <v>0</v>
      </c>
      <c r="U411" s="43">
        <f t="shared" si="154"/>
        <v>0</v>
      </c>
      <c r="V411" s="43">
        <f t="shared" si="154"/>
        <v>0</v>
      </c>
      <c r="X411" s="43">
        <f t="shared" si="155"/>
        <v>0</v>
      </c>
      <c r="Y411" s="43">
        <f t="shared" si="155"/>
        <v>0</v>
      </c>
      <c r="Z411" s="43">
        <f t="shared" si="155"/>
        <v>0</v>
      </c>
      <c r="AA411" s="43">
        <f t="shared" si="155"/>
        <v>0</v>
      </c>
      <c r="AB411" s="43">
        <f t="shared" si="155"/>
        <v>0</v>
      </c>
      <c r="AD411" s="43">
        <f t="shared" si="111"/>
        <v>0</v>
      </c>
      <c r="AE411" s="43">
        <f t="shared" si="112"/>
        <v>0</v>
      </c>
      <c r="AF411" s="43">
        <f t="shared" si="113"/>
        <v>0</v>
      </c>
      <c r="AG411" s="43">
        <f t="shared" si="114"/>
        <v>0</v>
      </c>
      <c r="AH411" s="43">
        <f t="shared" si="115"/>
        <v>0</v>
      </c>
      <c r="AJ411" s="43">
        <f t="shared" si="102"/>
        <v>0</v>
      </c>
      <c r="AK411" s="43">
        <f t="shared" si="103"/>
        <v>0</v>
      </c>
      <c r="AL411" s="43">
        <f t="shared" si="104"/>
        <v>0</v>
      </c>
      <c r="AM411" s="43">
        <f t="shared" si="105"/>
        <v>0</v>
      </c>
      <c r="AN411" s="43">
        <f t="shared" si="106"/>
        <v>0</v>
      </c>
    </row>
    <row r="412" spans="2:40">
      <c r="B412" s="37" t="str">
        <f t="shared" si="99"/>
        <v>Asset 106</v>
      </c>
      <c r="F412" s="37" t="str">
        <f t="shared" ref="F412:L412" si="160">F164</f>
        <v>37 ICT middelen 1</v>
      </c>
      <c r="G412" s="37">
        <f t="shared" si="160"/>
        <v>2003</v>
      </c>
      <c r="H412" s="52">
        <f t="shared" si="160"/>
        <v>869353.66999999993</v>
      </c>
      <c r="I412" s="37">
        <f t="shared" si="160"/>
        <v>2021</v>
      </c>
      <c r="J412" s="52">
        <f t="shared" si="160"/>
        <v>5</v>
      </c>
      <c r="K412" s="177">
        <f t="shared" si="160"/>
        <v>1</v>
      </c>
      <c r="L412" s="52">
        <f t="shared" si="160"/>
        <v>0</v>
      </c>
      <c r="N412" s="43">
        <f t="shared" si="110"/>
        <v>0</v>
      </c>
      <c r="P412" s="38">
        <f t="shared" si="101"/>
        <v>0</v>
      </c>
      <c r="R412" s="43">
        <f t="shared" si="154"/>
        <v>0</v>
      </c>
      <c r="S412" s="43">
        <f t="shared" si="154"/>
        <v>0</v>
      </c>
      <c r="T412" s="43">
        <f t="shared" si="154"/>
        <v>0</v>
      </c>
      <c r="U412" s="43">
        <f t="shared" si="154"/>
        <v>0</v>
      </c>
      <c r="V412" s="43">
        <f t="shared" si="154"/>
        <v>0</v>
      </c>
      <c r="X412" s="43">
        <f t="shared" si="155"/>
        <v>0</v>
      </c>
      <c r="Y412" s="43">
        <f t="shared" si="155"/>
        <v>0</v>
      </c>
      <c r="Z412" s="43">
        <f t="shared" si="155"/>
        <v>0</v>
      </c>
      <c r="AA412" s="43">
        <f t="shared" si="155"/>
        <v>0</v>
      </c>
      <c r="AB412" s="43">
        <f t="shared" si="155"/>
        <v>0</v>
      </c>
      <c r="AD412" s="43">
        <f t="shared" si="111"/>
        <v>0</v>
      </c>
      <c r="AE412" s="43">
        <f t="shared" si="112"/>
        <v>0</v>
      </c>
      <c r="AF412" s="43">
        <f t="shared" si="113"/>
        <v>0</v>
      </c>
      <c r="AG412" s="43">
        <f t="shared" si="114"/>
        <v>0</v>
      </c>
      <c r="AH412" s="43">
        <f t="shared" si="115"/>
        <v>0</v>
      </c>
      <c r="AJ412" s="43">
        <f t="shared" si="102"/>
        <v>0</v>
      </c>
      <c r="AK412" s="43">
        <f t="shared" si="103"/>
        <v>0</v>
      </c>
      <c r="AL412" s="43">
        <f t="shared" si="104"/>
        <v>0</v>
      </c>
      <c r="AM412" s="43">
        <f t="shared" si="105"/>
        <v>0</v>
      </c>
      <c r="AN412" s="43">
        <f t="shared" si="106"/>
        <v>0</v>
      </c>
    </row>
    <row r="413" spans="2:40">
      <c r="B413" s="37" t="str">
        <f t="shared" si="99"/>
        <v>Asset 107</v>
      </c>
      <c r="F413" s="37" t="str">
        <f t="shared" ref="F413:L413" si="161">F165</f>
        <v>37 ICT middelen 1 (gaschromatografen en comptabele meting)</v>
      </c>
      <c r="G413" s="37">
        <f t="shared" si="161"/>
        <v>2003</v>
      </c>
      <c r="H413" s="52">
        <f t="shared" si="161"/>
        <v>1210667.97</v>
      </c>
      <c r="I413" s="37">
        <f t="shared" si="161"/>
        <v>2021</v>
      </c>
      <c r="J413" s="52">
        <f t="shared" si="161"/>
        <v>5</v>
      </c>
      <c r="K413" s="177">
        <f t="shared" si="161"/>
        <v>0</v>
      </c>
      <c r="L413" s="52">
        <f t="shared" si="161"/>
        <v>0</v>
      </c>
      <c r="N413" s="43">
        <f t="shared" si="110"/>
        <v>0</v>
      </c>
      <c r="P413" s="38">
        <f t="shared" si="101"/>
        <v>0</v>
      </c>
      <c r="R413" s="43">
        <f t="shared" si="154"/>
        <v>0</v>
      </c>
      <c r="S413" s="43">
        <f t="shared" si="154"/>
        <v>0</v>
      </c>
      <c r="T413" s="43">
        <f t="shared" si="154"/>
        <v>0</v>
      </c>
      <c r="U413" s="43">
        <f t="shared" si="154"/>
        <v>0</v>
      </c>
      <c r="V413" s="43">
        <f t="shared" si="154"/>
        <v>0</v>
      </c>
      <c r="X413" s="43">
        <f t="shared" si="155"/>
        <v>0</v>
      </c>
      <c r="Y413" s="43">
        <f t="shared" si="155"/>
        <v>0</v>
      </c>
      <c r="Z413" s="43">
        <f t="shared" si="155"/>
        <v>0</v>
      </c>
      <c r="AA413" s="43">
        <f t="shared" si="155"/>
        <v>0</v>
      </c>
      <c r="AB413" s="43">
        <f t="shared" si="155"/>
        <v>0</v>
      </c>
      <c r="AD413" s="43">
        <f t="shared" si="111"/>
        <v>0</v>
      </c>
      <c r="AE413" s="43">
        <f t="shared" si="112"/>
        <v>0</v>
      </c>
      <c r="AF413" s="43">
        <f t="shared" si="113"/>
        <v>0</v>
      </c>
      <c r="AG413" s="43">
        <f t="shared" si="114"/>
        <v>0</v>
      </c>
      <c r="AH413" s="43">
        <f t="shared" si="115"/>
        <v>0</v>
      </c>
      <c r="AJ413" s="43">
        <f t="shared" si="102"/>
        <v>0</v>
      </c>
      <c r="AK413" s="43">
        <f t="shared" si="103"/>
        <v>0</v>
      </c>
      <c r="AL413" s="43">
        <f t="shared" si="104"/>
        <v>0</v>
      </c>
      <c r="AM413" s="43">
        <f t="shared" si="105"/>
        <v>0</v>
      </c>
      <c r="AN413" s="43">
        <f t="shared" si="106"/>
        <v>0</v>
      </c>
    </row>
    <row r="414" spans="2:40">
      <c r="B414" s="37" t="str">
        <f t="shared" si="99"/>
        <v>Asset 108</v>
      </c>
      <c r="F414" s="37" t="str">
        <f t="shared" ref="F414:L414" si="162">F166</f>
        <v>10 Gereedschap</v>
      </c>
      <c r="G414" s="37">
        <f t="shared" si="162"/>
        <v>2003</v>
      </c>
      <c r="H414" s="52">
        <f t="shared" si="162"/>
        <v>62325</v>
      </c>
      <c r="I414" s="37">
        <f t="shared" si="162"/>
        <v>2021</v>
      </c>
      <c r="J414" s="52">
        <f t="shared" si="162"/>
        <v>10</v>
      </c>
      <c r="K414" s="177">
        <f t="shared" si="162"/>
        <v>1</v>
      </c>
      <c r="L414" s="52">
        <f t="shared" si="162"/>
        <v>0</v>
      </c>
      <c r="N414" s="43">
        <f t="shared" si="110"/>
        <v>0</v>
      </c>
      <c r="P414" s="38">
        <f t="shared" si="101"/>
        <v>0</v>
      </c>
      <c r="R414" s="43">
        <f t="shared" si="154"/>
        <v>0</v>
      </c>
      <c r="S414" s="43">
        <f t="shared" si="154"/>
        <v>0</v>
      </c>
      <c r="T414" s="43">
        <f t="shared" si="154"/>
        <v>0</v>
      </c>
      <c r="U414" s="43">
        <f t="shared" si="154"/>
        <v>0</v>
      </c>
      <c r="V414" s="43">
        <f t="shared" si="154"/>
        <v>0</v>
      </c>
      <c r="X414" s="43">
        <f t="shared" si="155"/>
        <v>0</v>
      </c>
      <c r="Y414" s="43">
        <f t="shared" si="155"/>
        <v>0</v>
      </c>
      <c r="Z414" s="43">
        <f t="shared" si="155"/>
        <v>0</v>
      </c>
      <c r="AA414" s="43">
        <f t="shared" si="155"/>
        <v>0</v>
      </c>
      <c r="AB414" s="43">
        <f t="shared" si="155"/>
        <v>0</v>
      </c>
      <c r="AD414" s="43">
        <f t="shared" si="111"/>
        <v>0</v>
      </c>
      <c r="AE414" s="43">
        <f t="shared" si="112"/>
        <v>0</v>
      </c>
      <c r="AF414" s="43">
        <f t="shared" si="113"/>
        <v>0</v>
      </c>
      <c r="AG414" s="43">
        <f t="shared" si="114"/>
        <v>0</v>
      </c>
      <c r="AH414" s="43">
        <f t="shared" si="115"/>
        <v>0</v>
      </c>
      <c r="AJ414" s="43">
        <f t="shared" si="102"/>
        <v>0</v>
      </c>
      <c r="AK414" s="43">
        <f t="shared" si="103"/>
        <v>0</v>
      </c>
      <c r="AL414" s="43">
        <f t="shared" si="104"/>
        <v>0</v>
      </c>
      <c r="AM414" s="43">
        <f t="shared" si="105"/>
        <v>0</v>
      </c>
      <c r="AN414" s="43">
        <f t="shared" si="106"/>
        <v>0</v>
      </c>
    </row>
    <row r="415" spans="2:40">
      <c r="B415" s="37" t="str">
        <f t="shared" si="99"/>
        <v>Asset 109</v>
      </c>
      <c r="F415" s="37" t="str">
        <f t="shared" ref="F415:L415" si="163">F167</f>
        <v>06 Utiliteitsgebouwen</v>
      </c>
      <c r="G415" s="37">
        <f t="shared" si="163"/>
        <v>2003</v>
      </c>
      <c r="H415" s="52">
        <f t="shared" si="163"/>
        <v>206366.74</v>
      </c>
      <c r="I415" s="37">
        <f t="shared" si="163"/>
        <v>2021</v>
      </c>
      <c r="J415" s="52">
        <f t="shared" si="163"/>
        <v>30</v>
      </c>
      <c r="K415" s="177">
        <f t="shared" si="163"/>
        <v>0</v>
      </c>
      <c r="L415" s="52">
        <f t="shared" si="163"/>
        <v>105414.90479883776</v>
      </c>
      <c r="N415" s="43">
        <f t="shared" si="110"/>
        <v>105414.90479883776</v>
      </c>
      <c r="P415" s="38">
        <f t="shared" si="101"/>
        <v>11.5</v>
      </c>
      <c r="R415" s="43">
        <f t="shared" si="154"/>
        <v>10724.820749099146</v>
      </c>
      <c r="S415" s="43">
        <f t="shared" si="154"/>
        <v>9512.4497078966342</v>
      </c>
      <c r="T415" s="43">
        <f t="shared" si="154"/>
        <v>8437.1293061344059</v>
      </c>
      <c r="U415" s="43">
        <f t="shared" si="154"/>
        <v>7788.1193595086825</v>
      </c>
      <c r="V415" s="43">
        <f t="shared" si="154"/>
        <v>7788.1193595086825</v>
      </c>
      <c r="X415" s="43">
        <f t="shared" si="155"/>
        <v>916.65134607685013</v>
      </c>
      <c r="Y415" s="43">
        <f t="shared" si="155"/>
        <v>916.65134607685013</v>
      </c>
      <c r="Z415" s="43">
        <f t="shared" si="155"/>
        <v>916.65134607685013</v>
      </c>
      <c r="AA415" s="43">
        <f t="shared" si="155"/>
        <v>916.65134607685013</v>
      </c>
      <c r="AB415" s="43">
        <f t="shared" si="155"/>
        <v>916.65134607685013</v>
      </c>
      <c r="AD415" s="43">
        <f t="shared" si="111"/>
        <v>93773.432703661761</v>
      </c>
      <c r="AE415" s="43">
        <f t="shared" si="112"/>
        <v>83344.331649688276</v>
      </c>
      <c r="AF415" s="43">
        <f t="shared" si="113"/>
        <v>73990.550997477025</v>
      </c>
      <c r="AG415" s="43">
        <f t="shared" si="114"/>
        <v>65285.780291891497</v>
      </c>
      <c r="AH415" s="43">
        <f t="shared" si="115"/>
        <v>56581.009586305969</v>
      </c>
      <c r="AJ415" s="43">
        <f t="shared" si="102"/>
        <v>14829.768807100496</v>
      </c>
      <c r="AK415" s="43">
        <f t="shared" si="103"/>
        <v>13179.463998413199</v>
      </c>
      <c r="AL415" s="43">
        <f t="shared" si="104"/>
        <v>12165.421590115382</v>
      </c>
      <c r="AM415" s="43">
        <f t="shared" si="105"/>
        <v>11185.630356677408</v>
      </c>
      <c r="AN415" s="43">
        <f t="shared" si="106"/>
        <v>10854.849069865159</v>
      </c>
    </row>
    <row r="416" spans="2:40">
      <c r="B416" s="37" t="str">
        <f t="shared" si="99"/>
        <v>Asset 110</v>
      </c>
      <c r="F416" s="37" t="str">
        <f t="shared" ref="F416:L416" si="164">F168</f>
        <v>13 Aanhangwagens</v>
      </c>
      <c r="G416" s="37">
        <f t="shared" si="164"/>
        <v>2003</v>
      </c>
      <c r="H416" s="52">
        <f t="shared" si="164"/>
        <v>1830.54</v>
      </c>
      <c r="I416" s="37">
        <f t="shared" si="164"/>
        <v>2021</v>
      </c>
      <c r="J416" s="52">
        <f t="shared" si="164"/>
        <v>10</v>
      </c>
      <c r="K416" s="177">
        <f t="shared" si="164"/>
        <v>1</v>
      </c>
      <c r="L416" s="52">
        <f t="shared" si="164"/>
        <v>0</v>
      </c>
      <c r="N416" s="43">
        <f t="shared" si="110"/>
        <v>0</v>
      </c>
      <c r="P416" s="38">
        <f t="shared" si="101"/>
        <v>0</v>
      </c>
      <c r="R416" s="43">
        <f t="shared" si="154"/>
        <v>0</v>
      </c>
      <c r="S416" s="43">
        <f t="shared" si="154"/>
        <v>0</v>
      </c>
      <c r="T416" s="43">
        <f t="shared" si="154"/>
        <v>0</v>
      </c>
      <c r="U416" s="43">
        <f t="shared" si="154"/>
        <v>0</v>
      </c>
      <c r="V416" s="43">
        <f t="shared" si="154"/>
        <v>0</v>
      </c>
      <c r="X416" s="43">
        <f t="shared" si="155"/>
        <v>0</v>
      </c>
      <c r="Y416" s="43">
        <f t="shared" si="155"/>
        <v>0</v>
      </c>
      <c r="Z416" s="43">
        <f t="shared" si="155"/>
        <v>0</v>
      </c>
      <c r="AA416" s="43">
        <f t="shared" si="155"/>
        <v>0</v>
      </c>
      <c r="AB416" s="43">
        <f t="shared" si="155"/>
        <v>0</v>
      </c>
      <c r="AD416" s="43">
        <f t="shared" si="111"/>
        <v>0</v>
      </c>
      <c r="AE416" s="43">
        <f t="shared" si="112"/>
        <v>0</v>
      </c>
      <c r="AF416" s="43">
        <f t="shared" si="113"/>
        <v>0</v>
      </c>
      <c r="AG416" s="43">
        <f t="shared" si="114"/>
        <v>0</v>
      </c>
      <c r="AH416" s="43">
        <f t="shared" si="115"/>
        <v>0</v>
      </c>
      <c r="AJ416" s="43">
        <f t="shared" si="102"/>
        <v>0</v>
      </c>
      <c r="AK416" s="43">
        <f t="shared" si="103"/>
        <v>0</v>
      </c>
      <c r="AL416" s="43">
        <f t="shared" si="104"/>
        <v>0</v>
      </c>
      <c r="AM416" s="43">
        <f t="shared" si="105"/>
        <v>0</v>
      </c>
      <c r="AN416" s="43">
        <f t="shared" si="106"/>
        <v>0</v>
      </c>
    </row>
    <row r="417" spans="2:40">
      <c r="B417" s="37" t="str">
        <f t="shared" si="99"/>
        <v>Asset 111</v>
      </c>
      <c r="F417" s="37" t="str">
        <f t="shared" ref="F417:L417" si="165">F169</f>
        <v>37 ICT middelen 1</v>
      </c>
      <c r="G417" s="37">
        <f t="shared" si="165"/>
        <v>2004</v>
      </c>
      <c r="H417" s="52">
        <f t="shared" si="165"/>
        <v>2583848.4300000002</v>
      </c>
      <c r="I417" s="37">
        <f t="shared" si="165"/>
        <v>2021</v>
      </c>
      <c r="J417" s="52">
        <f t="shared" si="165"/>
        <v>5</v>
      </c>
      <c r="K417" s="177">
        <f t="shared" si="165"/>
        <v>1</v>
      </c>
      <c r="L417" s="52">
        <f t="shared" si="165"/>
        <v>0</v>
      </c>
      <c r="N417" s="43">
        <f t="shared" si="110"/>
        <v>0</v>
      </c>
      <c r="P417" s="38">
        <f t="shared" si="101"/>
        <v>0</v>
      </c>
      <c r="R417" s="43">
        <f t="shared" ref="R417:V426" si="166">IF(R$305&lt;=$G417+$J417,VDB($L417*(1-$F$25),0,$P417,R$305-2022,MIN(R$305-2021,$P417),$F$22),0)</f>
        <v>0</v>
      </c>
      <c r="S417" s="43">
        <f t="shared" si="166"/>
        <v>0</v>
      </c>
      <c r="T417" s="43">
        <f t="shared" si="166"/>
        <v>0</v>
      </c>
      <c r="U417" s="43">
        <f t="shared" si="166"/>
        <v>0</v>
      </c>
      <c r="V417" s="43">
        <f t="shared" si="166"/>
        <v>0</v>
      </c>
      <c r="X417" s="43">
        <f t="shared" ref="X417:AB426" si="167">IF(X$305&lt;=$G417+$J417,VDB($L417*$F$25,0,$P417,X$305-2022,MIN(X$305-2021,$P417),1),0)</f>
        <v>0</v>
      </c>
      <c r="Y417" s="43">
        <f t="shared" si="167"/>
        <v>0</v>
      </c>
      <c r="Z417" s="43">
        <f t="shared" si="167"/>
        <v>0</v>
      </c>
      <c r="AA417" s="43">
        <f t="shared" si="167"/>
        <v>0</v>
      </c>
      <c r="AB417" s="43">
        <f t="shared" si="167"/>
        <v>0</v>
      </c>
      <c r="AD417" s="43">
        <f t="shared" si="111"/>
        <v>0</v>
      </c>
      <c r="AE417" s="43">
        <f t="shared" si="112"/>
        <v>0</v>
      </c>
      <c r="AF417" s="43">
        <f t="shared" si="113"/>
        <v>0</v>
      </c>
      <c r="AG417" s="43">
        <f t="shared" si="114"/>
        <v>0</v>
      </c>
      <c r="AH417" s="43">
        <f t="shared" si="115"/>
        <v>0</v>
      </c>
      <c r="AJ417" s="43">
        <f t="shared" si="102"/>
        <v>0</v>
      </c>
      <c r="AK417" s="43">
        <f t="shared" si="103"/>
        <v>0</v>
      </c>
      <c r="AL417" s="43">
        <f t="shared" si="104"/>
        <v>0</v>
      </c>
      <c r="AM417" s="43">
        <f t="shared" si="105"/>
        <v>0</v>
      </c>
      <c r="AN417" s="43">
        <f t="shared" si="106"/>
        <v>0</v>
      </c>
    </row>
    <row r="418" spans="2:40">
      <c r="B418" s="37" t="str">
        <f t="shared" si="99"/>
        <v>Asset 112</v>
      </c>
      <c r="F418" s="37" t="str">
        <f t="shared" ref="F418:L418" si="168">F170</f>
        <v>37 ICT middelen 1 (gaschromatografen en comptabele meting)</v>
      </c>
      <c r="G418" s="37">
        <f t="shared" si="168"/>
        <v>2004</v>
      </c>
      <c r="H418" s="52">
        <f t="shared" si="168"/>
        <v>263122.5</v>
      </c>
      <c r="I418" s="37">
        <f t="shared" si="168"/>
        <v>2021</v>
      </c>
      <c r="J418" s="52">
        <f t="shared" si="168"/>
        <v>5</v>
      </c>
      <c r="K418" s="177">
        <f t="shared" si="168"/>
        <v>0</v>
      </c>
      <c r="L418" s="52">
        <f t="shared" si="168"/>
        <v>0</v>
      </c>
      <c r="N418" s="43">
        <f t="shared" si="110"/>
        <v>0</v>
      </c>
      <c r="P418" s="38">
        <f t="shared" si="101"/>
        <v>0</v>
      </c>
      <c r="R418" s="43">
        <f t="shared" si="166"/>
        <v>0</v>
      </c>
      <c r="S418" s="43">
        <f t="shared" si="166"/>
        <v>0</v>
      </c>
      <c r="T418" s="43">
        <f t="shared" si="166"/>
        <v>0</v>
      </c>
      <c r="U418" s="43">
        <f t="shared" si="166"/>
        <v>0</v>
      </c>
      <c r="V418" s="43">
        <f t="shared" si="166"/>
        <v>0</v>
      </c>
      <c r="X418" s="43">
        <f t="shared" si="167"/>
        <v>0</v>
      </c>
      <c r="Y418" s="43">
        <f t="shared" si="167"/>
        <v>0</v>
      </c>
      <c r="Z418" s="43">
        <f t="shared" si="167"/>
        <v>0</v>
      </c>
      <c r="AA418" s="43">
        <f t="shared" si="167"/>
        <v>0</v>
      </c>
      <c r="AB418" s="43">
        <f t="shared" si="167"/>
        <v>0</v>
      </c>
      <c r="AD418" s="43">
        <f t="shared" si="111"/>
        <v>0</v>
      </c>
      <c r="AE418" s="43">
        <f t="shared" si="112"/>
        <v>0</v>
      </c>
      <c r="AF418" s="43">
        <f t="shared" si="113"/>
        <v>0</v>
      </c>
      <c r="AG418" s="43">
        <f t="shared" si="114"/>
        <v>0</v>
      </c>
      <c r="AH418" s="43">
        <f t="shared" si="115"/>
        <v>0</v>
      </c>
      <c r="AJ418" s="43">
        <f t="shared" si="102"/>
        <v>0</v>
      </c>
      <c r="AK418" s="43">
        <f t="shared" si="103"/>
        <v>0</v>
      </c>
      <c r="AL418" s="43">
        <f t="shared" si="104"/>
        <v>0</v>
      </c>
      <c r="AM418" s="43">
        <f t="shared" si="105"/>
        <v>0</v>
      </c>
      <c r="AN418" s="43">
        <f t="shared" si="106"/>
        <v>0</v>
      </c>
    </row>
    <row r="419" spans="2:40">
      <c r="B419" s="37" t="str">
        <f t="shared" si="99"/>
        <v>Asset 113</v>
      </c>
      <c r="F419" s="37" t="str">
        <f t="shared" ref="F419:L419" si="169">F171</f>
        <v>09 Bedrijfsinventaris</v>
      </c>
      <c r="G419" s="37">
        <f t="shared" si="169"/>
        <v>2004</v>
      </c>
      <c r="H419" s="52">
        <f t="shared" si="169"/>
        <v>142655</v>
      </c>
      <c r="I419" s="37">
        <f t="shared" si="169"/>
        <v>2021</v>
      </c>
      <c r="J419" s="52">
        <f t="shared" si="169"/>
        <v>10</v>
      </c>
      <c r="K419" s="177">
        <f t="shared" si="169"/>
        <v>1</v>
      </c>
      <c r="L419" s="52">
        <f t="shared" si="169"/>
        <v>0</v>
      </c>
      <c r="N419" s="43">
        <f t="shared" si="110"/>
        <v>0</v>
      </c>
      <c r="P419" s="38">
        <f t="shared" si="101"/>
        <v>0</v>
      </c>
      <c r="R419" s="43">
        <f t="shared" si="166"/>
        <v>0</v>
      </c>
      <c r="S419" s="43">
        <f t="shared" si="166"/>
        <v>0</v>
      </c>
      <c r="T419" s="43">
        <f t="shared" si="166"/>
        <v>0</v>
      </c>
      <c r="U419" s="43">
        <f t="shared" si="166"/>
        <v>0</v>
      </c>
      <c r="V419" s="43">
        <f t="shared" si="166"/>
        <v>0</v>
      </c>
      <c r="X419" s="43">
        <f t="shared" si="167"/>
        <v>0</v>
      </c>
      <c r="Y419" s="43">
        <f t="shared" si="167"/>
        <v>0</v>
      </c>
      <c r="Z419" s="43">
        <f t="shared" si="167"/>
        <v>0</v>
      </c>
      <c r="AA419" s="43">
        <f t="shared" si="167"/>
        <v>0</v>
      </c>
      <c r="AB419" s="43">
        <f t="shared" si="167"/>
        <v>0</v>
      </c>
      <c r="AD419" s="43">
        <f t="shared" si="111"/>
        <v>0</v>
      </c>
      <c r="AE419" s="43">
        <f t="shared" si="112"/>
        <v>0</v>
      </c>
      <c r="AF419" s="43">
        <f t="shared" si="113"/>
        <v>0</v>
      </c>
      <c r="AG419" s="43">
        <f t="shared" si="114"/>
        <v>0</v>
      </c>
      <c r="AH419" s="43">
        <f t="shared" si="115"/>
        <v>0</v>
      </c>
      <c r="AJ419" s="43">
        <f t="shared" si="102"/>
        <v>0</v>
      </c>
      <c r="AK419" s="43">
        <f t="shared" si="103"/>
        <v>0</v>
      </c>
      <c r="AL419" s="43">
        <f t="shared" si="104"/>
        <v>0</v>
      </c>
      <c r="AM419" s="43">
        <f t="shared" si="105"/>
        <v>0</v>
      </c>
      <c r="AN419" s="43">
        <f t="shared" si="106"/>
        <v>0</v>
      </c>
    </row>
    <row r="420" spans="2:40">
      <c r="B420" s="37" t="str">
        <f t="shared" si="99"/>
        <v>Asset 114</v>
      </c>
      <c r="F420" s="37" t="str">
        <f t="shared" ref="F420:L420" si="170">F172</f>
        <v>11 Werktuigen</v>
      </c>
      <c r="G420" s="37">
        <f t="shared" si="170"/>
        <v>2004</v>
      </c>
      <c r="H420" s="52">
        <f t="shared" si="170"/>
        <v>77020.09</v>
      </c>
      <c r="I420" s="37">
        <f t="shared" si="170"/>
        <v>2021</v>
      </c>
      <c r="J420" s="52">
        <f t="shared" si="170"/>
        <v>10</v>
      </c>
      <c r="K420" s="177">
        <f t="shared" si="170"/>
        <v>1</v>
      </c>
      <c r="L420" s="52">
        <f t="shared" si="170"/>
        <v>0</v>
      </c>
      <c r="N420" s="43">
        <f t="shared" si="110"/>
        <v>0</v>
      </c>
      <c r="P420" s="38">
        <f t="shared" si="101"/>
        <v>0</v>
      </c>
      <c r="R420" s="43">
        <f t="shared" si="166"/>
        <v>0</v>
      </c>
      <c r="S420" s="43">
        <f t="shared" si="166"/>
        <v>0</v>
      </c>
      <c r="T420" s="43">
        <f t="shared" si="166"/>
        <v>0</v>
      </c>
      <c r="U420" s="43">
        <f t="shared" si="166"/>
        <v>0</v>
      </c>
      <c r="V420" s="43">
        <f t="shared" si="166"/>
        <v>0</v>
      </c>
      <c r="X420" s="43">
        <f t="shared" si="167"/>
        <v>0</v>
      </c>
      <c r="Y420" s="43">
        <f t="shared" si="167"/>
        <v>0</v>
      </c>
      <c r="Z420" s="43">
        <f t="shared" si="167"/>
        <v>0</v>
      </c>
      <c r="AA420" s="43">
        <f t="shared" si="167"/>
        <v>0</v>
      </c>
      <c r="AB420" s="43">
        <f t="shared" si="167"/>
        <v>0</v>
      </c>
      <c r="AD420" s="43">
        <f t="shared" si="111"/>
        <v>0</v>
      </c>
      <c r="AE420" s="43">
        <f t="shared" si="112"/>
        <v>0</v>
      </c>
      <c r="AF420" s="43">
        <f t="shared" si="113"/>
        <v>0</v>
      </c>
      <c r="AG420" s="43">
        <f t="shared" si="114"/>
        <v>0</v>
      </c>
      <c r="AH420" s="43">
        <f t="shared" si="115"/>
        <v>0</v>
      </c>
      <c r="AJ420" s="43">
        <f t="shared" si="102"/>
        <v>0</v>
      </c>
      <c r="AK420" s="43">
        <f t="shared" si="103"/>
        <v>0</v>
      </c>
      <c r="AL420" s="43">
        <f t="shared" si="104"/>
        <v>0</v>
      </c>
      <c r="AM420" s="43">
        <f t="shared" si="105"/>
        <v>0</v>
      </c>
      <c r="AN420" s="43">
        <f t="shared" si="106"/>
        <v>0</v>
      </c>
    </row>
    <row r="421" spans="2:40">
      <c r="B421" s="37" t="str">
        <f t="shared" si="99"/>
        <v>Asset 115</v>
      </c>
      <c r="F421" s="37" t="str">
        <f t="shared" ref="F421:L421" si="171">F173</f>
        <v>14 Overig rollend materieel</v>
      </c>
      <c r="G421" s="37">
        <f t="shared" si="171"/>
        <v>2004</v>
      </c>
      <c r="H421" s="52">
        <f t="shared" si="171"/>
        <v>195332.07</v>
      </c>
      <c r="I421" s="37">
        <f t="shared" si="171"/>
        <v>2021</v>
      </c>
      <c r="J421" s="52">
        <f t="shared" si="171"/>
        <v>10</v>
      </c>
      <c r="K421" s="177">
        <f t="shared" si="171"/>
        <v>1</v>
      </c>
      <c r="L421" s="52">
        <f t="shared" si="171"/>
        <v>0</v>
      </c>
      <c r="N421" s="43">
        <f t="shared" si="110"/>
        <v>0</v>
      </c>
      <c r="P421" s="38">
        <f t="shared" si="101"/>
        <v>0</v>
      </c>
      <c r="R421" s="43">
        <f t="shared" si="166"/>
        <v>0</v>
      </c>
      <c r="S421" s="43">
        <f t="shared" si="166"/>
        <v>0</v>
      </c>
      <c r="T421" s="43">
        <f t="shared" si="166"/>
        <v>0</v>
      </c>
      <c r="U421" s="43">
        <f t="shared" si="166"/>
        <v>0</v>
      </c>
      <c r="V421" s="43">
        <f t="shared" si="166"/>
        <v>0</v>
      </c>
      <c r="X421" s="43">
        <f t="shared" si="167"/>
        <v>0</v>
      </c>
      <c r="Y421" s="43">
        <f t="shared" si="167"/>
        <v>0</v>
      </c>
      <c r="Z421" s="43">
        <f t="shared" si="167"/>
        <v>0</v>
      </c>
      <c r="AA421" s="43">
        <f t="shared" si="167"/>
        <v>0</v>
      </c>
      <c r="AB421" s="43">
        <f t="shared" si="167"/>
        <v>0</v>
      </c>
      <c r="AD421" s="43">
        <f t="shared" si="111"/>
        <v>0</v>
      </c>
      <c r="AE421" s="43">
        <f t="shared" si="112"/>
        <v>0</v>
      </c>
      <c r="AF421" s="43">
        <f t="shared" si="113"/>
        <v>0</v>
      </c>
      <c r="AG421" s="43">
        <f t="shared" si="114"/>
        <v>0</v>
      </c>
      <c r="AH421" s="43">
        <f t="shared" si="115"/>
        <v>0</v>
      </c>
      <c r="AJ421" s="43">
        <f t="shared" si="102"/>
        <v>0</v>
      </c>
      <c r="AK421" s="43">
        <f t="shared" si="103"/>
        <v>0</v>
      </c>
      <c r="AL421" s="43">
        <f t="shared" si="104"/>
        <v>0</v>
      </c>
      <c r="AM421" s="43">
        <f t="shared" si="105"/>
        <v>0</v>
      </c>
      <c r="AN421" s="43">
        <f t="shared" si="106"/>
        <v>0</v>
      </c>
    </row>
    <row r="422" spans="2:40">
      <c r="B422" s="37" t="str">
        <f t="shared" si="99"/>
        <v>Asset 116</v>
      </c>
      <c r="F422" s="37" t="str">
        <f t="shared" ref="F422:L422" si="172">F174</f>
        <v>13 Aanhangwagens</v>
      </c>
      <c r="G422" s="37">
        <f t="shared" si="172"/>
        <v>2004</v>
      </c>
      <c r="H422" s="52">
        <f t="shared" si="172"/>
        <v>1265</v>
      </c>
      <c r="I422" s="37">
        <f t="shared" si="172"/>
        <v>2021</v>
      </c>
      <c r="J422" s="52">
        <f t="shared" si="172"/>
        <v>10</v>
      </c>
      <c r="K422" s="177">
        <f t="shared" si="172"/>
        <v>1</v>
      </c>
      <c r="L422" s="52">
        <f t="shared" si="172"/>
        <v>0</v>
      </c>
      <c r="N422" s="43">
        <f t="shared" si="110"/>
        <v>0</v>
      </c>
      <c r="P422" s="38">
        <f t="shared" si="101"/>
        <v>0</v>
      </c>
      <c r="R422" s="43">
        <f t="shared" si="166"/>
        <v>0</v>
      </c>
      <c r="S422" s="43">
        <f t="shared" si="166"/>
        <v>0</v>
      </c>
      <c r="T422" s="43">
        <f t="shared" si="166"/>
        <v>0</v>
      </c>
      <c r="U422" s="43">
        <f t="shared" si="166"/>
        <v>0</v>
      </c>
      <c r="V422" s="43">
        <f t="shared" si="166"/>
        <v>0</v>
      </c>
      <c r="X422" s="43">
        <f t="shared" si="167"/>
        <v>0</v>
      </c>
      <c r="Y422" s="43">
        <f t="shared" si="167"/>
        <v>0</v>
      </c>
      <c r="Z422" s="43">
        <f t="shared" si="167"/>
        <v>0</v>
      </c>
      <c r="AA422" s="43">
        <f t="shared" si="167"/>
        <v>0</v>
      </c>
      <c r="AB422" s="43">
        <f t="shared" si="167"/>
        <v>0</v>
      </c>
      <c r="AD422" s="43">
        <f t="shared" si="111"/>
        <v>0</v>
      </c>
      <c r="AE422" s="43">
        <f t="shared" si="112"/>
        <v>0</v>
      </c>
      <c r="AF422" s="43">
        <f t="shared" si="113"/>
        <v>0</v>
      </c>
      <c r="AG422" s="43">
        <f t="shared" si="114"/>
        <v>0</v>
      </c>
      <c r="AH422" s="43">
        <f t="shared" si="115"/>
        <v>0</v>
      </c>
      <c r="AJ422" s="43">
        <f t="shared" si="102"/>
        <v>0</v>
      </c>
      <c r="AK422" s="43">
        <f t="shared" si="103"/>
        <v>0</v>
      </c>
      <c r="AL422" s="43">
        <f t="shared" si="104"/>
        <v>0</v>
      </c>
      <c r="AM422" s="43">
        <f t="shared" si="105"/>
        <v>0</v>
      </c>
      <c r="AN422" s="43">
        <f t="shared" si="106"/>
        <v>0</v>
      </c>
    </row>
    <row r="423" spans="2:40">
      <c r="B423" s="37" t="str">
        <f t="shared" si="99"/>
        <v>Asset 117</v>
      </c>
      <c r="F423" s="37" t="str">
        <f t="shared" ref="F423:L423" si="173">F175</f>
        <v>08 Inrichting gebouwen</v>
      </c>
      <c r="G423" s="37">
        <f t="shared" si="173"/>
        <v>2004</v>
      </c>
      <c r="H423" s="52">
        <f t="shared" si="173"/>
        <v>62865.23</v>
      </c>
      <c r="I423" s="37">
        <f t="shared" si="173"/>
        <v>2021</v>
      </c>
      <c r="J423" s="52">
        <f t="shared" si="173"/>
        <v>10</v>
      </c>
      <c r="K423" s="177">
        <f t="shared" si="173"/>
        <v>0</v>
      </c>
      <c r="L423" s="52">
        <f t="shared" si="173"/>
        <v>0</v>
      </c>
      <c r="N423" s="43">
        <f t="shared" si="110"/>
        <v>0</v>
      </c>
      <c r="P423" s="38">
        <f t="shared" si="101"/>
        <v>0</v>
      </c>
      <c r="R423" s="43">
        <f t="shared" si="166"/>
        <v>0</v>
      </c>
      <c r="S423" s="43">
        <f t="shared" si="166"/>
        <v>0</v>
      </c>
      <c r="T423" s="43">
        <f t="shared" si="166"/>
        <v>0</v>
      </c>
      <c r="U423" s="43">
        <f t="shared" si="166"/>
        <v>0</v>
      </c>
      <c r="V423" s="43">
        <f t="shared" si="166"/>
        <v>0</v>
      </c>
      <c r="X423" s="43">
        <f t="shared" si="167"/>
        <v>0</v>
      </c>
      <c r="Y423" s="43">
        <f t="shared" si="167"/>
        <v>0</v>
      </c>
      <c r="Z423" s="43">
        <f t="shared" si="167"/>
        <v>0</v>
      </c>
      <c r="AA423" s="43">
        <f t="shared" si="167"/>
        <v>0</v>
      </c>
      <c r="AB423" s="43">
        <f t="shared" si="167"/>
        <v>0</v>
      </c>
      <c r="AD423" s="43">
        <f t="shared" si="111"/>
        <v>0</v>
      </c>
      <c r="AE423" s="43">
        <f t="shared" si="112"/>
        <v>0</v>
      </c>
      <c r="AF423" s="43">
        <f t="shared" si="113"/>
        <v>0</v>
      </c>
      <c r="AG423" s="43">
        <f t="shared" si="114"/>
        <v>0</v>
      </c>
      <c r="AH423" s="43">
        <f t="shared" si="115"/>
        <v>0</v>
      </c>
      <c r="AJ423" s="43">
        <f t="shared" si="102"/>
        <v>0</v>
      </c>
      <c r="AK423" s="43">
        <f t="shared" si="103"/>
        <v>0</v>
      </c>
      <c r="AL423" s="43">
        <f t="shared" si="104"/>
        <v>0</v>
      </c>
      <c r="AM423" s="43">
        <f t="shared" si="105"/>
        <v>0</v>
      </c>
      <c r="AN423" s="43">
        <f t="shared" si="106"/>
        <v>0</v>
      </c>
    </row>
    <row r="424" spans="2:40">
      <c r="B424" s="37" t="str">
        <f t="shared" si="99"/>
        <v>Asset 118</v>
      </c>
      <c r="F424" s="37" t="str">
        <f t="shared" ref="F424:L424" si="174">F176</f>
        <v>12 Motorvoertuigen</v>
      </c>
      <c r="G424" s="37">
        <f t="shared" si="174"/>
        <v>2004</v>
      </c>
      <c r="H424" s="52">
        <f t="shared" si="174"/>
        <v>47369.03</v>
      </c>
      <c r="I424" s="37">
        <f t="shared" si="174"/>
        <v>2021</v>
      </c>
      <c r="J424" s="52">
        <f t="shared" si="174"/>
        <v>10</v>
      </c>
      <c r="K424" s="177">
        <f t="shared" si="174"/>
        <v>1</v>
      </c>
      <c r="L424" s="52">
        <f t="shared" si="174"/>
        <v>0</v>
      </c>
      <c r="N424" s="43">
        <f t="shared" si="110"/>
        <v>0</v>
      </c>
      <c r="P424" s="38">
        <f t="shared" si="101"/>
        <v>0</v>
      </c>
      <c r="R424" s="43">
        <f t="shared" si="166"/>
        <v>0</v>
      </c>
      <c r="S424" s="43">
        <f t="shared" si="166"/>
        <v>0</v>
      </c>
      <c r="T424" s="43">
        <f t="shared" si="166"/>
        <v>0</v>
      </c>
      <c r="U424" s="43">
        <f t="shared" si="166"/>
        <v>0</v>
      </c>
      <c r="V424" s="43">
        <f t="shared" si="166"/>
        <v>0</v>
      </c>
      <c r="X424" s="43">
        <f t="shared" si="167"/>
        <v>0</v>
      </c>
      <c r="Y424" s="43">
        <f t="shared" si="167"/>
        <v>0</v>
      </c>
      <c r="Z424" s="43">
        <f t="shared" si="167"/>
        <v>0</v>
      </c>
      <c r="AA424" s="43">
        <f t="shared" si="167"/>
        <v>0</v>
      </c>
      <c r="AB424" s="43">
        <f t="shared" si="167"/>
        <v>0</v>
      </c>
      <c r="AD424" s="43">
        <f t="shared" si="111"/>
        <v>0</v>
      </c>
      <c r="AE424" s="43">
        <f t="shared" si="112"/>
        <v>0</v>
      </c>
      <c r="AF424" s="43">
        <f t="shared" si="113"/>
        <v>0</v>
      </c>
      <c r="AG424" s="43">
        <f t="shared" si="114"/>
        <v>0</v>
      </c>
      <c r="AH424" s="43">
        <f t="shared" si="115"/>
        <v>0</v>
      </c>
      <c r="AJ424" s="43">
        <f t="shared" si="102"/>
        <v>0</v>
      </c>
      <c r="AK424" s="43">
        <f t="shared" si="103"/>
        <v>0</v>
      </c>
      <c r="AL424" s="43">
        <f t="shared" si="104"/>
        <v>0</v>
      </c>
      <c r="AM424" s="43">
        <f t="shared" si="105"/>
        <v>0</v>
      </c>
      <c r="AN424" s="43">
        <f t="shared" si="106"/>
        <v>0</v>
      </c>
    </row>
    <row r="425" spans="2:40">
      <c r="B425" s="37" t="str">
        <f t="shared" si="99"/>
        <v>Asset 119</v>
      </c>
      <c r="F425" s="37" t="str">
        <f t="shared" ref="F425:L425" si="175">F177</f>
        <v>06 Utiliteitsgebouwen</v>
      </c>
      <c r="G425" s="37">
        <f t="shared" si="175"/>
        <v>2005</v>
      </c>
      <c r="H425" s="52">
        <f t="shared" si="175"/>
        <v>13716.41</v>
      </c>
      <c r="I425" s="37">
        <f t="shared" si="175"/>
        <v>2021</v>
      </c>
      <c r="J425" s="52">
        <f t="shared" si="175"/>
        <v>30</v>
      </c>
      <c r="K425" s="177">
        <f t="shared" si="175"/>
        <v>0</v>
      </c>
      <c r="L425" s="52">
        <f t="shared" si="175"/>
        <v>7968.2289834864932</v>
      </c>
      <c r="N425" s="43">
        <f t="shared" si="110"/>
        <v>7968.2289834864932</v>
      </c>
      <c r="P425" s="38">
        <f t="shared" si="101"/>
        <v>13.5</v>
      </c>
      <c r="R425" s="43">
        <f t="shared" si="166"/>
        <v>690.57984523549612</v>
      </c>
      <c r="S425" s="43">
        <f t="shared" si="166"/>
        <v>624.07956384244835</v>
      </c>
      <c r="T425" s="43">
        <f t="shared" si="166"/>
        <v>563.98301325021259</v>
      </c>
      <c r="U425" s="43">
        <f t="shared" si="166"/>
        <v>509.67353790019206</v>
      </c>
      <c r="V425" s="43">
        <f t="shared" si="166"/>
        <v>503.48317104310473</v>
      </c>
      <c r="X425" s="43">
        <f t="shared" si="167"/>
        <v>59.023918396196251</v>
      </c>
      <c r="Y425" s="43">
        <f t="shared" si="167"/>
        <v>59.023918396196251</v>
      </c>
      <c r="Z425" s="43">
        <f t="shared" si="167"/>
        <v>59.023918396196251</v>
      </c>
      <c r="AA425" s="43">
        <f t="shared" si="167"/>
        <v>59.023918396196251</v>
      </c>
      <c r="AB425" s="43">
        <f t="shared" si="167"/>
        <v>59.023918396196251</v>
      </c>
      <c r="AD425" s="43">
        <f t="shared" si="111"/>
        <v>7218.6252198548009</v>
      </c>
      <c r="AE425" s="43">
        <f t="shared" si="112"/>
        <v>6535.5217376161563</v>
      </c>
      <c r="AF425" s="43">
        <f t="shared" si="113"/>
        <v>5912.5148059697467</v>
      </c>
      <c r="AG425" s="43">
        <f t="shared" si="114"/>
        <v>5343.817349673358</v>
      </c>
      <c r="AH425" s="43">
        <f t="shared" si="115"/>
        <v>4781.3102602340568</v>
      </c>
      <c r="AJ425" s="43">
        <f t="shared" si="102"/>
        <v>995.03702110675556</v>
      </c>
      <c r="AK425" s="43">
        <f t="shared" si="103"/>
        <v>898.77569957997775</v>
      </c>
      <c r="AL425" s="43">
        <f t="shared" si="104"/>
        <v>847.68249427325918</v>
      </c>
      <c r="AM425" s="43">
        <f t="shared" si="105"/>
        <v>771.76251558397587</v>
      </c>
      <c r="AN425" s="43">
        <f t="shared" si="106"/>
        <v>744.19687932819511</v>
      </c>
    </row>
    <row r="426" spans="2:40">
      <c r="B426" s="37" t="str">
        <f t="shared" si="99"/>
        <v>Asset 120</v>
      </c>
      <c r="F426" s="37" t="str">
        <f t="shared" ref="F426:L426" si="176">F178</f>
        <v>13 Aanhangwagens</v>
      </c>
      <c r="G426" s="37">
        <f t="shared" si="176"/>
        <v>2005</v>
      </c>
      <c r="H426" s="52">
        <f t="shared" si="176"/>
        <v>5690.5</v>
      </c>
      <c r="I426" s="37">
        <f t="shared" si="176"/>
        <v>2021</v>
      </c>
      <c r="J426" s="52">
        <f t="shared" si="176"/>
        <v>10</v>
      </c>
      <c r="K426" s="177">
        <f t="shared" si="176"/>
        <v>1</v>
      </c>
      <c r="L426" s="52">
        <f t="shared" si="176"/>
        <v>0</v>
      </c>
      <c r="N426" s="43">
        <f t="shared" si="110"/>
        <v>0</v>
      </c>
      <c r="P426" s="38">
        <f t="shared" si="101"/>
        <v>0</v>
      </c>
      <c r="R426" s="43">
        <f t="shared" si="166"/>
        <v>0</v>
      </c>
      <c r="S426" s="43">
        <f t="shared" si="166"/>
        <v>0</v>
      </c>
      <c r="T426" s="43">
        <f t="shared" si="166"/>
        <v>0</v>
      </c>
      <c r="U426" s="43">
        <f t="shared" si="166"/>
        <v>0</v>
      </c>
      <c r="V426" s="43">
        <f t="shared" si="166"/>
        <v>0</v>
      </c>
      <c r="X426" s="43">
        <f t="shared" si="167"/>
        <v>0</v>
      </c>
      <c r="Y426" s="43">
        <f t="shared" si="167"/>
        <v>0</v>
      </c>
      <c r="Z426" s="43">
        <f t="shared" si="167"/>
        <v>0</v>
      </c>
      <c r="AA426" s="43">
        <f t="shared" si="167"/>
        <v>0</v>
      </c>
      <c r="AB426" s="43">
        <f t="shared" si="167"/>
        <v>0</v>
      </c>
      <c r="AD426" s="43">
        <f t="shared" si="111"/>
        <v>0</v>
      </c>
      <c r="AE426" s="43">
        <f t="shared" si="112"/>
        <v>0</v>
      </c>
      <c r="AF426" s="43">
        <f t="shared" si="113"/>
        <v>0</v>
      </c>
      <c r="AG426" s="43">
        <f t="shared" si="114"/>
        <v>0</v>
      </c>
      <c r="AH426" s="43">
        <f t="shared" si="115"/>
        <v>0</v>
      </c>
      <c r="AJ426" s="43">
        <f t="shared" si="102"/>
        <v>0</v>
      </c>
      <c r="AK426" s="43">
        <f t="shared" si="103"/>
        <v>0</v>
      </c>
      <c r="AL426" s="43">
        <f t="shared" si="104"/>
        <v>0</v>
      </c>
      <c r="AM426" s="43">
        <f t="shared" si="105"/>
        <v>0</v>
      </c>
      <c r="AN426" s="43">
        <f t="shared" si="106"/>
        <v>0</v>
      </c>
    </row>
    <row r="427" spans="2:40">
      <c r="B427" s="37" t="str">
        <f t="shared" si="99"/>
        <v>Asset 121</v>
      </c>
      <c r="F427" s="37" t="str">
        <f t="shared" ref="F427:L427" si="177">F179</f>
        <v>08 Inrichting gebouwen</v>
      </c>
      <c r="G427" s="37">
        <f t="shared" si="177"/>
        <v>2005</v>
      </c>
      <c r="H427" s="52">
        <f t="shared" si="177"/>
        <v>149702.98000000001</v>
      </c>
      <c r="I427" s="37">
        <f t="shared" si="177"/>
        <v>2021</v>
      </c>
      <c r="J427" s="52">
        <f t="shared" si="177"/>
        <v>10</v>
      </c>
      <c r="K427" s="177">
        <f t="shared" si="177"/>
        <v>0</v>
      </c>
      <c r="L427" s="52">
        <f t="shared" si="177"/>
        <v>0</v>
      </c>
      <c r="N427" s="43">
        <f t="shared" si="110"/>
        <v>0</v>
      </c>
      <c r="P427" s="38">
        <f t="shared" si="101"/>
        <v>0</v>
      </c>
      <c r="R427" s="43">
        <f t="shared" ref="R427:V436" si="178">IF(R$305&lt;=$G427+$J427,VDB($L427*(1-$F$25),0,$P427,R$305-2022,MIN(R$305-2021,$P427),$F$22),0)</f>
        <v>0</v>
      </c>
      <c r="S427" s="43">
        <f t="shared" si="178"/>
        <v>0</v>
      </c>
      <c r="T427" s="43">
        <f t="shared" si="178"/>
        <v>0</v>
      </c>
      <c r="U427" s="43">
        <f t="shared" si="178"/>
        <v>0</v>
      </c>
      <c r="V427" s="43">
        <f t="shared" si="178"/>
        <v>0</v>
      </c>
      <c r="X427" s="43">
        <f t="shared" ref="X427:AB436" si="179">IF(X$305&lt;=$G427+$J427,VDB($L427*$F$25,0,$P427,X$305-2022,MIN(X$305-2021,$P427),1),0)</f>
        <v>0</v>
      </c>
      <c r="Y427" s="43">
        <f t="shared" si="179"/>
        <v>0</v>
      </c>
      <c r="Z427" s="43">
        <f t="shared" si="179"/>
        <v>0</v>
      </c>
      <c r="AA427" s="43">
        <f t="shared" si="179"/>
        <v>0</v>
      </c>
      <c r="AB427" s="43">
        <f t="shared" si="179"/>
        <v>0</v>
      </c>
      <c r="AD427" s="43">
        <f t="shared" si="111"/>
        <v>0</v>
      </c>
      <c r="AE427" s="43">
        <f t="shared" si="112"/>
        <v>0</v>
      </c>
      <c r="AF427" s="43">
        <f t="shared" si="113"/>
        <v>0</v>
      </c>
      <c r="AG427" s="43">
        <f t="shared" si="114"/>
        <v>0</v>
      </c>
      <c r="AH427" s="43">
        <f t="shared" si="115"/>
        <v>0</v>
      </c>
      <c r="AJ427" s="43">
        <f t="shared" si="102"/>
        <v>0</v>
      </c>
      <c r="AK427" s="43">
        <f t="shared" si="103"/>
        <v>0</v>
      </c>
      <c r="AL427" s="43">
        <f t="shared" si="104"/>
        <v>0</v>
      </c>
      <c r="AM427" s="43">
        <f t="shared" si="105"/>
        <v>0</v>
      </c>
      <c r="AN427" s="43">
        <f t="shared" si="106"/>
        <v>0</v>
      </c>
    </row>
    <row r="428" spans="2:40">
      <c r="B428" s="37" t="str">
        <f t="shared" si="99"/>
        <v>Asset 122</v>
      </c>
      <c r="F428" s="37" t="str">
        <f t="shared" ref="F428:L428" si="180">F180</f>
        <v>12 Motorvoertuigen</v>
      </c>
      <c r="G428" s="37">
        <f t="shared" si="180"/>
        <v>2005</v>
      </c>
      <c r="H428" s="52">
        <f t="shared" si="180"/>
        <v>144500</v>
      </c>
      <c r="I428" s="37">
        <f t="shared" si="180"/>
        <v>2021</v>
      </c>
      <c r="J428" s="52">
        <f t="shared" si="180"/>
        <v>10</v>
      </c>
      <c r="K428" s="177">
        <f t="shared" si="180"/>
        <v>1</v>
      </c>
      <c r="L428" s="52">
        <f t="shared" si="180"/>
        <v>0</v>
      </c>
      <c r="N428" s="43">
        <f t="shared" si="110"/>
        <v>0</v>
      </c>
      <c r="P428" s="38">
        <f t="shared" si="101"/>
        <v>0</v>
      </c>
      <c r="R428" s="43">
        <f t="shared" si="178"/>
        <v>0</v>
      </c>
      <c r="S428" s="43">
        <f t="shared" si="178"/>
        <v>0</v>
      </c>
      <c r="T428" s="43">
        <f t="shared" si="178"/>
        <v>0</v>
      </c>
      <c r="U428" s="43">
        <f t="shared" si="178"/>
        <v>0</v>
      </c>
      <c r="V428" s="43">
        <f t="shared" si="178"/>
        <v>0</v>
      </c>
      <c r="X428" s="43">
        <f t="shared" si="179"/>
        <v>0</v>
      </c>
      <c r="Y428" s="43">
        <f t="shared" si="179"/>
        <v>0</v>
      </c>
      <c r="Z428" s="43">
        <f t="shared" si="179"/>
        <v>0</v>
      </c>
      <c r="AA428" s="43">
        <f t="shared" si="179"/>
        <v>0</v>
      </c>
      <c r="AB428" s="43">
        <f t="shared" si="179"/>
        <v>0</v>
      </c>
      <c r="AD428" s="43">
        <f t="shared" si="111"/>
        <v>0</v>
      </c>
      <c r="AE428" s="43">
        <f t="shared" si="112"/>
        <v>0</v>
      </c>
      <c r="AF428" s="43">
        <f t="shared" si="113"/>
        <v>0</v>
      </c>
      <c r="AG428" s="43">
        <f t="shared" si="114"/>
        <v>0</v>
      </c>
      <c r="AH428" s="43">
        <f t="shared" si="115"/>
        <v>0</v>
      </c>
      <c r="AJ428" s="43">
        <f t="shared" si="102"/>
        <v>0</v>
      </c>
      <c r="AK428" s="43">
        <f t="shared" si="103"/>
        <v>0</v>
      </c>
      <c r="AL428" s="43">
        <f t="shared" si="104"/>
        <v>0</v>
      </c>
      <c r="AM428" s="43">
        <f t="shared" si="105"/>
        <v>0</v>
      </c>
      <c r="AN428" s="43">
        <f t="shared" si="106"/>
        <v>0</v>
      </c>
    </row>
    <row r="429" spans="2:40">
      <c r="B429" s="37" t="str">
        <f t="shared" si="99"/>
        <v>Asset 123</v>
      </c>
      <c r="F429" s="37" t="str">
        <f t="shared" ref="F429:L429" si="181">F181</f>
        <v>09 Bedrijfsinventaris</v>
      </c>
      <c r="G429" s="37">
        <f t="shared" si="181"/>
        <v>2005</v>
      </c>
      <c r="H429" s="52">
        <f t="shared" si="181"/>
        <v>22500</v>
      </c>
      <c r="I429" s="37">
        <f t="shared" si="181"/>
        <v>2021</v>
      </c>
      <c r="J429" s="52">
        <f t="shared" si="181"/>
        <v>10</v>
      </c>
      <c r="K429" s="177">
        <f t="shared" si="181"/>
        <v>1</v>
      </c>
      <c r="L429" s="52">
        <f t="shared" si="181"/>
        <v>0</v>
      </c>
      <c r="N429" s="43">
        <f t="shared" si="110"/>
        <v>0</v>
      </c>
      <c r="P429" s="38">
        <f t="shared" si="101"/>
        <v>0</v>
      </c>
      <c r="R429" s="43">
        <f t="shared" si="178"/>
        <v>0</v>
      </c>
      <c r="S429" s="43">
        <f t="shared" si="178"/>
        <v>0</v>
      </c>
      <c r="T429" s="43">
        <f t="shared" si="178"/>
        <v>0</v>
      </c>
      <c r="U429" s="43">
        <f t="shared" si="178"/>
        <v>0</v>
      </c>
      <c r="V429" s="43">
        <f t="shared" si="178"/>
        <v>0</v>
      </c>
      <c r="X429" s="43">
        <f t="shared" si="179"/>
        <v>0</v>
      </c>
      <c r="Y429" s="43">
        <f t="shared" si="179"/>
        <v>0</v>
      </c>
      <c r="Z429" s="43">
        <f t="shared" si="179"/>
        <v>0</v>
      </c>
      <c r="AA429" s="43">
        <f t="shared" si="179"/>
        <v>0</v>
      </c>
      <c r="AB429" s="43">
        <f t="shared" si="179"/>
        <v>0</v>
      </c>
      <c r="AD429" s="43">
        <f t="shared" si="111"/>
        <v>0</v>
      </c>
      <c r="AE429" s="43">
        <f t="shared" si="112"/>
        <v>0</v>
      </c>
      <c r="AF429" s="43">
        <f t="shared" si="113"/>
        <v>0</v>
      </c>
      <c r="AG429" s="43">
        <f t="shared" si="114"/>
        <v>0</v>
      </c>
      <c r="AH429" s="43">
        <f t="shared" si="115"/>
        <v>0</v>
      </c>
      <c r="AJ429" s="43">
        <f t="shared" si="102"/>
        <v>0</v>
      </c>
      <c r="AK429" s="43">
        <f t="shared" si="103"/>
        <v>0</v>
      </c>
      <c r="AL429" s="43">
        <f t="shared" si="104"/>
        <v>0</v>
      </c>
      <c r="AM429" s="43">
        <f t="shared" si="105"/>
        <v>0</v>
      </c>
      <c r="AN429" s="43">
        <f t="shared" si="106"/>
        <v>0</v>
      </c>
    </row>
    <row r="430" spans="2:40">
      <c r="B430" s="37" t="str">
        <f t="shared" si="99"/>
        <v>Asset 124</v>
      </c>
      <c r="F430" s="37" t="str">
        <f t="shared" ref="F430:L430" si="182">F182</f>
        <v>14 Overig rollend materieel</v>
      </c>
      <c r="G430" s="37">
        <f t="shared" si="182"/>
        <v>2006</v>
      </c>
      <c r="H430" s="52">
        <f t="shared" si="182"/>
        <v>23374</v>
      </c>
      <c r="I430" s="37">
        <f t="shared" si="182"/>
        <v>2021</v>
      </c>
      <c r="J430" s="52">
        <f t="shared" si="182"/>
        <v>10</v>
      </c>
      <c r="K430" s="177">
        <f t="shared" si="182"/>
        <v>1</v>
      </c>
      <c r="L430" s="52">
        <f t="shared" si="182"/>
        <v>0</v>
      </c>
      <c r="N430" s="43">
        <f t="shared" si="110"/>
        <v>0</v>
      </c>
      <c r="P430" s="38">
        <f t="shared" si="101"/>
        <v>0</v>
      </c>
      <c r="R430" s="43">
        <f t="shared" si="178"/>
        <v>0</v>
      </c>
      <c r="S430" s="43">
        <f t="shared" si="178"/>
        <v>0</v>
      </c>
      <c r="T430" s="43">
        <f t="shared" si="178"/>
        <v>0</v>
      </c>
      <c r="U430" s="43">
        <f t="shared" si="178"/>
        <v>0</v>
      </c>
      <c r="V430" s="43">
        <f t="shared" si="178"/>
        <v>0</v>
      </c>
      <c r="X430" s="43">
        <f t="shared" si="179"/>
        <v>0</v>
      </c>
      <c r="Y430" s="43">
        <f t="shared" si="179"/>
        <v>0</v>
      </c>
      <c r="Z430" s="43">
        <f t="shared" si="179"/>
        <v>0</v>
      </c>
      <c r="AA430" s="43">
        <f t="shared" si="179"/>
        <v>0</v>
      </c>
      <c r="AB430" s="43">
        <f t="shared" si="179"/>
        <v>0</v>
      </c>
      <c r="AD430" s="43">
        <f t="shared" si="111"/>
        <v>0</v>
      </c>
      <c r="AE430" s="43">
        <f t="shared" si="112"/>
        <v>0</v>
      </c>
      <c r="AF430" s="43">
        <f t="shared" si="113"/>
        <v>0</v>
      </c>
      <c r="AG430" s="43">
        <f t="shared" si="114"/>
        <v>0</v>
      </c>
      <c r="AH430" s="43">
        <f t="shared" si="115"/>
        <v>0</v>
      </c>
      <c r="AJ430" s="43">
        <f t="shared" si="102"/>
        <v>0</v>
      </c>
      <c r="AK430" s="43">
        <f t="shared" si="103"/>
        <v>0</v>
      </c>
      <c r="AL430" s="43">
        <f t="shared" si="104"/>
        <v>0</v>
      </c>
      <c r="AM430" s="43">
        <f t="shared" si="105"/>
        <v>0</v>
      </c>
      <c r="AN430" s="43">
        <f t="shared" si="106"/>
        <v>0</v>
      </c>
    </row>
    <row r="431" spans="2:40">
      <c r="B431" s="37" t="str">
        <f t="shared" si="99"/>
        <v>Asset 125</v>
      </c>
      <c r="F431" s="37" t="str">
        <f t="shared" ref="F431:L431" si="183">F183</f>
        <v>06 Utiliteitsgebouwen</v>
      </c>
      <c r="G431" s="37">
        <f t="shared" si="183"/>
        <v>2006</v>
      </c>
      <c r="H431" s="52">
        <f t="shared" si="183"/>
        <v>216791.4</v>
      </c>
      <c r="I431" s="37">
        <f t="shared" si="183"/>
        <v>2021</v>
      </c>
      <c r="J431" s="52">
        <f t="shared" si="183"/>
        <v>30</v>
      </c>
      <c r="K431" s="177">
        <f t="shared" si="183"/>
        <v>0</v>
      </c>
      <c r="L431" s="52">
        <f t="shared" si="183"/>
        <v>132877.0119526372</v>
      </c>
      <c r="N431" s="43">
        <f t="shared" si="110"/>
        <v>132877.0119526372</v>
      </c>
      <c r="P431" s="38">
        <f t="shared" si="101"/>
        <v>14.5</v>
      </c>
      <c r="R431" s="43">
        <f t="shared" si="178"/>
        <v>10721.800274799003</v>
      </c>
      <c r="S431" s="43">
        <f t="shared" si="178"/>
        <v>9760.5354225756437</v>
      </c>
      <c r="T431" s="43">
        <f t="shared" si="178"/>
        <v>8885.4529364136888</v>
      </c>
      <c r="U431" s="43">
        <f t="shared" si="178"/>
        <v>8088.8261214248769</v>
      </c>
      <c r="V431" s="43">
        <f t="shared" si="178"/>
        <v>7822.1615240152651</v>
      </c>
      <c r="X431" s="43">
        <f t="shared" si="179"/>
        <v>916.39318588025662</v>
      </c>
      <c r="Y431" s="43">
        <f t="shared" si="179"/>
        <v>916.39318588025662</v>
      </c>
      <c r="Z431" s="43">
        <f t="shared" si="179"/>
        <v>916.39318588025662</v>
      </c>
      <c r="AA431" s="43">
        <f t="shared" si="179"/>
        <v>916.39318588025662</v>
      </c>
      <c r="AB431" s="43">
        <f t="shared" si="179"/>
        <v>916.39318588025662</v>
      </c>
      <c r="AD431" s="43">
        <f t="shared" si="111"/>
        <v>121238.81849195795</v>
      </c>
      <c r="AE431" s="43">
        <f t="shared" si="112"/>
        <v>110561.88988350205</v>
      </c>
      <c r="AF431" s="43">
        <f t="shared" si="113"/>
        <v>100760.04376120812</v>
      </c>
      <c r="AG431" s="43">
        <f t="shared" si="114"/>
        <v>91754.824453902984</v>
      </c>
      <c r="AH431" s="43">
        <f t="shared" si="115"/>
        <v>83016.26974400747</v>
      </c>
      <c r="AJ431" s="43">
        <f t="shared" si="102"/>
        <v>15760.313289405831</v>
      </c>
      <c r="AK431" s="43">
        <f t="shared" si="103"/>
        <v>14325.470974611468</v>
      </c>
      <c r="AL431" s="43">
        <f t="shared" si="104"/>
        <v>13630.727785219853</v>
      </c>
      <c r="AM431" s="43">
        <f t="shared" si="105"/>
        <v>12491.902636553446</v>
      </c>
      <c r="AN431" s="43">
        <f t="shared" si="106"/>
        <v>11893.172960167805</v>
      </c>
    </row>
    <row r="432" spans="2:40">
      <c r="B432" s="37" t="str">
        <f t="shared" si="99"/>
        <v>Asset 126</v>
      </c>
      <c r="F432" s="37" t="str">
        <f t="shared" ref="F432:L432" si="184">F184</f>
        <v>11 Werktuigen</v>
      </c>
      <c r="G432" s="37">
        <f t="shared" si="184"/>
        <v>2006</v>
      </c>
      <c r="H432" s="52">
        <f t="shared" si="184"/>
        <v>39984.959999999999</v>
      </c>
      <c r="I432" s="37">
        <f t="shared" si="184"/>
        <v>2021</v>
      </c>
      <c r="J432" s="52">
        <f t="shared" si="184"/>
        <v>10</v>
      </c>
      <c r="K432" s="177">
        <f t="shared" si="184"/>
        <v>1</v>
      </c>
      <c r="L432" s="52">
        <f t="shared" si="184"/>
        <v>0</v>
      </c>
      <c r="N432" s="43">
        <f t="shared" si="110"/>
        <v>0</v>
      </c>
      <c r="P432" s="38">
        <f t="shared" si="101"/>
        <v>0</v>
      </c>
      <c r="R432" s="43">
        <f t="shared" si="178"/>
        <v>0</v>
      </c>
      <c r="S432" s="43">
        <f t="shared" si="178"/>
        <v>0</v>
      </c>
      <c r="T432" s="43">
        <f t="shared" si="178"/>
        <v>0</v>
      </c>
      <c r="U432" s="43">
        <f t="shared" si="178"/>
        <v>0</v>
      </c>
      <c r="V432" s="43">
        <f t="shared" si="178"/>
        <v>0</v>
      </c>
      <c r="X432" s="43">
        <f t="shared" si="179"/>
        <v>0</v>
      </c>
      <c r="Y432" s="43">
        <f t="shared" si="179"/>
        <v>0</v>
      </c>
      <c r="Z432" s="43">
        <f t="shared" si="179"/>
        <v>0</v>
      </c>
      <c r="AA432" s="43">
        <f t="shared" si="179"/>
        <v>0</v>
      </c>
      <c r="AB432" s="43">
        <f t="shared" si="179"/>
        <v>0</v>
      </c>
      <c r="AD432" s="43">
        <f t="shared" si="111"/>
        <v>0</v>
      </c>
      <c r="AE432" s="43">
        <f t="shared" si="112"/>
        <v>0</v>
      </c>
      <c r="AF432" s="43">
        <f t="shared" si="113"/>
        <v>0</v>
      </c>
      <c r="AG432" s="43">
        <f t="shared" si="114"/>
        <v>0</v>
      </c>
      <c r="AH432" s="43">
        <f t="shared" si="115"/>
        <v>0</v>
      </c>
      <c r="AJ432" s="43">
        <f t="shared" si="102"/>
        <v>0</v>
      </c>
      <c r="AK432" s="43">
        <f t="shared" si="103"/>
        <v>0</v>
      </c>
      <c r="AL432" s="43">
        <f t="shared" si="104"/>
        <v>0</v>
      </c>
      <c r="AM432" s="43">
        <f t="shared" si="105"/>
        <v>0</v>
      </c>
      <c r="AN432" s="43">
        <f t="shared" si="106"/>
        <v>0</v>
      </c>
    </row>
    <row r="433" spans="2:40">
      <c r="B433" s="37" t="str">
        <f t="shared" si="99"/>
        <v>Asset 127</v>
      </c>
      <c r="F433" s="37" t="str">
        <f t="shared" ref="F433:L433" si="185">F185</f>
        <v>06 Utiliteitsgebouwen</v>
      </c>
      <c r="G433" s="37">
        <f t="shared" si="185"/>
        <v>2007</v>
      </c>
      <c r="H433" s="52">
        <f t="shared" si="185"/>
        <v>25858.771191949236</v>
      </c>
      <c r="I433" s="37">
        <f t="shared" si="185"/>
        <v>2021</v>
      </c>
      <c r="J433" s="52">
        <f t="shared" si="185"/>
        <v>30</v>
      </c>
      <c r="K433" s="177">
        <f t="shared" si="185"/>
        <v>0</v>
      </c>
      <c r="L433" s="52">
        <f t="shared" si="185"/>
        <v>16708.652536273155</v>
      </c>
      <c r="N433" s="43">
        <f t="shared" si="110"/>
        <v>16708.652536273155</v>
      </c>
      <c r="P433" s="38">
        <f t="shared" si="101"/>
        <v>15.5</v>
      </c>
      <c r="R433" s="43">
        <f t="shared" si="178"/>
        <v>1261.233772092877</v>
      </c>
      <c r="S433" s="43">
        <f t="shared" si="178"/>
        <v>1155.4528750786358</v>
      </c>
      <c r="T433" s="43">
        <f t="shared" si="178"/>
        <v>1058.5439242655889</v>
      </c>
      <c r="U433" s="43">
        <f t="shared" si="178"/>
        <v>969.76282094008786</v>
      </c>
      <c r="V433" s="43">
        <f t="shared" si="178"/>
        <v>921.11251219727399</v>
      </c>
      <c r="X433" s="43">
        <f t="shared" si="179"/>
        <v>107.79775829853649</v>
      </c>
      <c r="Y433" s="43">
        <f t="shared" si="179"/>
        <v>107.79775829853649</v>
      </c>
      <c r="Z433" s="43">
        <f t="shared" si="179"/>
        <v>107.79775829853649</v>
      </c>
      <c r="AA433" s="43">
        <f t="shared" si="179"/>
        <v>107.79775829853649</v>
      </c>
      <c r="AB433" s="43">
        <f t="shared" si="179"/>
        <v>107.79775829853649</v>
      </c>
      <c r="AD433" s="43">
        <f t="shared" si="111"/>
        <v>15339.621005881741</v>
      </c>
      <c r="AE433" s="43">
        <f t="shared" si="112"/>
        <v>14076.370372504569</v>
      </c>
      <c r="AF433" s="43">
        <f t="shared" si="113"/>
        <v>12910.028689940444</v>
      </c>
      <c r="AG433" s="43">
        <f t="shared" si="114"/>
        <v>11832.468110701819</v>
      </c>
      <c r="AH433" s="43">
        <f t="shared" si="115"/>
        <v>10803.557840206007</v>
      </c>
      <c r="AJ433" s="43">
        <f t="shared" si="102"/>
        <v>1890.5786445913927</v>
      </c>
      <c r="AK433" s="43">
        <f t="shared" si="103"/>
        <v>1727.770855669823</v>
      </c>
      <c r="AL433" s="43">
        <f t="shared" si="104"/>
        <v>1656.9227727818622</v>
      </c>
      <c r="AM433" s="43">
        <f t="shared" si="105"/>
        <v>1527.1943674452934</v>
      </c>
      <c r="AN433" s="43">
        <f t="shared" si="106"/>
        <v>1439.4454684236387</v>
      </c>
    </row>
    <row r="434" spans="2:40">
      <c r="B434" s="37" t="str">
        <f t="shared" si="99"/>
        <v>Asset 128</v>
      </c>
      <c r="F434" s="37" t="str">
        <f t="shared" ref="F434:L434" si="186">F186</f>
        <v>11 Werktuigen</v>
      </c>
      <c r="G434" s="37">
        <f t="shared" si="186"/>
        <v>2007</v>
      </c>
      <c r="H434" s="52">
        <f t="shared" si="186"/>
        <v>1088351.8199999998</v>
      </c>
      <c r="I434" s="37">
        <f t="shared" si="186"/>
        <v>2021</v>
      </c>
      <c r="J434" s="52">
        <f t="shared" si="186"/>
        <v>10</v>
      </c>
      <c r="K434" s="177">
        <f t="shared" si="186"/>
        <v>1</v>
      </c>
      <c r="L434" s="52">
        <f t="shared" si="186"/>
        <v>0</v>
      </c>
      <c r="N434" s="43">
        <f t="shared" si="110"/>
        <v>0</v>
      </c>
      <c r="P434" s="38">
        <f t="shared" si="101"/>
        <v>0</v>
      </c>
      <c r="R434" s="43">
        <f t="shared" si="178"/>
        <v>0</v>
      </c>
      <c r="S434" s="43">
        <f t="shared" si="178"/>
        <v>0</v>
      </c>
      <c r="T434" s="43">
        <f t="shared" si="178"/>
        <v>0</v>
      </c>
      <c r="U434" s="43">
        <f t="shared" si="178"/>
        <v>0</v>
      </c>
      <c r="V434" s="43">
        <f t="shared" si="178"/>
        <v>0</v>
      </c>
      <c r="X434" s="43">
        <f t="shared" si="179"/>
        <v>0</v>
      </c>
      <c r="Y434" s="43">
        <f t="shared" si="179"/>
        <v>0</v>
      </c>
      <c r="Z434" s="43">
        <f t="shared" si="179"/>
        <v>0</v>
      </c>
      <c r="AA434" s="43">
        <f t="shared" si="179"/>
        <v>0</v>
      </c>
      <c r="AB434" s="43">
        <f t="shared" si="179"/>
        <v>0</v>
      </c>
      <c r="AD434" s="43">
        <f t="shared" si="111"/>
        <v>0</v>
      </c>
      <c r="AE434" s="43">
        <f t="shared" si="112"/>
        <v>0</v>
      </c>
      <c r="AF434" s="43">
        <f t="shared" si="113"/>
        <v>0</v>
      </c>
      <c r="AG434" s="43">
        <f t="shared" si="114"/>
        <v>0</v>
      </c>
      <c r="AH434" s="43">
        <f t="shared" si="115"/>
        <v>0</v>
      </c>
      <c r="AJ434" s="43">
        <f t="shared" si="102"/>
        <v>0</v>
      </c>
      <c r="AK434" s="43">
        <f t="shared" si="103"/>
        <v>0</v>
      </c>
      <c r="AL434" s="43">
        <f t="shared" si="104"/>
        <v>0</v>
      </c>
      <c r="AM434" s="43">
        <f t="shared" si="105"/>
        <v>0</v>
      </c>
      <c r="AN434" s="43">
        <f t="shared" si="106"/>
        <v>0</v>
      </c>
    </row>
    <row r="435" spans="2:40">
      <c r="B435" s="37" t="str">
        <f t="shared" si="99"/>
        <v>Asset 129</v>
      </c>
      <c r="F435" s="37" t="str">
        <f t="shared" ref="F435:L435" si="187">F187</f>
        <v>14 Overig rollend materieel</v>
      </c>
      <c r="G435" s="37">
        <f t="shared" si="187"/>
        <v>2007</v>
      </c>
      <c r="H435" s="52">
        <f t="shared" si="187"/>
        <v>661943.85</v>
      </c>
      <c r="I435" s="37">
        <f t="shared" si="187"/>
        <v>2021</v>
      </c>
      <c r="J435" s="52">
        <f t="shared" si="187"/>
        <v>10</v>
      </c>
      <c r="K435" s="177">
        <f t="shared" si="187"/>
        <v>1</v>
      </c>
      <c r="L435" s="52">
        <f t="shared" si="187"/>
        <v>0</v>
      </c>
      <c r="N435" s="43">
        <f t="shared" si="110"/>
        <v>0</v>
      </c>
      <c r="P435" s="38">
        <f t="shared" si="101"/>
        <v>0</v>
      </c>
      <c r="R435" s="43">
        <f t="shared" si="178"/>
        <v>0</v>
      </c>
      <c r="S435" s="43">
        <f t="shared" si="178"/>
        <v>0</v>
      </c>
      <c r="T435" s="43">
        <f t="shared" si="178"/>
        <v>0</v>
      </c>
      <c r="U435" s="43">
        <f t="shared" si="178"/>
        <v>0</v>
      </c>
      <c r="V435" s="43">
        <f t="shared" si="178"/>
        <v>0</v>
      </c>
      <c r="X435" s="43">
        <f t="shared" si="179"/>
        <v>0</v>
      </c>
      <c r="Y435" s="43">
        <f t="shared" si="179"/>
        <v>0</v>
      </c>
      <c r="Z435" s="43">
        <f t="shared" si="179"/>
        <v>0</v>
      </c>
      <c r="AA435" s="43">
        <f t="shared" si="179"/>
        <v>0</v>
      </c>
      <c r="AB435" s="43">
        <f t="shared" si="179"/>
        <v>0</v>
      </c>
      <c r="AD435" s="43">
        <f t="shared" si="111"/>
        <v>0</v>
      </c>
      <c r="AE435" s="43">
        <f t="shared" si="112"/>
        <v>0</v>
      </c>
      <c r="AF435" s="43">
        <f t="shared" si="113"/>
        <v>0</v>
      </c>
      <c r="AG435" s="43">
        <f t="shared" si="114"/>
        <v>0</v>
      </c>
      <c r="AH435" s="43">
        <f t="shared" si="115"/>
        <v>0</v>
      </c>
      <c r="AJ435" s="43">
        <f t="shared" si="102"/>
        <v>0</v>
      </c>
      <c r="AK435" s="43">
        <f t="shared" si="103"/>
        <v>0</v>
      </c>
      <c r="AL435" s="43">
        <f t="shared" si="104"/>
        <v>0</v>
      </c>
      <c r="AM435" s="43">
        <f t="shared" si="105"/>
        <v>0</v>
      </c>
      <c r="AN435" s="43">
        <f t="shared" si="106"/>
        <v>0</v>
      </c>
    </row>
    <row r="436" spans="2:40">
      <c r="B436" s="37" t="str">
        <f t="shared" ref="B436:B499" si="188">B188</f>
        <v>Asset 130</v>
      </c>
      <c r="F436" s="37" t="str">
        <f t="shared" ref="F436:L436" si="189">F188</f>
        <v>12 Motorvoertuigen</v>
      </c>
      <c r="G436" s="37">
        <f t="shared" si="189"/>
        <v>2007</v>
      </c>
      <c r="H436" s="52">
        <f t="shared" si="189"/>
        <v>154091.65000000002</v>
      </c>
      <c r="I436" s="37">
        <f t="shared" si="189"/>
        <v>2021</v>
      </c>
      <c r="J436" s="52">
        <f t="shared" si="189"/>
        <v>10</v>
      </c>
      <c r="K436" s="177">
        <f t="shared" si="189"/>
        <v>1</v>
      </c>
      <c r="L436" s="52">
        <f t="shared" si="189"/>
        <v>0</v>
      </c>
      <c r="N436" s="43">
        <f t="shared" si="110"/>
        <v>0</v>
      </c>
      <c r="P436" s="38">
        <f t="shared" ref="P436:P499" si="190">MAX(0,IF(G436&lt;=2021, J436-2021+G436-0.5,J436))</f>
        <v>0</v>
      </c>
      <c r="R436" s="43">
        <f t="shared" si="178"/>
        <v>0</v>
      </c>
      <c r="S436" s="43">
        <f t="shared" si="178"/>
        <v>0</v>
      </c>
      <c r="T436" s="43">
        <f t="shared" si="178"/>
        <v>0</v>
      </c>
      <c r="U436" s="43">
        <f t="shared" si="178"/>
        <v>0</v>
      </c>
      <c r="V436" s="43">
        <f t="shared" si="178"/>
        <v>0</v>
      </c>
      <c r="X436" s="43">
        <f t="shared" si="179"/>
        <v>0</v>
      </c>
      <c r="Y436" s="43">
        <f t="shared" si="179"/>
        <v>0</v>
      </c>
      <c r="Z436" s="43">
        <f t="shared" si="179"/>
        <v>0</v>
      </c>
      <c r="AA436" s="43">
        <f t="shared" si="179"/>
        <v>0</v>
      </c>
      <c r="AB436" s="43">
        <f t="shared" si="179"/>
        <v>0</v>
      </c>
      <c r="AD436" s="43">
        <f t="shared" si="111"/>
        <v>0</v>
      </c>
      <c r="AE436" s="43">
        <f t="shared" si="112"/>
        <v>0</v>
      </c>
      <c r="AF436" s="43">
        <f t="shared" si="113"/>
        <v>0</v>
      </c>
      <c r="AG436" s="43">
        <f t="shared" si="114"/>
        <v>0</v>
      </c>
      <c r="AH436" s="43">
        <f t="shared" si="115"/>
        <v>0</v>
      </c>
      <c r="AJ436" s="43">
        <f t="shared" ref="AJ436:AJ499" si="191">(R436+X436+AD436*I$16)*IF($K436=1,$F$19,1)</f>
        <v>0</v>
      </c>
      <c r="AK436" s="43">
        <f t="shared" ref="AK436:AK499" si="192">(S436+Y436+AE436*J$16)*IF($K436=1,$F$19,1)</f>
        <v>0</v>
      </c>
      <c r="AL436" s="43">
        <f t="shared" ref="AL436:AL499" si="193">(T436+Z436+AF436*K$16)*IF($K436=1,$F$19,1)</f>
        <v>0</v>
      </c>
      <c r="AM436" s="43">
        <f t="shared" ref="AM436:AM499" si="194">(U436+AA436+AG436*L$16)*IF($K436=1,$F$19,1)</f>
        <v>0</v>
      </c>
      <c r="AN436" s="43">
        <f t="shared" ref="AN436:AN499" si="195">(V436+AB436+AH436*M$16)*IF($K436=1,$F$19,1)</f>
        <v>0</v>
      </c>
    </row>
    <row r="437" spans="2:40">
      <c r="B437" s="37" t="str">
        <f t="shared" si="188"/>
        <v>Asset 131</v>
      </c>
      <c r="F437" s="37" t="str">
        <f t="shared" ref="F437:L437" si="196">F189</f>
        <v>05 Wegen en terreinvoorzieningen</v>
      </c>
      <c r="G437" s="37">
        <f t="shared" si="196"/>
        <v>2007</v>
      </c>
      <c r="H437" s="52">
        <f t="shared" si="196"/>
        <v>79744.08</v>
      </c>
      <c r="I437" s="37">
        <f t="shared" si="196"/>
        <v>2021</v>
      </c>
      <c r="J437" s="52">
        <f t="shared" si="196"/>
        <v>10</v>
      </c>
      <c r="K437" s="177">
        <f t="shared" si="196"/>
        <v>0</v>
      </c>
      <c r="L437" s="52">
        <f t="shared" si="196"/>
        <v>0</v>
      </c>
      <c r="N437" s="43">
        <f t="shared" si="110"/>
        <v>0</v>
      </c>
      <c r="P437" s="38">
        <f t="shared" si="190"/>
        <v>0</v>
      </c>
      <c r="R437" s="43">
        <f t="shared" ref="R437:V446" si="197">IF(R$305&lt;=$G437+$J437,VDB($L437*(1-$F$25),0,$P437,R$305-2022,MIN(R$305-2021,$P437),$F$22),0)</f>
        <v>0</v>
      </c>
      <c r="S437" s="43">
        <f t="shared" si="197"/>
        <v>0</v>
      </c>
      <c r="T437" s="43">
        <f t="shared" si="197"/>
        <v>0</v>
      </c>
      <c r="U437" s="43">
        <f t="shared" si="197"/>
        <v>0</v>
      </c>
      <c r="V437" s="43">
        <f t="shared" si="197"/>
        <v>0</v>
      </c>
      <c r="X437" s="43">
        <f t="shared" ref="X437:AB446" si="198">IF(X$305&lt;=$G437+$J437,VDB($L437*$F$25,0,$P437,X$305-2022,MIN(X$305-2021,$P437),1),0)</f>
        <v>0</v>
      </c>
      <c r="Y437" s="43">
        <f t="shared" si="198"/>
        <v>0</v>
      </c>
      <c r="Z437" s="43">
        <f t="shared" si="198"/>
        <v>0</v>
      </c>
      <c r="AA437" s="43">
        <f t="shared" si="198"/>
        <v>0</v>
      </c>
      <c r="AB437" s="43">
        <f t="shared" si="198"/>
        <v>0</v>
      </c>
      <c r="AD437" s="43">
        <f t="shared" si="111"/>
        <v>0</v>
      </c>
      <c r="AE437" s="43">
        <f t="shared" si="112"/>
        <v>0</v>
      </c>
      <c r="AF437" s="43">
        <f t="shared" si="113"/>
        <v>0</v>
      </c>
      <c r="AG437" s="43">
        <f t="shared" si="114"/>
        <v>0</v>
      </c>
      <c r="AH437" s="43">
        <f t="shared" si="115"/>
        <v>0</v>
      </c>
      <c r="AJ437" s="43">
        <f t="shared" si="191"/>
        <v>0</v>
      </c>
      <c r="AK437" s="43">
        <f t="shared" si="192"/>
        <v>0</v>
      </c>
      <c r="AL437" s="43">
        <f t="shared" si="193"/>
        <v>0</v>
      </c>
      <c r="AM437" s="43">
        <f t="shared" si="194"/>
        <v>0</v>
      </c>
      <c r="AN437" s="43">
        <f t="shared" si="195"/>
        <v>0</v>
      </c>
    </row>
    <row r="438" spans="2:40">
      <c r="B438" s="37" t="str">
        <f t="shared" si="188"/>
        <v>Asset 132</v>
      </c>
      <c r="F438" s="37" t="str">
        <f t="shared" ref="F438:L438" si="199">F190</f>
        <v>20 Kantoorgebouwen</v>
      </c>
      <c r="G438" s="37">
        <f t="shared" si="199"/>
        <v>2008</v>
      </c>
      <c r="H438" s="52">
        <f t="shared" si="199"/>
        <v>4978200.5000000009</v>
      </c>
      <c r="I438" s="37">
        <f t="shared" si="199"/>
        <v>2021</v>
      </c>
      <c r="J438" s="52">
        <f t="shared" si="199"/>
        <v>30</v>
      </c>
      <c r="K438" s="177">
        <f t="shared" si="199"/>
        <v>0</v>
      </c>
      <c r="L438" s="52">
        <f t="shared" si="199"/>
        <v>3386936.2239016104</v>
      </c>
      <c r="N438" s="43">
        <f t="shared" si="110"/>
        <v>3386936.2239016104</v>
      </c>
      <c r="P438" s="38">
        <f t="shared" si="190"/>
        <v>16.5</v>
      </c>
      <c r="R438" s="43">
        <f t="shared" si="197"/>
        <v>240164.56860393242</v>
      </c>
      <c r="S438" s="43">
        <f t="shared" si="197"/>
        <v>221242.51168362258</v>
      </c>
      <c r="T438" s="43">
        <f t="shared" si="197"/>
        <v>203811.2834903675</v>
      </c>
      <c r="U438" s="43">
        <f t="shared" si="197"/>
        <v>187753.4247911264</v>
      </c>
      <c r="V438" s="43">
        <f t="shared" si="197"/>
        <v>175621.66503539204</v>
      </c>
      <c r="X438" s="43">
        <f t="shared" si="198"/>
        <v>20526.886205464307</v>
      </c>
      <c r="Y438" s="43">
        <f t="shared" si="198"/>
        <v>20526.886205464303</v>
      </c>
      <c r="Z438" s="43">
        <f t="shared" si="198"/>
        <v>20526.886205464303</v>
      </c>
      <c r="AA438" s="43">
        <f t="shared" si="198"/>
        <v>20526.886205464303</v>
      </c>
      <c r="AB438" s="43">
        <f t="shared" si="198"/>
        <v>20526.886205464303</v>
      </c>
      <c r="AD438" s="43">
        <f t="shared" si="111"/>
        <v>3126244.7690922138</v>
      </c>
      <c r="AE438" s="43">
        <f t="shared" si="112"/>
        <v>2884475.3712031273</v>
      </c>
      <c r="AF438" s="43">
        <f t="shared" si="113"/>
        <v>2660137.2015072955</v>
      </c>
      <c r="AG438" s="43">
        <f t="shared" si="114"/>
        <v>2451856.8905107048</v>
      </c>
      <c r="AH438" s="43">
        <f t="shared" si="115"/>
        <v>2255708.3392698485</v>
      </c>
      <c r="AJ438" s="43">
        <f t="shared" si="191"/>
        <v>366983.77695853199</v>
      </c>
      <c r="AK438" s="43">
        <f t="shared" si="192"/>
        <v>336957.08513879008</v>
      </c>
      <c r="AL438" s="43">
        <f t="shared" si="193"/>
        <v>325423.38335310901</v>
      </c>
      <c r="AM438" s="43">
        <f t="shared" si="194"/>
        <v>301450.87283599749</v>
      </c>
      <c r="AN438" s="43">
        <f t="shared" si="195"/>
        <v>281865.46813311061</v>
      </c>
    </row>
    <row r="439" spans="2:40">
      <c r="B439" s="37" t="str">
        <f t="shared" si="188"/>
        <v>Asset 133</v>
      </c>
      <c r="F439" s="37" t="str">
        <f t="shared" ref="F439:L439" si="200">F191</f>
        <v>06 Utiliteitsgebouwen</v>
      </c>
      <c r="G439" s="37">
        <f t="shared" si="200"/>
        <v>2008</v>
      </c>
      <c r="H439" s="52">
        <f t="shared" si="200"/>
        <v>233293.04544821067</v>
      </c>
      <c r="I439" s="37">
        <f t="shared" si="200"/>
        <v>2021</v>
      </c>
      <c r="J439" s="52">
        <f t="shared" si="200"/>
        <v>30</v>
      </c>
      <c r="K439" s="177">
        <f t="shared" si="200"/>
        <v>0</v>
      </c>
      <c r="L439" s="52">
        <f t="shared" si="200"/>
        <v>158721.74421517763</v>
      </c>
      <c r="N439" s="43">
        <f t="shared" ref="N439:N502" si="201">L439*IF(K439=1,$F$19,1)</f>
        <v>158721.74421517763</v>
      </c>
      <c r="P439" s="38">
        <f t="shared" si="190"/>
        <v>16.5</v>
      </c>
      <c r="R439" s="43">
        <f t="shared" si="197"/>
        <v>11254.814589803505</v>
      </c>
      <c r="S439" s="43">
        <f t="shared" si="197"/>
        <v>10368.071622122017</v>
      </c>
      <c r="T439" s="43">
        <f t="shared" si="197"/>
        <v>9551.1932518942212</v>
      </c>
      <c r="U439" s="43">
        <f t="shared" si="197"/>
        <v>8798.6749956843742</v>
      </c>
      <c r="V439" s="43">
        <f t="shared" si="197"/>
        <v>8230.1452267324603</v>
      </c>
      <c r="X439" s="43">
        <f t="shared" si="198"/>
        <v>961.94996494047064</v>
      </c>
      <c r="Y439" s="43">
        <f t="shared" si="198"/>
        <v>961.94996494047052</v>
      </c>
      <c r="Z439" s="43">
        <f t="shared" si="198"/>
        <v>961.94996494047052</v>
      </c>
      <c r="AA439" s="43">
        <f t="shared" si="198"/>
        <v>961.94996494047052</v>
      </c>
      <c r="AB439" s="43">
        <f t="shared" si="198"/>
        <v>961.94996494047052</v>
      </c>
      <c r="AD439" s="43">
        <f t="shared" ref="AD439:AD502" si="202">IF(OR(AD$305&lt;=$G439+$J439,$J439=0),IF(AC439=0,$L439,AC439)-R439-X439,0)</f>
        <v>146504.97966043366</v>
      </c>
      <c r="AE439" s="43">
        <f t="shared" ref="AE439:AE502" si="203">IF(OR(AE$305&lt;=$G439+$J439,$J439=0),IF(AD439=0,$L439,AD439)-S439-Y439,0)</f>
        <v>135174.95807337118</v>
      </c>
      <c r="AF439" s="43">
        <f t="shared" ref="AF439:AF502" si="204">IF(OR(AF$305&lt;=$G439+$J439,$J439=0),IF(AE439=0,$L439,AE439)-T439-Z439,0)</f>
        <v>124661.81485653648</v>
      </c>
      <c r="AG439" s="43">
        <f t="shared" ref="AG439:AG502" si="205">IF(OR(AG$305&lt;=$G439+$J439,$J439=0),IF(AF439=0,$L439,AF439)-U439-AA439,0)</f>
        <v>114901.18989591164</v>
      </c>
      <c r="AH439" s="43">
        <f t="shared" ref="AH439:AH502" si="206">IF(OR(AH$305&lt;=$G439+$J439,$J439=0),IF(AG439=0,$L439,AG439)-V439-AB439,0)</f>
        <v>105709.0947042387</v>
      </c>
      <c r="AJ439" s="43">
        <f t="shared" si="191"/>
        <v>17197.933863198719</v>
      </c>
      <c r="AK439" s="43">
        <f t="shared" si="192"/>
        <v>15790.795203483736</v>
      </c>
      <c r="AL439" s="43">
        <f t="shared" si="193"/>
        <v>15250.292181383076</v>
      </c>
      <c r="AM439" s="43">
        <f t="shared" si="194"/>
        <v>14126.870176669487</v>
      </c>
      <c r="AN439" s="43">
        <f t="shared" si="195"/>
        <v>13209.040790434001</v>
      </c>
    </row>
    <row r="440" spans="2:40">
      <c r="B440" s="37" t="str">
        <f t="shared" si="188"/>
        <v>Asset 134</v>
      </c>
      <c r="F440" s="37" t="str">
        <f t="shared" ref="F440:L440" si="207">F192</f>
        <v>10 Gereedschap</v>
      </c>
      <c r="G440" s="37">
        <f t="shared" si="207"/>
        <v>2008</v>
      </c>
      <c r="H440" s="52">
        <f t="shared" si="207"/>
        <v>178157.88</v>
      </c>
      <c r="I440" s="37">
        <f t="shared" si="207"/>
        <v>2021</v>
      </c>
      <c r="J440" s="52">
        <f t="shared" si="207"/>
        <v>10</v>
      </c>
      <c r="K440" s="177">
        <f t="shared" si="207"/>
        <v>1</v>
      </c>
      <c r="L440" s="52">
        <f t="shared" si="207"/>
        <v>0</v>
      </c>
      <c r="N440" s="43">
        <f t="shared" si="201"/>
        <v>0</v>
      </c>
      <c r="P440" s="38">
        <f t="shared" si="190"/>
        <v>0</v>
      </c>
      <c r="R440" s="43">
        <f t="shared" si="197"/>
        <v>0</v>
      </c>
      <c r="S440" s="43">
        <f t="shared" si="197"/>
        <v>0</v>
      </c>
      <c r="T440" s="43">
        <f t="shared" si="197"/>
        <v>0</v>
      </c>
      <c r="U440" s="43">
        <f t="shared" si="197"/>
        <v>0</v>
      </c>
      <c r="V440" s="43">
        <f t="shared" si="197"/>
        <v>0</v>
      </c>
      <c r="X440" s="43">
        <f t="shared" si="198"/>
        <v>0</v>
      </c>
      <c r="Y440" s="43">
        <f t="shared" si="198"/>
        <v>0</v>
      </c>
      <c r="Z440" s="43">
        <f t="shared" si="198"/>
        <v>0</v>
      </c>
      <c r="AA440" s="43">
        <f t="shared" si="198"/>
        <v>0</v>
      </c>
      <c r="AB440" s="43">
        <f t="shared" si="198"/>
        <v>0</v>
      </c>
      <c r="AD440" s="43">
        <f t="shared" si="202"/>
        <v>0</v>
      </c>
      <c r="AE440" s="43">
        <f t="shared" si="203"/>
        <v>0</v>
      </c>
      <c r="AF440" s="43">
        <f t="shared" si="204"/>
        <v>0</v>
      </c>
      <c r="AG440" s="43">
        <f t="shared" si="205"/>
        <v>0</v>
      </c>
      <c r="AH440" s="43">
        <f t="shared" si="206"/>
        <v>0</v>
      </c>
      <c r="AJ440" s="43">
        <f t="shared" si="191"/>
        <v>0</v>
      </c>
      <c r="AK440" s="43">
        <f t="shared" si="192"/>
        <v>0</v>
      </c>
      <c r="AL440" s="43">
        <f t="shared" si="193"/>
        <v>0</v>
      </c>
      <c r="AM440" s="43">
        <f t="shared" si="194"/>
        <v>0</v>
      </c>
      <c r="AN440" s="43">
        <f t="shared" si="195"/>
        <v>0</v>
      </c>
    </row>
    <row r="441" spans="2:40">
      <c r="B441" s="37" t="str">
        <f t="shared" si="188"/>
        <v>Asset 135</v>
      </c>
      <c r="F441" s="37" t="str">
        <f t="shared" ref="F441:L441" si="208">F193</f>
        <v>14 Overig rollend materieel</v>
      </c>
      <c r="G441" s="37">
        <f t="shared" si="208"/>
        <v>2008</v>
      </c>
      <c r="H441" s="52">
        <f t="shared" si="208"/>
        <v>1299449.8500000001</v>
      </c>
      <c r="I441" s="37">
        <f t="shared" si="208"/>
        <v>2021</v>
      </c>
      <c r="J441" s="52">
        <f t="shared" si="208"/>
        <v>10</v>
      </c>
      <c r="K441" s="177">
        <f t="shared" si="208"/>
        <v>1</v>
      </c>
      <c r="L441" s="52">
        <f t="shared" si="208"/>
        <v>0</v>
      </c>
      <c r="N441" s="43">
        <f t="shared" si="201"/>
        <v>0</v>
      </c>
      <c r="P441" s="38">
        <f t="shared" si="190"/>
        <v>0</v>
      </c>
      <c r="R441" s="43">
        <f t="shared" si="197"/>
        <v>0</v>
      </c>
      <c r="S441" s="43">
        <f t="shared" si="197"/>
        <v>0</v>
      </c>
      <c r="T441" s="43">
        <f t="shared" si="197"/>
        <v>0</v>
      </c>
      <c r="U441" s="43">
        <f t="shared" si="197"/>
        <v>0</v>
      </c>
      <c r="V441" s="43">
        <f t="shared" si="197"/>
        <v>0</v>
      </c>
      <c r="X441" s="43">
        <f t="shared" si="198"/>
        <v>0</v>
      </c>
      <c r="Y441" s="43">
        <f t="shared" si="198"/>
        <v>0</v>
      </c>
      <c r="Z441" s="43">
        <f t="shared" si="198"/>
        <v>0</v>
      </c>
      <c r="AA441" s="43">
        <f t="shared" si="198"/>
        <v>0</v>
      </c>
      <c r="AB441" s="43">
        <f t="shared" si="198"/>
        <v>0</v>
      </c>
      <c r="AD441" s="43">
        <f t="shared" si="202"/>
        <v>0</v>
      </c>
      <c r="AE441" s="43">
        <f t="shared" si="203"/>
        <v>0</v>
      </c>
      <c r="AF441" s="43">
        <f t="shared" si="204"/>
        <v>0</v>
      </c>
      <c r="AG441" s="43">
        <f t="shared" si="205"/>
        <v>0</v>
      </c>
      <c r="AH441" s="43">
        <f t="shared" si="206"/>
        <v>0</v>
      </c>
      <c r="AJ441" s="43">
        <f t="shared" si="191"/>
        <v>0</v>
      </c>
      <c r="AK441" s="43">
        <f t="shared" si="192"/>
        <v>0</v>
      </c>
      <c r="AL441" s="43">
        <f t="shared" si="193"/>
        <v>0</v>
      </c>
      <c r="AM441" s="43">
        <f t="shared" si="194"/>
        <v>0</v>
      </c>
      <c r="AN441" s="43">
        <f t="shared" si="195"/>
        <v>0</v>
      </c>
    </row>
    <row r="442" spans="2:40">
      <c r="B442" s="37" t="str">
        <f t="shared" si="188"/>
        <v>Asset 136</v>
      </c>
      <c r="F442" s="37" t="str">
        <f t="shared" ref="F442:L442" si="209">F194</f>
        <v>37 ICT middelen 1 (gaschromatografen en comptabele meting)</v>
      </c>
      <c r="G442" s="37">
        <f t="shared" si="209"/>
        <v>2008</v>
      </c>
      <c r="H442" s="52">
        <f t="shared" si="209"/>
        <v>8310.1200000000008</v>
      </c>
      <c r="I442" s="37">
        <f t="shared" si="209"/>
        <v>2021</v>
      </c>
      <c r="J442" s="52">
        <f t="shared" si="209"/>
        <v>5</v>
      </c>
      <c r="K442" s="177">
        <f t="shared" si="209"/>
        <v>0</v>
      </c>
      <c r="L442" s="52">
        <f t="shared" si="209"/>
        <v>0</v>
      </c>
      <c r="N442" s="43">
        <f t="shared" si="201"/>
        <v>0</v>
      </c>
      <c r="P442" s="38">
        <f t="shared" si="190"/>
        <v>0</v>
      </c>
      <c r="R442" s="43">
        <f t="shared" si="197"/>
        <v>0</v>
      </c>
      <c r="S442" s="43">
        <f t="shared" si="197"/>
        <v>0</v>
      </c>
      <c r="T442" s="43">
        <f t="shared" si="197"/>
        <v>0</v>
      </c>
      <c r="U442" s="43">
        <f t="shared" si="197"/>
        <v>0</v>
      </c>
      <c r="V442" s="43">
        <f t="shared" si="197"/>
        <v>0</v>
      </c>
      <c r="X442" s="43">
        <f t="shared" si="198"/>
        <v>0</v>
      </c>
      <c r="Y442" s="43">
        <f t="shared" si="198"/>
        <v>0</v>
      </c>
      <c r="Z442" s="43">
        <f t="shared" si="198"/>
        <v>0</v>
      </c>
      <c r="AA442" s="43">
        <f t="shared" si="198"/>
        <v>0</v>
      </c>
      <c r="AB442" s="43">
        <f t="shared" si="198"/>
        <v>0</v>
      </c>
      <c r="AD442" s="43">
        <f t="shared" si="202"/>
        <v>0</v>
      </c>
      <c r="AE442" s="43">
        <f t="shared" si="203"/>
        <v>0</v>
      </c>
      <c r="AF442" s="43">
        <f t="shared" si="204"/>
        <v>0</v>
      </c>
      <c r="AG442" s="43">
        <f t="shared" si="205"/>
        <v>0</v>
      </c>
      <c r="AH442" s="43">
        <f t="shared" si="206"/>
        <v>0</v>
      </c>
      <c r="AJ442" s="43">
        <f t="shared" si="191"/>
        <v>0</v>
      </c>
      <c r="AK442" s="43">
        <f t="shared" si="192"/>
        <v>0</v>
      </c>
      <c r="AL442" s="43">
        <f t="shared" si="193"/>
        <v>0</v>
      </c>
      <c r="AM442" s="43">
        <f t="shared" si="194"/>
        <v>0</v>
      </c>
      <c r="AN442" s="43">
        <f t="shared" si="195"/>
        <v>0</v>
      </c>
    </row>
    <row r="443" spans="2:40">
      <c r="B443" s="37" t="str">
        <f t="shared" si="188"/>
        <v>Asset 137</v>
      </c>
      <c r="F443" s="37" t="str">
        <f t="shared" ref="F443:L443" si="210">F195</f>
        <v>11 Werktuigen</v>
      </c>
      <c r="G443" s="37">
        <f t="shared" si="210"/>
        <v>2008</v>
      </c>
      <c r="H443" s="52">
        <f t="shared" si="210"/>
        <v>427546.18</v>
      </c>
      <c r="I443" s="37">
        <f t="shared" si="210"/>
        <v>2021</v>
      </c>
      <c r="J443" s="52">
        <f t="shared" si="210"/>
        <v>10</v>
      </c>
      <c r="K443" s="177">
        <f t="shared" si="210"/>
        <v>1</v>
      </c>
      <c r="L443" s="52">
        <f t="shared" si="210"/>
        <v>0</v>
      </c>
      <c r="N443" s="43">
        <f t="shared" si="201"/>
        <v>0</v>
      </c>
      <c r="P443" s="38">
        <f t="shared" si="190"/>
        <v>0</v>
      </c>
      <c r="R443" s="43">
        <f t="shared" si="197"/>
        <v>0</v>
      </c>
      <c r="S443" s="43">
        <f t="shared" si="197"/>
        <v>0</v>
      </c>
      <c r="T443" s="43">
        <f t="shared" si="197"/>
        <v>0</v>
      </c>
      <c r="U443" s="43">
        <f t="shared" si="197"/>
        <v>0</v>
      </c>
      <c r="V443" s="43">
        <f t="shared" si="197"/>
        <v>0</v>
      </c>
      <c r="X443" s="43">
        <f t="shared" si="198"/>
        <v>0</v>
      </c>
      <c r="Y443" s="43">
        <f t="shared" si="198"/>
        <v>0</v>
      </c>
      <c r="Z443" s="43">
        <f t="shared" si="198"/>
        <v>0</v>
      </c>
      <c r="AA443" s="43">
        <f t="shared" si="198"/>
        <v>0</v>
      </c>
      <c r="AB443" s="43">
        <f t="shared" si="198"/>
        <v>0</v>
      </c>
      <c r="AD443" s="43">
        <f t="shared" si="202"/>
        <v>0</v>
      </c>
      <c r="AE443" s="43">
        <f t="shared" si="203"/>
        <v>0</v>
      </c>
      <c r="AF443" s="43">
        <f t="shared" si="204"/>
        <v>0</v>
      </c>
      <c r="AG443" s="43">
        <f t="shared" si="205"/>
        <v>0</v>
      </c>
      <c r="AH443" s="43">
        <f t="shared" si="206"/>
        <v>0</v>
      </c>
      <c r="AJ443" s="43">
        <f t="shared" si="191"/>
        <v>0</v>
      </c>
      <c r="AK443" s="43">
        <f t="shared" si="192"/>
        <v>0</v>
      </c>
      <c r="AL443" s="43">
        <f t="shared" si="193"/>
        <v>0</v>
      </c>
      <c r="AM443" s="43">
        <f t="shared" si="194"/>
        <v>0</v>
      </c>
      <c r="AN443" s="43">
        <f t="shared" si="195"/>
        <v>0</v>
      </c>
    </row>
    <row r="444" spans="2:40">
      <c r="B444" s="37" t="str">
        <f t="shared" si="188"/>
        <v>Asset 138</v>
      </c>
      <c r="F444" s="37" t="str">
        <f t="shared" ref="F444:L444" si="211">F196</f>
        <v>08 Inrichting gebouwen</v>
      </c>
      <c r="G444" s="37">
        <f t="shared" si="211"/>
        <v>2008</v>
      </c>
      <c r="H444" s="52">
        <f t="shared" si="211"/>
        <v>1194171.3899999999</v>
      </c>
      <c r="I444" s="37">
        <f t="shared" si="211"/>
        <v>2021</v>
      </c>
      <c r="J444" s="52">
        <f t="shared" si="211"/>
        <v>10</v>
      </c>
      <c r="K444" s="177">
        <f t="shared" si="211"/>
        <v>0</v>
      </c>
      <c r="L444" s="52">
        <f t="shared" si="211"/>
        <v>0</v>
      </c>
      <c r="N444" s="43">
        <f t="shared" si="201"/>
        <v>0</v>
      </c>
      <c r="P444" s="38">
        <f t="shared" si="190"/>
        <v>0</v>
      </c>
      <c r="R444" s="43">
        <f t="shared" si="197"/>
        <v>0</v>
      </c>
      <c r="S444" s="43">
        <f t="shared" si="197"/>
        <v>0</v>
      </c>
      <c r="T444" s="43">
        <f t="shared" si="197"/>
        <v>0</v>
      </c>
      <c r="U444" s="43">
        <f t="shared" si="197"/>
        <v>0</v>
      </c>
      <c r="V444" s="43">
        <f t="shared" si="197"/>
        <v>0</v>
      </c>
      <c r="X444" s="43">
        <f t="shared" si="198"/>
        <v>0</v>
      </c>
      <c r="Y444" s="43">
        <f t="shared" si="198"/>
        <v>0</v>
      </c>
      <c r="Z444" s="43">
        <f t="shared" si="198"/>
        <v>0</v>
      </c>
      <c r="AA444" s="43">
        <f t="shared" si="198"/>
        <v>0</v>
      </c>
      <c r="AB444" s="43">
        <f t="shared" si="198"/>
        <v>0</v>
      </c>
      <c r="AD444" s="43">
        <f t="shared" si="202"/>
        <v>0</v>
      </c>
      <c r="AE444" s="43">
        <f t="shared" si="203"/>
        <v>0</v>
      </c>
      <c r="AF444" s="43">
        <f t="shared" si="204"/>
        <v>0</v>
      </c>
      <c r="AG444" s="43">
        <f t="shared" si="205"/>
        <v>0</v>
      </c>
      <c r="AH444" s="43">
        <f t="shared" si="206"/>
        <v>0</v>
      </c>
      <c r="AJ444" s="43">
        <f t="shared" si="191"/>
        <v>0</v>
      </c>
      <c r="AK444" s="43">
        <f t="shared" si="192"/>
        <v>0</v>
      </c>
      <c r="AL444" s="43">
        <f t="shared" si="193"/>
        <v>0</v>
      </c>
      <c r="AM444" s="43">
        <f t="shared" si="194"/>
        <v>0</v>
      </c>
      <c r="AN444" s="43">
        <f t="shared" si="195"/>
        <v>0</v>
      </c>
    </row>
    <row r="445" spans="2:40">
      <c r="B445" s="37" t="str">
        <f t="shared" si="188"/>
        <v>Asset 139</v>
      </c>
      <c r="F445" s="37" t="str">
        <f t="shared" ref="F445:L445" si="212">F197</f>
        <v>08 Inrichting gebouwen</v>
      </c>
      <c r="G445" s="37">
        <f t="shared" si="212"/>
        <v>2009</v>
      </c>
      <c r="H445" s="52">
        <f t="shared" si="212"/>
        <v>124506.82</v>
      </c>
      <c r="I445" s="37">
        <f t="shared" si="212"/>
        <v>2021</v>
      </c>
      <c r="J445" s="52">
        <f t="shared" si="212"/>
        <v>10</v>
      </c>
      <c r="K445" s="177">
        <f t="shared" si="212"/>
        <v>0</v>
      </c>
      <c r="L445" s="52">
        <f t="shared" si="212"/>
        <v>0</v>
      </c>
      <c r="N445" s="43">
        <f t="shared" si="201"/>
        <v>0</v>
      </c>
      <c r="P445" s="38">
        <f t="shared" si="190"/>
        <v>0</v>
      </c>
      <c r="R445" s="43">
        <f t="shared" si="197"/>
        <v>0</v>
      </c>
      <c r="S445" s="43">
        <f t="shared" si="197"/>
        <v>0</v>
      </c>
      <c r="T445" s="43">
        <f t="shared" si="197"/>
        <v>0</v>
      </c>
      <c r="U445" s="43">
        <f t="shared" si="197"/>
        <v>0</v>
      </c>
      <c r="V445" s="43">
        <f t="shared" si="197"/>
        <v>0</v>
      </c>
      <c r="X445" s="43">
        <f t="shared" si="198"/>
        <v>0</v>
      </c>
      <c r="Y445" s="43">
        <f t="shared" si="198"/>
        <v>0</v>
      </c>
      <c r="Z445" s="43">
        <f t="shared" si="198"/>
        <v>0</v>
      </c>
      <c r="AA445" s="43">
        <f t="shared" si="198"/>
        <v>0</v>
      </c>
      <c r="AB445" s="43">
        <f t="shared" si="198"/>
        <v>0</v>
      </c>
      <c r="AD445" s="43">
        <f t="shared" si="202"/>
        <v>0</v>
      </c>
      <c r="AE445" s="43">
        <f t="shared" si="203"/>
        <v>0</v>
      </c>
      <c r="AF445" s="43">
        <f t="shared" si="204"/>
        <v>0</v>
      </c>
      <c r="AG445" s="43">
        <f t="shared" si="205"/>
        <v>0</v>
      </c>
      <c r="AH445" s="43">
        <f t="shared" si="206"/>
        <v>0</v>
      </c>
      <c r="AJ445" s="43">
        <f t="shared" si="191"/>
        <v>0</v>
      </c>
      <c r="AK445" s="43">
        <f t="shared" si="192"/>
        <v>0</v>
      </c>
      <c r="AL445" s="43">
        <f t="shared" si="193"/>
        <v>0</v>
      </c>
      <c r="AM445" s="43">
        <f t="shared" si="194"/>
        <v>0</v>
      </c>
      <c r="AN445" s="43">
        <f t="shared" si="195"/>
        <v>0</v>
      </c>
    </row>
    <row r="446" spans="2:40">
      <c r="B446" s="37" t="str">
        <f t="shared" si="188"/>
        <v>Asset 140</v>
      </c>
      <c r="F446" s="37" t="str">
        <f t="shared" ref="F446:L446" si="213">F198</f>
        <v>14 Overig rollend materieel</v>
      </c>
      <c r="G446" s="37">
        <f t="shared" si="213"/>
        <v>2009</v>
      </c>
      <c r="H446" s="52">
        <f t="shared" si="213"/>
        <v>285378.59999999998</v>
      </c>
      <c r="I446" s="37">
        <f t="shared" si="213"/>
        <v>2021</v>
      </c>
      <c r="J446" s="52">
        <f t="shared" si="213"/>
        <v>10</v>
      </c>
      <c r="K446" s="177">
        <f t="shared" si="213"/>
        <v>1</v>
      </c>
      <c r="L446" s="52">
        <f t="shared" si="213"/>
        <v>0</v>
      </c>
      <c r="N446" s="43">
        <f t="shared" si="201"/>
        <v>0</v>
      </c>
      <c r="P446" s="38">
        <f t="shared" si="190"/>
        <v>0</v>
      </c>
      <c r="R446" s="43">
        <f t="shared" si="197"/>
        <v>0</v>
      </c>
      <c r="S446" s="43">
        <f t="shared" si="197"/>
        <v>0</v>
      </c>
      <c r="T446" s="43">
        <f t="shared" si="197"/>
        <v>0</v>
      </c>
      <c r="U446" s="43">
        <f t="shared" si="197"/>
        <v>0</v>
      </c>
      <c r="V446" s="43">
        <f t="shared" si="197"/>
        <v>0</v>
      </c>
      <c r="X446" s="43">
        <f t="shared" si="198"/>
        <v>0</v>
      </c>
      <c r="Y446" s="43">
        <f t="shared" si="198"/>
        <v>0</v>
      </c>
      <c r="Z446" s="43">
        <f t="shared" si="198"/>
        <v>0</v>
      </c>
      <c r="AA446" s="43">
        <f t="shared" si="198"/>
        <v>0</v>
      </c>
      <c r="AB446" s="43">
        <f t="shared" si="198"/>
        <v>0</v>
      </c>
      <c r="AD446" s="43">
        <f t="shared" si="202"/>
        <v>0</v>
      </c>
      <c r="AE446" s="43">
        <f t="shared" si="203"/>
        <v>0</v>
      </c>
      <c r="AF446" s="43">
        <f t="shared" si="204"/>
        <v>0</v>
      </c>
      <c r="AG446" s="43">
        <f t="shared" si="205"/>
        <v>0</v>
      </c>
      <c r="AH446" s="43">
        <f t="shared" si="206"/>
        <v>0</v>
      </c>
      <c r="AJ446" s="43">
        <f t="shared" si="191"/>
        <v>0</v>
      </c>
      <c r="AK446" s="43">
        <f t="shared" si="192"/>
        <v>0</v>
      </c>
      <c r="AL446" s="43">
        <f t="shared" si="193"/>
        <v>0</v>
      </c>
      <c r="AM446" s="43">
        <f t="shared" si="194"/>
        <v>0</v>
      </c>
      <c r="AN446" s="43">
        <f t="shared" si="195"/>
        <v>0</v>
      </c>
    </row>
    <row r="447" spans="2:40">
      <c r="B447" s="37" t="str">
        <f t="shared" si="188"/>
        <v>Asset 141</v>
      </c>
      <c r="F447" s="37" t="str">
        <f t="shared" ref="F447:L447" si="214">F199</f>
        <v>06 Utiliteitsgebouwen</v>
      </c>
      <c r="G447" s="37">
        <f t="shared" si="214"/>
        <v>2009</v>
      </c>
      <c r="H447" s="52">
        <f t="shared" si="214"/>
        <v>35389.120000000003</v>
      </c>
      <c r="I447" s="37">
        <f t="shared" si="214"/>
        <v>2021</v>
      </c>
      <c r="J447" s="52">
        <f t="shared" si="214"/>
        <v>30</v>
      </c>
      <c r="K447" s="177">
        <f t="shared" si="214"/>
        <v>0</v>
      </c>
      <c r="L447" s="52">
        <f t="shared" si="214"/>
        <v>24744.506996892218</v>
      </c>
      <c r="N447" s="43">
        <f t="shared" si="201"/>
        <v>24744.506996892218</v>
      </c>
      <c r="P447" s="38">
        <f t="shared" si="190"/>
        <v>17.5</v>
      </c>
      <c r="R447" s="43">
        <f t="shared" ref="R447:V456" si="215">IF(R$305&lt;=$G447+$J447,VDB($L447*(1-$F$25),0,$P447,R$305-2022,MIN(R$305-2021,$P447),$F$22),0)</f>
        <v>1654.3470392207942</v>
      </c>
      <c r="S447" s="43">
        <f t="shared" si="215"/>
        <v>1531.452687735821</v>
      </c>
      <c r="T447" s="43">
        <f t="shared" si="215"/>
        <v>1417.6876309325885</v>
      </c>
      <c r="U447" s="43">
        <f t="shared" si="215"/>
        <v>1312.373692634739</v>
      </c>
      <c r="V447" s="43">
        <f t="shared" si="215"/>
        <v>1214.8830754675871</v>
      </c>
      <c r="X447" s="43">
        <f t="shared" ref="X447:AB456" si="216">IF(X$305&lt;=$G447+$J447,VDB($L447*$F$25,0,$P447,X$305-2022,MIN(X$305-2021,$P447),1),0)</f>
        <v>141.3971828393841</v>
      </c>
      <c r="Y447" s="43">
        <f t="shared" si="216"/>
        <v>141.3971828393841</v>
      </c>
      <c r="Z447" s="43">
        <f t="shared" si="216"/>
        <v>141.3971828393841</v>
      </c>
      <c r="AA447" s="43">
        <f t="shared" si="216"/>
        <v>141.3971828393841</v>
      </c>
      <c r="AB447" s="43">
        <f t="shared" si="216"/>
        <v>141.3971828393841</v>
      </c>
      <c r="AD447" s="43">
        <f t="shared" si="202"/>
        <v>22948.762774832041</v>
      </c>
      <c r="AE447" s="43">
        <f t="shared" si="203"/>
        <v>21275.912904256835</v>
      </c>
      <c r="AF447" s="43">
        <f t="shared" si="204"/>
        <v>19716.828090484862</v>
      </c>
      <c r="AG447" s="43">
        <f t="shared" si="205"/>
        <v>18263.05721501074</v>
      </c>
      <c r="AH447" s="43">
        <f t="shared" si="206"/>
        <v>16906.776956703769</v>
      </c>
      <c r="AJ447" s="43">
        <f t="shared" si="191"/>
        <v>2576.0021564044678</v>
      </c>
      <c r="AK447" s="43">
        <f t="shared" si="192"/>
        <v>2374.9549964156809</v>
      </c>
      <c r="AL447" s="43">
        <f t="shared" si="193"/>
        <v>2308.3242812103972</v>
      </c>
      <c r="AM447" s="43">
        <f t="shared" si="194"/>
        <v>2147.7670496445312</v>
      </c>
      <c r="AN447" s="43">
        <f t="shared" si="195"/>
        <v>1998.7377826617144</v>
      </c>
    </row>
    <row r="448" spans="2:40">
      <c r="B448" s="37" t="str">
        <f t="shared" si="188"/>
        <v>Asset 142</v>
      </c>
      <c r="F448" s="37" t="str">
        <f t="shared" ref="F448:L448" si="217">F200</f>
        <v>09 Bedrijfsinventaris</v>
      </c>
      <c r="G448" s="37">
        <f t="shared" si="217"/>
        <v>2009</v>
      </c>
      <c r="H448" s="52">
        <f t="shared" si="217"/>
        <v>537011.27</v>
      </c>
      <c r="I448" s="37">
        <f t="shared" si="217"/>
        <v>2021</v>
      </c>
      <c r="J448" s="52">
        <f t="shared" si="217"/>
        <v>10</v>
      </c>
      <c r="K448" s="177">
        <f t="shared" si="217"/>
        <v>1</v>
      </c>
      <c r="L448" s="52">
        <f t="shared" si="217"/>
        <v>0</v>
      </c>
      <c r="N448" s="43">
        <f t="shared" si="201"/>
        <v>0</v>
      </c>
      <c r="P448" s="38">
        <f t="shared" si="190"/>
        <v>0</v>
      </c>
      <c r="R448" s="43">
        <f t="shared" si="215"/>
        <v>0</v>
      </c>
      <c r="S448" s="43">
        <f t="shared" si="215"/>
        <v>0</v>
      </c>
      <c r="T448" s="43">
        <f t="shared" si="215"/>
        <v>0</v>
      </c>
      <c r="U448" s="43">
        <f t="shared" si="215"/>
        <v>0</v>
      </c>
      <c r="V448" s="43">
        <f t="shared" si="215"/>
        <v>0</v>
      </c>
      <c r="X448" s="43">
        <f t="shared" si="216"/>
        <v>0</v>
      </c>
      <c r="Y448" s="43">
        <f t="shared" si="216"/>
        <v>0</v>
      </c>
      <c r="Z448" s="43">
        <f t="shared" si="216"/>
        <v>0</v>
      </c>
      <c r="AA448" s="43">
        <f t="shared" si="216"/>
        <v>0</v>
      </c>
      <c r="AB448" s="43">
        <f t="shared" si="216"/>
        <v>0</v>
      </c>
      <c r="AD448" s="43">
        <f t="shared" si="202"/>
        <v>0</v>
      </c>
      <c r="AE448" s="43">
        <f t="shared" si="203"/>
        <v>0</v>
      </c>
      <c r="AF448" s="43">
        <f t="shared" si="204"/>
        <v>0</v>
      </c>
      <c r="AG448" s="43">
        <f t="shared" si="205"/>
        <v>0</v>
      </c>
      <c r="AH448" s="43">
        <f t="shared" si="206"/>
        <v>0</v>
      </c>
      <c r="AJ448" s="43">
        <f t="shared" si="191"/>
        <v>0</v>
      </c>
      <c r="AK448" s="43">
        <f t="shared" si="192"/>
        <v>0</v>
      </c>
      <c r="AL448" s="43">
        <f t="shared" si="193"/>
        <v>0</v>
      </c>
      <c r="AM448" s="43">
        <f t="shared" si="194"/>
        <v>0</v>
      </c>
      <c r="AN448" s="43">
        <f t="shared" si="195"/>
        <v>0</v>
      </c>
    </row>
    <row r="449" spans="2:40">
      <c r="B449" s="37" t="str">
        <f t="shared" si="188"/>
        <v>Asset 143</v>
      </c>
      <c r="F449" s="37" t="str">
        <f t="shared" ref="F449:L449" si="218">F201</f>
        <v>20 Kantoorgebouwen</v>
      </c>
      <c r="G449" s="37">
        <f t="shared" si="218"/>
        <v>2009</v>
      </c>
      <c r="H449" s="52">
        <f t="shared" si="218"/>
        <v>2416053.9300000006</v>
      </c>
      <c r="I449" s="37">
        <f t="shared" si="218"/>
        <v>2021</v>
      </c>
      <c r="J449" s="52">
        <f t="shared" si="218"/>
        <v>30</v>
      </c>
      <c r="K449" s="177">
        <f t="shared" si="218"/>
        <v>0</v>
      </c>
      <c r="L449" s="52">
        <f t="shared" si="218"/>
        <v>1689334.5575067692</v>
      </c>
      <c r="N449" s="43">
        <f t="shared" si="201"/>
        <v>1689334.5575067692</v>
      </c>
      <c r="P449" s="38">
        <f t="shared" si="190"/>
        <v>17.5</v>
      </c>
      <c r="R449" s="43">
        <f t="shared" si="215"/>
        <v>112944.08184473829</v>
      </c>
      <c r="S449" s="43">
        <f t="shared" si="215"/>
        <v>104553.95005055775</v>
      </c>
      <c r="T449" s="43">
        <f t="shared" si="215"/>
        <v>96787.085189659163</v>
      </c>
      <c r="U449" s="43">
        <f t="shared" si="215"/>
        <v>89597.187432713064</v>
      </c>
      <c r="V449" s="43">
        <f t="shared" si="215"/>
        <v>82941.396366282948</v>
      </c>
      <c r="X449" s="43">
        <f t="shared" si="216"/>
        <v>9653.3403286101093</v>
      </c>
      <c r="Y449" s="43">
        <f t="shared" si="216"/>
        <v>9653.3403286101111</v>
      </c>
      <c r="Z449" s="43">
        <f t="shared" si="216"/>
        <v>9653.3403286101111</v>
      </c>
      <c r="AA449" s="43">
        <f t="shared" si="216"/>
        <v>9653.3403286101111</v>
      </c>
      <c r="AB449" s="43">
        <f t="shared" si="216"/>
        <v>9653.3403286101111</v>
      </c>
      <c r="AD449" s="43">
        <f t="shared" si="202"/>
        <v>1566737.1353334209</v>
      </c>
      <c r="AE449" s="43">
        <f t="shared" si="203"/>
        <v>1452529.8449542532</v>
      </c>
      <c r="AF449" s="43">
        <f t="shared" si="204"/>
        <v>1346089.419435984</v>
      </c>
      <c r="AG449" s="43">
        <f t="shared" si="205"/>
        <v>1246838.8916746608</v>
      </c>
      <c r="AH449" s="43">
        <f t="shared" si="206"/>
        <v>1154244.1549797677</v>
      </c>
      <c r="AJ449" s="43">
        <f t="shared" si="191"/>
        <v>175866.48477468471</v>
      </c>
      <c r="AK449" s="43">
        <f t="shared" si="192"/>
        <v>162140.77526265822</v>
      </c>
      <c r="AL449" s="43">
        <f t="shared" si="193"/>
        <v>157591.82345683666</v>
      </c>
      <c r="AM449" s="43">
        <f t="shared" si="194"/>
        <v>146630.40564496029</v>
      </c>
      <c r="AN449" s="43">
        <f t="shared" si="195"/>
        <v>136456.01458412423</v>
      </c>
    </row>
    <row r="450" spans="2:40">
      <c r="B450" s="37" t="str">
        <f t="shared" si="188"/>
        <v>Asset 144</v>
      </c>
      <c r="F450" s="37" t="str">
        <f t="shared" ref="F450:L450" si="219">F202</f>
        <v>05 Wegen en terreinvoorzieningen</v>
      </c>
      <c r="G450" s="37">
        <f t="shared" si="219"/>
        <v>2009</v>
      </c>
      <c r="H450" s="52">
        <f t="shared" si="219"/>
        <v>97690.9</v>
      </c>
      <c r="I450" s="37">
        <f t="shared" si="219"/>
        <v>2021</v>
      </c>
      <c r="J450" s="52">
        <f t="shared" si="219"/>
        <v>10</v>
      </c>
      <c r="K450" s="177">
        <f t="shared" si="219"/>
        <v>0</v>
      </c>
      <c r="L450" s="52">
        <f t="shared" si="219"/>
        <v>0</v>
      </c>
      <c r="N450" s="43">
        <f t="shared" si="201"/>
        <v>0</v>
      </c>
      <c r="P450" s="38">
        <f t="shared" si="190"/>
        <v>0</v>
      </c>
      <c r="R450" s="43">
        <f t="shared" si="215"/>
        <v>0</v>
      </c>
      <c r="S450" s="43">
        <f t="shared" si="215"/>
        <v>0</v>
      </c>
      <c r="T450" s="43">
        <f t="shared" si="215"/>
        <v>0</v>
      </c>
      <c r="U450" s="43">
        <f t="shared" si="215"/>
        <v>0</v>
      </c>
      <c r="V450" s="43">
        <f t="shared" si="215"/>
        <v>0</v>
      </c>
      <c r="X450" s="43">
        <f t="shared" si="216"/>
        <v>0</v>
      </c>
      <c r="Y450" s="43">
        <f t="shared" si="216"/>
        <v>0</v>
      </c>
      <c r="Z450" s="43">
        <f t="shared" si="216"/>
        <v>0</v>
      </c>
      <c r="AA450" s="43">
        <f t="shared" si="216"/>
        <v>0</v>
      </c>
      <c r="AB450" s="43">
        <f t="shared" si="216"/>
        <v>0</v>
      </c>
      <c r="AD450" s="43">
        <f t="shared" si="202"/>
        <v>0</v>
      </c>
      <c r="AE450" s="43">
        <f t="shared" si="203"/>
        <v>0</v>
      </c>
      <c r="AF450" s="43">
        <f t="shared" si="204"/>
        <v>0</v>
      </c>
      <c r="AG450" s="43">
        <f t="shared" si="205"/>
        <v>0</v>
      </c>
      <c r="AH450" s="43">
        <f t="shared" si="206"/>
        <v>0</v>
      </c>
      <c r="AJ450" s="43">
        <f t="shared" si="191"/>
        <v>0</v>
      </c>
      <c r="AK450" s="43">
        <f t="shared" si="192"/>
        <v>0</v>
      </c>
      <c r="AL450" s="43">
        <f t="shared" si="193"/>
        <v>0</v>
      </c>
      <c r="AM450" s="43">
        <f t="shared" si="194"/>
        <v>0</v>
      </c>
      <c r="AN450" s="43">
        <f t="shared" si="195"/>
        <v>0</v>
      </c>
    </row>
    <row r="451" spans="2:40">
      <c r="B451" s="37" t="str">
        <f t="shared" si="188"/>
        <v>Asset 145</v>
      </c>
      <c r="F451" s="37" t="str">
        <f t="shared" ref="F451:L451" si="220">F203</f>
        <v>13 Aanhangwagens</v>
      </c>
      <c r="G451" s="37">
        <f t="shared" si="220"/>
        <v>2009</v>
      </c>
      <c r="H451" s="52">
        <f t="shared" si="220"/>
        <v>655669.05999999994</v>
      </c>
      <c r="I451" s="37">
        <f t="shared" si="220"/>
        <v>2021</v>
      </c>
      <c r="J451" s="52">
        <f t="shared" si="220"/>
        <v>10</v>
      </c>
      <c r="K451" s="177">
        <f t="shared" si="220"/>
        <v>1</v>
      </c>
      <c r="L451" s="52">
        <f t="shared" si="220"/>
        <v>0</v>
      </c>
      <c r="N451" s="43">
        <f t="shared" si="201"/>
        <v>0</v>
      </c>
      <c r="P451" s="38">
        <f t="shared" si="190"/>
        <v>0</v>
      </c>
      <c r="R451" s="43">
        <f t="shared" si="215"/>
        <v>0</v>
      </c>
      <c r="S451" s="43">
        <f t="shared" si="215"/>
        <v>0</v>
      </c>
      <c r="T451" s="43">
        <f t="shared" si="215"/>
        <v>0</v>
      </c>
      <c r="U451" s="43">
        <f t="shared" si="215"/>
        <v>0</v>
      </c>
      <c r="V451" s="43">
        <f t="shared" si="215"/>
        <v>0</v>
      </c>
      <c r="X451" s="43">
        <f t="shared" si="216"/>
        <v>0</v>
      </c>
      <c r="Y451" s="43">
        <f t="shared" si="216"/>
        <v>0</v>
      </c>
      <c r="Z451" s="43">
        <f t="shared" si="216"/>
        <v>0</v>
      </c>
      <c r="AA451" s="43">
        <f t="shared" si="216"/>
        <v>0</v>
      </c>
      <c r="AB451" s="43">
        <f t="shared" si="216"/>
        <v>0</v>
      </c>
      <c r="AD451" s="43">
        <f t="shared" si="202"/>
        <v>0</v>
      </c>
      <c r="AE451" s="43">
        <f t="shared" si="203"/>
        <v>0</v>
      </c>
      <c r="AF451" s="43">
        <f t="shared" si="204"/>
        <v>0</v>
      </c>
      <c r="AG451" s="43">
        <f t="shared" si="205"/>
        <v>0</v>
      </c>
      <c r="AH451" s="43">
        <f t="shared" si="206"/>
        <v>0</v>
      </c>
      <c r="AJ451" s="43">
        <f t="shared" si="191"/>
        <v>0</v>
      </c>
      <c r="AK451" s="43">
        <f t="shared" si="192"/>
        <v>0</v>
      </c>
      <c r="AL451" s="43">
        <f t="shared" si="193"/>
        <v>0</v>
      </c>
      <c r="AM451" s="43">
        <f t="shared" si="194"/>
        <v>0</v>
      </c>
      <c r="AN451" s="43">
        <f t="shared" si="195"/>
        <v>0</v>
      </c>
    </row>
    <row r="452" spans="2:40">
      <c r="B452" s="37" t="str">
        <f t="shared" si="188"/>
        <v>Asset 146</v>
      </c>
      <c r="F452" s="37" t="str">
        <f t="shared" ref="F452:L452" si="221">F204</f>
        <v>11 Werktuigen</v>
      </c>
      <c r="G452" s="37">
        <f t="shared" si="221"/>
        <v>2010</v>
      </c>
      <c r="H452" s="52">
        <f t="shared" si="221"/>
        <v>453194.78213502961</v>
      </c>
      <c r="I452" s="37">
        <f t="shared" si="221"/>
        <v>2021</v>
      </c>
      <c r="J452" s="52">
        <f t="shared" si="221"/>
        <v>10</v>
      </c>
      <c r="K452" s="177">
        <f t="shared" si="221"/>
        <v>1</v>
      </c>
      <c r="L452" s="52">
        <f t="shared" si="221"/>
        <v>0</v>
      </c>
      <c r="N452" s="43">
        <f t="shared" si="201"/>
        <v>0</v>
      </c>
      <c r="P452" s="38">
        <f t="shared" si="190"/>
        <v>0</v>
      </c>
      <c r="R452" s="43">
        <f t="shared" si="215"/>
        <v>0</v>
      </c>
      <c r="S452" s="43">
        <f t="shared" si="215"/>
        <v>0</v>
      </c>
      <c r="T452" s="43">
        <f t="shared" si="215"/>
        <v>0</v>
      </c>
      <c r="U452" s="43">
        <f t="shared" si="215"/>
        <v>0</v>
      </c>
      <c r="V452" s="43">
        <f t="shared" si="215"/>
        <v>0</v>
      </c>
      <c r="X452" s="43">
        <f t="shared" si="216"/>
        <v>0</v>
      </c>
      <c r="Y452" s="43">
        <f t="shared" si="216"/>
        <v>0</v>
      </c>
      <c r="Z452" s="43">
        <f t="shared" si="216"/>
        <v>0</v>
      </c>
      <c r="AA452" s="43">
        <f t="shared" si="216"/>
        <v>0</v>
      </c>
      <c r="AB452" s="43">
        <f t="shared" si="216"/>
        <v>0</v>
      </c>
      <c r="AD452" s="43">
        <f t="shared" si="202"/>
        <v>0</v>
      </c>
      <c r="AE452" s="43">
        <f t="shared" si="203"/>
        <v>0</v>
      </c>
      <c r="AF452" s="43">
        <f t="shared" si="204"/>
        <v>0</v>
      </c>
      <c r="AG452" s="43">
        <f t="shared" si="205"/>
        <v>0</v>
      </c>
      <c r="AH452" s="43">
        <f t="shared" si="206"/>
        <v>0</v>
      </c>
      <c r="AJ452" s="43">
        <f t="shared" si="191"/>
        <v>0</v>
      </c>
      <c r="AK452" s="43">
        <f t="shared" si="192"/>
        <v>0</v>
      </c>
      <c r="AL452" s="43">
        <f t="shared" si="193"/>
        <v>0</v>
      </c>
      <c r="AM452" s="43">
        <f t="shared" si="194"/>
        <v>0</v>
      </c>
      <c r="AN452" s="43">
        <f t="shared" si="195"/>
        <v>0</v>
      </c>
    </row>
    <row r="453" spans="2:40">
      <c r="B453" s="37" t="str">
        <f t="shared" si="188"/>
        <v>Asset 147</v>
      </c>
      <c r="F453" s="37" t="str">
        <f t="shared" ref="F453:L453" si="222">F205</f>
        <v>14 Overig rollend materieel</v>
      </c>
      <c r="G453" s="37">
        <f t="shared" si="222"/>
        <v>2010</v>
      </c>
      <c r="H453" s="52">
        <f t="shared" si="222"/>
        <v>179634.02000000002</v>
      </c>
      <c r="I453" s="37">
        <f t="shared" si="222"/>
        <v>2021</v>
      </c>
      <c r="J453" s="52">
        <f t="shared" si="222"/>
        <v>10</v>
      </c>
      <c r="K453" s="177">
        <f t="shared" si="222"/>
        <v>1</v>
      </c>
      <c r="L453" s="52">
        <f t="shared" si="222"/>
        <v>0</v>
      </c>
      <c r="N453" s="43">
        <f t="shared" si="201"/>
        <v>0</v>
      </c>
      <c r="P453" s="38">
        <f t="shared" si="190"/>
        <v>0</v>
      </c>
      <c r="R453" s="43">
        <f t="shared" si="215"/>
        <v>0</v>
      </c>
      <c r="S453" s="43">
        <f t="shared" si="215"/>
        <v>0</v>
      </c>
      <c r="T453" s="43">
        <f t="shared" si="215"/>
        <v>0</v>
      </c>
      <c r="U453" s="43">
        <f t="shared" si="215"/>
        <v>0</v>
      </c>
      <c r="V453" s="43">
        <f t="shared" si="215"/>
        <v>0</v>
      </c>
      <c r="X453" s="43">
        <f t="shared" si="216"/>
        <v>0</v>
      </c>
      <c r="Y453" s="43">
        <f t="shared" si="216"/>
        <v>0</v>
      </c>
      <c r="Z453" s="43">
        <f t="shared" si="216"/>
        <v>0</v>
      </c>
      <c r="AA453" s="43">
        <f t="shared" si="216"/>
        <v>0</v>
      </c>
      <c r="AB453" s="43">
        <f t="shared" si="216"/>
        <v>0</v>
      </c>
      <c r="AD453" s="43">
        <f t="shared" si="202"/>
        <v>0</v>
      </c>
      <c r="AE453" s="43">
        <f t="shared" si="203"/>
        <v>0</v>
      </c>
      <c r="AF453" s="43">
        <f t="shared" si="204"/>
        <v>0</v>
      </c>
      <c r="AG453" s="43">
        <f t="shared" si="205"/>
        <v>0</v>
      </c>
      <c r="AH453" s="43">
        <f t="shared" si="206"/>
        <v>0</v>
      </c>
      <c r="AJ453" s="43">
        <f t="shared" si="191"/>
        <v>0</v>
      </c>
      <c r="AK453" s="43">
        <f t="shared" si="192"/>
        <v>0</v>
      </c>
      <c r="AL453" s="43">
        <f t="shared" si="193"/>
        <v>0</v>
      </c>
      <c r="AM453" s="43">
        <f t="shared" si="194"/>
        <v>0</v>
      </c>
      <c r="AN453" s="43">
        <f t="shared" si="195"/>
        <v>0</v>
      </c>
    </row>
    <row r="454" spans="2:40">
      <c r="B454" s="37" t="str">
        <f t="shared" si="188"/>
        <v>Asset 148</v>
      </c>
      <c r="F454" s="37" t="str">
        <f t="shared" ref="F454:L454" si="223">F206</f>
        <v>12 Motorvoertuigen</v>
      </c>
      <c r="G454" s="37">
        <f t="shared" si="223"/>
        <v>2011</v>
      </c>
      <c r="H454" s="52">
        <f t="shared" si="223"/>
        <v>293470.62269139342</v>
      </c>
      <c r="I454" s="37">
        <f t="shared" si="223"/>
        <v>2021</v>
      </c>
      <c r="J454" s="52">
        <f t="shared" si="223"/>
        <v>10</v>
      </c>
      <c r="K454" s="177">
        <f t="shared" si="223"/>
        <v>1</v>
      </c>
      <c r="L454" s="52">
        <f t="shared" si="223"/>
        <v>0</v>
      </c>
      <c r="N454" s="43">
        <f t="shared" si="201"/>
        <v>0</v>
      </c>
      <c r="P454" s="38">
        <f t="shared" si="190"/>
        <v>0</v>
      </c>
      <c r="R454" s="43">
        <f t="shared" si="215"/>
        <v>0</v>
      </c>
      <c r="S454" s="43">
        <f t="shared" si="215"/>
        <v>0</v>
      </c>
      <c r="T454" s="43">
        <f t="shared" si="215"/>
        <v>0</v>
      </c>
      <c r="U454" s="43">
        <f t="shared" si="215"/>
        <v>0</v>
      </c>
      <c r="V454" s="43">
        <f t="shared" si="215"/>
        <v>0</v>
      </c>
      <c r="X454" s="43">
        <f t="shared" si="216"/>
        <v>0</v>
      </c>
      <c r="Y454" s="43">
        <f t="shared" si="216"/>
        <v>0</v>
      </c>
      <c r="Z454" s="43">
        <f t="shared" si="216"/>
        <v>0</v>
      </c>
      <c r="AA454" s="43">
        <f t="shared" si="216"/>
        <v>0</v>
      </c>
      <c r="AB454" s="43">
        <f t="shared" si="216"/>
        <v>0</v>
      </c>
      <c r="AD454" s="43">
        <f t="shared" si="202"/>
        <v>0</v>
      </c>
      <c r="AE454" s="43">
        <f t="shared" si="203"/>
        <v>0</v>
      </c>
      <c r="AF454" s="43">
        <f t="shared" si="204"/>
        <v>0</v>
      </c>
      <c r="AG454" s="43">
        <f t="shared" si="205"/>
        <v>0</v>
      </c>
      <c r="AH454" s="43">
        <f t="shared" si="206"/>
        <v>0</v>
      </c>
      <c r="AJ454" s="43">
        <f t="shared" si="191"/>
        <v>0</v>
      </c>
      <c r="AK454" s="43">
        <f t="shared" si="192"/>
        <v>0</v>
      </c>
      <c r="AL454" s="43">
        <f t="shared" si="193"/>
        <v>0</v>
      </c>
      <c r="AM454" s="43">
        <f t="shared" si="194"/>
        <v>0</v>
      </c>
      <c r="AN454" s="43">
        <f t="shared" si="195"/>
        <v>0</v>
      </c>
    </row>
    <row r="455" spans="2:40">
      <c r="B455" s="37" t="str">
        <f t="shared" si="188"/>
        <v>Asset 149</v>
      </c>
      <c r="F455" s="37" t="str">
        <f t="shared" ref="F455:L455" si="224">F207</f>
        <v>08 Inrichting gebouwen</v>
      </c>
      <c r="G455" s="37">
        <f t="shared" si="224"/>
        <v>2011</v>
      </c>
      <c r="H455" s="52">
        <f t="shared" si="224"/>
        <v>309147.61872011481</v>
      </c>
      <c r="I455" s="37">
        <f t="shared" si="224"/>
        <v>2021</v>
      </c>
      <c r="J455" s="52">
        <f t="shared" si="224"/>
        <v>10</v>
      </c>
      <c r="K455" s="177">
        <f t="shared" si="224"/>
        <v>0</v>
      </c>
      <c r="L455" s="52">
        <f t="shared" si="224"/>
        <v>0</v>
      </c>
      <c r="N455" s="43">
        <f t="shared" si="201"/>
        <v>0</v>
      </c>
      <c r="P455" s="38">
        <f t="shared" si="190"/>
        <v>0</v>
      </c>
      <c r="R455" s="43">
        <f t="shared" si="215"/>
        <v>0</v>
      </c>
      <c r="S455" s="43">
        <f t="shared" si="215"/>
        <v>0</v>
      </c>
      <c r="T455" s="43">
        <f t="shared" si="215"/>
        <v>0</v>
      </c>
      <c r="U455" s="43">
        <f t="shared" si="215"/>
        <v>0</v>
      </c>
      <c r="V455" s="43">
        <f t="shared" si="215"/>
        <v>0</v>
      </c>
      <c r="X455" s="43">
        <f t="shared" si="216"/>
        <v>0</v>
      </c>
      <c r="Y455" s="43">
        <f t="shared" si="216"/>
        <v>0</v>
      </c>
      <c r="Z455" s="43">
        <f t="shared" si="216"/>
        <v>0</v>
      </c>
      <c r="AA455" s="43">
        <f t="shared" si="216"/>
        <v>0</v>
      </c>
      <c r="AB455" s="43">
        <f t="shared" si="216"/>
        <v>0</v>
      </c>
      <c r="AD455" s="43">
        <f t="shared" si="202"/>
        <v>0</v>
      </c>
      <c r="AE455" s="43">
        <f t="shared" si="203"/>
        <v>0</v>
      </c>
      <c r="AF455" s="43">
        <f t="shared" si="204"/>
        <v>0</v>
      </c>
      <c r="AG455" s="43">
        <f t="shared" si="205"/>
        <v>0</v>
      </c>
      <c r="AH455" s="43">
        <f t="shared" si="206"/>
        <v>0</v>
      </c>
      <c r="AJ455" s="43">
        <f t="shared" si="191"/>
        <v>0</v>
      </c>
      <c r="AK455" s="43">
        <f t="shared" si="192"/>
        <v>0</v>
      </c>
      <c r="AL455" s="43">
        <f t="shared" si="193"/>
        <v>0</v>
      </c>
      <c r="AM455" s="43">
        <f t="shared" si="194"/>
        <v>0</v>
      </c>
      <c r="AN455" s="43">
        <f t="shared" si="195"/>
        <v>0</v>
      </c>
    </row>
    <row r="456" spans="2:40">
      <c r="B456" s="37" t="str">
        <f t="shared" si="188"/>
        <v>Asset 150</v>
      </c>
      <c r="F456" s="37" t="str">
        <f t="shared" ref="F456:L456" si="225">F208</f>
        <v>38 ICT middelen 2</v>
      </c>
      <c r="G456" s="37">
        <f t="shared" si="225"/>
        <v>2011</v>
      </c>
      <c r="H456" s="52">
        <f t="shared" si="225"/>
        <v>24343500.983545668</v>
      </c>
      <c r="I456" s="37">
        <f t="shared" si="225"/>
        <v>2021</v>
      </c>
      <c r="J456" s="52">
        <f t="shared" si="225"/>
        <v>10</v>
      </c>
      <c r="K456" s="177">
        <f t="shared" si="225"/>
        <v>1</v>
      </c>
      <c r="L456" s="52">
        <f t="shared" si="225"/>
        <v>0</v>
      </c>
      <c r="N456" s="43">
        <f t="shared" si="201"/>
        <v>0</v>
      </c>
      <c r="P456" s="38">
        <f t="shared" si="190"/>
        <v>0</v>
      </c>
      <c r="R456" s="43">
        <f t="shared" si="215"/>
        <v>0</v>
      </c>
      <c r="S456" s="43">
        <f t="shared" si="215"/>
        <v>0</v>
      </c>
      <c r="T456" s="43">
        <f t="shared" si="215"/>
        <v>0</v>
      </c>
      <c r="U456" s="43">
        <f t="shared" si="215"/>
        <v>0</v>
      </c>
      <c r="V456" s="43">
        <f t="shared" si="215"/>
        <v>0</v>
      </c>
      <c r="X456" s="43">
        <f t="shared" si="216"/>
        <v>0</v>
      </c>
      <c r="Y456" s="43">
        <f t="shared" si="216"/>
        <v>0</v>
      </c>
      <c r="Z456" s="43">
        <f t="shared" si="216"/>
        <v>0</v>
      </c>
      <c r="AA456" s="43">
        <f t="shared" si="216"/>
        <v>0</v>
      </c>
      <c r="AB456" s="43">
        <f t="shared" si="216"/>
        <v>0</v>
      </c>
      <c r="AD456" s="43">
        <f t="shared" si="202"/>
        <v>0</v>
      </c>
      <c r="AE456" s="43">
        <f t="shared" si="203"/>
        <v>0</v>
      </c>
      <c r="AF456" s="43">
        <f t="shared" si="204"/>
        <v>0</v>
      </c>
      <c r="AG456" s="43">
        <f t="shared" si="205"/>
        <v>0</v>
      </c>
      <c r="AH456" s="43">
        <f t="shared" si="206"/>
        <v>0</v>
      </c>
      <c r="AJ456" s="43">
        <f t="shared" si="191"/>
        <v>0</v>
      </c>
      <c r="AK456" s="43">
        <f t="shared" si="192"/>
        <v>0</v>
      </c>
      <c r="AL456" s="43">
        <f t="shared" si="193"/>
        <v>0</v>
      </c>
      <c r="AM456" s="43">
        <f t="shared" si="194"/>
        <v>0</v>
      </c>
      <c r="AN456" s="43">
        <f t="shared" si="195"/>
        <v>0</v>
      </c>
    </row>
    <row r="457" spans="2:40">
      <c r="B457" s="37" t="str">
        <f t="shared" si="188"/>
        <v>Asset 151</v>
      </c>
      <c r="F457" s="37" t="str">
        <f t="shared" ref="F457:L457" si="226">F209</f>
        <v>11 Werktuigen</v>
      </c>
      <c r="G457" s="37">
        <f t="shared" si="226"/>
        <v>2011</v>
      </c>
      <c r="H457" s="52">
        <f t="shared" si="226"/>
        <v>345005.47060998465</v>
      </c>
      <c r="I457" s="37">
        <f t="shared" si="226"/>
        <v>2021</v>
      </c>
      <c r="J457" s="52">
        <f t="shared" si="226"/>
        <v>10</v>
      </c>
      <c r="K457" s="177">
        <f t="shared" si="226"/>
        <v>1</v>
      </c>
      <c r="L457" s="52">
        <f t="shared" si="226"/>
        <v>0</v>
      </c>
      <c r="N457" s="43">
        <f t="shared" si="201"/>
        <v>0</v>
      </c>
      <c r="P457" s="38">
        <f t="shared" si="190"/>
        <v>0</v>
      </c>
      <c r="R457" s="43">
        <f t="shared" ref="R457:V466" si="227">IF(R$305&lt;=$G457+$J457,VDB($L457*(1-$F$25),0,$P457,R$305-2022,MIN(R$305-2021,$P457),$F$22),0)</f>
        <v>0</v>
      </c>
      <c r="S457" s="43">
        <f t="shared" si="227"/>
        <v>0</v>
      </c>
      <c r="T457" s="43">
        <f t="shared" si="227"/>
        <v>0</v>
      </c>
      <c r="U457" s="43">
        <f t="shared" si="227"/>
        <v>0</v>
      </c>
      <c r="V457" s="43">
        <f t="shared" si="227"/>
        <v>0</v>
      </c>
      <c r="X457" s="43">
        <f t="shared" ref="X457:AB466" si="228">IF(X$305&lt;=$G457+$J457,VDB($L457*$F$25,0,$P457,X$305-2022,MIN(X$305-2021,$P457),1),0)</f>
        <v>0</v>
      </c>
      <c r="Y457" s="43">
        <f t="shared" si="228"/>
        <v>0</v>
      </c>
      <c r="Z457" s="43">
        <f t="shared" si="228"/>
        <v>0</v>
      </c>
      <c r="AA457" s="43">
        <f t="shared" si="228"/>
        <v>0</v>
      </c>
      <c r="AB457" s="43">
        <f t="shared" si="228"/>
        <v>0</v>
      </c>
      <c r="AD457" s="43">
        <f t="shared" si="202"/>
        <v>0</v>
      </c>
      <c r="AE457" s="43">
        <f t="shared" si="203"/>
        <v>0</v>
      </c>
      <c r="AF457" s="43">
        <f t="shared" si="204"/>
        <v>0</v>
      </c>
      <c r="AG457" s="43">
        <f t="shared" si="205"/>
        <v>0</v>
      </c>
      <c r="AH457" s="43">
        <f t="shared" si="206"/>
        <v>0</v>
      </c>
      <c r="AJ457" s="43">
        <f t="shared" si="191"/>
        <v>0</v>
      </c>
      <c r="AK457" s="43">
        <f t="shared" si="192"/>
        <v>0</v>
      </c>
      <c r="AL457" s="43">
        <f t="shared" si="193"/>
        <v>0</v>
      </c>
      <c r="AM457" s="43">
        <f t="shared" si="194"/>
        <v>0</v>
      </c>
      <c r="AN457" s="43">
        <f t="shared" si="195"/>
        <v>0</v>
      </c>
    </row>
    <row r="458" spans="2:40">
      <c r="B458" s="37" t="str">
        <f t="shared" si="188"/>
        <v>Asset 152</v>
      </c>
      <c r="F458" s="37" t="str">
        <f t="shared" ref="F458:L458" si="229">F210</f>
        <v>13 Aanhangwagens</v>
      </c>
      <c r="G458" s="37">
        <f t="shared" si="229"/>
        <v>2011</v>
      </c>
      <c r="H458" s="52">
        <f t="shared" si="229"/>
        <v>10931.96</v>
      </c>
      <c r="I458" s="37">
        <f t="shared" si="229"/>
        <v>2021</v>
      </c>
      <c r="J458" s="52">
        <f t="shared" si="229"/>
        <v>10</v>
      </c>
      <c r="K458" s="177">
        <f t="shared" si="229"/>
        <v>1</v>
      </c>
      <c r="L458" s="52">
        <f t="shared" si="229"/>
        <v>0</v>
      </c>
      <c r="N458" s="43">
        <f t="shared" si="201"/>
        <v>0</v>
      </c>
      <c r="P458" s="38">
        <f t="shared" si="190"/>
        <v>0</v>
      </c>
      <c r="R458" s="43">
        <f t="shared" si="227"/>
        <v>0</v>
      </c>
      <c r="S458" s="43">
        <f t="shared" si="227"/>
        <v>0</v>
      </c>
      <c r="T458" s="43">
        <f t="shared" si="227"/>
        <v>0</v>
      </c>
      <c r="U458" s="43">
        <f t="shared" si="227"/>
        <v>0</v>
      </c>
      <c r="V458" s="43">
        <f t="shared" si="227"/>
        <v>0</v>
      </c>
      <c r="X458" s="43">
        <f t="shared" si="228"/>
        <v>0</v>
      </c>
      <c r="Y458" s="43">
        <f t="shared" si="228"/>
        <v>0</v>
      </c>
      <c r="Z458" s="43">
        <f t="shared" si="228"/>
        <v>0</v>
      </c>
      <c r="AA458" s="43">
        <f t="shared" si="228"/>
        <v>0</v>
      </c>
      <c r="AB458" s="43">
        <f t="shared" si="228"/>
        <v>0</v>
      </c>
      <c r="AD458" s="43">
        <f t="shared" si="202"/>
        <v>0</v>
      </c>
      <c r="AE458" s="43">
        <f t="shared" si="203"/>
        <v>0</v>
      </c>
      <c r="AF458" s="43">
        <f t="shared" si="204"/>
        <v>0</v>
      </c>
      <c r="AG458" s="43">
        <f t="shared" si="205"/>
        <v>0</v>
      </c>
      <c r="AH458" s="43">
        <f t="shared" si="206"/>
        <v>0</v>
      </c>
      <c r="AJ458" s="43">
        <f t="shared" si="191"/>
        <v>0</v>
      </c>
      <c r="AK458" s="43">
        <f t="shared" si="192"/>
        <v>0</v>
      </c>
      <c r="AL458" s="43">
        <f t="shared" si="193"/>
        <v>0</v>
      </c>
      <c r="AM458" s="43">
        <f t="shared" si="194"/>
        <v>0</v>
      </c>
      <c r="AN458" s="43">
        <f t="shared" si="195"/>
        <v>0</v>
      </c>
    </row>
    <row r="459" spans="2:40">
      <c r="B459" s="37" t="str">
        <f t="shared" si="188"/>
        <v>Asset 153</v>
      </c>
      <c r="F459" s="37" t="str">
        <f t="shared" ref="F459:L459" si="230">F211</f>
        <v>37 ICT middelen 1 (transparency)</v>
      </c>
      <c r="G459" s="37">
        <f t="shared" si="230"/>
        <v>2012</v>
      </c>
      <c r="H459" s="52">
        <f t="shared" si="230"/>
        <v>817297.73457401327</v>
      </c>
      <c r="I459" s="37">
        <f t="shared" si="230"/>
        <v>2021</v>
      </c>
      <c r="J459" s="52">
        <f t="shared" si="230"/>
        <v>5</v>
      </c>
      <c r="K459" s="177">
        <f t="shared" si="230"/>
        <v>0</v>
      </c>
      <c r="L459" s="52">
        <f t="shared" si="230"/>
        <v>0</v>
      </c>
      <c r="N459" s="43">
        <f t="shared" si="201"/>
        <v>0</v>
      </c>
      <c r="P459" s="38">
        <f t="shared" si="190"/>
        <v>0</v>
      </c>
      <c r="R459" s="43">
        <f t="shared" si="227"/>
        <v>0</v>
      </c>
      <c r="S459" s="43">
        <f t="shared" si="227"/>
        <v>0</v>
      </c>
      <c r="T459" s="43">
        <f t="shared" si="227"/>
        <v>0</v>
      </c>
      <c r="U459" s="43">
        <f t="shared" si="227"/>
        <v>0</v>
      </c>
      <c r="V459" s="43">
        <f t="shared" si="227"/>
        <v>0</v>
      </c>
      <c r="X459" s="43">
        <f t="shared" si="228"/>
        <v>0</v>
      </c>
      <c r="Y459" s="43">
        <f t="shared" si="228"/>
        <v>0</v>
      </c>
      <c r="Z459" s="43">
        <f t="shared" si="228"/>
        <v>0</v>
      </c>
      <c r="AA459" s="43">
        <f t="shared" si="228"/>
        <v>0</v>
      </c>
      <c r="AB459" s="43">
        <f t="shared" si="228"/>
        <v>0</v>
      </c>
      <c r="AD459" s="43">
        <f t="shared" si="202"/>
        <v>0</v>
      </c>
      <c r="AE459" s="43">
        <f t="shared" si="203"/>
        <v>0</v>
      </c>
      <c r="AF459" s="43">
        <f t="shared" si="204"/>
        <v>0</v>
      </c>
      <c r="AG459" s="43">
        <f t="shared" si="205"/>
        <v>0</v>
      </c>
      <c r="AH459" s="43">
        <f t="shared" si="206"/>
        <v>0</v>
      </c>
      <c r="AJ459" s="43">
        <f t="shared" si="191"/>
        <v>0</v>
      </c>
      <c r="AK459" s="43">
        <f t="shared" si="192"/>
        <v>0</v>
      </c>
      <c r="AL459" s="43">
        <f t="shared" si="193"/>
        <v>0</v>
      </c>
      <c r="AM459" s="43">
        <f t="shared" si="194"/>
        <v>0</v>
      </c>
      <c r="AN459" s="43">
        <f t="shared" si="195"/>
        <v>0</v>
      </c>
    </row>
    <row r="460" spans="2:40">
      <c r="B460" s="37" t="str">
        <f t="shared" si="188"/>
        <v>Asset 154</v>
      </c>
      <c r="F460" s="37" t="str">
        <f t="shared" ref="F460:L460" si="231">F212</f>
        <v>11 Werktuigen</v>
      </c>
      <c r="G460" s="37">
        <f t="shared" si="231"/>
        <v>2012</v>
      </c>
      <c r="H460" s="52">
        <f t="shared" si="231"/>
        <v>237528.30775638262</v>
      </c>
      <c r="I460" s="37">
        <f t="shared" si="231"/>
        <v>2021</v>
      </c>
      <c r="J460" s="52">
        <f t="shared" si="231"/>
        <v>10</v>
      </c>
      <c r="K460" s="177">
        <f t="shared" si="231"/>
        <v>1</v>
      </c>
      <c r="L460" s="52">
        <f t="shared" si="231"/>
        <v>13628.978016883706</v>
      </c>
      <c r="N460" s="43">
        <f t="shared" si="201"/>
        <v>13628.978016883706</v>
      </c>
      <c r="P460" s="38">
        <f t="shared" si="190"/>
        <v>0.5</v>
      </c>
      <c r="R460" s="43">
        <f t="shared" si="227"/>
        <v>12266.080215195336</v>
      </c>
      <c r="S460" s="43">
        <f t="shared" si="227"/>
        <v>0</v>
      </c>
      <c r="T460" s="43">
        <f t="shared" si="227"/>
        <v>0</v>
      </c>
      <c r="U460" s="43">
        <f t="shared" si="227"/>
        <v>0</v>
      </c>
      <c r="V460" s="43">
        <f t="shared" si="227"/>
        <v>0</v>
      </c>
      <c r="X460" s="43">
        <f t="shared" si="228"/>
        <v>1362.8978016883707</v>
      </c>
      <c r="Y460" s="43">
        <f t="shared" si="228"/>
        <v>0</v>
      </c>
      <c r="Z460" s="43">
        <f t="shared" si="228"/>
        <v>0</v>
      </c>
      <c r="AA460" s="43">
        <f t="shared" si="228"/>
        <v>0</v>
      </c>
      <c r="AB460" s="43">
        <f t="shared" si="228"/>
        <v>0</v>
      </c>
      <c r="AD460" s="43">
        <f t="shared" si="202"/>
        <v>-4.5474735088646412E-13</v>
      </c>
      <c r="AE460" s="43">
        <f t="shared" si="203"/>
        <v>0</v>
      </c>
      <c r="AF460" s="43">
        <f t="shared" si="204"/>
        <v>0</v>
      </c>
      <c r="AG460" s="43">
        <f t="shared" si="205"/>
        <v>0</v>
      </c>
      <c r="AH460" s="43">
        <f t="shared" si="206"/>
        <v>0</v>
      </c>
      <c r="AJ460" s="43">
        <f t="shared" si="191"/>
        <v>13628.978016883706</v>
      </c>
      <c r="AK460" s="43">
        <f t="shared" si="192"/>
        <v>0</v>
      </c>
      <c r="AL460" s="43">
        <f t="shared" si="193"/>
        <v>0</v>
      </c>
      <c r="AM460" s="43">
        <f t="shared" si="194"/>
        <v>0</v>
      </c>
      <c r="AN460" s="43">
        <f t="shared" si="195"/>
        <v>0</v>
      </c>
    </row>
    <row r="461" spans="2:40">
      <c r="B461" s="37" t="str">
        <f t="shared" si="188"/>
        <v>Asset 155</v>
      </c>
      <c r="F461" s="37" t="str">
        <f t="shared" ref="F461:L461" si="232">F213</f>
        <v>13 Aanhangwagens</v>
      </c>
      <c r="G461" s="37">
        <f t="shared" si="232"/>
        <v>2012</v>
      </c>
      <c r="H461" s="52">
        <f t="shared" si="232"/>
        <v>20000</v>
      </c>
      <c r="I461" s="37">
        <f t="shared" si="232"/>
        <v>2021</v>
      </c>
      <c r="J461" s="52">
        <f t="shared" si="232"/>
        <v>10</v>
      </c>
      <c r="K461" s="177">
        <f t="shared" si="232"/>
        <v>1</v>
      </c>
      <c r="L461" s="52">
        <f t="shared" si="232"/>
        <v>1147.5666328463135</v>
      </c>
      <c r="N461" s="43">
        <f t="shared" si="201"/>
        <v>1147.5666328463135</v>
      </c>
      <c r="P461" s="38">
        <f t="shared" si="190"/>
        <v>0.5</v>
      </c>
      <c r="R461" s="43">
        <f t="shared" si="227"/>
        <v>1032.8099695616822</v>
      </c>
      <c r="S461" s="43">
        <f t="shared" si="227"/>
        <v>0</v>
      </c>
      <c r="T461" s="43">
        <f t="shared" si="227"/>
        <v>0</v>
      </c>
      <c r="U461" s="43">
        <f t="shared" si="227"/>
        <v>0</v>
      </c>
      <c r="V461" s="43">
        <f t="shared" si="227"/>
        <v>0</v>
      </c>
      <c r="X461" s="43">
        <f t="shared" si="228"/>
        <v>114.75666328463136</v>
      </c>
      <c r="Y461" s="43">
        <f t="shared" si="228"/>
        <v>0</v>
      </c>
      <c r="Z461" s="43">
        <f t="shared" si="228"/>
        <v>0</v>
      </c>
      <c r="AA461" s="43">
        <f t="shared" si="228"/>
        <v>0</v>
      </c>
      <c r="AB461" s="43">
        <f t="shared" si="228"/>
        <v>0</v>
      </c>
      <c r="AD461" s="43">
        <f t="shared" si="202"/>
        <v>-9.9475983006414026E-14</v>
      </c>
      <c r="AE461" s="43">
        <f t="shared" si="203"/>
        <v>0</v>
      </c>
      <c r="AF461" s="43">
        <f t="shared" si="204"/>
        <v>0</v>
      </c>
      <c r="AG461" s="43">
        <f t="shared" si="205"/>
        <v>0</v>
      </c>
      <c r="AH461" s="43">
        <f t="shared" si="206"/>
        <v>0</v>
      </c>
      <c r="AJ461" s="43">
        <f t="shared" si="191"/>
        <v>1147.5666328463135</v>
      </c>
      <c r="AK461" s="43">
        <f t="shared" si="192"/>
        <v>0</v>
      </c>
      <c r="AL461" s="43">
        <f t="shared" si="193"/>
        <v>0</v>
      </c>
      <c r="AM461" s="43">
        <f t="shared" si="194"/>
        <v>0</v>
      </c>
      <c r="AN461" s="43">
        <f t="shared" si="195"/>
        <v>0</v>
      </c>
    </row>
    <row r="462" spans="2:40">
      <c r="B462" s="37" t="str">
        <f t="shared" si="188"/>
        <v>Asset 156</v>
      </c>
      <c r="F462" s="37" t="str">
        <f t="shared" ref="F462:L462" si="233">F214</f>
        <v>20 Kantoorgebouwen</v>
      </c>
      <c r="G462" s="37">
        <f t="shared" si="233"/>
        <v>2012</v>
      </c>
      <c r="H462" s="52">
        <f t="shared" si="233"/>
        <v>701380.67501665035</v>
      </c>
      <c r="I462" s="37">
        <f t="shared" si="233"/>
        <v>2021</v>
      </c>
      <c r="J462" s="52">
        <f t="shared" si="233"/>
        <v>30</v>
      </c>
      <c r="K462" s="177">
        <f t="shared" si="233"/>
        <v>0</v>
      </c>
      <c r="L462" s="52">
        <f t="shared" si="233"/>
        <v>550002.05737442558</v>
      </c>
      <c r="N462" s="43">
        <f t="shared" si="201"/>
        <v>550002.05737442558</v>
      </c>
      <c r="P462" s="38">
        <f t="shared" si="190"/>
        <v>20.5</v>
      </c>
      <c r="R462" s="43">
        <f t="shared" si="227"/>
        <v>31390.361323320878</v>
      </c>
      <c r="S462" s="43">
        <f t="shared" si="227"/>
        <v>29399.753044281017</v>
      </c>
      <c r="T462" s="43">
        <f t="shared" si="227"/>
        <v>27535.378460985143</v>
      </c>
      <c r="U462" s="43">
        <f t="shared" si="227"/>
        <v>25789.23250980072</v>
      </c>
      <c r="V462" s="43">
        <f t="shared" si="227"/>
        <v>24153.817765276774</v>
      </c>
      <c r="X462" s="43">
        <f t="shared" si="228"/>
        <v>2682.9368652411008</v>
      </c>
      <c r="Y462" s="43">
        <f t="shared" si="228"/>
        <v>2682.9368652411008</v>
      </c>
      <c r="Z462" s="43">
        <f t="shared" si="228"/>
        <v>2682.9368652411008</v>
      </c>
      <c r="AA462" s="43">
        <f t="shared" si="228"/>
        <v>2682.9368652411008</v>
      </c>
      <c r="AB462" s="43">
        <f t="shared" si="228"/>
        <v>2682.9368652411008</v>
      </c>
      <c r="AD462" s="43">
        <f t="shared" si="202"/>
        <v>515928.7591858636</v>
      </c>
      <c r="AE462" s="43">
        <f t="shared" si="203"/>
        <v>483846.06927634147</v>
      </c>
      <c r="AF462" s="43">
        <f t="shared" si="204"/>
        <v>453627.75395011524</v>
      </c>
      <c r="AG462" s="43">
        <f t="shared" si="205"/>
        <v>425155.58457507344</v>
      </c>
      <c r="AH462" s="43">
        <f t="shared" si="206"/>
        <v>398318.82994455559</v>
      </c>
      <c r="AJ462" s="43">
        <f t="shared" si="191"/>
        <v>51614.876000881341</v>
      </c>
      <c r="AK462" s="43">
        <f t="shared" si="192"/>
        <v>48049.610195641384</v>
      </c>
      <c r="AL462" s="43">
        <f t="shared" si="193"/>
        <v>47456.169976330624</v>
      </c>
      <c r="AM462" s="43">
        <f t="shared" si="194"/>
        <v>44628.081588894609</v>
      </c>
      <c r="AN462" s="43">
        <f t="shared" si="195"/>
        <v>41972.870168410984</v>
      </c>
    </row>
    <row r="463" spans="2:40">
      <c r="B463" s="37" t="str">
        <f t="shared" si="188"/>
        <v>Asset 157</v>
      </c>
      <c r="F463" s="37" t="str">
        <f t="shared" ref="F463:L463" si="234">F215</f>
        <v>10 Gereedschap</v>
      </c>
      <c r="G463" s="37">
        <f t="shared" si="234"/>
        <v>2012</v>
      </c>
      <c r="H463" s="52">
        <f t="shared" si="234"/>
        <v>102288.01000000001</v>
      </c>
      <c r="I463" s="37">
        <f t="shared" si="234"/>
        <v>2021</v>
      </c>
      <c r="J463" s="52">
        <f t="shared" si="234"/>
        <v>10</v>
      </c>
      <c r="K463" s="177">
        <f t="shared" si="234"/>
        <v>1</v>
      </c>
      <c r="L463" s="52">
        <f t="shared" si="234"/>
        <v>5869.1153608124732</v>
      </c>
      <c r="N463" s="43">
        <f t="shared" si="201"/>
        <v>5869.1153608124732</v>
      </c>
      <c r="P463" s="38">
        <f t="shared" si="190"/>
        <v>0.5</v>
      </c>
      <c r="R463" s="43">
        <f t="shared" si="227"/>
        <v>5282.2038247312257</v>
      </c>
      <c r="S463" s="43">
        <f t="shared" si="227"/>
        <v>0</v>
      </c>
      <c r="T463" s="43">
        <f t="shared" si="227"/>
        <v>0</v>
      </c>
      <c r="U463" s="43">
        <f t="shared" si="227"/>
        <v>0</v>
      </c>
      <c r="V463" s="43">
        <f t="shared" si="227"/>
        <v>0</v>
      </c>
      <c r="X463" s="43">
        <f t="shared" si="228"/>
        <v>586.91153608124739</v>
      </c>
      <c r="Y463" s="43">
        <f t="shared" si="228"/>
        <v>0</v>
      </c>
      <c r="Z463" s="43">
        <f t="shared" si="228"/>
        <v>0</v>
      </c>
      <c r="AA463" s="43">
        <f t="shared" si="228"/>
        <v>0</v>
      </c>
      <c r="AB463" s="43">
        <f t="shared" si="228"/>
        <v>0</v>
      </c>
      <c r="AD463" s="43">
        <f t="shared" si="202"/>
        <v>1.1368683772161603E-13</v>
      </c>
      <c r="AE463" s="43">
        <f t="shared" si="203"/>
        <v>0</v>
      </c>
      <c r="AF463" s="43">
        <f t="shared" si="204"/>
        <v>0</v>
      </c>
      <c r="AG463" s="43">
        <f t="shared" si="205"/>
        <v>0</v>
      </c>
      <c r="AH463" s="43">
        <f t="shared" si="206"/>
        <v>0</v>
      </c>
      <c r="AJ463" s="43">
        <f t="shared" si="191"/>
        <v>5869.1153608124732</v>
      </c>
      <c r="AK463" s="43">
        <f t="shared" si="192"/>
        <v>0</v>
      </c>
      <c r="AL463" s="43">
        <f t="shared" si="193"/>
        <v>0</v>
      </c>
      <c r="AM463" s="43">
        <f t="shared" si="194"/>
        <v>0</v>
      </c>
      <c r="AN463" s="43">
        <f t="shared" si="195"/>
        <v>0</v>
      </c>
    </row>
    <row r="464" spans="2:40">
      <c r="B464" s="37" t="str">
        <f t="shared" si="188"/>
        <v>Asset 158</v>
      </c>
      <c r="F464" s="37" t="str">
        <f t="shared" ref="F464:L464" si="235">F216</f>
        <v>09 Bedrijfsinventaris</v>
      </c>
      <c r="G464" s="37">
        <f t="shared" si="235"/>
        <v>2012</v>
      </c>
      <c r="H464" s="52">
        <f t="shared" si="235"/>
        <v>321753.96830222307</v>
      </c>
      <c r="I464" s="37">
        <f t="shared" si="235"/>
        <v>2021</v>
      </c>
      <c r="J464" s="52">
        <f t="shared" si="235"/>
        <v>10</v>
      </c>
      <c r="K464" s="177">
        <f t="shared" si="235"/>
        <v>1</v>
      </c>
      <c r="L464" s="52">
        <f t="shared" si="235"/>
        <v>18461.705900476001</v>
      </c>
      <c r="N464" s="43">
        <f t="shared" si="201"/>
        <v>18461.705900476001</v>
      </c>
      <c r="P464" s="38">
        <f t="shared" si="190"/>
        <v>0.5</v>
      </c>
      <c r="R464" s="43">
        <f t="shared" si="227"/>
        <v>16615.5353104284</v>
      </c>
      <c r="S464" s="43">
        <f t="shared" si="227"/>
        <v>0</v>
      </c>
      <c r="T464" s="43">
        <f t="shared" si="227"/>
        <v>0</v>
      </c>
      <c r="U464" s="43">
        <f t="shared" si="227"/>
        <v>0</v>
      </c>
      <c r="V464" s="43">
        <f t="shared" si="227"/>
        <v>0</v>
      </c>
      <c r="X464" s="43">
        <f t="shared" si="228"/>
        <v>1846.1705900476002</v>
      </c>
      <c r="Y464" s="43">
        <f t="shared" si="228"/>
        <v>0</v>
      </c>
      <c r="Z464" s="43">
        <f t="shared" si="228"/>
        <v>0</v>
      </c>
      <c r="AA464" s="43">
        <f t="shared" si="228"/>
        <v>0</v>
      </c>
      <c r="AB464" s="43">
        <f t="shared" si="228"/>
        <v>0</v>
      </c>
      <c r="AD464" s="43">
        <f t="shared" si="202"/>
        <v>6.8212102632969618E-13</v>
      </c>
      <c r="AE464" s="43">
        <f t="shared" si="203"/>
        <v>0</v>
      </c>
      <c r="AF464" s="43">
        <f t="shared" si="204"/>
        <v>0</v>
      </c>
      <c r="AG464" s="43">
        <f t="shared" si="205"/>
        <v>0</v>
      </c>
      <c r="AH464" s="43">
        <f t="shared" si="206"/>
        <v>0</v>
      </c>
      <c r="AJ464" s="43">
        <f t="shared" si="191"/>
        <v>18461.705900476001</v>
      </c>
      <c r="AK464" s="43">
        <f t="shared" si="192"/>
        <v>0</v>
      </c>
      <c r="AL464" s="43">
        <f t="shared" si="193"/>
        <v>0</v>
      </c>
      <c r="AM464" s="43">
        <f t="shared" si="194"/>
        <v>0</v>
      </c>
      <c r="AN464" s="43">
        <f t="shared" si="195"/>
        <v>0</v>
      </c>
    </row>
    <row r="465" spans="2:40">
      <c r="B465" s="37" t="str">
        <f t="shared" si="188"/>
        <v>Asset 159</v>
      </c>
      <c r="F465" s="37" t="str">
        <f t="shared" ref="F465:L465" si="236">F217</f>
        <v>14 Overig rollend materieel</v>
      </c>
      <c r="G465" s="37">
        <f t="shared" si="236"/>
        <v>2012</v>
      </c>
      <c r="H465" s="52">
        <f t="shared" si="236"/>
        <v>341738.83030935976</v>
      </c>
      <c r="I465" s="37">
        <f t="shared" si="236"/>
        <v>2021</v>
      </c>
      <c r="J465" s="52">
        <f t="shared" si="236"/>
        <v>10</v>
      </c>
      <c r="K465" s="177">
        <f t="shared" si="236"/>
        <v>1</v>
      </c>
      <c r="L465" s="52">
        <f t="shared" si="236"/>
        <v>19608.403940547396</v>
      </c>
      <c r="N465" s="43">
        <f t="shared" si="201"/>
        <v>19608.403940547396</v>
      </c>
      <c r="P465" s="38">
        <f t="shared" si="190"/>
        <v>0.5</v>
      </c>
      <c r="R465" s="43">
        <f t="shared" si="227"/>
        <v>17647.563546492656</v>
      </c>
      <c r="S465" s="43">
        <f t="shared" si="227"/>
        <v>0</v>
      </c>
      <c r="T465" s="43">
        <f t="shared" si="227"/>
        <v>0</v>
      </c>
      <c r="U465" s="43">
        <f t="shared" si="227"/>
        <v>0</v>
      </c>
      <c r="V465" s="43">
        <f t="shared" si="227"/>
        <v>0</v>
      </c>
      <c r="X465" s="43">
        <f t="shared" si="228"/>
        <v>1960.8403940547396</v>
      </c>
      <c r="Y465" s="43">
        <f t="shared" si="228"/>
        <v>0</v>
      </c>
      <c r="Z465" s="43">
        <f t="shared" si="228"/>
        <v>0</v>
      </c>
      <c r="AA465" s="43">
        <f t="shared" si="228"/>
        <v>0</v>
      </c>
      <c r="AB465" s="43">
        <f t="shared" si="228"/>
        <v>0</v>
      </c>
      <c r="AD465" s="43">
        <f t="shared" si="202"/>
        <v>0</v>
      </c>
      <c r="AE465" s="43">
        <f t="shared" si="203"/>
        <v>0</v>
      </c>
      <c r="AF465" s="43">
        <f t="shared" si="204"/>
        <v>0</v>
      </c>
      <c r="AG465" s="43">
        <f t="shared" si="205"/>
        <v>0</v>
      </c>
      <c r="AH465" s="43">
        <f t="shared" si="206"/>
        <v>0</v>
      </c>
      <c r="AJ465" s="43">
        <f t="shared" si="191"/>
        <v>19608.403940547396</v>
      </c>
      <c r="AK465" s="43">
        <f t="shared" si="192"/>
        <v>0</v>
      </c>
      <c r="AL465" s="43">
        <f t="shared" si="193"/>
        <v>0</v>
      </c>
      <c r="AM465" s="43">
        <f t="shared" si="194"/>
        <v>0</v>
      </c>
      <c r="AN465" s="43">
        <f t="shared" si="195"/>
        <v>0</v>
      </c>
    </row>
    <row r="466" spans="2:40">
      <c r="B466" s="37" t="str">
        <f t="shared" si="188"/>
        <v>Asset 160</v>
      </c>
      <c r="F466" s="37" t="str">
        <f t="shared" ref="F466:L466" si="237">F218</f>
        <v>08 Inrichting gebouwen</v>
      </c>
      <c r="G466" s="37">
        <f t="shared" si="237"/>
        <v>2012</v>
      </c>
      <c r="H466" s="52">
        <f t="shared" si="237"/>
        <v>737114.28212566266</v>
      </c>
      <c r="I466" s="37">
        <f t="shared" si="237"/>
        <v>2021</v>
      </c>
      <c r="J466" s="52">
        <f t="shared" si="237"/>
        <v>10</v>
      </c>
      <c r="K466" s="177">
        <f t="shared" si="237"/>
        <v>0</v>
      </c>
      <c r="L466" s="52">
        <f t="shared" si="237"/>
        <v>42294.387738093574</v>
      </c>
      <c r="N466" s="43">
        <f t="shared" si="201"/>
        <v>42294.387738093574</v>
      </c>
      <c r="P466" s="38">
        <f t="shared" si="190"/>
        <v>0.5</v>
      </c>
      <c r="R466" s="43">
        <f t="shared" si="227"/>
        <v>38064.948964284216</v>
      </c>
      <c r="S466" s="43">
        <f t="shared" si="227"/>
        <v>0</v>
      </c>
      <c r="T466" s="43">
        <f t="shared" si="227"/>
        <v>0</v>
      </c>
      <c r="U466" s="43">
        <f t="shared" si="227"/>
        <v>0</v>
      </c>
      <c r="V466" s="43">
        <f t="shared" si="227"/>
        <v>0</v>
      </c>
      <c r="X466" s="43">
        <f t="shared" si="228"/>
        <v>4229.4387738093574</v>
      </c>
      <c r="Y466" s="43">
        <f t="shared" si="228"/>
        <v>0</v>
      </c>
      <c r="Z466" s="43">
        <f t="shared" si="228"/>
        <v>0</v>
      </c>
      <c r="AA466" s="43">
        <f t="shared" si="228"/>
        <v>0</v>
      </c>
      <c r="AB466" s="43">
        <f t="shared" si="228"/>
        <v>0</v>
      </c>
      <c r="AD466" s="43">
        <f t="shared" si="202"/>
        <v>0</v>
      </c>
      <c r="AE466" s="43">
        <f t="shared" si="203"/>
        <v>0</v>
      </c>
      <c r="AF466" s="43">
        <f t="shared" si="204"/>
        <v>0</v>
      </c>
      <c r="AG466" s="43">
        <f t="shared" si="205"/>
        <v>0</v>
      </c>
      <c r="AH466" s="43">
        <f t="shared" si="206"/>
        <v>0</v>
      </c>
      <c r="AJ466" s="43">
        <f t="shared" si="191"/>
        <v>42294.387738093574</v>
      </c>
      <c r="AK466" s="43">
        <f t="shared" si="192"/>
        <v>0</v>
      </c>
      <c r="AL466" s="43">
        <f t="shared" si="193"/>
        <v>0</v>
      </c>
      <c r="AM466" s="43">
        <f t="shared" si="194"/>
        <v>0</v>
      </c>
      <c r="AN466" s="43">
        <f t="shared" si="195"/>
        <v>0</v>
      </c>
    </row>
    <row r="467" spans="2:40">
      <c r="B467" s="37" t="str">
        <f t="shared" si="188"/>
        <v>Asset 161</v>
      </c>
      <c r="F467" s="37" t="str">
        <f t="shared" ref="F467:L467" si="238">F219</f>
        <v>11 Werktuigen</v>
      </c>
      <c r="G467" s="37">
        <f t="shared" si="238"/>
        <v>2013</v>
      </c>
      <c r="H467" s="52">
        <f t="shared" si="238"/>
        <v>5005059.40396435</v>
      </c>
      <c r="I467" s="37">
        <f t="shared" si="238"/>
        <v>2021</v>
      </c>
      <c r="J467" s="52">
        <f t="shared" si="238"/>
        <v>10</v>
      </c>
      <c r="K467" s="177">
        <f t="shared" si="238"/>
        <v>1</v>
      </c>
      <c r="L467" s="52">
        <f t="shared" si="238"/>
        <v>842175.83099752699</v>
      </c>
      <c r="N467" s="43">
        <f t="shared" si="201"/>
        <v>842175.83099752699</v>
      </c>
      <c r="P467" s="38">
        <f t="shared" si="190"/>
        <v>1.5</v>
      </c>
      <c r="R467" s="43">
        <f t="shared" ref="R467:V476" si="239">IF(R$305&lt;=$G467+$J467,VDB($L467*(1-$F$25),0,$P467,R$305-2022,MIN(R$305-2021,$P467),$F$22),0)</f>
        <v>656897.14817807113</v>
      </c>
      <c r="S467" s="43">
        <f t="shared" si="239"/>
        <v>101061.0997197032</v>
      </c>
      <c r="T467" s="43">
        <f t="shared" si="239"/>
        <v>0</v>
      </c>
      <c r="U467" s="43">
        <f t="shared" si="239"/>
        <v>0</v>
      </c>
      <c r="V467" s="43">
        <f t="shared" si="239"/>
        <v>0</v>
      </c>
      <c r="X467" s="43">
        <f t="shared" ref="X467:AB476" si="240">IF(X$305&lt;=$G467+$J467,VDB($L467*$F$25,0,$P467,X$305-2022,MIN(X$305-2021,$P467),1),0)</f>
        <v>56145.055399835139</v>
      </c>
      <c r="Y467" s="43">
        <f t="shared" si="240"/>
        <v>28072.527699917569</v>
      </c>
      <c r="Z467" s="43">
        <f t="shared" si="240"/>
        <v>0</v>
      </c>
      <c r="AA467" s="43">
        <f t="shared" si="240"/>
        <v>0</v>
      </c>
      <c r="AB467" s="43">
        <f t="shared" si="240"/>
        <v>0</v>
      </c>
      <c r="AD467" s="43">
        <f t="shared" si="202"/>
        <v>129133.62741962072</v>
      </c>
      <c r="AE467" s="43">
        <f t="shared" si="203"/>
        <v>-4.3655745685100555E-11</v>
      </c>
      <c r="AF467" s="43">
        <f t="shared" si="204"/>
        <v>0</v>
      </c>
      <c r="AG467" s="43">
        <f t="shared" si="205"/>
        <v>0</v>
      </c>
      <c r="AH467" s="43">
        <f t="shared" si="206"/>
        <v>0</v>
      </c>
      <c r="AJ467" s="43">
        <f t="shared" si="191"/>
        <v>717432.74691017333</v>
      </c>
      <c r="AK467" s="43">
        <f t="shared" si="192"/>
        <v>129133.62741962077</v>
      </c>
      <c r="AL467" s="43">
        <f t="shared" si="193"/>
        <v>0</v>
      </c>
      <c r="AM467" s="43">
        <f t="shared" si="194"/>
        <v>0</v>
      </c>
      <c r="AN467" s="43">
        <f t="shared" si="195"/>
        <v>0</v>
      </c>
    </row>
    <row r="468" spans="2:40">
      <c r="B468" s="37" t="str">
        <f t="shared" si="188"/>
        <v>Asset 162</v>
      </c>
      <c r="F468" s="37" t="str">
        <f t="shared" ref="F468:L468" si="241">F220</f>
        <v>20 Kantoorgebouwen</v>
      </c>
      <c r="G468" s="37">
        <f t="shared" si="241"/>
        <v>2013</v>
      </c>
      <c r="H468" s="52">
        <f t="shared" si="241"/>
        <v>1237826.9064472313</v>
      </c>
      <c r="I468" s="37">
        <f t="shared" si="241"/>
        <v>2021</v>
      </c>
      <c r="J468" s="52">
        <f t="shared" si="241"/>
        <v>30</v>
      </c>
      <c r="K468" s="177">
        <f t="shared" si="241"/>
        <v>0</v>
      </c>
      <c r="L468" s="52">
        <f t="shared" si="241"/>
        <v>995129.04477620148</v>
      </c>
      <c r="N468" s="43">
        <f t="shared" si="201"/>
        <v>995129.04477620148</v>
      </c>
      <c r="P468" s="38">
        <f t="shared" si="190"/>
        <v>21.5</v>
      </c>
      <c r="R468" s="43">
        <f t="shared" si="239"/>
        <v>54153.534064565385</v>
      </c>
      <c r="S468" s="43">
        <f t="shared" si="239"/>
        <v>50879.134330428868</v>
      </c>
      <c r="T468" s="43">
        <f t="shared" si="239"/>
        <v>47802.721556961071</v>
      </c>
      <c r="U468" s="43">
        <f t="shared" si="239"/>
        <v>44912.324439563425</v>
      </c>
      <c r="V468" s="43">
        <f t="shared" si="239"/>
        <v>42196.695519961919</v>
      </c>
      <c r="X468" s="43">
        <f t="shared" si="240"/>
        <v>4628.5071850055883</v>
      </c>
      <c r="Y468" s="43">
        <f t="shared" si="240"/>
        <v>4628.5071850055883</v>
      </c>
      <c r="Z468" s="43">
        <f t="shared" si="240"/>
        <v>4628.5071850055883</v>
      </c>
      <c r="AA468" s="43">
        <f t="shared" si="240"/>
        <v>4628.5071850055883</v>
      </c>
      <c r="AB468" s="43">
        <f t="shared" si="240"/>
        <v>4628.5071850055883</v>
      </c>
      <c r="AD468" s="43">
        <f t="shared" si="202"/>
        <v>936347.00352663046</v>
      </c>
      <c r="AE468" s="43">
        <f t="shared" si="203"/>
        <v>880839.36201119598</v>
      </c>
      <c r="AF468" s="43">
        <f t="shared" si="204"/>
        <v>828408.13326922932</v>
      </c>
      <c r="AG468" s="43">
        <f t="shared" si="205"/>
        <v>778867.3016446603</v>
      </c>
      <c r="AH468" s="43">
        <f t="shared" si="206"/>
        <v>732042.09893969283</v>
      </c>
      <c r="AJ468" s="43">
        <f t="shared" si="191"/>
        <v>90617.839369476409</v>
      </c>
      <c r="AK468" s="43">
        <f t="shared" si="192"/>
        <v>84575.34046180392</v>
      </c>
      <c r="AL468" s="43">
        <f t="shared" si="193"/>
        <v>83910.737806197372</v>
      </c>
      <c r="AM468" s="43">
        <f t="shared" si="194"/>
        <v>79137.789087066107</v>
      </c>
      <c r="AN468" s="43">
        <f t="shared" si="195"/>
        <v>74642.802464675828</v>
      </c>
    </row>
    <row r="469" spans="2:40">
      <c r="B469" s="37" t="str">
        <f t="shared" si="188"/>
        <v>Asset 163</v>
      </c>
      <c r="F469" s="37" t="str">
        <f t="shared" ref="F469:L469" si="242">F221</f>
        <v>09 Bedrijfsinventaris</v>
      </c>
      <c r="G469" s="37">
        <f t="shared" si="242"/>
        <v>2013</v>
      </c>
      <c r="H469" s="52">
        <f t="shared" si="242"/>
        <v>292655.61609467439</v>
      </c>
      <c r="I469" s="37">
        <f t="shared" si="242"/>
        <v>2021</v>
      </c>
      <c r="J469" s="52">
        <f t="shared" si="242"/>
        <v>10</v>
      </c>
      <c r="K469" s="177">
        <f t="shared" si="242"/>
        <v>1</v>
      </c>
      <c r="L469" s="52">
        <f t="shared" si="242"/>
        <v>49243.668613684422</v>
      </c>
      <c r="N469" s="43">
        <f t="shared" si="201"/>
        <v>49243.668613684422</v>
      </c>
      <c r="P469" s="38">
        <f t="shared" si="190"/>
        <v>1.5</v>
      </c>
      <c r="R469" s="43">
        <f t="shared" si="239"/>
        <v>38410.061518673851</v>
      </c>
      <c r="S469" s="43">
        <f t="shared" si="239"/>
        <v>5909.2402336421292</v>
      </c>
      <c r="T469" s="43">
        <f t="shared" si="239"/>
        <v>0</v>
      </c>
      <c r="U469" s="43">
        <f t="shared" si="239"/>
        <v>0</v>
      </c>
      <c r="V469" s="43">
        <f t="shared" si="239"/>
        <v>0</v>
      </c>
      <c r="X469" s="43">
        <f t="shared" si="240"/>
        <v>3282.9112409122949</v>
      </c>
      <c r="Y469" s="43">
        <f t="shared" si="240"/>
        <v>1641.4556204561475</v>
      </c>
      <c r="Z469" s="43">
        <f t="shared" si="240"/>
        <v>0</v>
      </c>
      <c r="AA469" s="43">
        <f t="shared" si="240"/>
        <v>0</v>
      </c>
      <c r="AB469" s="43">
        <f t="shared" si="240"/>
        <v>0</v>
      </c>
      <c r="AD469" s="43">
        <f t="shared" si="202"/>
        <v>7550.695854098276</v>
      </c>
      <c r="AE469" s="43">
        <f t="shared" si="203"/>
        <v>-6.8212102632969618E-13</v>
      </c>
      <c r="AF469" s="43">
        <f t="shared" si="204"/>
        <v>0</v>
      </c>
      <c r="AG469" s="43">
        <f t="shared" si="205"/>
        <v>0</v>
      </c>
      <c r="AH469" s="43">
        <f t="shared" si="206"/>
        <v>0</v>
      </c>
      <c r="AJ469" s="43">
        <f t="shared" si="191"/>
        <v>41949.696418625492</v>
      </c>
      <c r="AK469" s="43">
        <f t="shared" si="192"/>
        <v>7550.6958540982769</v>
      </c>
      <c r="AL469" s="43">
        <f t="shared" si="193"/>
        <v>0</v>
      </c>
      <c r="AM469" s="43">
        <f t="shared" si="194"/>
        <v>0</v>
      </c>
      <c r="AN469" s="43">
        <f t="shared" si="195"/>
        <v>0</v>
      </c>
    </row>
    <row r="470" spans="2:40">
      <c r="B470" s="37" t="str">
        <f t="shared" si="188"/>
        <v>Asset 164</v>
      </c>
      <c r="F470" s="37" t="str">
        <f t="shared" ref="F470:L470" si="243">F222</f>
        <v>20 Kantoorgebouwen</v>
      </c>
      <c r="G470" s="37">
        <f t="shared" si="243"/>
        <v>2014</v>
      </c>
      <c r="H470" s="52">
        <f t="shared" si="243"/>
        <v>4973944.9463818558</v>
      </c>
      <c r="I470" s="37">
        <f t="shared" si="243"/>
        <v>2021</v>
      </c>
      <c r="J470" s="52">
        <f t="shared" si="243"/>
        <v>30</v>
      </c>
      <c r="K470" s="177">
        <f t="shared" si="243"/>
        <v>0</v>
      </c>
      <c r="L470" s="52">
        <f t="shared" si="243"/>
        <v>4070721.5945336674</v>
      </c>
      <c r="N470" s="43">
        <f t="shared" si="201"/>
        <v>4070721.5945336674</v>
      </c>
      <c r="P470" s="38">
        <f t="shared" si="190"/>
        <v>22.5</v>
      </c>
      <c r="R470" s="43">
        <f t="shared" si="239"/>
        <v>211677.52291575071</v>
      </c>
      <c r="S470" s="43">
        <f t="shared" si="239"/>
        <v>199447.266036174</v>
      </c>
      <c r="T470" s="43">
        <f t="shared" si="239"/>
        <v>187923.64622075064</v>
      </c>
      <c r="U470" s="43">
        <f t="shared" si="239"/>
        <v>177065.83555021835</v>
      </c>
      <c r="V470" s="43">
        <f t="shared" si="239"/>
        <v>166835.3650517613</v>
      </c>
      <c r="X470" s="43">
        <f t="shared" si="240"/>
        <v>18092.09597570519</v>
      </c>
      <c r="Y470" s="43">
        <f t="shared" si="240"/>
        <v>18092.09597570519</v>
      </c>
      <c r="Z470" s="43">
        <f t="shared" si="240"/>
        <v>18092.09597570519</v>
      </c>
      <c r="AA470" s="43">
        <f t="shared" si="240"/>
        <v>18092.09597570519</v>
      </c>
      <c r="AB470" s="43">
        <f t="shared" si="240"/>
        <v>18092.09597570519</v>
      </c>
      <c r="AD470" s="43">
        <f t="shared" si="202"/>
        <v>3840951.9756422117</v>
      </c>
      <c r="AE470" s="43">
        <f t="shared" si="203"/>
        <v>3623412.613630333</v>
      </c>
      <c r="AF470" s="43">
        <f t="shared" si="204"/>
        <v>3417396.8714338774</v>
      </c>
      <c r="AG470" s="43">
        <f t="shared" si="205"/>
        <v>3222238.9399079541</v>
      </c>
      <c r="AH470" s="43">
        <f t="shared" si="206"/>
        <v>3037311.4788804874</v>
      </c>
      <c r="AJ470" s="43">
        <f t="shared" si="191"/>
        <v>360361.98606329109</v>
      </c>
      <c r="AK470" s="43">
        <f t="shared" si="192"/>
        <v>337111.97826168017</v>
      </c>
      <c r="AL470" s="43">
        <f t="shared" si="193"/>
        <v>335876.8233109432</v>
      </c>
      <c r="AM470" s="43">
        <f t="shared" si="194"/>
        <v>317603.01124242577</v>
      </c>
      <c r="AN470" s="43">
        <f t="shared" si="195"/>
        <v>300345.29722492502</v>
      </c>
    </row>
    <row r="471" spans="2:40">
      <c r="B471" s="37" t="str">
        <f t="shared" si="188"/>
        <v>Asset 165</v>
      </c>
      <c r="F471" s="37" t="str">
        <f t="shared" ref="F471:L471" si="244">F223</f>
        <v>09 Bedrijfsinventaris</v>
      </c>
      <c r="G471" s="37">
        <f t="shared" si="244"/>
        <v>2014</v>
      </c>
      <c r="H471" s="52">
        <f t="shared" si="244"/>
        <v>332895.6529706032</v>
      </c>
      <c r="I471" s="37">
        <f t="shared" si="244"/>
        <v>2021</v>
      </c>
      <c r="J471" s="52">
        <f t="shared" si="244"/>
        <v>10</v>
      </c>
      <c r="K471" s="177">
        <f t="shared" si="244"/>
        <v>1</v>
      </c>
      <c r="L471" s="52">
        <f t="shared" si="244"/>
        <v>90814.939173486709</v>
      </c>
      <c r="N471" s="43">
        <f t="shared" si="201"/>
        <v>90814.939173486709</v>
      </c>
      <c r="P471" s="38">
        <f t="shared" si="190"/>
        <v>2.5</v>
      </c>
      <c r="R471" s="43">
        <f t="shared" si="239"/>
        <v>42501.391533191789</v>
      </c>
      <c r="S471" s="43">
        <f t="shared" si="239"/>
        <v>26154.70248196417</v>
      </c>
      <c r="T471" s="43">
        <f t="shared" si="239"/>
        <v>13077.351240982085</v>
      </c>
      <c r="U471" s="43">
        <f t="shared" si="239"/>
        <v>0</v>
      </c>
      <c r="V471" s="43">
        <f t="shared" si="239"/>
        <v>0</v>
      </c>
      <c r="X471" s="43">
        <f t="shared" si="240"/>
        <v>3632.5975669394684</v>
      </c>
      <c r="Y471" s="43">
        <f t="shared" si="240"/>
        <v>3632.5975669394684</v>
      </c>
      <c r="Z471" s="43">
        <f t="shared" si="240"/>
        <v>1816.2987834697342</v>
      </c>
      <c r="AA471" s="43">
        <f t="shared" si="240"/>
        <v>0</v>
      </c>
      <c r="AB471" s="43">
        <f t="shared" si="240"/>
        <v>0</v>
      </c>
      <c r="AD471" s="43">
        <f t="shared" si="202"/>
        <v>44680.950073355452</v>
      </c>
      <c r="AE471" s="43">
        <f t="shared" si="203"/>
        <v>14893.650024451814</v>
      </c>
      <c r="AF471" s="43">
        <f t="shared" si="204"/>
        <v>-5.4569682106375694E-12</v>
      </c>
      <c r="AG471" s="43">
        <f t="shared" si="205"/>
        <v>0</v>
      </c>
      <c r="AH471" s="43">
        <f t="shared" si="206"/>
        <v>0</v>
      </c>
      <c r="AJ471" s="43">
        <f t="shared" si="191"/>
        <v>47653.141402625341</v>
      </c>
      <c r="AK471" s="43">
        <f t="shared" si="192"/>
        <v>30278.790499710547</v>
      </c>
      <c r="AL471" s="43">
        <f t="shared" si="193"/>
        <v>14893.650024451819</v>
      </c>
      <c r="AM471" s="43">
        <f t="shared" si="194"/>
        <v>0</v>
      </c>
      <c r="AN471" s="43">
        <f t="shared" si="195"/>
        <v>0</v>
      </c>
    </row>
    <row r="472" spans="2:40">
      <c r="B472" s="37" t="str">
        <f t="shared" si="188"/>
        <v>Asset 166</v>
      </c>
      <c r="F472" s="37" t="str">
        <f t="shared" ref="F472:L472" si="245">F224</f>
        <v>10 Gereedschap</v>
      </c>
      <c r="G472" s="37">
        <f t="shared" si="245"/>
        <v>2014</v>
      </c>
      <c r="H472" s="52">
        <f t="shared" si="245"/>
        <v>294123.8734031191</v>
      </c>
      <c r="I472" s="37">
        <f t="shared" si="245"/>
        <v>2021</v>
      </c>
      <c r="J472" s="52">
        <f t="shared" si="245"/>
        <v>10</v>
      </c>
      <c r="K472" s="177">
        <f t="shared" si="245"/>
        <v>1</v>
      </c>
      <c r="L472" s="52">
        <f t="shared" si="245"/>
        <v>80237.880651848885</v>
      </c>
      <c r="N472" s="43">
        <f t="shared" si="201"/>
        <v>80237.880651848885</v>
      </c>
      <c r="P472" s="38">
        <f t="shared" si="190"/>
        <v>2.5</v>
      </c>
      <c r="R472" s="43">
        <f t="shared" si="239"/>
        <v>37551.328145065279</v>
      </c>
      <c r="S472" s="43">
        <f t="shared" si="239"/>
        <v>23108.509627732481</v>
      </c>
      <c r="T472" s="43">
        <f t="shared" si="239"/>
        <v>11554.254813866241</v>
      </c>
      <c r="U472" s="43">
        <f t="shared" si="239"/>
        <v>0</v>
      </c>
      <c r="V472" s="43">
        <f t="shared" si="239"/>
        <v>0</v>
      </c>
      <c r="X472" s="43">
        <f t="shared" si="240"/>
        <v>3209.515226073956</v>
      </c>
      <c r="Y472" s="43">
        <f t="shared" si="240"/>
        <v>3209.5152260739555</v>
      </c>
      <c r="Z472" s="43">
        <f t="shared" si="240"/>
        <v>1604.7576130369778</v>
      </c>
      <c r="AA472" s="43">
        <f t="shared" si="240"/>
        <v>0</v>
      </c>
      <c r="AB472" s="43">
        <f t="shared" si="240"/>
        <v>0</v>
      </c>
      <c r="AD472" s="43">
        <f t="shared" si="202"/>
        <v>39477.03728070965</v>
      </c>
      <c r="AE472" s="43">
        <f t="shared" si="203"/>
        <v>13159.012426903213</v>
      </c>
      <c r="AF472" s="43">
        <f t="shared" si="204"/>
        <v>-5.2295945351943374E-12</v>
      </c>
      <c r="AG472" s="43">
        <f t="shared" si="205"/>
        <v>0</v>
      </c>
      <c r="AH472" s="43">
        <f t="shared" si="206"/>
        <v>0</v>
      </c>
      <c r="AJ472" s="43">
        <f t="shared" si="191"/>
        <v>42103.062638683361</v>
      </c>
      <c r="AK472" s="43">
        <f t="shared" si="192"/>
        <v>26752.272263894243</v>
      </c>
      <c r="AL472" s="43">
        <f t="shared" si="193"/>
        <v>13159.012426903219</v>
      </c>
      <c r="AM472" s="43">
        <f t="shared" si="194"/>
        <v>0</v>
      </c>
      <c r="AN472" s="43">
        <f t="shared" si="195"/>
        <v>0</v>
      </c>
    </row>
    <row r="473" spans="2:40">
      <c r="B473" s="37" t="str">
        <f t="shared" si="188"/>
        <v>Asset 167</v>
      </c>
      <c r="F473" s="37" t="str">
        <f t="shared" ref="F473:L473" si="246">F225</f>
        <v>13 Aanhangwagens</v>
      </c>
      <c r="G473" s="37">
        <f t="shared" si="246"/>
        <v>2014</v>
      </c>
      <c r="H473" s="52">
        <f t="shared" si="246"/>
        <v>24919.261718386999</v>
      </c>
      <c r="I473" s="37">
        <f t="shared" si="246"/>
        <v>2021</v>
      </c>
      <c r="J473" s="52">
        <f t="shared" si="246"/>
        <v>10</v>
      </c>
      <c r="K473" s="177">
        <f t="shared" si="246"/>
        <v>1</v>
      </c>
      <c r="L473" s="52">
        <f t="shared" si="246"/>
        <v>6798.0498303573586</v>
      </c>
      <c r="N473" s="43">
        <f t="shared" si="201"/>
        <v>6798.0498303573586</v>
      </c>
      <c r="P473" s="38">
        <f t="shared" si="190"/>
        <v>2.5</v>
      </c>
      <c r="R473" s="43">
        <f t="shared" si="239"/>
        <v>3181.4873206072439</v>
      </c>
      <c r="S473" s="43">
        <f t="shared" si="239"/>
        <v>1957.8383511429192</v>
      </c>
      <c r="T473" s="43">
        <f t="shared" si="239"/>
        <v>978.91917557145962</v>
      </c>
      <c r="U473" s="43">
        <f t="shared" si="239"/>
        <v>0</v>
      </c>
      <c r="V473" s="43">
        <f t="shared" si="239"/>
        <v>0</v>
      </c>
      <c r="X473" s="43">
        <f t="shared" si="240"/>
        <v>271.92199321429433</v>
      </c>
      <c r="Y473" s="43">
        <f t="shared" si="240"/>
        <v>271.92199321429433</v>
      </c>
      <c r="Z473" s="43">
        <f t="shared" si="240"/>
        <v>135.96099660714717</v>
      </c>
      <c r="AA473" s="43">
        <f t="shared" si="240"/>
        <v>0</v>
      </c>
      <c r="AB473" s="43">
        <f t="shared" si="240"/>
        <v>0</v>
      </c>
      <c r="AD473" s="43">
        <f t="shared" si="202"/>
        <v>3344.6405165358206</v>
      </c>
      <c r="AE473" s="43">
        <f t="shared" si="203"/>
        <v>1114.8801721786069</v>
      </c>
      <c r="AF473" s="43">
        <f t="shared" si="204"/>
        <v>1.4210854715202004E-13</v>
      </c>
      <c r="AG473" s="43">
        <f t="shared" si="205"/>
        <v>0</v>
      </c>
      <c r="AH473" s="43">
        <f t="shared" si="206"/>
        <v>0</v>
      </c>
      <c r="AJ473" s="43">
        <f t="shared" si="191"/>
        <v>3567.1270913837561</v>
      </c>
      <c r="AK473" s="43">
        <f t="shared" si="192"/>
        <v>2266.5513900391074</v>
      </c>
      <c r="AL473" s="43">
        <f t="shared" si="193"/>
        <v>1114.8801721786067</v>
      </c>
      <c r="AM473" s="43">
        <f t="shared" si="194"/>
        <v>0</v>
      </c>
      <c r="AN473" s="43">
        <f t="shared" si="195"/>
        <v>0</v>
      </c>
    </row>
    <row r="474" spans="2:40">
      <c r="B474" s="37" t="str">
        <f t="shared" si="188"/>
        <v>Asset 168</v>
      </c>
      <c r="F474" s="37" t="str">
        <f t="shared" ref="F474:L474" si="247">F226</f>
        <v>11 Werktuigen</v>
      </c>
      <c r="G474" s="37">
        <f t="shared" si="247"/>
        <v>2014</v>
      </c>
      <c r="H474" s="52">
        <f t="shared" si="247"/>
        <v>264974.99557180319</v>
      </c>
      <c r="I474" s="37">
        <f t="shared" si="247"/>
        <v>2021</v>
      </c>
      <c r="J474" s="52">
        <f t="shared" si="247"/>
        <v>10</v>
      </c>
      <c r="K474" s="177">
        <f t="shared" si="247"/>
        <v>1</v>
      </c>
      <c r="L474" s="52">
        <f t="shared" si="247"/>
        <v>72285.978776277945</v>
      </c>
      <c r="N474" s="43">
        <f t="shared" si="201"/>
        <v>72285.978776277945</v>
      </c>
      <c r="P474" s="38">
        <f t="shared" si="190"/>
        <v>2.5</v>
      </c>
      <c r="R474" s="43">
        <f t="shared" si="239"/>
        <v>33829.838067298078</v>
      </c>
      <c r="S474" s="43">
        <f t="shared" si="239"/>
        <v>20818.361887568051</v>
      </c>
      <c r="T474" s="43">
        <f t="shared" si="239"/>
        <v>10409.180943784026</v>
      </c>
      <c r="U474" s="43">
        <f t="shared" si="239"/>
        <v>0</v>
      </c>
      <c r="V474" s="43">
        <f t="shared" si="239"/>
        <v>0</v>
      </c>
      <c r="X474" s="43">
        <f t="shared" si="240"/>
        <v>2891.4391510511182</v>
      </c>
      <c r="Y474" s="43">
        <f t="shared" si="240"/>
        <v>2891.4391510511182</v>
      </c>
      <c r="Z474" s="43">
        <f t="shared" si="240"/>
        <v>1445.7195755255591</v>
      </c>
      <c r="AA474" s="43">
        <f t="shared" si="240"/>
        <v>0</v>
      </c>
      <c r="AB474" s="43">
        <f t="shared" si="240"/>
        <v>0</v>
      </c>
      <c r="AD474" s="43">
        <f t="shared" si="202"/>
        <v>35564.701557928747</v>
      </c>
      <c r="AE474" s="43">
        <f t="shared" si="203"/>
        <v>11854.900519309578</v>
      </c>
      <c r="AF474" s="43">
        <f t="shared" si="204"/>
        <v>-6.5938365878537297E-12</v>
      </c>
      <c r="AG474" s="43">
        <f t="shared" si="205"/>
        <v>0</v>
      </c>
      <c r="AH474" s="43">
        <f t="shared" si="206"/>
        <v>0</v>
      </c>
      <c r="AJ474" s="43">
        <f t="shared" si="191"/>
        <v>37930.477071318775</v>
      </c>
      <c r="AK474" s="43">
        <f t="shared" si="192"/>
        <v>24101.012755756386</v>
      </c>
      <c r="AL474" s="43">
        <f t="shared" si="193"/>
        <v>11854.900519309585</v>
      </c>
      <c r="AM474" s="43">
        <f t="shared" si="194"/>
        <v>0</v>
      </c>
      <c r="AN474" s="43">
        <f t="shared" si="195"/>
        <v>0</v>
      </c>
    </row>
    <row r="475" spans="2:40">
      <c r="B475" s="37" t="str">
        <f t="shared" si="188"/>
        <v>Asset 169</v>
      </c>
      <c r="F475" s="37" t="str">
        <f t="shared" ref="F475:L475" si="248">F227</f>
        <v>08 Inrichting gebouwen</v>
      </c>
      <c r="G475" s="37">
        <f t="shared" si="248"/>
        <v>2014</v>
      </c>
      <c r="H475" s="52">
        <f t="shared" si="248"/>
        <v>724167.86511950963</v>
      </c>
      <c r="I475" s="37">
        <f t="shared" si="248"/>
        <v>2021</v>
      </c>
      <c r="J475" s="52">
        <f t="shared" si="248"/>
        <v>10</v>
      </c>
      <c r="K475" s="177">
        <f t="shared" si="248"/>
        <v>0</v>
      </c>
      <c r="L475" s="52">
        <f t="shared" si="248"/>
        <v>197555.1799351057</v>
      </c>
      <c r="N475" s="43">
        <f t="shared" si="201"/>
        <v>197555.1799351057</v>
      </c>
      <c r="P475" s="38">
        <f t="shared" si="190"/>
        <v>2.5</v>
      </c>
      <c r="R475" s="43">
        <f t="shared" si="239"/>
        <v>92455.824209629471</v>
      </c>
      <c r="S475" s="43">
        <f t="shared" si="239"/>
        <v>56895.891821310448</v>
      </c>
      <c r="T475" s="43">
        <f t="shared" si="239"/>
        <v>28447.945910655224</v>
      </c>
      <c r="U475" s="43">
        <f t="shared" si="239"/>
        <v>0</v>
      </c>
      <c r="V475" s="43">
        <f t="shared" si="239"/>
        <v>0</v>
      </c>
      <c r="X475" s="43">
        <f t="shared" si="240"/>
        <v>7902.2071974042283</v>
      </c>
      <c r="Y475" s="43">
        <f t="shared" si="240"/>
        <v>7902.2071974042274</v>
      </c>
      <c r="Z475" s="43">
        <f t="shared" si="240"/>
        <v>3951.1035987021137</v>
      </c>
      <c r="AA475" s="43">
        <f t="shared" si="240"/>
        <v>0</v>
      </c>
      <c r="AB475" s="43">
        <f t="shared" si="240"/>
        <v>0</v>
      </c>
      <c r="AD475" s="43">
        <f t="shared" si="202"/>
        <v>97197.148528071993</v>
      </c>
      <c r="AE475" s="43">
        <f t="shared" si="203"/>
        <v>32399.049509357319</v>
      </c>
      <c r="AF475" s="43">
        <f t="shared" si="204"/>
        <v>-1.8644641386345029E-11</v>
      </c>
      <c r="AG475" s="43">
        <f t="shared" si="205"/>
        <v>0</v>
      </c>
      <c r="AH475" s="43">
        <f t="shared" si="206"/>
        <v>0</v>
      </c>
      <c r="AJ475" s="43">
        <f t="shared" si="191"/>
        <v>103662.73445698815</v>
      </c>
      <c r="AK475" s="43">
        <f t="shared" si="192"/>
        <v>65867.267652523471</v>
      </c>
      <c r="AL475" s="43">
        <f t="shared" si="193"/>
        <v>32399.049509357337</v>
      </c>
      <c r="AM475" s="43">
        <f t="shared" si="194"/>
        <v>0</v>
      </c>
      <c r="AN475" s="43">
        <f t="shared" si="195"/>
        <v>0</v>
      </c>
    </row>
    <row r="476" spans="2:40">
      <c r="B476" s="37" t="str">
        <f t="shared" si="188"/>
        <v>Asset 170</v>
      </c>
      <c r="F476" s="37" t="str">
        <f t="shared" ref="F476:L476" si="249">F228</f>
        <v>14 Overig rollend materieel (odorisatie)</v>
      </c>
      <c r="G476" s="37">
        <f t="shared" si="249"/>
        <v>2014</v>
      </c>
      <c r="H476" s="52">
        <f t="shared" si="249"/>
        <v>1415.9999999999968</v>
      </c>
      <c r="I476" s="37">
        <f t="shared" si="249"/>
        <v>2021</v>
      </c>
      <c r="J476" s="52">
        <f t="shared" si="249"/>
        <v>10</v>
      </c>
      <c r="K476" s="177">
        <f t="shared" si="249"/>
        <v>0</v>
      </c>
      <c r="L476" s="52">
        <f t="shared" si="249"/>
        <v>386.28907503641284</v>
      </c>
      <c r="N476" s="43">
        <f t="shared" si="201"/>
        <v>386.28907503641284</v>
      </c>
      <c r="P476" s="38">
        <f t="shared" si="190"/>
        <v>2.5</v>
      </c>
      <c r="R476" s="43">
        <f t="shared" si="239"/>
        <v>180.7832871170412</v>
      </c>
      <c r="S476" s="43">
        <f t="shared" si="239"/>
        <v>111.2512536104869</v>
      </c>
      <c r="T476" s="43">
        <f t="shared" si="239"/>
        <v>55.625626805243449</v>
      </c>
      <c r="U476" s="43">
        <f t="shared" si="239"/>
        <v>0</v>
      </c>
      <c r="V476" s="43">
        <f t="shared" si="239"/>
        <v>0</v>
      </c>
      <c r="X476" s="43">
        <f t="shared" si="240"/>
        <v>15.451563001456515</v>
      </c>
      <c r="Y476" s="43">
        <f t="shared" si="240"/>
        <v>15.451563001456515</v>
      </c>
      <c r="Z476" s="43">
        <f t="shared" si="240"/>
        <v>7.7257815007282575</v>
      </c>
      <c r="AA476" s="43">
        <f t="shared" si="240"/>
        <v>0</v>
      </c>
      <c r="AB476" s="43">
        <f t="shared" si="240"/>
        <v>0</v>
      </c>
      <c r="AD476" s="43">
        <f t="shared" si="202"/>
        <v>190.05422491791512</v>
      </c>
      <c r="AE476" s="43">
        <f t="shared" si="203"/>
        <v>63.351408305971709</v>
      </c>
      <c r="AF476" s="43">
        <f t="shared" si="204"/>
        <v>2.6645352591003757E-15</v>
      </c>
      <c r="AG476" s="43">
        <f t="shared" si="205"/>
        <v>0</v>
      </c>
      <c r="AH476" s="43">
        <f t="shared" si="206"/>
        <v>0</v>
      </c>
      <c r="AJ476" s="43">
        <f t="shared" si="191"/>
        <v>202.69669376570684</v>
      </c>
      <c r="AK476" s="43">
        <f t="shared" si="192"/>
        <v>128.79341308604049</v>
      </c>
      <c r="AL476" s="43">
        <f t="shared" si="193"/>
        <v>63.351408305971709</v>
      </c>
      <c r="AM476" s="43">
        <f t="shared" si="194"/>
        <v>0</v>
      </c>
      <c r="AN476" s="43">
        <f t="shared" si="195"/>
        <v>0</v>
      </c>
    </row>
    <row r="477" spans="2:40">
      <c r="B477" s="37" t="str">
        <f t="shared" si="188"/>
        <v>Asset 171</v>
      </c>
      <c r="F477" s="37" t="str">
        <f t="shared" ref="F477:L477" si="250">F229</f>
        <v>14 Overig rollend materieel (odorisatie)</v>
      </c>
      <c r="G477" s="37">
        <f t="shared" si="250"/>
        <v>2015</v>
      </c>
      <c r="H477" s="52">
        <f t="shared" si="250"/>
        <v>43315.304046858677</v>
      </c>
      <c r="I477" s="37">
        <f t="shared" si="250"/>
        <v>2021</v>
      </c>
      <c r="J477" s="52">
        <f t="shared" si="250"/>
        <v>10</v>
      </c>
      <c r="K477" s="177">
        <f t="shared" si="250"/>
        <v>0</v>
      </c>
      <c r="L477" s="52">
        <f t="shared" si="250"/>
        <v>16379.370300704035</v>
      </c>
      <c r="N477" s="43">
        <f t="shared" si="201"/>
        <v>16379.370300704035</v>
      </c>
      <c r="P477" s="38">
        <f t="shared" si="190"/>
        <v>3.5</v>
      </c>
      <c r="R477" s="43">
        <f t="shared" ref="R477:V486" si="251">IF(R$305&lt;=$G477+$J477,VDB($L477*(1-$F$25),0,$P477,R$305-2022,MIN(R$305-2021,$P477),$F$22),0)</f>
        <v>5475.3895005210634</v>
      </c>
      <c r="S477" s="43">
        <f t="shared" si="251"/>
        <v>3706.4175080450273</v>
      </c>
      <c r="T477" s="43">
        <f t="shared" si="251"/>
        <v>3706.4175080450273</v>
      </c>
      <c r="U477" s="43">
        <f t="shared" si="251"/>
        <v>1853.2087540225136</v>
      </c>
      <c r="V477" s="43">
        <f t="shared" si="251"/>
        <v>0</v>
      </c>
      <c r="X477" s="43">
        <f t="shared" ref="X477:AB486" si="252">IF(X$305&lt;=$G477+$J477,VDB($L477*$F$25,0,$P477,X$305-2022,MIN(X$305-2021,$P477),1),0)</f>
        <v>467.98200859154389</v>
      </c>
      <c r="Y477" s="43">
        <f t="shared" si="252"/>
        <v>467.98200859154389</v>
      </c>
      <c r="Z477" s="43">
        <f t="shared" si="252"/>
        <v>467.98200859154389</v>
      </c>
      <c r="AA477" s="43">
        <f t="shared" si="252"/>
        <v>233.99100429577194</v>
      </c>
      <c r="AB477" s="43">
        <f t="shared" si="252"/>
        <v>0</v>
      </c>
      <c r="AD477" s="43">
        <f t="shared" si="202"/>
        <v>10435.998791591428</v>
      </c>
      <c r="AE477" s="43">
        <f t="shared" si="203"/>
        <v>6261.5992749548568</v>
      </c>
      <c r="AF477" s="43">
        <f t="shared" si="204"/>
        <v>2087.1997583182856</v>
      </c>
      <c r="AG477" s="43">
        <f t="shared" si="205"/>
        <v>2.8421709430404007E-14</v>
      </c>
      <c r="AH477" s="43">
        <f t="shared" si="206"/>
        <v>0</v>
      </c>
      <c r="AJ477" s="43">
        <f t="shared" si="191"/>
        <v>6298.1954680267154</v>
      </c>
      <c r="AK477" s="43">
        <f t="shared" si="192"/>
        <v>4381.0322927100815</v>
      </c>
      <c r="AL477" s="43">
        <f t="shared" si="193"/>
        <v>4253.713107452666</v>
      </c>
      <c r="AM477" s="43">
        <f t="shared" si="194"/>
        <v>2087.1997583182856</v>
      </c>
      <c r="AN477" s="43">
        <f t="shared" si="195"/>
        <v>0</v>
      </c>
    </row>
    <row r="478" spans="2:40">
      <c r="B478" s="37" t="str">
        <f t="shared" si="188"/>
        <v>Asset 172</v>
      </c>
      <c r="F478" s="37" t="str">
        <f t="shared" ref="F478:L478" si="253">F230</f>
        <v>13 Aanhangwagens</v>
      </c>
      <c r="G478" s="37">
        <f t="shared" si="253"/>
        <v>2015</v>
      </c>
      <c r="H478" s="52">
        <f t="shared" si="253"/>
        <v>78424.550748692549</v>
      </c>
      <c r="I478" s="37">
        <f t="shared" si="253"/>
        <v>2021</v>
      </c>
      <c r="J478" s="52">
        <f t="shared" si="253"/>
        <v>10</v>
      </c>
      <c r="K478" s="177">
        <f t="shared" si="253"/>
        <v>1</v>
      </c>
      <c r="L478" s="52">
        <f t="shared" si="253"/>
        <v>29655.679110310892</v>
      </c>
      <c r="N478" s="43">
        <f t="shared" si="201"/>
        <v>29655.679110310892</v>
      </c>
      <c r="P478" s="38">
        <f t="shared" si="190"/>
        <v>3.5</v>
      </c>
      <c r="R478" s="43">
        <f t="shared" si="251"/>
        <v>9913.4698740182139</v>
      </c>
      <c r="S478" s="43">
        <f t="shared" si="251"/>
        <v>6710.6565301046357</v>
      </c>
      <c r="T478" s="43">
        <f t="shared" si="251"/>
        <v>6710.6565301046357</v>
      </c>
      <c r="U478" s="43">
        <f t="shared" si="251"/>
        <v>3355.3282650523179</v>
      </c>
      <c r="V478" s="43">
        <f t="shared" si="251"/>
        <v>0</v>
      </c>
      <c r="X478" s="43">
        <f t="shared" si="252"/>
        <v>847.3051174374541</v>
      </c>
      <c r="Y478" s="43">
        <f t="shared" si="252"/>
        <v>847.3051174374541</v>
      </c>
      <c r="Z478" s="43">
        <f t="shared" si="252"/>
        <v>847.3051174374541</v>
      </c>
      <c r="AA478" s="43">
        <f t="shared" si="252"/>
        <v>423.65255871872705</v>
      </c>
      <c r="AB478" s="43">
        <f t="shared" si="252"/>
        <v>0</v>
      </c>
      <c r="AD478" s="43">
        <f t="shared" si="202"/>
        <v>18894.904118855222</v>
      </c>
      <c r="AE478" s="43">
        <f t="shared" si="203"/>
        <v>11336.942471313132</v>
      </c>
      <c r="AF478" s="43">
        <f t="shared" si="204"/>
        <v>3778.9808237710422</v>
      </c>
      <c r="AG478" s="43">
        <f t="shared" si="205"/>
        <v>-2.7284841053187847E-12</v>
      </c>
      <c r="AH478" s="43">
        <f t="shared" si="206"/>
        <v>0</v>
      </c>
      <c r="AJ478" s="43">
        <f t="shared" si="191"/>
        <v>11403.201731496745</v>
      </c>
      <c r="AK478" s="43">
        <f t="shared" si="192"/>
        <v>7932.080749095423</v>
      </c>
      <c r="AL478" s="43">
        <f t="shared" si="193"/>
        <v>7701.5629188453895</v>
      </c>
      <c r="AM478" s="43">
        <f t="shared" si="194"/>
        <v>3778.9808237710449</v>
      </c>
      <c r="AN478" s="43">
        <f t="shared" si="195"/>
        <v>0</v>
      </c>
    </row>
    <row r="479" spans="2:40">
      <c r="B479" s="37" t="str">
        <f t="shared" si="188"/>
        <v>Asset 173</v>
      </c>
      <c r="F479" s="37" t="str">
        <f t="shared" ref="F479:L479" si="254">F231</f>
        <v>11 Werktuigen</v>
      </c>
      <c r="G479" s="37">
        <f t="shared" si="254"/>
        <v>2015</v>
      </c>
      <c r="H479" s="52">
        <f t="shared" si="254"/>
        <v>481116.61247078225</v>
      </c>
      <c r="I479" s="37">
        <f t="shared" si="254"/>
        <v>2021</v>
      </c>
      <c r="J479" s="52">
        <f t="shared" si="254"/>
        <v>10</v>
      </c>
      <c r="K479" s="177">
        <f t="shared" si="254"/>
        <v>1</v>
      </c>
      <c r="L479" s="52">
        <f t="shared" si="254"/>
        <v>181930.78236168518</v>
      </c>
      <c r="N479" s="43">
        <f t="shared" si="201"/>
        <v>181930.78236168518</v>
      </c>
      <c r="P479" s="38">
        <f t="shared" si="190"/>
        <v>3.5</v>
      </c>
      <c r="R479" s="43">
        <f t="shared" si="251"/>
        <v>60816.861532334762</v>
      </c>
      <c r="S479" s="43">
        <f t="shared" si="251"/>
        <v>41168.337037272766</v>
      </c>
      <c r="T479" s="43">
        <f t="shared" si="251"/>
        <v>41168.337037272766</v>
      </c>
      <c r="U479" s="43">
        <f t="shared" si="251"/>
        <v>20584.168518636383</v>
      </c>
      <c r="V479" s="43">
        <f t="shared" si="251"/>
        <v>0</v>
      </c>
      <c r="X479" s="43">
        <f t="shared" si="252"/>
        <v>5198.022353191006</v>
      </c>
      <c r="Y479" s="43">
        <f t="shared" si="252"/>
        <v>5198.022353191006</v>
      </c>
      <c r="Z479" s="43">
        <f t="shared" si="252"/>
        <v>5198.022353191006</v>
      </c>
      <c r="AA479" s="43">
        <f t="shared" si="252"/>
        <v>2599.011176595503</v>
      </c>
      <c r="AB479" s="43">
        <f t="shared" si="252"/>
        <v>0</v>
      </c>
      <c r="AD479" s="43">
        <f t="shared" si="202"/>
        <v>115915.89847615942</v>
      </c>
      <c r="AE479" s="43">
        <f t="shared" si="203"/>
        <v>69549.539085695651</v>
      </c>
      <c r="AF479" s="43">
        <f t="shared" si="204"/>
        <v>23183.17969523188</v>
      </c>
      <c r="AG479" s="43">
        <f t="shared" si="205"/>
        <v>-5.9117155615240335E-12</v>
      </c>
      <c r="AH479" s="43">
        <f t="shared" si="206"/>
        <v>0</v>
      </c>
      <c r="AJ479" s="43">
        <f t="shared" si="191"/>
        <v>69956.024433715182</v>
      </c>
      <c r="AK479" s="43">
        <f t="shared" si="192"/>
        <v>48661.494180291731</v>
      </c>
      <c r="AL479" s="43">
        <f t="shared" si="193"/>
        <v>47247.320218882589</v>
      </c>
      <c r="AM479" s="43">
        <f t="shared" si="194"/>
        <v>23183.179695231887</v>
      </c>
      <c r="AN479" s="43">
        <f t="shared" si="195"/>
        <v>0</v>
      </c>
    </row>
    <row r="480" spans="2:40">
      <c r="B480" s="37" t="str">
        <f t="shared" si="188"/>
        <v>Asset 174</v>
      </c>
      <c r="F480" s="37" t="str">
        <f t="shared" ref="F480:L480" si="255">F232</f>
        <v>39 ICT middelen 3</v>
      </c>
      <c r="G480" s="37">
        <f t="shared" si="255"/>
        <v>2015</v>
      </c>
      <c r="H480" s="52">
        <f t="shared" si="255"/>
        <v>13785822.782425826</v>
      </c>
      <c r="I480" s="37">
        <f t="shared" si="255"/>
        <v>2021</v>
      </c>
      <c r="J480" s="52">
        <f t="shared" si="255"/>
        <v>15</v>
      </c>
      <c r="K480" s="177">
        <f t="shared" si="255"/>
        <v>1</v>
      </c>
      <c r="L480" s="52">
        <f t="shared" si="255"/>
        <v>8440110.7970265597</v>
      </c>
      <c r="N480" s="43">
        <f t="shared" si="201"/>
        <v>8440110.7970265597</v>
      </c>
      <c r="P480" s="38">
        <f t="shared" si="190"/>
        <v>8.5</v>
      </c>
      <c r="R480" s="43">
        <f t="shared" si="251"/>
        <v>1161756.4273554208</v>
      </c>
      <c r="S480" s="43">
        <f t="shared" si="251"/>
        <v>984076.03258341516</v>
      </c>
      <c r="T480" s="43">
        <f t="shared" si="251"/>
        <v>838502.65498231805</v>
      </c>
      <c r="U480" s="43">
        <f t="shared" si="251"/>
        <v>838502.65498231805</v>
      </c>
      <c r="V480" s="43">
        <f t="shared" si="251"/>
        <v>838502.65498231805</v>
      </c>
      <c r="X480" s="43">
        <f t="shared" si="252"/>
        <v>99295.421141488943</v>
      </c>
      <c r="Y480" s="43">
        <f t="shared" si="252"/>
        <v>99295.421141488943</v>
      </c>
      <c r="Z480" s="43">
        <f t="shared" si="252"/>
        <v>99295.421141488943</v>
      </c>
      <c r="AA480" s="43">
        <f t="shared" si="252"/>
        <v>99295.421141488943</v>
      </c>
      <c r="AB480" s="43">
        <f t="shared" si="252"/>
        <v>99295.421141488943</v>
      </c>
      <c r="AD480" s="43">
        <f t="shared" si="202"/>
        <v>7179058.9485296495</v>
      </c>
      <c r="AE480" s="43">
        <f t="shared" si="203"/>
        <v>6095687.4948047455</v>
      </c>
      <c r="AF480" s="43">
        <f t="shared" si="204"/>
        <v>5157889.418680938</v>
      </c>
      <c r="AG480" s="43">
        <f t="shared" si="205"/>
        <v>4220091.3425571304</v>
      </c>
      <c r="AH480" s="43">
        <f t="shared" si="206"/>
        <v>3282293.2664333233</v>
      </c>
      <c r="AJ480" s="43">
        <f t="shared" si="191"/>
        <v>1505139.8527469179</v>
      </c>
      <c r="AK480" s="43">
        <f t="shared" si="192"/>
        <v>1284529.1410534605</v>
      </c>
      <c r="AL480" s="43">
        <f t="shared" si="193"/>
        <v>1133797.8740336825</v>
      </c>
      <c r="AM480" s="43">
        <f t="shared" si="194"/>
        <v>1098161.547140978</v>
      </c>
      <c r="AN480" s="43">
        <f t="shared" si="195"/>
        <v>1062525.2202482733</v>
      </c>
    </row>
    <row r="481" spans="2:40">
      <c r="B481" s="37" t="str">
        <f t="shared" si="188"/>
        <v>Asset 175</v>
      </c>
      <c r="F481" s="37" t="str">
        <f t="shared" ref="F481:L481" si="256">F233</f>
        <v>12 Motorvoertuigen</v>
      </c>
      <c r="G481" s="37">
        <f t="shared" si="256"/>
        <v>2015</v>
      </c>
      <c r="H481" s="52">
        <f t="shared" si="256"/>
        <v>43877.173224174046</v>
      </c>
      <c r="I481" s="37">
        <f t="shared" si="256"/>
        <v>2021</v>
      </c>
      <c r="J481" s="52">
        <f t="shared" si="256"/>
        <v>10</v>
      </c>
      <c r="K481" s="177">
        <f t="shared" si="256"/>
        <v>1</v>
      </c>
      <c r="L481" s="52">
        <f t="shared" si="256"/>
        <v>16591.837083941773</v>
      </c>
      <c r="N481" s="43">
        <f t="shared" si="201"/>
        <v>16591.837083941773</v>
      </c>
      <c r="P481" s="38">
        <f t="shared" si="190"/>
        <v>3.5</v>
      </c>
      <c r="R481" s="43">
        <f t="shared" si="251"/>
        <v>5546.414110917679</v>
      </c>
      <c r="S481" s="43">
        <f t="shared" si="251"/>
        <v>3754.4957058519662</v>
      </c>
      <c r="T481" s="43">
        <f t="shared" si="251"/>
        <v>3754.4957058519662</v>
      </c>
      <c r="U481" s="43">
        <f t="shared" si="251"/>
        <v>1877.2478529259831</v>
      </c>
      <c r="V481" s="43">
        <f t="shared" si="251"/>
        <v>0</v>
      </c>
      <c r="X481" s="43">
        <f t="shared" si="252"/>
        <v>474.05248811262209</v>
      </c>
      <c r="Y481" s="43">
        <f t="shared" si="252"/>
        <v>474.05248811262209</v>
      </c>
      <c r="Z481" s="43">
        <f t="shared" si="252"/>
        <v>474.05248811262209</v>
      </c>
      <c r="AA481" s="43">
        <f t="shared" si="252"/>
        <v>237.02624405631104</v>
      </c>
      <c r="AB481" s="43">
        <f t="shared" si="252"/>
        <v>0</v>
      </c>
      <c r="AD481" s="43">
        <f t="shared" si="202"/>
        <v>10571.370484911473</v>
      </c>
      <c r="AE481" s="43">
        <f t="shared" si="203"/>
        <v>6342.8222909468841</v>
      </c>
      <c r="AF481" s="43">
        <f t="shared" si="204"/>
        <v>2114.2740969822958</v>
      </c>
      <c r="AG481" s="43">
        <f t="shared" si="205"/>
        <v>1.5916157281026244E-12</v>
      </c>
      <c r="AH481" s="43">
        <f t="shared" si="206"/>
        <v>0</v>
      </c>
      <c r="AJ481" s="43">
        <f t="shared" si="191"/>
        <v>6379.8931955172911</v>
      </c>
      <c r="AK481" s="43">
        <f t="shared" si="192"/>
        <v>4437.8613295658361</v>
      </c>
      <c r="AL481" s="43">
        <f t="shared" si="193"/>
        <v>4308.8906096499159</v>
      </c>
      <c r="AM481" s="43">
        <f t="shared" si="194"/>
        <v>2114.2740969822944</v>
      </c>
      <c r="AN481" s="43">
        <f t="shared" si="195"/>
        <v>0</v>
      </c>
    </row>
    <row r="482" spans="2:40">
      <c r="B482" s="37" t="str">
        <f t="shared" si="188"/>
        <v>Asset 176</v>
      </c>
      <c r="F482" s="37" t="str">
        <f t="shared" ref="F482:L482" si="257">F234</f>
        <v>09 Bedrijfsinventaris</v>
      </c>
      <c r="G482" s="37">
        <f t="shared" si="257"/>
        <v>2015</v>
      </c>
      <c r="H482" s="52">
        <f t="shared" si="257"/>
        <v>153470.91831934603</v>
      </c>
      <c r="I482" s="37">
        <f t="shared" si="257"/>
        <v>2021</v>
      </c>
      <c r="J482" s="52">
        <f t="shared" si="257"/>
        <v>10</v>
      </c>
      <c r="K482" s="177">
        <f t="shared" si="257"/>
        <v>1</v>
      </c>
      <c r="L482" s="52">
        <f t="shared" si="257"/>
        <v>58033.922579009974</v>
      </c>
      <c r="N482" s="43">
        <f t="shared" si="201"/>
        <v>58033.922579009974</v>
      </c>
      <c r="P482" s="38">
        <f t="shared" si="190"/>
        <v>3.5</v>
      </c>
      <c r="R482" s="43">
        <f t="shared" si="251"/>
        <v>19399.911262126192</v>
      </c>
      <c r="S482" s="43">
        <f t="shared" si="251"/>
        <v>13132.247623593115</v>
      </c>
      <c r="T482" s="43">
        <f t="shared" si="251"/>
        <v>13132.247623593115</v>
      </c>
      <c r="U482" s="43">
        <f t="shared" si="251"/>
        <v>6566.1238117965577</v>
      </c>
      <c r="V482" s="43">
        <f t="shared" si="251"/>
        <v>0</v>
      </c>
      <c r="X482" s="43">
        <f t="shared" si="252"/>
        <v>1658.1120736859993</v>
      </c>
      <c r="Y482" s="43">
        <f t="shared" si="252"/>
        <v>1658.1120736859993</v>
      </c>
      <c r="Z482" s="43">
        <f t="shared" si="252"/>
        <v>1658.1120736859993</v>
      </c>
      <c r="AA482" s="43">
        <f t="shared" si="252"/>
        <v>829.05603684299967</v>
      </c>
      <c r="AB482" s="43">
        <f t="shared" si="252"/>
        <v>0</v>
      </c>
      <c r="AD482" s="43">
        <f t="shared" si="202"/>
        <v>36975.899243197782</v>
      </c>
      <c r="AE482" s="43">
        <f t="shared" si="203"/>
        <v>22185.539545918666</v>
      </c>
      <c r="AF482" s="43">
        <f t="shared" si="204"/>
        <v>7395.179848639551</v>
      </c>
      <c r="AG482" s="43">
        <f t="shared" si="205"/>
        <v>-6.3664629124104977E-12</v>
      </c>
      <c r="AH482" s="43">
        <f t="shared" si="206"/>
        <v>0</v>
      </c>
      <c r="AJ482" s="43">
        <f t="shared" si="191"/>
        <v>22315.203910080916</v>
      </c>
      <c r="AK482" s="43">
        <f t="shared" si="192"/>
        <v>15522.482502294431</v>
      </c>
      <c r="AL482" s="43">
        <f t="shared" si="193"/>
        <v>15071.376531527418</v>
      </c>
      <c r="AM482" s="43">
        <f t="shared" si="194"/>
        <v>7395.1798486395573</v>
      </c>
      <c r="AN482" s="43">
        <f t="shared" si="195"/>
        <v>0</v>
      </c>
    </row>
    <row r="483" spans="2:40">
      <c r="B483" s="37" t="str">
        <f t="shared" si="188"/>
        <v>Asset 177</v>
      </c>
      <c r="F483" s="37" t="str">
        <f t="shared" ref="F483:L483" si="258">F235</f>
        <v>20 Kantoorgebouwen</v>
      </c>
      <c r="G483" s="37">
        <f t="shared" si="258"/>
        <v>2015</v>
      </c>
      <c r="H483" s="52">
        <f t="shared" si="258"/>
        <v>2375369.7957282378</v>
      </c>
      <c r="I483" s="37">
        <f t="shared" si="258"/>
        <v>2021</v>
      </c>
      <c r="J483" s="52">
        <f t="shared" si="258"/>
        <v>30</v>
      </c>
      <c r="K483" s="177">
        <f t="shared" si="258"/>
        <v>0</v>
      </c>
      <c r="L483" s="52">
        <f t="shared" si="258"/>
        <v>2010322.0086927759</v>
      </c>
      <c r="N483" s="43">
        <f t="shared" si="201"/>
        <v>2010322.0086927759</v>
      </c>
      <c r="P483" s="38">
        <f t="shared" si="190"/>
        <v>23.5</v>
      </c>
      <c r="R483" s="43">
        <f t="shared" si="251"/>
        <v>100088.37234768289</v>
      </c>
      <c r="S483" s="43">
        <f t="shared" si="251"/>
        <v>94551.568771002552</v>
      </c>
      <c r="T483" s="43">
        <f t="shared" si="251"/>
        <v>89321.05645601092</v>
      </c>
      <c r="U483" s="43">
        <f t="shared" si="251"/>
        <v>84379.891630784783</v>
      </c>
      <c r="V483" s="43">
        <f t="shared" si="251"/>
        <v>79712.067838443487</v>
      </c>
      <c r="X483" s="43">
        <f t="shared" si="252"/>
        <v>8554.561739118195</v>
      </c>
      <c r="Y483" s="43">
        <f t="shared" si="252"/>
        <v>8554.561739118195</v>
      </c>
      <c r="Z483" s="43">
        <f t="shared" si="252"/>
        <v>8554.561739118195</v>
      </c>
      <c r="AA483" s="43">
        <f t="shared" si="252"/>
        <v>8554.561739118195</v>
      </c>
      <c r="AB483" s="43">
        <f t="shared" si="252"/>
        <v>8554.561739118195</v>
      </c>
      <c r="AD483" s="43">
        <f t="shared" si="202"/>
        <v>1901679.0746059746</v>
      </c>
      <c r="AE483" s="43">
        <f t="shared" si="203"/>
        <v>1798572.9440958537</v>
      </c>
      <c r="AF483" s="43">
        <f t="shared" si="204"/>
        <v>1700697.3259007244</v>
      </c>
      <c r="AG483" s="43">
        <f t="shared" si="205"/>
        <v>1607762.8725308212</v>
      </c>
      <c r="AH483" s="43">
        <f t="shared" si="206"/>
        <v>1519496.2429532595</v>
      </c>
      <c r="AJ483" s="43">
        <f t="shared" si="191"/>
        <v>173300.02262340422</v>
      </c>
      <c r="AK483" s="43">
        <f t="shared" si="192"/>
        <v>162459.03766528392</v>
      </c>
      <c r="AL483" s="43">
        <f t="shared" si="193"/>
        <v>162502.11657935666</v>
      </c>
      <c r="AM483" s="43">
        <f t="shared" si="194"/>
        <v>154029.44252607418</v>
      </c>
      <c r="AN483" s="43">
        <f t="shared" si="195"/>
        <v>146007.48680978554</v>
      </c>
    </row>
    <row r="484" spans="2:40">
      <c r="B484" s="37" t="str">
        <f t="shared" si="188"/>
        <v>Asset 178</v>
      </c>
      <c r="F484" s="37" t="str">
        <f t="shared" ref="F484:L484" si="259">F236</f>
        <v>06 Utiliteitsgebouwen</v>
      </c>
      <c r="G484" s="37">
        <f t="shared" si="259"/>
        <v>2015</v>
      </c>
      <c r="H484" s="52">
        <f t="shared" si="259"/>
        <v>516544.29057147249</v>
      </c>
      <c r="I484" s="37">
        <f t="shared" si="259"/>
        <v>2021</v>
      </c>
      <c r="J484" s="52">
        <f t="shared" si="259"/>
        <v>30</v>
      </c>
      <c r="K484" s="177">
        <f t="shared" si="259"/>
        <v>0</v>
      </c>
      <c r="L484" s="52">
        <f t="shared" si="259"/>
        <v>437161.55592610373</v>
      </c>
      <c r="N484" s="43">
        <f t="shared" si="201"/>
        <v>437161.55592610373</v>
      </c>
      <c r="P484" s="38">
        <f t="shared" si="190"/>
        <v>23.5</v>
      </c>
      <c r="R484" s="43">
        <f t="shared" si="251"/>
        <v>21765.064699299634</v>
      </c>
      <c r="S484" s="43">
        <f t="shared" si="251"/>
        <v>20561.039843593699</v>
      </c>
      <c r="T484" s="43">
        <f t="shared" si="251"/>
        <v>19423.620618203408</v>
      </c>
      <c r="U484" s="43">
        <f t="shared" si="251"/>
        <v>18349.122456345343</v>
      </c>
      <c r="V484" s="43">
        <f t="shared" si="251"/>
        <v>17334.064618334749</v>
      </c>
      <c r="X484" s="43">
        <f t="shared" si="252"/>
        <v>1860.2619401110799</v>
      </c>
      <c r="Y484" s="43">
        <f t="shared" si="252"/>
        <v>1860.2619401110799</v>
      </c>
      <c r="Z484" s="43">
        <f t="shared" si="252"/>
        <v>1860.2619401110799</v>
      </c>
      <c r="AA484" s="43">
        <f t="shared" si="252"/>
        <v>1860.2619401110799</v>
      </c>
      <c r="AB484" s="43">
        <f t="shared" si="252"/>
        <v>1860.2619401110799</v>
      </c>
      <c r="AD484" s="43">
        <f t="shared" si="202"/>
        <v>413536.22928669304</v>
      </c>
      <c r="AE484" s="43">
        <f t="shared" si="203"/>
        <v>391114.92750298826</v>
      </c>
      <c r="AF484" s="43">
        <f t="shared" si="204"/>
        <v>369831.04494467378</v>
      </c>
      <c r="AG484" s="43">
        <f t="shared" si="205"/>
        <v>349621.66054821736</v>
      </c>
      <c r="AH484" s="43">
        <f t="shared" si="206"/>
        <v>330427.33398977155</v>
      </c>
      <c r="AJ484" s="43">
        <f t="shared" si="191"/>
        <v>37685.55843515828</v>
      </c>
      <c r="AK484" s="43">
        <f t="shared" si="192"/>
        <v>35328.094391303392</v>
      </c>
      <c r="AL484" s="43">
        <f t="shared" si="193"/>
        <v>35337.462266212089</v>
      </c>
      <c r="AM484" s="43">
        <f t="shared" si="194"/>
        <v>33495.00749728868</v>
      </c>
      <c r="AN484" s="43">
        <f t="shared" si="195"/>
        <v>31750.565250057145</v>
      </c>
    </row>
    <row r="485" spans="2:40">
      <c r="B485" s="37" t="str">
        <f t="shared" si="188"/>
        <v>Asset 179</v>
      </c>
      <c r="F485" s="37" t="str">
        <f t="shared" ref="F485:L485" si="260">F237</f>
        <v>08 Inrichting gebouwen</v>
      </c>
      <c r="G485" s="37">
        <f t="shared" si="260"/>
        <v>2015</v>
      </c>
      <c r="H485" s="52">
        <f t="shared" si="260"/>
        <v>406758.82739129546</v>
      </c>
      <c r="I485" s="37">
        <f t="shared" si="260"/>
        <v>2021</v>
      </c>
      <c r="J485" s="52">
        <f t="shared" si="260"/>
        <v>10</v>
      </c>
      <c r="K485" s="177">
        <f t="shared" si="260"/>
        <v>0</v>
      </c>
      <c r="L485" s="52">
        <f t="shared" si="260"/>
        <v>153812.9214033616</v>
      </c>
      <c r="N485" s="43">
        <f t="shared" si="201"/>
        <v>153812.9214033616</v>
      </c>
      <c r="P485" s="38">
        <f t="shared" si="190"/>
        <v>3.5</v>
      </c>
      <c r="R485" s="43">
        <f t="shared" si="251"/>
        <v>51417.462297695165</v>
      </c>
      <c r="S485" s="43">
        <f t="shared" si="251"/>
        <v>34805.666786132111</v>
      </c>
      <c r="T485" s="43">
        <f t="shared" si="251"/>
        <v>34805.666786132111</v>
      </c>
      <c r="U485" s="43">
        <f t="shared" si="251"/>
        <v>17402.833393066056</v>
      </c>
      <c r="V485" s="43">
        <f t="shared" si="251"/>
        <v>0</v>
      </c>
      <c r="X485" s="43">
        <f t="shared" si="252"/>
        <v>4394.6548972389037</v>
      </c>
      <c r="Y485" s="43">
        <f t="shared" si="252"/>
        <v>4394.6548972389037</v>
      </c>
      <c r="Z485" s="43">
        <f t="shared" si="252"/>
        <v>4394.6548972389037</v>
      </c>
      <c r="AA485" s="43">
        <f t="shared" si="252"/>
        <v>2197.3274486194518</v>
      </c>
      <c r="AB485" s="43">
        <f t="shared" si="252"/>
        <v>0</v>
      </c>
      <c r="AD485" s="43">
        <f t="shared" si="202"/>
        <v>98000.804208427537</v>
      </c>
      <c r="AE485" s="43">
        <f t="shared" si="203"/>
        <v>58800.482525056519</v>
      </c>
      <c r="AF485" s="43">
        <f t="shared" si="204"/>
        <v>19600.160841685505</v>
      </c>
      <c r="AG485" s="43">
        <f t="shared" si="205"/>
        <v>-2.2737367544323206E-12</v>
      </c>
      <c r="AH485" s="43">
        <f t="shared" si="206"/>
        <v>0</v>
      </c>
      <c r="AJ485" s="43">
        <f t="shared" si="191"/>
        <v>59144.144538020606</v>
      </c>
      <c r="AK485" s="43">
        <f t="shared" si="192"/>
        <v>41140.737606697883</v>
      </c>
      <c r="AL485" s="43">
        <f t="shared" si="193"/>
        <v>39945.127795355067</v>
      </c>
      <c r="AM485" s="43">
        <f t="shared" si="194"/>
        <v>19600.160841685509</v>
      </c>
      <c r="AN485" s="43">
        <f t="shared" si="195"/>
        <v>0</v>
      </c>
    </row>
    <row r="486" spans="2:40">
      <c r="B486" s="37" t="str">
        <f t="shared" si="188"/>
        <v>Asset 180</v>
      </c>
      <c r="F486" s="37" t="str">
        <f t="shared" ref="F486:L486" si="261">F238</f>
        <v>20 Kantoorgebouwen</v>
      </c>
      <c r="G486" s="37">
        <f t="shared" si="261"/>
        <v>2016</v>
      </c>
      <c r="H486" s="52">
        <f t="shared" si="261"/>
        <v>229380.26938547671</v>
      </c>
      <c r="I486" s="37">
        <f t="shared" si="261"/>
        <v>2021</v>
      </c>
      <c r="J486" s="52">
        <f t="shared" si="261"/>
        <v>30</v>
      </c>
      <c r="K486" s="177">
        <f t="shared" si="261"/>
        <v>0</v>
      </c>
      <c r="L486" s="52">
        <f t="shared" si="261"/>
        <v>200783.5579674957</v>
      </c>
      <c r="N486" s="43">
        <f t="shared" si="201"/>
        <v>200783.5579674957</v>
      </c>
      <c r="P486" s="38">
        <f t="shared" si="190"/>
        <v>24.5</v>
      </c>
      <c r="R486" s="43">
        <f t="shared" si="251"/>
        <v>9588.4392988559193</v>
      </c>
      <c r="S486" s="43">
        <f t="shared" si="251"/>
        <v>9079.6649687125428</v>
      </c>
      <c r="T486" s="43">
        <f t="shared" si="251"/>
        <v>8597.886827515551</v>
      </c>
      <c r="U486" s="43">
        <f t="shared" si="251"/>
        <v>8141.6724244228881</v>
      </c>
      <c r="V486" s="43">
        <f t="shared" si="251"/>
        <v>7709.6653161882041</v>
      </c>
      <c r="X486" s="43">
        <f t="shared" si="252"/>
        <v>819.52472639794178</v>
      </c>
      <c r="Y486" s="43">
        <f t="shared" si="252"/>
        <v>819.52472639794178</v>
      </c>
      <c r="Z486" s="43">
        <f t="shared" si="252"/>
        <v>819.52472639794178</v>
      </c>
      <c r="AA486" s="43">
        <f t="shared" si="252"/>
        <v>819.52472639794178</v>
      </c>
      <c r="AB486" s="43">
        <f t="shared" si="252"/>
        <v>819.52472639794178</v>
      </c>
      <c r="AD486" s="43">
        <f t="shared" si="202"/>
        <v>190375.59394224183</v>
      </c>
      <c r="AE486" s="43">
        <f t="shared" si="203"/>
        <v>180476.40424713134</v>
      </c>
      <c r="AF486" s="43">
        <f t="shared" si="204"/>
        <v>171058.99269321785</v>
      </c>
      <c r="AG486" s="43">
        <f t="shared" si="205"/>
        <v>162097.79554239701</v>
      </c>
      <c r="AH486" s="43">
        <f t="shared" si="206"/>
        <v>153568.60549981086</v>
      </c>
      <c r="AJ486" s="43">
        <f t="shared" si="191"/>
        <v>16880.734219290083</v>
      </c>
      <c r="AK486" s="43">
        <f t="shared" si="192"/>
        <v>15854.911035265819</v>
      </c>
      <c r="AL486" s="43">
        <f t="shared" si="193"/>
        <v>15917.653276255771</v>
      </c>
      <c r="AM486" s="43">
        <f t="shared" si="194"/>
        <v>15120.913381431918</v>
      </c>
      <c r="AN486" s="43">
        <f t="shared" si="195"/>
        <v>14364.797051578958</v>
      </c>
    </row>
    <row r="487" spans="2:40">
      <c r="B487" s="37" t="str">
        <f t="shared" si="188"/>
        <v>Asset 181</v>
      </c>
      <c r="F487" s="37" t="str">
        <f t="shared" ref="F487:L487" si="262">F239</f>
        <v>39 ICT middelen 3</v>
      </c>
      <c r="G487" s="37">
        <f t="shared" si="262"/>
        <v>2016</v>
      </c>
      <c r="H487" s="52">
        <f t="shared" si="262"/>
        <v>529286.5107518764</v>
      </c>
      <c r="I487" s="37">
        <f t="shared" si="262"/>
        <v>2021</v>
      </c>
      <c r="J487" s="52">
        <f t="shared" si="262"/>
        <v>15</v>
      </c>
      <c r="K487" s="177">
        <f t="shared" si="262"/>
        <v>1</v>
      </c>
      <c r="L487" s="52">
        <f t="shared" si="262"/>
        <v>359294.38470756344</v>
      </c>
      <c r="N487" s="43">
        <f t="shared" si="201"/>
        <v>359294.38470756344</v>
      </c>
      <c r="P487" s="38">
        <f t="shared" si="190"/>
        <v>9.5</v>
      </c>
      <c r="R487" s="43">
        <f t="shared" ref="R487:V496" si="263">IF(R$305&lt;=$G487+$J487,VDB($L487*(1-$F$25),0,$P487,R$305-2022,MIN(R$305-2021,$P487),$F$22),0)</f>
        <v>44249.940011352555</v>
      </c>
      <c r="S487" s="43">
        <f t="shared" si="263"/>
        <v>38194.685062430624</v>
      </c>
      <c r="T487" s="43">
        <f t="shared" si="263"/>
        <v>32968.043948624334</v>
      </c>
      <c r="U487" s="43">
        <f t="shared" si="263"/>
        <v>31992.658032984553</v>
      </c>
      <c r="V487" s="43">
        <f t="shared" si="263"/>
        <v>31992.658032984553</v>
      </c>
      <c r="X487" s="43">
        <f t="shared" ref="X487:AB496" si="264">IF(X$305&lt;=$G487+$J487,VDB($L487*$F$25,0,$P487,X$305-2022,MIN(X$305-2021,$P487),1),0)</f>
        <v>3782.0461548164571</v>
      </c>
      <c r="Y487" s="43">
        <f t="shared" si="264"/>
        <v>3782.0461548164571</v>
      </c>
      <c r="Z487" s="43">
        <f t="shared" si="264"/>
        <v>3782.0461548164571</v>
      </c>
      <c r="AA487" s="43">
        <f t="shared" si="264"/>
        <v>3782.0461548164571</v>
      </c>
      <c r="AB487" s="43">
        <f t="shared" si="264"/>
        <v>3782.0461548164571</v>
      </c>
      <c r="AD487" s="43">
        <f t="shared" si="202"/>
        <v>311262.39854139445</v>
      </c>
      <c r="AE487" s="43">
        <f t="shared" si="203"/>
        <v>269285.66732414736</v>
      </c>
      <c r="AF487" s="43">
        <f t="shared" si="204"/>
        <v>232535.57722070656</v>
      </c>
      <c r="AG487" s="43">
        <f t="shared" si="205"/>
        <v>196760.87303290554</v>
      </c>
      <c r="AH487" s="43">
        <f t="shared" si="206"/>
        <v>160986.16884510452</v>
      </c>
      <c r="AJ487" s="43">
        <f t="shared" si="191"/>
        <v>58614.907716576432</v>
      </c>
      <c r="AK487" s="43">
        <f t="shared" si="192"/>
        <v>50863.15823894395</v>
      </c>
      <c r="AL487" s="43">
        <f t="shared" si="193"/>
        <v>45586.442037827641</v>
      </c>
      <c r="AM487" s="43">
        <f t="shared" si="194"/>
        <v>43251.617363051424</v>
      </c>
      <c r="AN487" s="43">
        <f t="shared" si="195"/>
        <v>41892.178603914988</v>
      </c>
    </row>
    <row r="488" spans="2:40">
      <c r="B488" s="37" t="str">
        <f t="shared" si="188"/>
        <v>Asset 182</v>
      </c>
      <c r="F488" s="37" t="str">
        <f t="shared" ref="F488:L488" si="265">F240</f>
        <v>12 Motorvoertuigen</v>
      </c>
      <c r="G488" s="37">
        <f t="shared" si="265"/>
        <v>2016</v>
      </c>
      <c r="H488" s="52">
        <f t="shared" si="265"/>
        <v>28567.827468907908</v>
      </c>
      <c r="I488" s="37">
        <f t="shared" si="265"/>
        <v>2021</v>
      </c>
      <c r="J488" s="52">
        <f t="shared" si="265"/>
        <v>10</v>
      </c>
      <c r="K488" s="177">
        <f t="shared" si="265"/>
        <v>1</v>
      </c>
      <c r="L488" s="52">
        <f t="shared" si="265"/>
        <v>13778.977338155324</v>
      </c>
      <c r="N488" s="43">
        <f t="shared" si="201"/>
        <v>13778.977338155324</v>
      </c>
      <c r="P488" s="38">
        <f t="shared" si="190"/>
        <v>4.5</v>
      </c>
      <c r="R488" s="43">
        <f t="shared" si="263"/>
        <v>3582.5341079203845</v>
      </c>
      <c r="S488" s="43">
        <f t="shared" si="263"/>
        <v>2547.5798100767179</v>
      </c>
      <c r="T488" s="43">
        <f t="shared" si="263"/>
        <v>2508.3862745370757</v>
      </c>
      <c r="U488" s="43">
        <f t="shared" si="263"/>
        <v>2508.3862745370757</v>
      </c>
      <c r="V488" s="43">
        <f t="shared" si="263"/>
        <v>1254.1931372685378</v>
      </c>
      <c r="X488" s="43">
        <f t="shared" si="264"/>
        <v>306.19949640345169</v>
      </c>
      <c r="Y488" s="43">
        <f t="shared" si="264"/>
        <v>306.19949640345169</v>
      </c>
      <c r="Z488" s="43">
        <f t="shared" si="264"/>
        <v>306.19949640345169</v>
      </c>
      <c r="AA488" s="43">
        <f t="shared" si="264"/>
        <v>306.19949640345169</v>
      </c>
      <c r="AB488" s="43">
        <f t="shared" si="264"/>
        <v>153.09974820172584</v>
      </c>
      <c r="AD488" s="43">
        <f t="shared" si="202"/>
        <v>9890.2437338314885</v>
      </c>
      <c r="AE488" s="43">
        <f t="shared" si="203"/>
        <v>7036.4644273513186</v>
      </c>
      <c r="AF488" s="43">
        <f t="shared" si="204"/>
        <v>4221.8786564107913</v>
      </c>
      <c r="AG488" s="43">
        <f t="shared" si="205"/>
        <v>1407.2928854702641</v>
      </c>
      <c r="AH488" s="43">
        <f t="shared" si="206"/>
        <v>3.979039320256561E-13</v>
      </c>
      <c r="AJ488" s="43">
        <f t="shared" si="191"/>
        <v>4225.001891274107</v>
      </c>
      <c r="AK488" s="43">
        <f t="shared" si="192"/>
        <v>3085.982632582763</v>
      </c>
      <c r="AL488" s="43">
        <f t="shared" si="193"/>
        <v>2975.0171598841375</v>
      </c>
      <c r="AM488" s="43">
        <f t="shared" si="194"/>
        <v>2868.0629005883975</v>
      </c>
      <c r="AN488" s="43">
        <f t="shared" si="195"/>
        <v>1407.2928854702636</v>
      </c>
    </row>
    <row r="489" spans="2:40">
      <c r="B489" s="37" t="str">
        <f t="shared" si="188"/>
        <v>Asset 183</v>
      </c>
      <c r="F489" s="37" t="str">
        <f t="shared" ref="F489:L489" si="266">F241</f>
        <v>06 Utiliteitsgebouwen</v>
      </c>
      <c r="G489" s="37">
        <f t="shared" si="266"/>
        <v>2016</v>
      </c>
      <c r="H489" s="52">
        <f t="shared" si="266"/>
        <v>69569.550579382194</v>
      </c>
      <c r="I489" s="37">
        <f t="shared" si="266"/>
        <v>2021</v>
      </c>
      <c r="J489" s="52">
        <f t="shared" si="266"/>
        <v>30</v>
      </c>
      <c r="K489" s="177">
        <f t="shared" si="266"/>
        <v>0</v>
      </c>
      <c r="L489" s="52">
        <f t="shared" si="266"/>
        <v>60896.353156050573</v>
      </c>
      <c r="N489" s="43">
        <f t="shared" si="201"/>
        <v>60896.353156050573</v>
      </c>
      <c r="P489" s="38">
        <f t="shared" si="190"/>
        <v>24.5</v>
      </c>
      <c r="R489" s="43">
        <f t="shared" si="263"/>
        <v>2908.1115588807829</v>
      </c>
      <c r="S489" s="43">
        <f t="shared" si="263"/>
        <v>2753.8035986136392</v>
      </c>
      <c r="T489" s="43">
        <f t="shared" si="263"/>
        <v>2607.6834076667933</v>
      </c>
      <c r="U489" s="43">
        <f t="shared" si="263"/>
        <v>2469.3165329742696</v>
      </c>
      <c r="V489" s="43">
        <f t="shared" si="263"/>
        <v>2338.2915740817571</v>
      </c>
      <c r="X489" s="43">
        <f t="shared" si="264"/>
        <v>248.55654349408397</v>
      </c>
      <c r="Y489" s="43">
        <f t="shared" si="264"/>
        <v>248.55654349408397</v>
      </c>
      <c r="Z489" s="43">
        <f t="shared" si="264"/>
        <v>248.55654349408397</v>
      </c>
      <c r="AA489" s="43">
        <f t="shared" si="264"/>
        <v>248.55654349408397</v>
      </c>
      <c r="AB489" s="43">
        <f t="shared" si="264"/>
        <v>248.55654349408397</v>
      </c>
      <c r="AD489" s="43">
        <f t="shared" si="202"/>
        <v>57739.685053675705</v>
      </c>
      <c r="AE489" s="43">
        <f t="shared" si="203"/>
        <v>54737.324911567979</v>
      </c>
      <c r="AF489" s="43">
        <f t="shared" si="204"/>
        <v>51881.084960407097</v>
      </c>
      <c r="AG489" s="43">
        <f t="shared" si="205"/>
        <v>49163.21188393874</v>
      </c>
      <c r="AH489" s="43">
        <f t="shared" si="206"/>
        <v>46576.363766362898</v>
      </c>
      <c r="AJ489" s="43">
        <f t="shared" si="191"/>
        <v>5119.8173941998411</v>
      </c>
      <c r="AK489" s="43">
        <f t="shared" si="192"/>
        <v>4808.6918641894663</v>
      </c>
      <c r="AL489" s="43">
        <f t="shared" si="193"/>
        <v>4827.721179656347</v>
      </c>
      <c r="AM489" s="43">
        <f t="shared" si="194"/>
        <v>4586.0751280580262</v>
      </c>
      <c r="AN489" s="43">
        <f t="shared" si="195"/>
        <v>4356.7499406976312</v>
      </c>
    </row>
    <row r="490" spans="2:40">
      <c r="B490" s="37" t="str">
        <f t="shared" si="188"/>
        <v>Asset 184</v>
      </c>
      <c r="F490" s="37" t="str">
        <f t="shared" ref="F490:L490" si="267">F242</f>
        <v>09 Bedrijfsinventaris</v>
      </c>
      <c r="G490" s="37">
        <f t="shared" si="267"/>
        <v>2016</v>
      </c>
      <c r="H490" s="52">
        <f t="shared" si="267"/>
        <v>285684.31746031862</v>
      </c>
      <c r="I490" s="37">
        <f t="shared" si="267"/>
        <v>2021</v>
      </c>
      <c r="J490" s="52">
        <f t="shared" si="267"/>
        <v>10</v>
      </c>
      <c r="K490" s="177">
        <f t="shared" si="267"/>
        <v>1</v>
      </c>
      <c r="L490" s="52">
        <f t="shared" si="267"/>
        <v>137792.68796118168</v>
      </c>
      <c r="N490" s="43">
        <f t="shared" si="201"/>
        <v>137792.68796118168</v>
      </c>
      <c r="P490" s="38">
        <f t="shared" si="190"/>
        <v>4.5</v>
      </c>
      <c r="R490" s="43">
        <f t="shared" si="263"/>
        <v>35826.09886990724</v>
      </c>
      <c r="S490" s="43">
        <f t="shared" si="263"/>
        <v>25476.33697415626</v>
      </c>
      <c r="T490" s="43">
        <f t="shared" si="263"/>
        <v>25084.393328400001</v>
      </c>
      <c r="U490" s="43">
        <f t="shared" si="263"/>
        <v>25084.393328400001</v>
      </c>
      <c r="V490" s="43">
        <f t="shared" si="263"/>
        <v>12542.196664200001</v>
      </c>
      <c r="X490" s="43">
        <f t="shared" si="264"/>
        <v>3062.0597324707041</v>
      </c>
      <c r="Y490" s="43">
        <f t="shared" si="264"/>
        <v>3062.0597324707041</v>
      </c>
      <c r="Z490" s="43">
        <f t="shared" si="264"/>
        <v>3062.0597324707041</v>
      </c>
      <c r="AA490" s="43">
        <f t="shared" si="264"/>
        <v>3062.0597324707041</v>
      </c>
      <c r="AB490" s="43">
        <f t="shared" si="264"/>
        <v>1531.0298662353521</v>
      </c>
      <c r="AD490" s="43">
        <f t="shared" si="202"/>
        <v>98904.529358803746</v>
      </c>
      <c r="AE490" s="43">
        <f t="shared" si="203"/>
        <v>70366.132652176777</v>
      </c>
      <c r="AF490" s="43">
        <f t="shared" si="204"/>
        <v>42219.679591306071</v>
      </c>
      <c r="AG490" s="43">
        <f t="shared" si="205"/>
        <v>14073.226530435364</v>
      </c>
      <c r="AH490" s="43">
        <f t="shared" si="206"/>
        <v>1.1368683772161603E-11</v>
      </c>
      <c r="AJ490" s="43">
        <f t="shared" si="191"/>
        <v>42250.91260057727</v>
      </c>
      <c r="AK490" s="43">
        <f t="shared" si="192"/>
        <v>30860.479084148799</v>
      </c>
      <c r="AL490" s="43">
        <f t="shared" si="193"/>
        <v>29750.800885340337</v>
      </c>
      <c r="AM490" s="43">
        <f t="shared" si="194"/>
        <v>28681.23566902725</v>
      </c>
      <c r="AN490" s="43">
        <f t="shared" si="195"/>
        <v>14073.226530435353</v>
      </c>
    </row>
    <row r="491" spans="2:40">
      <c r="B491" s="37" t="str">
        <f t="shared" si="188"/>
        <v>Asset 185</v>
      </c>
      <c r="F491" s="37" t="str">
        <f t="shared" ref="F491:L491" si="268">F243</f>
        <v>08 Inrichting gebouwen</v>
      </c>
      <c r="G491" s="37">
        <f t="shared" si="268"/>
        <v>2016</v>
      </c>
      <c r="H491" s="52">
        <f t="shared" si="268"/>
        <v>23169.006741347624</v>
      </c>
      <c r="I491" s="37">
        <f t="shared" si="268"/>
        <v>2021</v>
      </c>
      <c r="J491" s="52">
        <f t="shared" si="268"/>
        <v>10</v>
      </c>
      <c r="K491" s="177">
        <f t="shared" si="268"/>
        <v>0</v>
      </c>
      <c r="L491" s="52">
        <f t="shared" si="268"/>
        <v>11174.991139387506</v>
      </c>
      <c r="N491" s="43">
        <f t="shared" si="201"/>
        <v>11174.991139387506</v>
      </c>
      <c r="P491" s="38">
        <f t="shared" si="190"/>
        <v>4.5</v>
      </c>
      <c r="R491" s="43">
        <f t="shared" si="263"/>
        <v>2905.4976962407518</v>
      </c>
      <c r="S491" s="43">
        <f t="shared" si="263"/>
        <v>2066.1316951045346</v>
      </c>
      <c r="T491" s="43">
        <f t="shared" si="263"/>
        <v>2034.3450536413875</v>
      </c>
      <c r="U491" s="43">
        <f t="shared" si="263"/>
        <v>2034.3450536413875</v>
      </c>
      <c r="V491" s="43">
        <f t="shared" si="263"/>
        <v>1017.1725268206937</v>
      </c>
      <c r="X491" s="43">
        <f t="shared" si="264"/>
        <v>248.33313643083349</v>
      </c>
      <c r="Y491" s="43">
        <f t="shared" si="264"/>
        <v>248.33313643083349</v>
      </c>
      <c r="Z491" s="43">
        <f t="shared" si="264"/>
        <v>248.33313643083349</v>
      </c>
      <c r="AA491" s="43">
        <f t="shared" si="264"/>
        <v>248.33313643083349</v>
      </c>
      <c r="AB491" s="43">
        <f t="shared" si="264"/>
        <v>124.16656821541675</v>
      </c>
      <c r="AD491" s="43">
        <f t="shared" si="202"/>
        <v>8021.1603067159222</v>
      </c>
      <c r="AE491" s="43">
        <f t="shared" si="203"/>
        <v>5706.6954751805542</v>
      </c>
      <c r="AF491" s="43">
        <f t="shared" si="204"/>
        <v>3424.0172851083335</v>
      </c>
      <c r="AG491" s="43">
        <f t="shared" si="205"/>
        <v>1141.3390950361124</v>
      </c>
      <c r="AH491" s="43">
        <f t="shared" si="206"/>
        <v>1.9468870959826745E-12</v>
      </c>
      <c r="AJ491" s="43">
        <f t="shared" si="191"/>
        <v>3426.5502830999267</v>
      </c>
      <c r="AK491" s="43">
        <f t="shared" si="192"/>
        <v>2502.7857822163264</v>
      </c>
      <c r="AL491" s="43">
        <f t="shared" si="193"/>
        <v>2412.7908469063373</v>
      </c>
      <c r="AM491" s="43">
        <f t="shared" si="194"/>
        <v>2326.0490756835929</v>
      </c>
      <c r="AN491" s="43">
        <f t="shared" si="195"/>
        <v>1141.3390950361104</v>
      </c>
    </row>
    <row r="492" spans="2:40">
      <c r="B492" s="37" t="str">
        <f t="shared" si="188"/>
        <v>Asset 186</v>
      </c>
      <c r="F492" s="37" t="str">
        <f t="shared" ref="F492:L492" si="269">F244</f>
        <v>11 Werktuigen (KC)</v>
      </c>
      <c r="G492" s="37">
        <f t="shared" si="269"/>
        <v>2017</v>
      </c>
      <c r="H492" s="52">
        <f t="shared" si="269"/>
        <v>42505.139899436123</v>
      </c>
      <c r="I492" s="37">
        <f t="shared" si="269"/>
        <v>2021</v>
      </c>
      <c r="J492" s="52">
        <f t="shared" si="269"/>
        <v>10</v>
      </c>
      <c r="K492" s="177">
        <f t="shared" si="269"/>
        <v>0</v>
      </c>
      <c r="L492" s="52">
        <f t="shared" si="269"/>
        <v>25007.119857240814</v>
      </c>
      <c r="N492" s="43">
        <f t="shared" si="201"/>
        <v>25007.119857240814</v>
      </c>
      <c r="P492" s="38">
        <f t="shared" si="190"/>
        <v>5.5</v>
      </c>
      <c r="R492" s="43">
        <f t="shared" si="263"/>
        <v>5319.6964059948641</v>
      </c>
      <c r="S492" s="43">
        <f t="shared" si="263"/>
        <v>4062.3136191233507</v>
      </c>
      <c r="T492" s="43">
        <f t="shared" si="263"/>
        <v>3749.8279561138625</v>
      </c>
      <c r="U492" s="43">
        <f t="shared" si="263"/>
        <v>3749.8279561138625</v>
      </c>
      <c r="V492" s="43">
        <f t="shared" si="263"/>
        <v>3749.8279561138625</v>
      </c>
      <c r="X492" s="43">
        <f t="shared" si="264"/>
        <v>454.67490649528753</v>
      </c>
      <c r="Y492" s="43">
        <f t="shared" si="264"/>
        <v>454.67490649528753</v>
      </c>
      <c r="Z492" s="43">
        <f t="shared" si="264"/>
        <v>454.67490649528753</v>
      </c>
      <c r="AA492" s="43">
        <f t="shared" si="264"/>
        <v>454.67490649528753</v>
      </c>
      <c r="AB492" s="43">
        <f t="shared" si="264"/>
        <v>454.67490649528753</v>
      </c>
      <c r="AD492" s="43">
        <f t="shared" si="202"/>
        <v>19232.748544750662</v>
      </c>
      <c r="AE492" s="43">
        <f t="shared" si="203"/>
        <v>14715.760019132025</v>
      </c>
      <c r="AF492" s="43">
        <f t="shared" si="204"/>
        <v>10511.257156522875</v>
      </c>
      <c r="AG492" s="43">
        <f t="shared" si="205"/>
        <v>6306.7542939137256</v>
      </c>
      <c r="AH492" s="43">
        <f t="shared" si="206"/>
        <v>2102.2514313045758</v>
      </c>
      <c r="AJ492" s="43">
        <f t="shared" si="191"/>
        <v>6428.2847630116739</v>
      </c>
      <c r="AK492" s="43">
        <f t="shared" si="192"/>
        <v>5002.6086062499953</v>
      </c>
      <c r="AL492" s="43">
        <f t="shared" si="193"/>
        <v>4603.9306345570194</v>
      </c>
      <c r="AM492" s="43">
        <f t="shared" si="194"/>
        <v>4444.1595257778717</v>
      </c>
      <c r="AN492" s="43">
        <f t="shared" si="195"/>
        <v>4284.3884169987241</v>
      </c>
    </row>
    <row r="493" spans="2:40">
      <c r="B493" s="37" t="str">
        <f t="shared" si="188"/>
        <v>Asset 187</v>
      </c>
      <c r="F493" s="37" t="str">
        <f t="shared" ref="F493:L493" si="270">F245</f>
        <v>10 Gereedschap</v>
      </c>
      <c r="G493" s="37">
        <f t="shared" si="270"/>
        <v>2017</v>
      </c>
      <c r="H493" s="52">
        <f t="shared" si="270"/>
        <v>283180.78041617683</v>
      </c>
      <c r="I493" s="37">
        <f t="shared" si="270"/>
        <v>2021</v>
      </c>
      <c r="J493" s="52">
        <f t="shared" si="270"/>
        <v>10</v>
      </c>
      <c r="K493" s="177">
        <f t="shared" si="270"/>
        <v>1</v>
      </c>
      <c r="L493" s="52">
        <f t="shared" si="270"/>
        <v>166604.2208986652</v>
      </c>
      <c r="N493" s="43">
        <f t="shared" si="201"/>
        <v>166604.2208986652</v>
      </c>
      <c r="P493" s="38">
        <f t="shared" si="190"/>
        <v>5.5</v>
      </c>
      <c r="R493" s="43">
        <f t="shared" si="263"/>
        <v>35441.261536625141</v>
      </c>
      <c r="S493" s="43">
        <f t="shared" si="263"/>
        <v>27064.236082513748</v>
      </c>
      <c r="T493" s="43">
        <f t="shared" si="263"/>
        <v>24982.37176847423</v>
      </c>
      <c r="U493" s="43">
        <f t="shared" si="263"/>
        <v>24982.37176847423</v>
      </c>
      <c r="V493" s="43">
        <f t="shared" si="263"/>
        <v>24982.37176847423</v>
      </c>
      <c r="X493" s="43">
        <f t="shared" si="264"/>
        <v>3029.1676527030036</v>
      </c>
      <c r="Y493" s="43">
        <f t="shared" si="264"/>
        <v>3029.1676527030036</v>
      </c>
      <c r="Z493" s="43">
        <f t="shared" si="264"/>
        <v>3029.1676527030036</v>
      </c>
      <c r="AA493" s="43">
        <f t="shared" si="264"/>
        <v>3029.1676527030036</v>
      </c>
      <c r="AB493" s="43">
        <f t="shared" si="264"/>
        <v>3029.1676527030036</v>
      </c>
      <c r="AD493" s="43">
        <f t="shared" si="202"/>
        <v>128133.79170933703</v>
      </c>
      <c r="AE493" s="43">
        <f t="shared" si="203"/>
        <v>98040.387974120284</v>
      </c>
      <c r="AF493" s="43">
        <f t="shared" si="204"/>
        <v>70028.848552943047</v>
      </c>
      <c r="AG493" s="43">
        <f t="shared" si="205"/>
        <v>42017.309131765811</v>
      </c>
      <c r="AH493" s="43">
        <f t="shared" si="206"/>
        <v>14005.769710588578</v>
      </c>
      <c r="AJ493" s="43">
        <f t="shared" si="191"/>
        <v>42826.978107445611</v>
      </c>
      <c r="AK493" s="43">
        <f t="shared" si="192"/>
        <v>33328.736538362718</v>
      </c>
      <c r="AL493" s="43">
        <f t="shared" si="193"/>
        <v>30672.635666189068</v>
      </c>
      <c r="AM493" s="43">
        <f t="shared" si="194"/>
        <v>29608.197168184335</v>
      </c>
      <c r="AN493" s="43">
        <f t="shared" si="195"/>
        <v>28543.758670179599</v>
      </c>
    </row>
    <row r="494" spans="2:40">
      <c r="B494" s="37" t="str">
        <f t="shared" si="188"/>
        <v>Asset 188</v>
      </c>
      <c r="F494" s="37" t="str">
        <f t="shared" ref="F494:L494" si="271">F246</f>
        <v>10 Gereedschap</v>
      </c>
      <c r="G494" s="37">
        <f t="shared" si="271"/>
        <v>2016</v>
      </c>
      <c r="H494" s="52">
        <f t="shared" si="271"/>
        <v>59355.750635093973</v>
      </c>
      <c r="I494" s="37">
        <f t="shared" si="271"/>
        <v>2021</v>
      </c>
      <c r="J494" s="52">
        <f t="shared" si="271"/>
        <v>10</v>
      </c>
      <c r="K494" s="177">
        <f t="shared" si="271"/>
        <v>1</v>
      </c>
      <c r="L494" s="52">
        <f t="shared" si="271"/>
        <v>28628.76232994219</v>
      </c>
      <c r="N494" s="43">
        <f t="shared" si="201"/>
        <v>28628.76232994219</v>
      </c>
      <c r="P494" s="38">
        <f t="shared" si="190"/>
        <v>4.5</v>
      </c>
      <c r="R494" s="43">
        <f t="shared" si="263"/>
        <v>7443.4782057849707</v>
      </c>
      <c r="S494" s="43">
        <f t="shared" si="263"/>
        <v>5293.1400574470899</v>
      </c>
      <c r="T494" s="43">
        <f t="shared" si="263"/>
        <v>5211.7071334863649</v>
      </c>
      <c r="U494" s="43">
        <f t="shared" si="263"/>
        <v>5211.7071334863649</v>
      </c>
      <c r="V494" s="43">
        <f t="shared" si="263"/>
        <v>2605.8535667431825</v>
      </c>
      <c r="X494" s="43">
        <f t="shared" si="264"/>
        <v>636.19471844315979</v>
      </c>
      <c r="Y494" s="43">
        <f t="shared" si="264"/>
        <v>636.1947184431599</v>
      </c>
      <c r="Z494" s="43">
        <f t="shared" si="264"/>
        <v>636.1947184431599</v>
      </c>
      <c r="AA494" s="43">
        <f t="shared" si="264"/>
        <v>636.1947184431599</v>
      </c>
      <c r="AB494" s="43">
        <f t="shared" si="264"/>
        <v>318.09735922157995</v>
      </c>
      <c r="AD494" s="43">
        <f t="shared" si="202"/>
        <v>20549.089405714061</v>
      </c>
      <c r="AE494" s="43">
        <f t="shared" si="203"/>
        <v>14619.754629823812</v>
      </c>
      <c r="AF494" s="43">
        <f t="shared" si="204"/>
        <v>8771.852777894288</v>
      </c>
      <c r="AG494" s="43">
        <f t="shared" si="205"/>
        <v>2923.950925964763</v>
      </c>
      <c r="AH494" s="43">
        <f t="shared" si="206"/>
        <v>5.6843418860808015E-13</v>
      </c>
      <c r="AJ494" s="43">
        <f t="shared" si="191"/>
        <v>8778.3419640224092</v>
      </c>
      <c r="AK494" s="43">
        <f t="shared" si="192"/>
        <v>6411.7866786744362</v>
      </c>
      <c r="AL494" s="43">
        <f t="shared" si="193"/>
        <v>6181.2322574895079</v>
      </c>
      <c r="AM494" s="43">
        <f t="shared" si="194"/>
        <v>5959.011987116186</v>
      </c>
      <c r="AN494" s="43">
        <f t="shared" si="195"/>
        <v>2923.9509259647625</v>
      </c>
    </row>
    <row r="495" spans="2:40">
      <c r="B495" s="37" t="str">
        <f t="shared" si="188"/>
        <v>Asset 189</v>
      </c>
      <c r="F495" s="37" t="str">
        <f t="shared" ref="F495:L495" si="272">F247</f>
        <v>20 Kantoorgebouwen</v>
      </c>
      <c r="G495" s="37">
        <f t="shared" si="272"/>
        <v>2017</v>
      </c>
      <c r="H495" s="52">
        <f t="shared" si="272"/>
        <v>1235103.6006231268</v>
      </c>
      <c r="I495" s="37">
        <f t="shared" si="272"/>
        <v>2021</v>
      </c>
      <c r="J495" s="52">
        <f t="shared" si="272"/>
        <v>30</v>
      </c>
      <c r="K495" s="177">
        <f t="shared" si="272"/>
        <v>0</v>
      </c>
      <c r="L495" s="52">
        <f t="shared" si="272"/>
        <v>1123005.4133120223</v>
      </c>
      <c r="N495" s="43">
        <f t="shared" si="201"/>
        <v>1123005.4133120223</v>
      </c>
      <c r="P495" s="38">
        <f t="shared" si="190"/>
        <v>25.5</v>
      </c>
      <c r="R495" s="43">
        <f t="shared" si="263"/>
        <v>51526.130728433964</v>
      </c>
      <c r="S495" s="43">
        <f t="shared" si="263"/>
        <v>48899.308377572626</v>
      </c>
      <c r="T495" s="43">
        <f t="shared" si="263"/>
        <v>46406.402460284604</v>
      </c>
      <c r="U495" s="43">
        <f t="shared" si="263"/>
        <v>44040.585864270091</v>
      </c>
      <c r="V495" s="43">
        <f t="shared" si="263"/>
        <v>41795.379526091616</v>
      </c>
      <c r="X495" s="43">
        <f t="shared" si="264"/>
        <v>4403.9427973020483</v>
      </c>
      <c r="Y495" s="43">
        <f t="shared" si="264"/>
        <v>4403.9427973020483</v>
      </c>
      <c r="Z495" s="43">
        <f t="shared" si="264"/>
        <v>4403.9427973020483</v>
      </c>
      <c r="AA495" s="43">
        <f t="shared" si="264"/>
        <v>4403.9427973020483</v>
      </c>
      <c r="AB495" s="43">
        <f t="shared" si="264"/>
        <v>4403.9427973020483</v>
      </c>
      <c r="AD495" s="43">
        <f t="shared" si="202"/>
        <v>1067075.3397862862</v>
      </c>
      <c r="AE495" s="43">
        <f t="shared" si="203"/>
        <v>1013772.0886114116</v>
      </c>
      <c r="AF495" s="43">
        <f t="shared" si="204"/>
        <v>962961.74335382495</v>
      </c>
      <c r="AG495" s="43">
        <f t="shared" si="205"/>
        <v>914517.2146922528</v>
      </c>
      <c r="AH495" s="43">
        <f t="shared" si="206"/>
        <v>868317.89236885915</v>
      </c>
      <c r="AJ495" s="43">
        <f t="shared" si="191"/>
        <v>92210.635078469757</v>
      </c>
      <c r="AK495" s="43">
        <f t="shared" si="192"/>
        <v>86757.730099051259</v>
      </c>
      <c r="AL495" s="43">
        <f t="shared" si="193"/>
        <v>87402.891505031992</v>
      </c>
      <c r="AM495" s="43">
        <f t="shared" si="194"/>
        <v>83196.182819877751</v>
      </c>
      <c r="AN495" s="43">
        <f t="shared" si="195"/>
        <v>79195.402233410307</v>
      </c>
    </row>
    <row r="496" spans="2:40">
      <c r="B496" s="37" t="str">
        <f t="shared" si="188"/>
        <v>Asset 190</v>
      </c>
      <c r="F496" s="37" t="str">
        <f t="shared" ref="F496:L496" si="273">F248</f>
        <v>13 Aanhangwagens</v>
      </c>
      <c r="G496" s="37">
        <f t="shared" si="273"/>
        <v>2017</v>
      </c>
      <c r="H496" s="52">
        <f t="shared" si="273"/>
        <v>251242.94461834809</v>
      </c>
      <c r="I496" s="37">
        <f t="shared" si="273"/>
        <v>2021</v>
      </c>
      <c r="J496" s="52">
        <f t="shared" si="273"/>
        <v>10</v>
      </c>
      <c r="K496" s="177">
        <f t="shared" si="273"/>
        <v>1</v>
      </c>
      <c r="L496" s="52">
        <f t="shared" si="273"/>
        <v>147814.18069019204</v>
      </c>
      <c r="N496" s="43">
        <f t="shared" si="201"/>
        <v>147814.18069019204</v>
      </c>
      <c r="P496" s="38">
        <f t="shared" si="190"/>
        <v>5.5</v>
      </c>
      <c r="R496" s="43">
        <f t="shared" si="263"/>
        <v>31444.107528640856</v>
      </c>
      <c r="S496" s="43">
        <f t="shared" si="263"/>
        <v>24011.863930962107</v>
      </c>
      <c r="T496" s="43">
        <f t="shared" si="263"/>
        <v>22164.797474734252</v>
      </c>
      <c r="U496" s="43">
        <f t="shared" si="263"/>
        <v>22164.797474734252</v>
      </c>
      <c r="V496" s="43">
        <f t="shared" si="263"/>
        <v>22164.797474734252</v>
      </c>
      <c r="X496" s="43">
        <f t="shared" si="264"/>
        <v>2687.5305580034919</v>
      </c>
      <c r="Y496" s="43">
        <f t="shared" si="264"/>
        <v>2687.5305580034919</v>
      </c>
      <c r="Z496" s="43">
        <f t="shared" si="264"/>
        <v>2687.5305580034919</v>
      </c>
      <c r="AA496" s="43">
        <f t="shared" si="264"/>
        <v>2687.5305580034919</v>
      </c>
      <c r="AB496" s="43">
        <f t="shared" si="264"/>
        <v>2687.5305580034919</v>
      </c>
      <c r="AD496" s="43">
        <f t="shared" si="202"/>
        <v>113682.54260354768</v>
      </c>
      <c r="AE496" s="43">
        <f t="shared" si="203"/>
        <v>86983.148114582087</v>
      </c>
      <c r="AF496" s="43">
        <f t="shared" si="204"/>
        <v>62130.820081844344</v>
      </c>
      <c r="AG496" s="43">
        <f t="shared" si="205"/>
        <v>37278.4920491066</v>
      </c>
      <c r="AH496" s="43">
        <f t="shared" si="206"/>
        <v>12426.164016368857</v>
      </c>
      <c r="AJ496" s="43">
        <f t="shared" si="191"/>
        <v>37996.844535164972</v>
      </c>
      <c r="AK496" s="43">
        <f t="shared" si="192"/>
        <v>29569.838376746808</v>
      </c>
      <c r="AL496" s="43">
        <f t="shared" si="193"/>
        <v>27213.299195847827</v>
      </c>
      <c r="AM496" s="43">
        <f t="shared" si="194"/>
        <v>26268.910730603795</v>
      </c>
      <c r="AN496" s="43">
        <f t="shared" si="195"/>
        <v>25324.522265359759</v>
      </c>
    </row>
    <row r="497" spans="2:40">
      <c r="B497" s="37" t="str">
        <f t="shared" si="188"/>
        <v>Asset 191</v>
      </c>
      <c r="F497" s="37" t="str">
        <f t="shared" ref="F497:L497" si="274">F249</f>
        <v>12 Motorvoertuigen</v>
      </c>
      <c r="G497" s="37">
        <f t="shared" si="274"/>
        <v>2017</v>
      </c>
      <c r="H497" s="52">
        <f t="shared" si="274"/>
        <v>342149.84909853589</v>
      </c>
      <c r="I497" s="37">
        <f t="shared" si="274"/>
        <v>2021</v>
      </c>
      <c r="J497" s="52">
        <f t="shared" si="274"/>
        <v>10</v>
      </c>
      <c r="K497" s="177">
        <f t="shared" si="274"/>
        <v>1</v>
      </c>
      <c r="L497" s="52">
        <f t="shared" si="274"/>
        <v>201297.59143922853</v>
      </c>
      <c r="N497" s="43">
        <f t="shared" si="201"/>
        <v>201297.59143922853</v>
      </c>
      <c r="P497" s="38">
        <f t="shared" si="190"/>
        <v>5.5</v>
      </c>
      <c r="R497" s="43">
        <f t="shared" ref="R497:V506" si="275">IF(R$305&lt;=$G497+$J497,VDB($L497*(1-$F$25),0,$P497,R$305-2022,MIN(R$305-2021,$P497),$F$22),0)</f>
        <v>42821.487633435885</v>
      </c>
      <c r="S497" s="43">
        <f t="shared" si="275"/>
        <v>32700.0451018965</v>
      </c>
      <c r="T497" s="43">
        <f t="shared" si="275"/>
        <v>30184.657017135232</v>
      </c>
      <c r="U497" s="43">
        <f t="shared" si="275"/>
        <v>30184.657017135232</v>
      </c>
      <c r="V497" s="43">
        <f t="shared" si="275"/>
        <v>30184.657017135232</v>
      </c>
      <c r="X497" s="43">
        <f t="shared" ref="X497:AB506" si="276">IF(X$305&lt;=$G497+$J497,VDB($L497*$F$25,0,$P497,X$305-2022,MIN(X$305-2021,$P497),1),0)</f>
        <v>3659.9562079859738</v>
      </c>
      <c r="Y497" s="43">
        <f t="shared" si="276"/>
        <v>3659.9562079859734</v>
      </c>
      <c r="Z497" s="43">
        <f t="shared" si="276"/>
        <v>3659.9562079859734</v>
      </c>
      <c r="AA497" s="43">
        <f t="shared" si="276"/>
        <v>3659.9562079859734</v>
      </c>
      <c r="AB497" s="43">
        <f t="shared" si="276"/>
        <v>3659.9562079859734</v>
      </c>
      <c r="AD497" s="43">
        <f t="shared" si="202"/>
        <v>154816.14759780667</v>
      </c>
      <c r="AE497" s="43">
        <f t="shared" si="203"/>
        <v>118456.1462879242</v>
      </c>
      <c r="AF497" s="43">
        <f t="shared" si="204"/>
        <v>84611.533062802991</v>
      </c>
      <c r="AG497" s="43">
        <f t="shared" si="205"/>
        <v>50766.91983768178</v>
      </c>
      <c r="AH497" s="43">
        <f t="shared" si="206"/>
        <v>16922.306612560576</v>
      </c>
      <c r="AJ497" s="43">
        <f t="shared" si="191"/>
        <v>51745.192859747287</v>
      </c>
      <c r="AK497" s="43">
        <f t="shared" si="192"/>
        <v>40269.054137383973</v>
      </c>
      <c r="AL497" s="43">
        <f t="shared" si="193"/>
        <v>37059.851481507714</v>
      </c>
      <c r="AM497" s="43">
        <f t="shared" si="194"/>
        <v>35773.75617895311</v>
      </c>
      <c r="AN497" s="43">
        <f t="shared" si="195"/>
        <v>34487.660876398506</v>
      </c>
    </row>
    <row r="498" spans="2:40">
      <c r="B498" s="37" t="str">
        <f t="shared" si="188"/>
        <v>Asset 192</v>
      </c>
      <c r="F498" s="37" t="str">
        <f t="shared" ref="F498:L498" si="277">F250</f>
        <v>10 Gereedschap (gaschromatografen en comptabele meters)</v>
      </c>
      <c r="G498" s="37">
        <f t="shared" si="277"/>
        <v>2017</v>
      </c>
      <c r="H498" s="52">
        <f t="shared" si="277"/>
        <v>492613.45921199484</v>
      </c>
      <c r="I498" s="37">
        <f t="shared" si="277"/>
        <v>2021</v>
      </c>
      <c r="J498" s="52">
        <f t="shared" si="277"/>
        <v>10</v>
      </c>
      <c r="K498" s="177">
        <f t="shared" si="277"/>
        <v>0</v>
      </c>
      <c r="L498" s="52">
        <f t="shared" si="277"/>
        <v>289820.09815635922</v>
      </c>
      <c r="N498" s="43">
        <f t="shared" si="201"/>
        <v>289820.09815635922</v>
      </c>
      <c r="P498" s="38">
        <f t="shared" si="190"/>
        <v>5.5</v>
      </c>
      <c r="R498" s="43">
        <f t="shared" si="275"/>
        <v>61652.639062352777</v>
      </c>
      <c r="S498" s="43">
        <f t="shared" si="275"/>
        <v>47080.197102160309</v>
      </c>
      <c r="T498" s="43">
        <f t="shared" si="275"/>
        <v>43458.643478917205</v>
      </c>
      <c r="U498" s="43">
        <f t="shared" si="275"/>
        <v>43458.643478917205</v>
      </c>
      <c r="V498" s="43">
        <f t="shared" si="275"/>
        <v>43458.643478917205</v>
      </c>
      <c r="X498" s="43">
        <f t="shared" si="276"/>
        <v>5269.4563301156222</v>
      </c>
      <c r="Y498" s="43">
        <f t="shared" si="276"/>
        <v>5269.4563301156222</v>
      </c>
      <c r="Z498" s="43">
        <f t="shared" si="276"/>
        <v>5269.4563301156222</v>
      </c>
      <c r="AA498" s="43">
        <f t="shared" si="276"/>
        <v>5269.4563301156222</v>
      </c>
      <c r="AB498" s="43">
        <f t="shared" si="276"/>
        <v>5269.4563301156222</v>
      </c>
      <c r="AD498" s="43">
        <f t="shared" si="202"/>
        <v>222898.00276389084</v>
      </c>
      <c r="AE498" s="43">
        <f t="shared" si="203"/>
        <v>170548.34933161491</v>
      </c>
      <c r="AF498" s="43">
        <f t="shared" si="204"/>
        <v>121820.24952258209</v>
      </c>
      <c r="AG498" s="43">
        <f t="shared" si="205"/>
        <v>73092.149713549268</v>
      </c>
      <c r="AH498" s="43">
        <f t="shared" si="206"/>
        <v>24364.04990451644</v>
      </c>
      <c r="AJ498" s="43">
        <f t="shared" si="191"/>
        <v>74500.627486440688</v>
      </c>
      <c r="AK498" s="43">
        <f t="shared" si="192"/>
        <v>57977.748960219222</v>
      </c>
      <c r="AL498" s="43">
        <f t="shared" si="193"/>
        <v>53357.269290890945</v>
      </c>
      <c r="AM498" s="43">
        <f t="shared" si="194"/>
        <v>51505.601498147698</v>
      </c>
      <c r="AN498" s="43">
        <f t="shared" si="195"/>
        <v>49653.933705404452</v>
      </c>
    </row>
    <row r="499" spans="2:40">
      <c r="B499" s="37" t="str">
        <f t="shared" si="188"/>
        <v>Asset 193</v>
      </c>
      <c r="F499" s="37" t="str">
        <f t="shared" ref="F499:L499" si="278">F251</f>
        <v>11 Werktuigen</v>
      </c>
      <c r="G499" s="37">
        <f t="shared" si="278"/>
        <v>2017</v>
      </c>
      <c r="H499" s="52">
        <f t="shared" si="278"/>
        <v>2185364.6124668787</v>
      </c>
      <c r="I499" s="37">
        <f t="shared" si="278"/>
        <v>2021</v>
      </c>
      <c r="J499" s="52">
        <f t="shared" si="278"/>
        <v>10</v>
      </c>
      <c r="K499" s="177">
        <f t="shared" si="278"/>
        <v>1</v>
      </c>
      <c r="L499" s="52">
        <f t="shared" si="278"/>
        <v>1285719.20772473</v>
      </c>
      <c r="N499" s="43">
        <f t="shared" si="201"/>
        <v>1285719.20772473</v>
      </c>
      <c r="P499" s="38">
        <f t="shared" si="190"/>
        <v>5.5</v>
      </c>
      <c r="R499" s="43">
        <f t="shared" si="275"/>
        <v>273507.54055235168</v>
      </c>
      <c r="S499" s="43">
        <f t="shared" si="275"/>
        <v>208860.30369452311</v>
      </c>
      <c r="T499" s="43">
        <f t="shared" si="275"/>
        <v>192794.1264872521</v>
      </c>
      <c r="U499" s="43">
        <f t="shared" si="275"/>
        <v>192794.1264872521</v>
      </c>
      <c r="V499" s="43">
        <f t="shared" si="275"/>
        <v>192794.1264872521</v>
      </c>
      <c r="X499" s="43">
        <f t="shared" si="276"/>
        <v>23376.712867722366</v>
      </c>
      <c r="Y499" s="43">
        <f t="shared" si="276"/>
        <v>23376.712867722366</v>
      </c>
      <c r="Z499" s="43">
        <f t="shared" si="276"/>
        <v>23376.712867722366</v>
      </c>
      <c r="AA499" s="43">
        <f t="shared" si="276"/>
        <v>23376.712867722366</v>
      </c>
      <c r="AB499" s="43">
        <f t="shared" si="276"/>
        <v>23376.712867722366</v>
      </c>
      <c r="AD499" s="43">
        <f t="shared" si="202"/>
        <v>988834.95430465601</v>
      </c>
      <c r="AE499" s="43">
        <f t="shared" si="203"/>
        <v>756597.93774241046</v>
      </c>
      <c r="AF499" s="43">
        <f t="shared" si="204"/>
        <v>540427.09838743601</v>
      </c>
      <c r="AG499" s="43">
        <f t="shared" si="205"/>
        <v>324256.25903246156</v>
      </c>
      <c r="AH499" s="43">
        <f t="shared" si="206"/>
        <v>108085.41967748709</v>
      </c>
      <c r="AJ499" s="43">
        <f t="shared" si="191"/>
        <v>330504.64186643239</v>
      </c>
      <c r="AK499" s="43">
        <f t="shared" si="192"/>
        <v>257204.74850774504</v>
      </c>
      <c r="AL499" s="43">
        <f t="shared" si="193"/>
        <v>236707.06909369701</v>
      </c>
      <c r="AM499" s="43">
        <f t="shared" si="194"/>
        <v>228492.57719820799</v>
      </c>
      <c r="AN499" s="43">
        <f t="shared" si="195"/>
        <v>220278.08530271897</v>
      </c>
    </row>
    <row r="500" spans="2:40">
      <c r="B500" s="37" t="str">
        <f t="shared" ref="B500:B549" si="279">B252</f>
        <v>Asset 194</v>
      </c>
      <c r="F500" s="37" t="str">
        <f t="shared" ref="F500:L500" si="280">F252</f>
        <v>14 Overig rollend materieel</v>
      </c>
      <c r="G500" s="37">
        <f t="shared" si="280"/>
        <v>2017</v>
      </c>
      <c r="H500" s="52">
        <f t="shared" si="280"/>
        <v>68624.022512808762</v>
      </c>
      <c r="I500" s="37">
        <f t="shared" si="280"/>
        <v>2021</v>
      </c>
      <c r="J500" s="52">
        <f t="shared" si="280"/>
        <v>10</v>
      </c>
      <c r="K500" s="177">
        <f t="shared" si="280"/>
        <v>1</v>
      </c>
      <c r="L500" s="52">
        <f t="shared" si="280"/>
        <v>40373.685632465487</v>
      </c>
      <c r="N500" s="43">
        <f t="shared" si="201"/>
        <v>40373.685632465487</v>
      </c>
      <c r="P500" s="38">
        <f t="shared" ref="P500:P549" si="281">MAX(0,IF(G500&lt;=2021, J500-2021+G500-0.5,J500))</f>
        <v>5.5</v>
      </c>
      <c r="R500" s="43">
        <f t="shared" si="275"/>
        <v>8588.5840345426586</v>
      </c>
      <c r="S500" s="43">
        <f t="shared" si="275"/>
        <v>6558.5550809234837</v>
      </c>
      <c r="T500" s="43">
        <f t="shared" si="275"/>
        <v>6054.0508439293699</v>
      </c>
      <c r="U500" s="43">
        <f t="shared" si="275"/>
        <v>6054.0508439293699</v>
      </c>
      <c r="V500" s="43">
        <f t="shared" si="275"/>
        <v>6054.0508439293699</v>
      </c>
      <c r="X500" s="43">
        <f t="shared" si="276"/>
        <v>734.0670114993726</v>
      </c>
      <c r="Y500" s="43">
        <f t="shared" si="276"/>
        <v>734.06701149937248</v>
      </c>
      <c r="Z500" s="43">
        <f t="shared" si="276"/>
        <v>734.06701149937248</v>
      </c>
      <c r="AA500" s="43">
        <f t="shared" si="276"/>
        <v>734.06701149937248</v>
      </c>
      <c r="AB500" s="43">
        <f t="shared" si="276"/>
        <v>734.06701149937248</v>
      </c>
      <c r="AD500" s="43">
        <f t="shared" si="202"/>
        <v>31051.034586423455</v>
      </c>
      <c r="AE500" s="43">
        <f t="shared" si="203"/>
        <v>23758.412494000597</v>
      </c>
      <c r="AF500" s="43">
        <f t="shared" si="204"/>
        <v>16970.294638571853</v>
      </c>
      <c r="AG500" s="43">
        <f t="shared" si="205"/>
        <v>10182.176783143112</v>
      </c>
      <c r="AH500" s="43">
        <f t="shared" si="206"/>
        <v>3394.058927714369</v>
      </c>
      <c r="AJ500" s="43">
        <f t="shared" ref="AJ500:AJ549" si="282">(R500+X500+AD500*I$16)*IF($K500=1,$F$19,1)</f>
        <v>10378.386221980429</v>
      </c>
      <c r="AK500" s="43">
        <f t="shared" ref="AK500:AK549" si="283">(S500+Y500+AE500*J$16)*IF($K500=1,$F$19,1)</f>
        <v>8076.6497047248758</v>
      </c>
      <c r="AL500" s="43">
        <f t="shared" ref="AL500:AL549" si="284">(T500+Z500+AF500*K$16)*IF($K500=1,$F$19,1)</f>
        <v>7432.9890516944733</v>
      </c>
      <c r="AM500" s="43">
        <f t="shared" ref="AM500:AM549" si="285">(U500+AA500+AG500*L$16)*IF($K500=1,$F$19,1)</f>
        <v>7175.040573188181</v>
      </c>
      <c r="AN500" s="43">
        <f t="shared" ref="AN500:AN549" si="286">(V500+AB500+AH500*M$16)*IF($K500=1,$F$19,1)</f>
        <v>6917.0920946818887</v>
      </c>
    </row>
    <row r="501" spans="2:40">
      <c r="B501" s="37" t="str">
        <f t="shared" si="279"/>
        <v>Asset 195</v>
      </c>
      <c r="F501" s="37" t="str">
        <f t="shared" ref="F501:L501" si="287">F253</f>
        <v>09 Bedrijfsinventaris</v>
      </c>
      <c r="G501" s="37">
        <f t="shared" si="287"/>
        <v>2017</v>
      </c>
      <c r="H501" s="52">
        <f t="shared" si="287"/>
        <v>75086.588886849713</v>
      </c>
      <c r="I501" s="37">
        <f t="shared" si="287"/>
        <v>2021</v>
      </c>
      <c r="J501" s="52">
        <f t="shared" si="287"/>
        <v>10</v>
      </c>
      <c r="K501" s="177">
        <f t="shared" si="287"/>
        <v>1</v>
      </c>
      <c r="L501" s="52">
        <f t="shared" si="287"/>
        <v>44175.81808711389</v>
      </c>
      <c r="N501" s="43">
        <f t="shared" si="201"/>
        <v>44175.81808711389</v>
      </c>
      <c r="P501" s="38">
        <f t="shared" si="281"/>
        <v>5.5</v>
      </c>
      <c r="R501" s="43">
        <f t="shared" si="275"/>
        <v>9397.4013021678638</v>
      </c>
      <c r="S501" s="43">
        <f t="shared" si="275"/>
        <v>7176.197358019097</v>
      </c>
      <c r="T501" s="43">
        <f t="shared" si="275"/>
        <v>6624.1821766330122</v>
      </c>
      <c r="U501" s="43">
        <f t="shared" si="275"/>
        <v>6624.1821766330122</v>
      </c>
      <c r="V501" s="43">
        <f t="shared" si="275"/>
        <v>6624.1821766330122</v>
      </c>
      <c r="X501" s="43">
        <f t="shared" si="276"/>
        <v>803.19669249297988</v>
      </c>
      <c r="Y501" s="43">
        <f t="shared" si="276"/>
        <v>803.19669249297988</v>
      </c>
      <c r="Z501" s="43">
        <f t="shared" si="276"/>
        <v>803.19669249297988</v>
      </c>
      <c r="AA501" s="43">
        <f t="shared" si="276"/>
        <v>803.19669249297988</v>
      </c>
      <c r="AB501" s="43">
        <f t="shared" si="276"/>
        <v>803.19669249297988</v>
      </c>
      <c r="AD501" s="43">
        <f t="shared" si="202"/>
        <v>33975.220092453048</v>
      </c>
      <c r="AE501" s="43">
        <f t="shared" si="203"/>
        <v>25995.826041940971</v>
      </c>
      <c r="AF501" s="43">
        <f t="shared" si="204"/>
        <v>18568.44717281498</v>
      </c>
      <c r="AG501" s="43">
        <f t="shared" si="205"/>
        <v>11141.068303688988</v>
      </c>
      <c r="AH501" s="43">
        <f t="shared" si="206"/>
        <v>3713.6894345629958</v>
      </c>
      <c r="AJ501" s="43">
        <f t="shared" si="282"/>
        <v>11355.755477804247</v>
      </c>
      <c r="AK501" s="43">
        <f t="shared" si="283"/>
        <v>8837.2563098961291</v>
      </c>
      <c r="AL501" s="43">
        <f t="shared" si="284"/>
        <v>8132.979861692962</v>
      </c>
      <c r="AM501" s="43">
        <f t="shared" si="285"/>
        <v>7850.7394646661742</v>
      </c>
      <c r="AN501" s="43">
        <f t="shared" si="286"/>
        <v>7568.4990676393863</v>
      </c>
    </row>
    <row r="502" spans="2:40">
      <c r="B502" s="37" t="str">
        <f t="shared" si="279"/>
        <v>Asset 196</v>
      </c>
      <c r="F502" s="37" t="str">
        <f t="shared" ref="F502:L502" si="288">F254</f>
        <v>08 Inrichting gebouwen</v>
      </c>
      <c r="G502" s="37">
        <f t="shared" si="288"/>
        <v>2017</v>
      </c>
      <c r="H502" s="52">
        <f t="shared" si="288"/>
        <v>894081.48176313401</v>
      </c>
      <c r="I502" s="37">
        <f t="shared" si="288"/>
        <v>2021</v>
      </c>
      <c r="J502" s="52">
        <f t="shared" si="288"/>
        <v>10</v>
      </c>
      <c r="K502" s="177">
        <f t="shared" si="288"/>
        <v>0</v>
      </c>
      <c r="L502" s="52">
        <f t="shared" si="288"/>
        <v>526016.44952794898</v>
      </c>
      <c r="N502" s="43">
        <f t="shared" si="201"/>
        <v>526016.44952794898</v>
      </c>
      <c r="P502" s="38">
        <f t="shared" si="281"/>
        <v>5.5</v>
      </c>
      <c r="R502" s="43">
        <f t="shared" si="275"/>
        <v>111898.0447177637</v>
      </c>
      <c r="S502" s="43">
        <f t="shared" si="275"/>
        <v>85449.415966292276</v>
      </c>
      <c r="T502" s="43">
        <f t="shared" si="275"/>
        <v>78876.383968885188</v>
      </c>
      <c r="U502" s="43">
        <f t="shared" si="275"/>
        <v>78876.383968885188</v>
      </c>
      <c r="V502" s="43">
        <f t="shared" si="275"/>
        <v>78876.383968885188</v>
      </c>
      <c r="X502" s="43">
        <f t="shared" si="276"/>
        <v>9563.9354459627102</v>
      </c>
      <c r="Y502" s="43">
        <f t="shared" si="276"/>
        <v>9563.9354459627102</v>
      </c>
      <c r="Z502" s="43">
        <f t="shared" si="276"/>
        <v>9563.9354459627102</v>
      </c>
      <c r="AA502" s="43">
        <f t="shared" si="276"/>
        <v>9563.9354459627102</v>
      </c>
      <c r="AB502" s="43">
        <f t="shared" si="276"/>
        <v>9563.9354459627102</v>
      </c>
      <c r="AD502" s="43">
        <f t="shared" si="202"/>
        <v>404554.4693642226</v>
      </c>
      <c r="AE502" s="43">
        <f t="shared" si="203"/>
        <v>309541.11795196764</v>
      </c>
      <c r="AF502" s="43">
        <f t="shared" si="204"/>
        <v>221100.79853711976</v>
      </c>
      <c r="AG502" s="43">
        <f t="shared" si="205"/>
        <v>132660.47912227188</v>
      </c>
      <c r="AH502" s="43">
        <f t="shared" si="206"/>
        <v>44220.159707423983</v>
      </c>
      <c r="AJ502" s="43">
        <f t="shared" si="282"/>
        <v>135216.83212210998</v>
      </c>
      <c r="AK502" s="43">
        <f t="shared" si="283"/>
        <v>105228.20830466991</v>
      </c>
      <c r="AL502" s="43">
        <f t="shared" si="284"/>
        <v>96842.149759258449</v>
      </c>
      <c r="AM502" s="43">
        <f t="shared" si="285"/>
        <v>93481.417621494227</v>
      </c>
      <c r="AN502" s="43">
        <f t="shared" si="286"/>
        <v>90120.685483730005</v>
      </c>
    </row>
    <row r="503" spans="2:40">
      <c r="B503" s="37" t="str">
        <f t="shared" si="279"/>
        <v>Asset 197</v>
      </c>
      <c r="F503" s="37" t="str">
        <f t="shared" ref="F503:L503" si="289">F255</f>
        <v>09 Bedrijfsinventaris</v>
      </c>
      <c r="G503" s="37">
        <f t="shared" si="289"/>
        <v>2018</v>
      </c>
      <c r="H503" s="52">
        <f t="shared" si="289"/>
        <v>490885.08786120504</v>
      </c>
      <c r="I503" s="37">
        <f t="shared" si="289"/>
        <v>2021</v>
      </c>
      <c r="J503" s="52">
        <f t="shared" si="289"/>
        <v>10</v>
      </c>
      <c r="K503" s="177">
        <f t="shared" si="289"/>
        <v>1</v>
      </c>
      <c r="L503" s="52">
        <f t="shared" si="289"/>
        <v>336600.51580018562</v>
      </c>
      <c r="N503" s="43">
        <f t="shared" ref="N503:N549" si="290">L503*IF(K503=1,$F$19,1)</f>
        <v>336600.51580018562</v>
      </c>
      <c r="P503" s="38">
        <f t="shared" si="281"/>
        <v>6.5</v>
      </c>
      <c r="R503" s="43">
        <f t="shared" si="275"/>
        <v>60588.092844033417</v>
      </c>
      <c r="S503" s="43">
        <f t="shared" si="275"/>
        <v>48470.474275226734</v>
      </c>
      <c r="T503" s="43">
        <f t="shared" si="275"/>
        <v>43084.866022423761</v>
      </c>
      <c r="U503" s="43">
        <f t="shared" si="275"/>
        <v>43084.866022423761</v>
      </c>
      <c r="V503" s="43">
        <f t="shared" si="275"/>
        <v>43084.866022423761</v>
      </c>
      <c r="X503" s="43">
        <f t="shared" si="276"/>
        <v>5178.4694738490098</v>
      </c>
      <c r="Y503" s="43">
        <f t="shared" si="276"/>
        <v>5178.4694738490089</v>
      </c>
      <c r="Z503" s="43">
        <f t="shared" si="276"/>
        <v>5178.4694738490089</v>
      </c>
      <c r="AA503" s="43">
        <f t="shared" si="276"/>
        <v>5178.4694738490089</v>
      </c>
      <c r="AB503" s="43">
        <f t="shared" si="276"/>
        <v>5178.4694738490089</v>
      </c>
      <c r="AD503" s="43">
        <f t="shared" ref="AD503:AD549" si="291">IF(OR(AD$305&lt;=$G503+$J503,$J503=0),IF(AC503=0,$L503,AC503)-R503-X503,0)</f>
        <v>270833.95348230319</v>
      </c>
      <c r="AE503" s="43">
        <f t="shared" ref="AE503:AE549" si="292">IF(OR(AE$305&lt;=$G503+$J503,$J503=0),IF(AD503=0,$L503,AD503)-S503-Y503,0)</f>
        <v>217185.00973322743</v>
      </c>
      <c r="AF503" s="43">
        <f t="shared" ref="AF503:AF549" si="293">IF(OR(AF$305&lt;=$G503+$J503,$J503=0),IF(AE503=0,$L503,AE503)-T503-Z503,0)</f>
        <v>168921.67423695466</v>
      </c>
      <c r="AG503" s="43">
        <f t="shared" ref="AG503:AG549" si="294">IF(OR(AG$305&lt;=$G503+$J503,$J503=0),IF(AF503=0,$L503,AF503)-U503-AA503,0)</f>
        <v>120658.33874068189</v>
      </c>
      <c r="AH503" s="43">
        <f t="shared" ref="AH503:AH549" si="295">IF(OR(AH$305&lt;=$G503+$J503,$J503=0),IF(AG503=0,$L503,AG503)-V503-AB503,0)</f>
        <v>72395.003244409119</v>
      </c>
      <c r="AJ503" s="43">
        <f t="shared" si="282"/>
        <v>74974.916736280735</v>
      </c>
      <c r="AK503" s="43">
        <f t="shared" si="283"/>
        <v>60816.049070272245</v>
      </c>
      <c r="AL503" s="43">
        <f t="shared" si="284"/>
        <v>54682.359117277047</v>
      </c>
      <c r="AM503" s="43">
        <f t="shared" si="285"/>
        <v>52848.35236841868</v>
      </c>
      <c r="AN503" s="43">
        <f t="shared" si="286"/>
        <v>51014.345619560314</v>
      </c>
    </row>
    <row r="504" spans="2:40">
      <c r="B504" s="37" t="str">
        <f t="shared" si="279"/>
        <v>Asset 198</v>
      </c>
      <c r="F504" s="37" t="str">
        <f t="shared" ref="F504:L504" si="296">F256</f>
        <v>08 Inrichting gebouwen</v>
      </c>
      <c r="G504" s="37">
        <f t="shared" si="296"/>
        <v>2018</v>
      </c>
      <c r="H504" s="52">
        <f t="shared" si="296"/>
        <v>533703.76265516167</v>
      </c>
      <c r="I504" s="37">
        <f t="shared" si="296"/>
        <v>2021</v>
      </c>
      <c r="J504" s="52">
        <f t="shared" si="296"/>
        <v>10</v>
      </c>
      <c r="K504" s="177">
        <f t="shared" si="296"/>
        <v>0</v>
      </c>
      <c r="L504" s="52">
        <f t="shared" si="296"/>
        <v>365961.33440708811</v>
      </c>
      <c r="N504" s="43">
        <f t="shared" si="290"/>
        <v>365961.33440708811</v>
      </c>
      <c r="P504" s="38">
        <f t="shared" si="281"/>
        <v>6.5</v>
      </c>
      <c r="R504" s="43">
        <f t="shared" si="275"/>
        <v>65873.040193275869</v>
      </c>
      <c r="S504" s="43">
        <f t="shared" si="275"/>
        <v>52698.432154620699</v>
      </c>
      <c r="T504" s="43">
        <f t="shared" si="275"/>
        <v>46843.050804107283</v>
      </c>
      <c r="U504" s="43">
        <f t="shared" si="275"/>
        <v>46843.050804107283</v>
      </c>
      <c r="V504" s="43">
        <f t="shared" si="275"/>
        <v>46843.050804107283</v>
      </c>
      <c r="X504" s="43">
        <f t="shared" si="276"/>
        <v>5630.1743754936642</v>
      </c>
      <c r="Y504" s="43">
        <f t="shared" si="276"/>
        <v>5630.1743754936633</v>
      </c>
      <c r="Z504" s="43">
        <f t="shared" si="276"/>
        <v>5630.1743754936633</v>
      </c>
      <c r="AA504" s="43">
        <f t="shared" si="276"/>
        <v>5630.1743754936633</v>
      </c>
      <c r="AB504" s="43">
        <f t="shared" si="276"/>
        <v>5630.1743754936633</v>
      </c>
      <c r="AD504" s="43">
        <f t="shared" si="291"/>
        <v>294458.11983831855</v>
      </c>
      <c r="AE504" s="43">
        <f t="shared" si="292"/>
        <v>236129.51330820419</v>
      </c>
      <c r="AF504" s="43">
        <f t="shared" si="293"/>
        <v>183656.28812860325</v>
      </c>
      <c r="AG504" s="43">
        <f t="shared" si="294"/>
        <v>131183.06294900231</v>
      </c>
      <c r="AH504" s="43">
        <f t="shared" si="295"/>
        <v>78709.837769401376</v>
      </c>
      <c r="AJ504" s="43">
        <f t="shared" si="282"/>
        <v>81514.790643272368</v>
      </c>
      <c r="AK504" s="43">
        <f t="shared" si="283"/>
        <v>66120.880469285097</v>
      </c>
      <c r="AL504" s="43">
        <f t="shared" si="284"/>
        <v>59452.164128487871</v>
      </c>
      <c r="AM504" s="43">
        <f t="shared" si="285"/>
        <v>57458.18157166303</v>
      </c>
      <c r="AN504" s="43">
        <f t="shared" si="286"/>
        <v>55464.199014838196</v>
      </c>
    </row>
    <row r="505" spans="2:40">
      <c r="B505" s="37" t="str">
        <f t="shared" si="279"/>
        <v>Asset 199</v>
      </c>
      <c r="F505" s="37" t="str">
        <f t="shared" ref="F505:L505" si="297">F257</f>
        <v>11 Werktuigen</v>
      </c>
      <c r="G505" s="37">
        <f t="shared" si="297"/>
        <v>2018</v>
      </c>
      <c r="H505" s="52">
        <f t="shared" si="297"/>
        <v>2619455.826851733</v>
      </c>
      <c r="I505" s="37">
        <f t="shared" si="297"/>
        <v>2021</v>
      </c>
      <c r="J505" s="52">
        <f t="shared" si="297"/>
        <v>10</v>
      </c>
      <c r="K505" s="177">
        <f t="shared" si="297"/>
        <v>1</v>
      </c>
      <c r="L505" s="52">
        <f t="shared" si="297"/>
        <v>1796164.1211708463</v>
      </c>
      <c r="N505" s="43">
        <f t="shared" si="290"/>
        <v>1796164.1211708463</v>
      </c>
      <c r="P505" s="38">
        <f t="shared" si="281"/>
        <v>6.5</v>
      </c>
      <c r="R505" s="43">
        <f t="shared" si="275"/>
        <v>323309.54181075236</v>
      </c>
      <c r="S505" s="43">
        <f t="shared" si="275"/>
        <v>258647.6334486019</v>
      </c>
      <c r="T505" s="43">
        <f t="shared" si="275"/>
        <v>229909.00750986833</v>
      </c>
      <c r="U505" s="43">
        <f t="shared" si="275"/>
        <v>229909.00750986833</v>
      </c>
      <c r="V505" s="43">
        <f t="shared" si="275"/>
        <v>229909.00750986833</v>
      </c>
      <c r="X505" s="43">
        <f t="shared" si="276"/>
        <v>27633.294171859176</v>
      </c>
      <c r="Y505" s="43">
        <f t="shared" si="276"/>
        <v>27633.294171859172</v>
      </c>
      <c r="Z505" s="43">
        <f t="shared" si="276"/>
        <v>27633.294171859172</v>
      </c>
      <c r="AA505" s="43">
        <f t="shared" si="276"/>
        <v>27633.294171859172</v>
      </c>
      <c r="AB505" s="43">
        <f t="shared" si="276"/>
        <v>27633.294171859172</v>
      </c>
      <c r="AD505" s="43">
        <f t="shared" si="291"/>
        <v>1445221.2851882346</v>
      </c>
      <c r="AE505" s="43">
        <f t="shared" si="292"/>
        <v>1158940.3575677734</v>
      </c>
      <c r="AF505" s="43">
        <f t="shared" si="293"/>
        <v>901398.05588604591</v>
      </c>
      <c r="AG505" s="43">
        <f t="shared" si="294"/>
        <v>643855.75420431839</v>
      </c>
      <c r="AH505" s="43">
        <f t="shared" si="295"/>
        <v>386313.45252259087</v>
      </c>
      <c r="AJ505" s="43">
        <f t="shared" si="282"/>
        <v>400080.35967901151</v>
      </c>
      <c r="AK505" s="43">
        <f t="shared" si="283"/>
        <v>324525.95942019764</v>
      </c>
      <c r="AL505" s="43">
        <f t="shared" si="284"/>
        <v>291795.42780539725</v>
      </c>
      <c r="AM505" s="43">
        <f t="shared" si="285"/>
        <v>282008.82034149161</v>
      </c>
      <c r="AN505" s="43">
        <f t="shared" si="286"/>
        <v>272222.21287758596</v>
      </c>
    </row>
    <row r="506" spans="2:40">
      <c r="B506" s="37" t="str">
        <f t="shared" si="279"/>
        <v>Asset 200</v>
      </c>
      <c r="F506" s="37" t="str">
        <f t="shared" ref="F506:L506" si="298">F258</f>
        <v>10 Gereedschap</v>
      </c>
      <c r="G506" s="37">
        <f t="shared" si="298"/>
        <v>2018</v>
      </c>
      <c r="H506" s="52">
        <f t="shared" si="298"/>
        <v>252164.79428194632</v>
      </c>
      <c r="I506" s="37">
        <f t="shared" si="298"/>
        <v>2021</v>
      </c>
      <c r="J506" s="52">
        <f t="shared" si="298"/>
        <v>10</v>
      </c>
      <c r="K506" s="177">
        <f t="shared" si="298"/>
        <v>1</v>
      </c>
      <c r="L506" s="52">
        <f t="shared" si="298"/>
        <v>172909.7133338665</v>
      </c>
      <c r="N506" s="43">
        <f t="shared" si="290"/>
        <v>172909.7133338665</v>
      </c>
      <c r="P506" s="38">
        <f t="shared" si="281"/>
        <v>6.5</v>
      </c>
      <c r="R506" s="43">
        <f t="shared" si="275"/>
        <v>31123.748400095974</v>
      </c>
      <c r="S506" s="43">
        <f t="shared" si="275"/>
        <v>24898.998720076779</v>
      </c>
      <c r="T506" s="43">
        <f t="shared" si="275"/>
        <v>22132.443306734916</v>
      </c>
      <c r="U506" s="43">
        <f t="shared" si="275"/>
        <v>22132.443306734916</v>
      </c>
      <c r="V506" s="43">
        <f t="shared" si="275"/>
        <v>22132.443306734916</v>
      </c>
      <c r="X506" s="43">
        <f t="shared" si="276"/>
        <v>2660.1494359056387</v>
      </c>
      <c r="Y506" s="43">
        <f t="shared" si="276"/>
        <v>2660.1494359056383</v>
      </c>
      <c r="Z506" s="43">
        <f t="shared" si="276"/>
        <v>2660.1494359056383</v>
      </c>
      <c r="AA506" s="43">
        <f t="shared" si="276"/>
        <v>2660.1494359056383</v>
      </c>
      <c r="AB506" s="43">
        <f t="shared" si="276"/>
        <v>2660.1494359056383</v>
      </c>
      <c r="AD506" s="43">
        <f t="shared" si="291"/>
        <v>139125.81549786488</v>
      </c>
      <c r="AE506" s="43">
        <f t="shared" si="292"/>
        <v>111566.66734188246</v>
      </c>
      <c r="AF506" s="43">
        <f t="shared" si="293"/>
        <v>86774.074599241911</v>
      </c>
      <c r="AG506" s="43">
        <f t="shared" si="294"/>
        <v>61981.481856601356</v>
      </c>
      <c r="AH506" s="43">
        <f t="shared" si="295"/>
        <v>37188.889113960802</v>
      </c>
      <c r="AJ506" s="43">
        <f t="shared" si="282"/>
        <v>38514.17556292902</v>
      </c>
      <c r="AK506" s="43">
        <f t="shared" si="283"/>
        <v>31240.848178264539</v>
      </c>
      <c r="AL506" s="43">
        <f t="shared" si="284"/>
        <v>28090.007577411747</v>
      </c>
      <c r="AM506" s="43">
        <f t="shared" si="285"/>
        <v>27147.889053191408</v>
      </c>
      <c r="AN506" s="43">
        <f t="shared" si="286"/>
        <v>26205.770528971065</v>
      </c>
    </row>
    <row r="507" spans="2:40">
      <c r="B507" s="37" t="str">
        <f t="shared" si="279"/>
        <v>Asset 201</v>
      </c>
      <c r="F507" s="37" t="str">
        <f t="shared" ref="F507:L507" si="299">F259</f>
        <v>11 Werktuigen (KC)</v>
      </c>
      <c r="G507" s="37">
        <f t="shared" si="299"/>
        <v>2018</v>
      </c>
      <c r="H507" s="52">
        <f t="shared" si="299"/>
        <v>13021546.318391869</v>
      </c>
      <c r="I507" s="37">
        <f t="shared" si="299"/>
        <v>2021</v>
      </c>
      <c r="J507" s="52">
        <f t="shared" si="299"/>
        <v>10</v>
      </c>
      <c r="K507" s="177">
        <f t="shared" si="299"/>
        <v>0</v>
      </c>
      <c r="L507" s="52">
        <f t="shared" si="299"/>
        <v>8928890.519742161</v>
      </c>
      <c r="N507" s="43">
        <f t="shared" si="290"/>
        <v>8928890.519742161</v>
      </c>
      <c r="P507" s="38">
        <f t="shared" si="281"/>
        <v>6.5</v>
      </c>
      <c r="R507" s="43">
        <f t="shared" ref="R507:V516" si="300">IF(R$305&lt;=$G507+$J507,VDB($L507*(1-$F$25),0,$P507,R$305-2022,MIN(R$305-2021,$P507),$F$22),0)</f>
        <v>1607200.2935535891</v>
      </c>
      <c r="S507" s="43">
        <f t="shared" si="300"/>
        <v>1285760.2348428713</v>
      </c>
      <c r="T507" s="43">
        <f t="shared" si="300"/>
        <v>1142897.9865269968</v>
      </c>
      <c r="U507" s="43">
        <f t="shared" si="300"/>
        <v>1142897.9865269968</v>
      </c>
      <c r="V507" s="43">
        <f t="shared" si="300"/>
        <v>1142897.9865269968</v>
      </c>
      <c r="X507" s="43">
        <f t="shared" ref="X507:AB516" si="301">IF(X$305&lt;=$G507+$J507,VDB($L507*$F$25,0,$P507,X$305-2022,MIN(X$305-2021,$P507),1),0)</f>
        <v>137367.54645757171</v>
      </c>
      <c r="Y507" s="43">
        <f t="shared" si="301"/>
        <v>137367.54645757171</v>
      </c>
      <c r="Z507" s="43">
        <f t="shared" si="301"/>
        <v>137367.54645757171</v>
      </c>
      <c r="AA507" s="43">
        <f t="shared" si="301"/>
        <v>137367.54645757171</v>
      </c>
      <c r="AB507" s="43">
        <f t="shared" si="301"/>
        <v>137367.54645757171</v>
      </c>
      <c r="AD507" s="43">
        <f t="shared" si="291"/>
        <v>7184322.6797310002</v>
      </c>
      <c r="AE507" s="43">
        <f t="shared" si="292"/>
        <v>5761194.898430557</v>
      </c>
      <c r="AF507" s="43">
        <f t="shared" si="293"/>
        <v>4480929.3654459883</v>
      </c>
      <c r="AG507" s="43">
        <f t="shared" si="294"/>
        <v>3200663.8324614195</v>
      </c>
      <c r="AH507" s="43">
        <f t="shared" si="295"/>
        <v>1920398.299476851</v>
      </c>
      <c r="AJ507" s="43">
        <f t="shared" si="282"/>
        <v>1988834.8111220149</v>
      </c>
      <c r="AK507" s="43">
        <f t="shared" si="283"/>
        <v>1613247.2129486513</v>
      </c>
      <c r="AL507" s="43">
        <f t="shared" si="284"/>
        <v>1450540.8488715161</v>
      </c>
      <c r="AM507" s="43">
        <f t="shared" si="285"/>
        <v>1401890.7586181024</v>
      </c>
      <c r="AN507" s="43">
        <f t="shared" si="286"/>
        <v>1353240.6683646888</v>
      </c>
    </row>
    <row r="508" spans="2:40">
      <c r="B508" s="37" t="str">
        <f t="shared" si="279"/>
        <v>Asset 202</v>
      </c>
      <c r="F508" s="37" t="str">
        <f t="shared" ref="F508:L508" si="302">F260</f>
        <v>20 Kantoorgebouwen</v>
      </c>
      <c r="G508" s="37">
        <f t="shared" si="302"/>
        <v>2018</v>
      </c>
      <c r="H508" s="52">
        <f t="shared" si="302"/>
        <v>5158473.573657441</v>
      </c>
      <c r="I508" s="37">
        <f t="shared" si="302"/>
        <v>2021</v>
      </c>
      <c r="J508" s="52">
        <f t="shared" si="302"/>
        <v>30</v>
      </c>
      <c r="K508" s="177">
        <f t="shared" si="302"/>
        <v>0</v>
      </c>
      <c r="L508" s="52">
        <f t="shared" si="302"/>
        <v>4806925.7125234623</v>
      </c>
      <c r="N508" s="43">
        <f t="shared" si="290"/>
        <v>4806925.7125234623</v>
      </c>
      <c r="P508" s="38">
        <f t="shared" si="281"/>
        <v>26.5</v>
      </c>
      <c r="R508" s="43">
        <f t="shared" si="300"/>
        <v>212230.30504348874</v>
      </c>
      <c r="S508" s="43">
        <f t="shared" si="300"/>
        <v>201819.00706022326</v>
      </c>
      <c r="T508" s="43">
        <f t="shared" si="300"/>
        <v>191918.45199689153</v>
      </c>
      <c r="U508" s="43">
        <f t="shared" si="300"/>
        <v>182503.58454044024</v>
      </c>
      <c r="V508" s="43">
        <f t="shared" si="300"/>
        <v>173550.5785063809</v>
      </c>
      <c r="X508" s="43">
        <f t="shared" si="301"/>
        <v>18139.342311409295</v>
      </c>
      <c r="Y508" s="43">
        <f t="shared" si="301"/>
        <v>18139.342311409295</v>
      </c>
      <c r="Z508" s="43">
        <f t="shared" si="301"/>
        <v>18139.342311409295</v>
      </c>
      <c r="AA508" s="43">
        <f t="shared" si="301"/>
        <v>18139.342311409295</v>
      </c>
      <c r="AB508" s="43">
        <f t="shared" si="301"/>
        <v>18139.342311409295</v>
      </c>
      <c r="AD508" s="43">
        <f t="shared" si="291"/>
        <v>4576556.0651685642</v>
      </c>
      <c r="AE508" s="43">
        <f t="shared" si="292"/>
        <v>4356597.7157969316</v>
      </c>
      <c r="AF508" s="43">
        <f t="shared" si="293"/>
        <v>4146539.9214886306</v>
      </c>
      <c r="AG508" s="43">
        <f t="shared" si="294"/>
        <v>3945896.994636781</v>
      </c>
      <c r="AH508" s="43">
        <f t="shared" si="295"/>
        <v>3754207.073818991</v>
      </c>
      <c r="AJ508" s="43">
        <f t="shared" si="282"/>
        <v>385972.55357062921</v>
      </c>
      <c r="AK508" s="43">
        <f t="shared" si="283"/>
        <v>363726.07399293128</v>
      </c>
      <c r="AL508" s="43">
        <f t="shared" si="284"/>
        <v>367626.31132486882</v>
      </c>
      <c r="AM508" s="43">
        <f t="shared" si="285"/>
        <v>350587.01264804718</v>
      </c>
      <c r="AN508" s="43">
        <f t="shared" si="286"/>
        <v>334349.78962291183</v>
      </c>
    </row>
    <row r="509" spans="2:40">
      <c r="B509" s="37" t="str">
        <f t="shared" si="279"/>
        <v>Asset 203</v>
      </c>
      <c r="F509" s="37" t="str">
        <f t="shared" ref="F509:L509" si="303">F261</f>
        <v>39 ICT middelen 3 (KC)</v>
      </c>
      <c r="G509" s="37">
        <f t="shared" si="303"/>
        <v>2018</v>
      </c>
      <c r="H509" s="52">
        <f t="shared" si="303"/>
        <v>21147142.000000007</v>
      </c>
      <c r="I509" s="37">
        <f t="shared" si="303"/>
        <v>2021</v>
      </c>
      <c r="J509" s="52">
        <f t="shared" si="303"/>
        <v>15</v>
      </c>
      <c r="K509" s="177">
        <f t="shared" si="303"/>
        <v>0</v>
      </c>
      <c r="L509" s="52">
        <f t="shared" si="303"/>
        <v>17103297.263965867</v>
      </c>
      <c r="N509" s="43">
        <f t="shared" si="290"/>
        <v>17103297.263965867</v>
      </c>
      <c r="P509" s="38">
        <f t="shared" si="281"/>
        <v>11.5</v>
      </c>
      <c r="R509" s="43">
        <f t="shared" si="300"/>
        <v>1740074.591203484</v>
      </c>
      <c r="S509" s="43">
        <f t="shared" si="300"/>
        <v>1543370.5069804813</v>
      </c>
      <c r="T509" s="43">
        <f t="shared" si="300"/>
        <v>1368902.5366261662</v>
      </c>
      <c r="U509" s="43">
        <f t="shared" si="300"/>
        <v>1263602.3415010765</v>
      </c>
      <c r="V509" s="43">
        <f t="shared" si="300"/>
        <v>1263602.3415010765</v>
      </c>
      <c r="X509" s="43">
        <f t="shared" si="301"/>
        <v>148724.32403448579</v>
      </c>
      <c r="Y509" s="43">
        <f t="shared" si="301"/>
        <v>148724.32403448582</v>
      </c>
      <c r="Z509" s="43">
        <f t="shared" si="301"/>
        <v>148724.32403448582</v>
      </c>
      <c r="AA509" s="43">
        <f t="shared" si="301"/>
        <v>148724.32403448582</v>
      </c>
      <c r="AB509" s="43">
        <f t="shared" si="301"/>
        <v>148724.32403448582</v>
      </c>
      <c r="AD509" s="43">
        <f t="shared" si="291"/>
        <v>15214498.348727897</v>
      </c>
      <c r="AE509" s="43">
        <f t="shared" si="292"/>
        <v>13522403.51771293</v>
      </c>
      <c r="AF509" s="43">
        <f t="shared" si="293"/>
        <v>12004776.657052279</v>
      </c>
      <c r="AG509" s="43">
        <f t="shared" si="294"/>
        <v>10592449.991516717</v>
      </c>
      <c r="AH509" s="43">
        <f t="shared" si="295"/>
        <v>9180123.325981155</v>
      </c>
      <c r="AJ509" s="43">
        <f t="shared" si="282"/>
        <v>2406091.8590947185</v>
      </c>
      <c r="AK509" s="43">
        <f t="shared" si="283"/>
        <v>2138334.147099494</v>
      </c>
      <c r="AL509" s="43">
        <f t="shared" si="284"/>
        <v>1973808.3736286385</v>
      </c>
      <c r="AM509" s="43">
        <f t="shared" si="285"/>
        <v>1814839.7652131976</v>
      </c>
      <c r="AN509" s="43">
        <f t="shared" si="286"/>
        <v>1761171.3519228462</v>
      </c>
    </row>
    <row r="510" spans="2:40">
      <c r="B510" s="37" t="str">
        <f t="shared" si="279"/>
        <v>Asset 204</v>
      </c>
      <c r="F510" s="37" t="str">
        <f t="shared" ref="F510:L510" si="304">F262</f>
        <v>37 ICT middelen 1 (KC)</v>
      </c>
      <c r="G510" s="37">
        <f t="shared" si="304"/>
        <v>2018</v>
      </c>
      <c r="H510" s="52">
        <f t="shared" si="304"/>
        <v>1669649.9999999995</v>
      </c>
      <c r="I510" s="37">
        <f t="shared" si="304"/>
        <v>2021</v>
      </c>
      <c r="J510" s="52">
        <f t="shared" si="304"/>
        <v>5</v>
      </c>
      <c r="K510" s="177">
        <f t="shared" si="304"/>
        <v>0</v>
      </c>
      <c r="L510" s="52">
        <f t="shared" si="304"/>
        <v>528406.65386783984</v>
      </c>
      <c r="N510" s="43">
        <f t="shared" si="290"/>
        <v>528406.65386783984</v>
      </c>
      <c r="P510" s="38">
        <f t="shared" si="281"/>
        <v>1.5</v>
      </c>
      <c r="R510" s="43">
        <f t="shared" si="300"/>
        <v>412157.19001691509</v>
      </c>
      <c r="S510" s="43">
        <f t="shared" si="300"/>
        <v>63408.798464140797</v>
      </c>
      <c r="T510" s="43">
        <f t="shared" si="300"/>
        <v>0</v>
      </c>
      <c r="U510" s="43">
        <f t="shared" si="300"/>
        <v>0</v>
      </c>
      <c r="V510" s="43">
        <f t="shared" si="300"/>
        <v>0</v>
      </c>
      <c r="X510" s="43">
        <f t="shared" si="301"/>
        <v>35227.110257855988</v>
      </c>
      <c r="Y510" s="43">
        <f t="shared" si="301"/>
        <v>17613.555128927997</v>
      </c>
      <c r="Z510" s="43">
        <f t="shared" si="301"/>
        <v>0</v>
      </c>
      <c r="AA510" s="43">
        <f t="shared" si="301"/>
        <v>0</v>
      </c>
      <c r="AB510" s="43">
        <f t="shared" si="301"/>
        <v>0</v>
      </c>
      <c r="AD510" s="43">
        <f t="shared" si="291"/>
        <v>81022.35359306875</v>
      </c>
      <c r="AE510" s="43">
        <f t="shared" si="292"/>
        <v>-4.3655745685100555E-11</v>
      </c>
      <c r="AF510" s="43">
        <f t="shared" si="293"/>
        <v>0</v>
      </c>
      <c r="AG510" s="43">
        <f t="shared" si="294"/>
        <v>0</v>
      </c>
      <c r="AH510" s="43">
        <f t="shared" si="295"/>
        <v>0</v>
      </c>
      <c r="AJ510" s="43">
        <f t="shared" si="282"/>
        <v>450139.06029693538</v>
      </c>
      <c r="AK510" s="43">
        <f t="shared" si="283"/>
        <v>81022.353593068794</v>
      </c>
      <c r="AL510" s="43">
        <f t="shared" si="284"/>
        <v>0</v>
      </c>
      <c r="AM510" s="43">
        <f t="shared" si="285"/>
        <v>0</v>
      </c>
      <c r="AN510" s="43">
        <f t="shared" si="286"/>
        <v>0</v>
      </c>
    </row>
    <row r="511" spans="2:40">
      <c r="B511" s="37" t="str">
        <f t="shared" si="279"/>
        <v>Asset 205</v>
      </c>
      <c r="F511" s="37" t="str">
        <f t="shared" ref="F511:L511" si="305">F263</f>
        <v>05 Wegen en terreinvoorzieningen</v>
      </c>
      <c r="G511" s="37">
        <f t="shared" si="305"/>
        <v>2017</v>
      </c>
      <c r="H511" s="52">
        <f t="shared" si="305"/>
        <v>41129.587663444909</v>
      </c>
      <c r="I511" s="37">
        <f t="shared" si="305"/>
        <v>2021</v>
      </c>
      <c r="J511" s="52">
        <f t="shared" si="305"/>
        <v>10</v>
      </c>
      <c r="K511" s="177">
        <f t="shared" si="305"/>
        <v>0</v>
      </c>
      <c r="L511" s="52">
        <f t="shared" si="305"/>
        <v>24197.83891576614</v>
      </c>
      <c r="N511" s="43">
        <f t="shared" si="290"/>
        <v>24197.83891576614</v>
      </c>
      <c r="P511" s="38">
        <f t="shared" si="281"/>
        <v>5.5</v>
      </c>
      <c r="R511" s="43">
        <f t="shared" si="300"/>
        <v>5147.540278444797</v>
      </c>
      <c r="S511" s="43">
        <f t="shared" si="300"/>
        <v>3930.8489399032992</v>
      </c>
      <c r="T511" s="43">
        <f t="shared" si="300"/>
        <v>3628.4759445261225</v>
      </c>
      <c r="U511" s="43">
        <f t="shared" si="300"/>
        <v>3628.4759445261225</v>
      </c>
      <c r="V511" s="43">
        <f t="shared" si="300"/>
        <v>3628.4759445261225</v>
      </c>
      <c r="X511" s="43">
        <f t="shared" si="301"/>
        <v>439.96070755938439</v>
      </c>
      <c r="Y511" s="43">
        <f t="shared" si="301"/>
        <v>439.96070755938439</v>
      </c>
      <c r="Z511" s="43">
        <f t="shared" si="301"/>
        <v>439.96070755938439</v>
      </c>
      <c r="AA511" s="43">
        <f t="shared" si="301"/>
        <v>439.96070755938439</v>
      </c>
      <c r="AB511" s="43">
        <f t="shared" si="301"/>
        <v>439.96070755938439</v>
      </c>
      <c r="AD511" s="43">
        <f t="shared" si="291"/>
        <v>18610.337929761958</v>
      </c>
      <c r="AE511" s="43">
        <f t="shared" si="292"/>
        <v>14239.528282299274</v>
      </c>
      <c r="AF511" s="43">
        <f t="shared" si="293"/>
        <v>10171.091630213767</v>
      </c>
      <c r="AG511" s="43">
        <f t="shared" si="294"/>
        <v>6102.6549781282602</v>
      </c>
      <c r="AH511" s="43">
        <f t="shared" si="295"/>
        <v>2034.2183260427532</v>
      </c>
      <c r="AJ511" s="43">
        <f t="shared" si="282"/>
        <v>6220.2524756160874</v>
      </c>
      <c r="AK511" s="43">
        <f t="shared" si="283"/>
        <v>4840.7140807785599</v>
      </c>
      <c r="AL511" s="43">
        <f t="shared" si="284"/>
        <v>4454.9381340336304</v>
      </c>
      <c r="AM511" s="43">
        <f t="shared" si="285"/>
        <v>4300.337541254381</v>
      </c>
      <c r="AN511" s="43">
        <f t="shared" si="286"/>
        <v>4145.7369484751316</v>
      </c>
    </row>
    <row r="512" spans="2:40">
      <c r="B512" s="37" t="str">
        <f t="shared" si="279"/>
        <v>Asset 206</v>
      </c>
      <c r="F512" s="37" t="str">
        <f t="shared" ref="F512:L512" si="306">F264</f>
        <v>06 Utiliteitsgebouwen</v>
      </c>
      <c r="G512" s="37">
        <f t="shared" si="306"/>
        <v>2018</v>
      </c>
      <c r="H512" s="52">
        <f t="shared" si="306"/>
        <v>1769813.2968497979</v>
      </c>
      <c r="I512" s="37">
        <f t="shared" si="306"/>
        <v>2021</v>
      </c>
      <c r="J512" s="52">
        <f t="shared" si="306"/>
        <v>30</v>
      </c>
      <c r="K512" s="177">
        <f t="shared" si="306"/>
        <v>0</v>
      </c>
      <c r="L512" s="52">
        <f t="shared" si="306"/>
        <v>1649201.2455850111</v>
      </c>
      <c r="N512" s="43">
        <f t="shared" si="290"/>
        <v>1649201.2455850111</v>
      </c>
      <c r="P512" s="38">
        <f t="shared" si="281"/>
        <v>26.5</v>
      </c>
      <c r="R512" s="43">
        <f t="shared" si="300"/>
        <v>72813.790842809918</v>
      </c>
      <c r="S512" s="43">
        <f t="shared" si="300"/>
        <v>69241.79355618151</v>
      </c>
      <c r="T512" s="43">
        <f t="shared" si="300"/>
        <v>65845.026325123559</v>
      </c>
      <c r="U512" s="43">
        <f t="shared" si="300"/>
        <v>62614.892958230696</v>
      </c>
      <c r="V512" s="43">
        <f t="shared" si="300"/>
        <v>59543.218964053332</v>
      </c>
      <c r="X512" s="43">
        <f t="shared" si="301"/>
        <v>6223.4009267358915</v>
      </c>
      <c r="Y512" s="43">
        <f t="shared" si="301"/>
        <v>6223.4009267358915</v>
      </c>
      <c r="Z512" s="43">
        <f t="shared" si="301"/>
        <v>6223.4009267358915</v>
      </c>
      <c r="AA512" s="43">
        <f t="shared" si="301"/>
        <v>6223.4009267358915</v>
      </c>
      <c r="AB512" s="43">
        <f t="shared" si="301"/>
        <v>6223.4009267358915</v>
      </c>
      <c r="AD512" s="43">
        <f t="shared" si="291"/>
        <v>1570164.0538154652</v>
      </c>
      <c r="AE512" s="43">
        <f t="shared" si="292"/>
        <v>1494698.8593325478</v>
      </c>
      <c r="AF512" s="43">
        <f t="shared" si="293"/>
        <v>1422630.4320806882</v>
      </c>
      <c r="AG512" s="43">
        <f t="shared" si="294"/>
        <v>1353792.1381957214</v>
      </c>
      <c r="AH512" s="43">
        <f t="shared" si="295"/>
        <v>1288025.5183049322</v>
      </c>
      <c r="AJ512" s="43">
        <f t="shared" si="282"/>
        <v>132422.76959927165</v>
      </c>
      <c r="AK512" s="43">
        <f t="shared" si="283"/>
        <v>124790.25684089148</v>
      </c>
      <c r="AL512" s="43">
        <f t="shared" si="284"/>
        <v>126128.3836709256</v>
      </c>
      <c r="AM512" s="43">
        <f t="shared" si="285"/>
        <v>120282.395136404</v>
      </c>
      <c r="AN512" s="43">
        <f t="shared" si="286"/>
        <v>114711.58958637665</v>
      </c>
    </row>
    <row r="513" spans="2:40">
      <c r="B513" s="37" t="str">
        <f t="shared" si="279"/>
        <v>Asset 207</v>
      </c>
      <c r="F513" s="37" t="str">
        <f t="shared" ref="F513:L513" si="307">F265</f>
        <v>14 Overig rollend materieel</v>
      </c>
      <c r="G513" s="37">
        <f t="shared" si="307"/>
        <v>2018</v>
      </c>
      <c r="H513" s="52">
        <f t="shared" si="307"/>
        <v>20291.448993786991</v>
      </c>
      <c r="I513" s="37">
        <f t="shared" si="307"/>
        <v>2021</v>
      </c>
      <c r="J513" s="52">
        <f t="shared" si="307"/>
        <v>10</v>
      </c>
      <c r="K513" s="177">
        <f t="shared" si="307"/>
        <v>1</v>
      </c>
      <c r="L513" s="52">
        <f t="shared" si="307"/>
        <v>13913.871833835448</v>
      </c>
      <c r="N513" s="43">
        <f t="shared" si="290"/>
        <v>13913.871833835448</v>
      </c>
      <c r="P513" s="38">
        <f t="shared" si="281"/>
        <v>6.5</v>
      </c>
      <c r="R513" s="43">
        <f t="shared" si="300"/>
        <v>2504.4969300903813</v>
      </c>
      <c r="S513" s="43">
        <f t="shared" si="300"/>
        <v>2003.5975440723048</v>
      </c>
      <c r="T513" s="43">
        <f t="shared" si="300"/>
        <v>1780.9755947309375</v>
      </c>
      <c r="U513" s="43">
        <f t="shared" si="300"/>
        <v>1780.9755947309375</v>
      </c>
      <c r="V513" s="43">
        <f t="shared" si="300"/>
        <v>1780.9755947309375</v>
      </c>
      <c r="X513" s="43">
        <f t="shared" si="301"/>
        <v>214.05956667439153</v>
      </c>
      <c r="Y513" s="43">
        <f t="shared" si="301"/>
        <v>214.0595666743915</v>
      </c>
      <c r="Z513" s="43">
        <f t="shared" si="301"/>
        <v>214.0595666743915</v>
      </c>
      <c r="AA513" s="43">
        <f t="shared" si="301"/>
        <v>214.0595666743915</v>
      </c>
      <c r="AB513" s="43">
        <f t="shared" si="301"/>
        <v>214.0595666743915</v>
      </c>
      <c r="AD513" s="43">
        <f t="shared" si="291"/>
        <v>11195.315337070675</v>
      </c>
      <c r="AE513" s="43">
        <f t="shared" si="292"/>
        <v>8977.6582263239779</v>
      </c>
      <c r="AF513" s="43">
        <f t="shared" si="293"/>
        <v>6982.6230649186491</v>
      </c>
      <c r="AG513" s="43">
        <f t="shared" si="294"/>
        <v>4987.5879035133203</v>
      </c>
      <c r="AH513" s="43">
        <f t="shared" si="295"/>
        <v>2992.552742107991</v>
      </c>
      <c r="AJ513" s="43">
        <f t="shared" si="282"/>
        <v>3099.1972182251757</v>
      </c>
      <c r="AK513" s="43">
        <f t="shared" si="283"/>
        <v>2513.9198322153875</v>
      </c>
      <c r="AL513" s="43">
        <f t="shared" si="284"/>
        <v>2260.3748378722375</v>
      </c>
      <c r="AM513" s="43">
        <f t="shared" si="285"/>
        <v>2184.5635017388354</v>
      </c>
      <c r="AN513" s="43">
        <f t="shared" si="286"/>
        <v>2108.7521656054328</v>
      </c>
    </row>
    <row r="514" spans="2:40">
      <c r="B514" s="37" t="str">
        <f t="shared" si="279"/>
        <v>Asset 208</v>
      </c>
      <c r="F514" s="37" t="str">
        <f t="shared" ref="F514:L514" si="308">F266</f>
        <v>10 Gereedschap (odorisatie)</v>
      </c>
      <c r="G514" s="37">
        <f t="shared" si="308"/>
        <v>2018</v>
      </c>
      <c r="H514" s="52">
        <f t="shared" si="308"/>
        <v>59796.38767845487</v>
      </c>
      <c r="I514" s="37">
        <f t="shared" si="308"/>
        <v>2021</v>
      </c>
      <c r="J514" s="52">
        <f t="shared" si="308"/>
        <v>10</v>
      </c>
      <c r="K514" s="177">
        <f t="shared" si="308"/>
        <v>0</v>
      </c>
      <c r="L514" s="52">
        <f t="shared" si="308"/>
        <v>41002.457465659885</v>
      </c>
      <c r="N514" s="43">
        <f t="shared" si="290"/>
        <v>41002.457465659885</v>
      </c>
      <c r="P514" s="38">
        <f t="shared" si="281"/>
        <v>6.5</v>
      </c>
      <c r="R514" s="43">
        <f t="shared" si="300"/>
        <v>7380.4423438187796</v>
      </c>
      <c r="S514" s="43">
        <f t="shared" si="300"/>
        <v>5904.3538750550233</v>
      </c>
      <c r="T514" s="43">
        <f t="shared" si="300"/>
        <v>5248.3145556044656</v>
      </c>
      <c r="U514" s="43">
        <f t="shared" si="300"/>
        <v>5248.3145556044656</v>
      </c>
      <c r="V514" s="43">
        <f t="shared" si="300"/>
        <v>5248.3145556044656</v>
      </c>
      <c r="X514" s="43">
        <f t="shared" si="301"/>
        <v>630.80703793322914</v>
      </c>
      <c r="Y514" s="43">
        <f t="shared" si="301"/>
        <v>630.80703793322903</v>
      </c>
      <c r="Z514" s="43">
        <f t="shared" si="301"/>
        <v>630.80703793322903</v>
      </c>
      <c r="AA514" s="43">
        <f t="shared" si="301"/>
        <v>630.80703793322903</v>
      </c>
      <c r="AB514" s="43">
        <f t="shared" si="301"/>
        <v>630.80703793322903</v>
      </c>
      <c r="AD514" s="43">
        <f t="shared" si="291"/>
        <v>32991.208083907877</v>
      </c>
      <c r="AE514" s="43">
        <f t="shared" si="292"/>
        <v>26456.047170919628</v>
      </c>
      <c r="AF514" s="43">
        <f t="shared" si="293"/>
        <v>20576.925577381935</v>
      </c>
      <c r="AG514" s="43">
        <f t="shared" si="294"/>
        <v>14697.80398384424</v>
      </c>
      <c r="AH514" s="43">
        <f t="shared" si="295"/>
        <v>8818.6823903065451</v>
      </c>
      <c r="AJ514" s="43">
        <f t="shared" si="282"/>
        <v>9132.9504566048763</v>
      </c>
      <c r="AK514" s="43">
        <f t="shared" si="283"/>
        <v>7408.2104696286005</v>
      </c>
      <c r="AL514" s="43">
        <f t="shared" si="284"/>
        <v>6661.0447654782083</v>
      </c>
      <c r="AM514" s="43">
        <f t="shared" si="285"/>
        <v>6437.6381449237761</v>
      </c>
      <c r="AN514" s="43">
        <f t="shared" si="286"/>
        <v>6214.2315243693438</v>
      </c>
    </row>
    <row r="515" spans="2:40">
      <c r="B515" s="37" t="str">
        <f t="shared" si="279"/>
        <v>Asset 209</v>
      </c>
      <c r="F515" s="37" t="str">
        <f t="shared" ref="F515:L515" si="309">F267</f>
        <v>05 Wegen en terreinvoorzieningen</v>
      </c>
      <c r="G515" s="37">
        <f t="shared" si="309"/>
        <v>2018</v>
      </c>
      <c r="H515" s="52">
        <f t="shared" si="309"/>
        <v>70537.619152208252</v>
      </c>
      <c r="I515" s="37">
        <f t="shared" si="309"/>
        <v>2021</v>
      </c>
      <c r="J515" s="52">
        <f t="shared" si="309"/>
        <v>10</v>
      </c>
      <c r="K515" s="177">
        <f t="shared" si="309"/>
        <v>0</v>
      </c>
      <c r="L515" s="52">
        <f t="shared" si="309"/>
        <v>48367.733257897518</v>
      </c>
      <c r="N515" s="43">
        <f t="shared" si="290"/>
        <v>48367.733257897518</v>
      </c>
      <c r="P515" s="38">
        <f t="shared" si="281"/>
        <v>6.5</v>
      </c>
      <c r="R515" s="43">
        <f t="shared" si="300"/>
        <v>8706.1919864215542</v>
      </c>
      <c r="S515" s="43">
        <f t="shared" si="300"/>
        <v>6964.9535891372434</v>
      </c>
      <c r="T515" s="43">
        <f t="shared" si="300"/>
        <v>6191.0698570108834</v>
      </c>
      <c r="U515" s="43">
        <f t="shared" si="300"/>
        <v>6191.0698570108834</v>
      </c>
      <c r="V515" s="43">
        <f t="shared" si="300"/>
        <v>6191.0698570108834</v>
      </c>
      <c r="X515" s="43">
        <f t="shared" si="301"/>
        <v>744.11897319842342</v>
      </c>
      <c r="Y515" s="43">
        <f t="shared" si="301"/>
        <v>744.1189731984233</v>
      </c>
      <c r="Z515" s="43">
        <f t="shared" si="301"/>
        <v>744.1189731984233</v>
      </c>
      <c r="AA515" s="43">
        <f t="shared" si="301"/>
        <v>744.1189731984233</v>
      </c>
      <c r="AB515" s="43">
        <f t="shared" si="301"/>
        <v>744.1189731984233</v>
      </c>
      <c r="AD515" s="43">
        <f t="shared" si="291"/>
        <v>38917.422298277539</v>
      </c>
      <c r="AE515" s="43">
        <f t="shared" si="292"/>
        <v>31208.349735941872</v>
      </c>
      <c r="AF515" s="43">
        <f t="shared" si="293"/>
        <v>24273.160905732566</v>
      </c>
      <c r="AG515" s="43">
        <f t="shared" si="294"/>
        <v>17337.972075523259</v>
      </c>
      <c r="AH515" s="43">
        <f t="shared" si="295"/>
        <v>10402.783245313953</v>
      </c>
      <c r="AJ515" s="43">
        <f t="shared" si="282"/>
        <v>10773.503317761413</v>
      </c>
      <c r="AK515" s="43">
        <f t="shared" si="283"/>
        <v>8738.9481036217476</v>
      </c>
      <c r="AL515" s="43">
        <f t="shared" si="284"/>
        <v>7857.5689446271444</v>
      </c>
      <c r="AM515" s="43">
        <f t="shared" si="285"/>
        <v>7594.0317690791908</v>
      </c>
      <c r="AN515" s="43">
        <f t="shared" si="286"/>
        <v>7330.4945935312371</v>
      </c>
    </row>
    <row r="516" spans="2:40">
      <c r="B516" s="37" t="str">
        <f t="shared" si="279"/>
        <v>Asset 210</v>
      </c>
      <c r="F516" s="37" t="str">
        <f t="shared" ref="F516:L516" si="310">F268</f>
        <v>37 ICT middelen 1 (balancering)</v>
      </c>
      <c r="G516" s="37">
        <f t="shared" si="310"/>
        <v>2018</v>
      </c>
      <c r="H516" s="52">
        <f t="shared" si="310"/>
        <v>1033593</v>
      </c>
      <c r="I516" s="37">
        <f t="shared" si="310"/>
        <v>2021</v>
      </c>
      <c r="J516" s="52">
        <f t="shared" si="310"/>
        <v>5</v>
      </c>
      <c r="K516" s="177">
        <f t="shared" si="310"/>
        <v>0</v>
      </c>
      <c r="L516" s="52">
        <f t="shared" si="310"/>
        <v>327108.92617687664</v>
      </c>
      <c r="N516" s="43">
        <f t="shared" si="290"/>
        <v>327108.92617687664</v>
      </c>
      <c r="P516" s="38">
        <f t="shared" si="281"/>
        <v>1.5</v>
      </c>
      <c r="R516" s="43">
        <f t="shared" si="300"/>
        <v>255144.9624179638</v>
      </c>
      <c r="S516" s="43">
        <f t="shared" si="300"/>
        <v>39253.071141225199</v>
      </c>
      <c r="T516" s="43">
        <f t="shared" si="300"/>
        <v>0</v>
      </c>
      <c r="U516" s="43">
        <f t="shared" si="300"/>
        <v>0</v>
      </c>
      <c r="V516" s="43">
        <f t="shared" si="300"/>
        <v>0</v>
      </c>
      <c r="X516" s="43">
        <f t="shared" si="301"/>
        <v>21807.26174512511</v>
      </c>
      <c r="Y516" s="43">
        <f t="shared" si="301"/>
        <v>10903.630872562557</v>
      </c>
      <c r="Z516" s="43">
        <f t="shared" si="301"/>
        <v>0</v>
      </c>
      <c r="AA516" s="43">
        <f t="shared" si="301"/>
        <v>0</v>
      </c>
      <c r="AB516" s="43">
        <f t="shared" si="301"/>
        <v>0</v>
      </c>
      <c r="AD516" s="43">
        <f t="shared" si="291"/>
        <v>50156.702013787726</v>
      </c>
      <c r="AE516" s="43">
        <f t="shared" si="292"/>
        <v>-2.9103830456733704E-11</v>
      </c>
      <c r="AF516" s="43">
        <f t="shared" si="293"/>
        <v>0</v>
      </c>
      <c r="AG516" s="43">
        <f t="shared" si="294"/>
        <v>0</v>
      </c>
      <c r="AH516" s="43">
        <f t="shared" si="295"/>
        <v>0</v>
      </c>
      <c r="AJ516" s="43">
        <f t="shared" si="282"/>
        <v>278657.55203155766</v>
      </c>
      <c r="AK516" s="43">
        <f t="shared" si="283"/>
        <v>50156.702013787755</v>
      </c>
      <c r="AL516" s="43">
        <f t="shared" si="284"/>
        <v>0</v>
      </c>
      <c r="AM516" s="43">
        <f t="shared" si="285"/>
        <v>0</v>
      </c>
      <c r="AN516" s="43">
        <f t="shared" si="286"/>
        <v>0</v>
      </c>
    </row>
    <row r="517" spans="2:40">
      <c r="B517" s="37" t="str">
        <f t="shared" si="279"/>
        <v>Asset 211</v>
      </c>
      <c r="F517" s="37" t="str">
        <f t="shared" ref="F517:L517" si="311">F269</f>
        <v>37 ICT middelen 1</v>
      </c>
      <c r="G517" s="37">
        <f t="shared" si="311"/>
        <v>2019</v>
      </c>
      <c r="H517" s="52">
        <f t="shared" si="311"/>
        <v>7023542.7917365544</v>
      </c>
      <c r="I517" s="37">
        <f t="shared" si="311"/>
        <v>2021</v>
      </c>
      <c r="J517" s="52">
        <f t="shared" si="311"/>
        <v>5</v>
      </c>
      <c r="K517" s="177">
        <f t="shared" si="311"/>
        <v>1</v>
      </c>
      <c r="L517" s="52">
        <f t="shared" si="311"/>
        <v>3660726.6913954271</v>
      </c>
      <c r="N517" s="43">
        <f t="shared" si="290"/>
        <v>3660726.6913954271</v>
      </c>
      <c r="P517" s="38">
        <f t="shared" si="281"/>
        <v>2.5</v>
      </c>
      <c r="R517" s="43">
        <f t="shared" ref="R517:V526" si="312">IF(R$305&lt;=$G517+$J517,VDB($L517*(1-$F$25),0,$P517,R$305-2022,MIN(R$305-2021,$P517),$F$22),0)</f>
        <v>1713220.09157306</v>
      </c>
      <c r="S517" s="43">
        <f t="shared" si="312"/>
        <v>1054289.2871218829</v>
      </c>
      <c r="T517" s="43">
        <f t="shared" si="312"/>
        <v>527144.64356094145</v>
      </c>
      <c r="U517" s="43">
        <f t="shared" si="312"/>
        <v>0</v>
      </c>
      <c r="V517" s="43">
        <f t="shared" si="312"/>
        <v>0</v>
      </c>
      <c r="X517" s="43">
        <f t="shared" ref="X517:AB526" si="313">IF(X$305&lt;=$G517+$J517,VDB($L517*$F$25,0,$P517,X$305-2022,MIN(X$305-2021,$P517),1),0)</f>
        <v>146429.06765581711</v>
      </c>
      <c r="Y517" s="43">
        <f t="shared" si="313"/>
        <v>146429.06765581708</v>
      </c>
      <c r="Z517" s="43">
        <f t="shared" si="313"/>
        <v>73214.533827908541</v>
      </c>
      <c r="AA517" s="43">
        <f t="shared" si="313"/>
        <v>0</v>
      </c>
      <c r="AB517" s="43">
        <f t="shared" si="313"/>
        <v>0</v>
      </c>
      <c r="AD517" s="43">
        <f t="shared" si="291"/>
        <v>1801077.5321665499</v>
      </c>
      <c r="AE517" s="43">
        <f t="shared" si="292"/>
        <v>600359.1773888499</v>
      </c>
      <c r="AF517" s="43">
        <f t="shared" si="293"/>
        <v>-8.7311491370201111E-11</v>
      </c>
      <c r="AG517" s="43">
        <f t="shared" si="294"/>
        <v>0</v>
      </c>
      <c r="AH517" s="43">
        <f t="shared" si="295"/>
        <v>0</v>
      </c>
      <c r="AJ517" s="43">
        <f t="shared" si="282"/>
        <v>1920885.7953225398</v>
      </c>
      <c r="AK517" s="43">
        <f t="shared" si="283"/>
        <v>1220530.2076315321</v>
      </c>
      <c r="AL517" s="43">
        <f t="shared" si="284"/>
        <v>600359.17738885002</v>
      </c>
      <c r="AM517" s="43">
        <f t="shared" si="285"/>
        <v>0</v>
      </c>
      <c r="AN517" s="43">
        <f t="shared" si="286"/>
        <v>0</v>
      </c>
    </row>
    <row r="518" spans="2:40">
      <c r="B518" s="37" t="str">
        <f t="shared" si="279"/>
        <v>Asset 212</v>
      </c>
      <c r="F518" s="37" t="str">
        <f t="shared" ref="F518:L518" si="314">F270</f>
        <v>14 Overig rollend materieel</v>
      </c>
      <c r="G518" s="37">
        <f t="shared" si="314"/>
        <v>2019</v>
      </c>
      <c r="H518" s="52">
        <f t="shared" si="314"/>
        <v>857388.09237261105</v>
      </c>
      <c r="I518" s="37">
        <f t="shared" si="314"/>
        <v>2021</v>
      </c>
      <c r="J518" s="52">
        <f t="shared" si="314"/>
        <v>10</v>
      </c>
      <c r="K518" s="177">
        <f t="shared" si="314"/>
        <v>1</v>
      </c>
      <c r="L518" s="52">
        <f t="shared" si="314"/>
        <v>670316.29927401594</v>
      </c>
      <c r="N518" s="43">
        <f t="shared" si="290"/>
        <v>670316.29927401594</v>
      </c>
      <c r="P518" s="38">
        <f t="shared" si="281"/>
        <v>7.5</v>
      </c>
      <c r="R518" s="43">
        <f t="shared" si="312"/>
        <v>104569.3426867465</v>
      </c>
      <c r="S518" s="43">
        <f t="shared" si="312"/>
        <v>86443.989954377103</v>
      </c>
      <c r="T518" s="43">
        <f t="shared" si="312"/>
        <v>74958.424855543781</v>
      </c>
      <c r="U518" s="43">
        <f t="shared" si="312"/>
        <v>74958.424855543781</v>
      </c>
      <c r="V518" s="43">
        <f t="shared" si="312"/>
        <v>74958.424855543781</v>
      </c>
      <c r="X518" s="43">
        <f t="shared" si="313"/>
        <v>8937.5506569868794</v>
      </c>
      <c r="Y518" s="43">
        <f t="shared" si="313"/>
        <v>8937.5506569868776</v>
      </c>
      <c r="Z518" s="43">
        <f t="shared" si="313"/>
        <v>8937.5506569868776</v>
      </c>
      <c r="AA518" s="43">
        <f t="shared" si="313"/>
        <v>8937.5506569868776</v>
      </c>
      <c r="AB518" s="43">
        <f t="shared" si="313"/>
        <v>8937.5506569868776</v>
      </c>
      <c r="AD518" s="43">
        <f t="shared" si="291"/>
        <v>556809.40593028255</v>
      </c>
      <c r="AE518" s="43">
        <f t="shared" si="292"/>
        <v>461427.86531891854</v>
      </c>
      <c r="AF518" s="43">
        <f t="shared" si="293"/>
        <v>377531.88980638789</v>
      </c>
      <c r="AG518" s="43">
        <f t="shared" si="294"/>
        <v>293635.91429385723</v>
      </c>
      <c r="AH518" s="43">
        <f t="shared" si="295"/>
        <v>209739.93878132658</v>
      </c>
      <c r="AJ518" s="43">
        <f t="shared" si="282"/>
        <v>132438.41314536298</v>
      </c>
      <c r="AK518" s="43">
        <f t="shared" si="283"/>
        <v>110608.66016688829</v>
      </c>
      <c r="AL518" s="43">
        <f t="shared" si="284"/>
        <v>98242.187325173392</v>
      </c>
      <c r="AM518" s="43">
        <f t="shared" si="285"/>
        <v>95054.140255697232</v>
      </c>
      <c r="AN518" s="43">
        <f t="shared" si="286"/>
        <v>91866.093186221071</v>
      </c>
    </row>
    <row r="519" spans="2:40">
      <c r="B519" s="37" t="str">
        <f t="shared" si="279"/>
        <v>Asset 213</v>
      </c>
      <c r="F519" s="37" t="str">
        <f t="shared" ref="F519:L519" si="315">F271</f>
        <v>08 Inrichting gebouwen</v>
      </c>
      <c r="G519" s="37">
        <f t="shared" si="315"/>
        <v>2019</v>
      </c>
      <c r="H519" s="52">
        <f t="shared" si="315"/>
        <v>460067.29247706069</v>
      </c>
      <c r="I519" s="37">
        <f t="shared" si="315"/>
        <v>2021</v>
      </c>
      <c r="J519" s="52">
        <f t="shared" si="315"/>
        <v>10</v>
      </c>
      <c r="K519" s="177">
        <f t="shared" si="315"/>
        <v>0</v>
      </c>
      <c r="L519" s="52">
        <f t="shared" si="315"/>
        <v>359686.13006607577</v>
      </c>
      <c r="N519" s="43">
        <f t="shared" si="290"/>
        <v>359686.13006607577</v>
      </c>
      <c r="P519" s="38">
        <f t="shared" si="281"/>
        <v>7.5</v>
      </c>
      <c r="R519" s="43">
        <f t="shared" si="312"/>
        <v>56111.03629030782</v>
      </c>
      <c r="S519" s="43">
        <f t="shared" si="312"/>
        <v>46385.123333321135</v>
      </c>
      <c r="T519" s="43">
        <f t="shared" si="312"/>
        <v>40222.064988334409</v>
      </c>
      <c r="U519" s="43">
        <f t="shared" si="312"/>
        <v>40222.064988334409</v>
      </c>
      <c r="V519" s="43">
        <f t="shared" si="312"/>
        <v>40222.064988334409</v>
      </c>
      <c r="X519" s="43">
        <f t="shared" si="313"/>
        <v>4795.8150675476772</v>
      </c>
      <c r="Y519" s="43">
        <f t="shared" si="313"/>
        <v>4795.8150675476772</v>
      </c>
      <c r="Z519" s="43">
        <f t="shared" si="313"/>
        <v>4795.8150675476772</v>
      </c>
      <c r="AA519" s="43">
        <f t="shared" si="313"/>
        <v>4795.8150675476772</v>
      </c>
      <c r="AB519" s="43">
        <f t="shared" si="313"/>
        <v>4795.8150675476772</v>
      </c>
      <c r="AD519" s="43">
        <f t="shared" si="291"/>
        <v>298779.27870822028</v>
      </c>
      <c r="AE519" s="43">
        <f t="shared" si="292"/>
        <v>247598.34030735149</v>
      </c>
      <c r="AF519" s="43">
        <f t="shared" si="293"/>
        <v>202580.46025146943</v>
      </c>
      <c r="AG519" s="43">
        <f t="shared" si="294"/>
        <v>157562.58019558736</v>
      </c>
      <c r="AH519" s="43">
        <f t="shared" si="295"/>
        <v>112544.70013970528</v>
      </c>
      <c r="AJ519" s="43">
        <f t="shared" si="282"/>
        <v>71065.346833934993</v>
      </c>
      <c r="AK519" s="43">
        <f t="shared" si="283"/>
        <v>59351.683631011416</v>
      </c>
      <c r="AL519" s="43">
        <f t="shared" si="284"/>
        <v>52715.937545437926</v>
      </c>
      <c r="AM519" s="43">
        <f t="shared" si="285"/>
        <v>51005.258103314409</v>
      </c>
      <c r="AN519" s="43">
        <f t="shared" si="286"/>
        <v>49294.578661190884</v>
      </c>
    </row>
    <row r="520" spans="2:40">
      <c r="B520" s="37" t="str">
        <f t="shared" si="279"/>
        <v>Asset 214</v>
      </c>
      <c r="F520" s="37" t="str">
        <f t="shared" ref="F520:L520" si="316">F272</f>
        <v>37 ICT middelen 1 (KC)</v>
      </c>
      <c r="G520" s="37">
        <f t="shared" si="316"/>
        <v>2019</v>
      </c>
      <c r="H520" s="52">
        <f t="shared" si="316"/>
        <v>119060</v>
      </c>
      <c r="I520" s="37">
        <f t="shared" si="316"/>
        <v>2021</v>
      </c>
      <c r="J520" s="52">
        <f t="shared" si="316"/>
        <v>5</v>
      </c>
      <c r="K520" s="177">
        <f t="shared" si="316"/>
        <v>0</v>
      </c>
      <c r="L520" s="52">
        <f t="shared" si="316"/>
        <v>62055.024479999985</v>
      </c>
      <c r="N520" s="43">
        <f t="shared" si="290"/>
        <v>62055.024479999985</v>
      </c>
      <c r="P520" s="38">
        <f t="shared" si="281"/>
        <v>2.5</v>
      </c>
      <c r="R520" s="43">
        <f t="shared" si="312"/>
        <v>29041.751456639995</v>
      </c>
      <c r="S520" s="43">
        <f t="shared" si="312"/>
        <v>17871.847050239994</v>
      </c>
      <c r="T520" s="43">
        <f t="shared" si="312"/>
        <v>8935.9235251199971</v>
      </c>
      <c r="U520" s="43">
        <f t="shared" si="312"/>
        <v>0</v>
      </c>
      <c r="V520" s="43">
        <f t="shared" si="312"/>
        <v>0</v>
      </c>
      <c r="X520" s="43">
        <f t="shared" si="313"/>
        <v>2482.2009791999999</v>
      </c>
      <c r="Y520" s="43">
        <f t="shared" si="313"/>
        <v>2482.2009791999994</v>
      </c>
      <c r="Z520" s="43">
        <f t="shared" si="313"/>
        <v>1241.1004895999997</v>
      </c>
      <c r="AA520" s="43">
        <f t="shared" si="313"/>
        <v>0</v>
      </c>
      <c r="AB520" s="43">
        <f t="shared" si="313"/>
        <v>0</v>
      </c>
      <c r="AD520" s="43">
        <f t="shared" si="291"/>
        <v>30531.072044159988</v>
      </c>
      <c r="AE520" s="43">
        <f t="shared" si="292"/>
        <v>10177.024014719995</v>
      </c>
      <c r="AF520" s="43">
        <f t="shared" si="293"/>
        <v>-2.0463630789890885E-12</v>
      </c>
      <c r="AG520" s="43">
        <f t="shared" si="294"/>
        <v>0</v>
      </c>
      <c r="AH520" s="43">
        <f t="shared" si="295"/>
        <v>0</v>
      </c>
      <c r="AJ520" s="43">
        <f t="shared" si="282"/>
        <v>32562.008885341435</v>
      </c>
      <c r="AK520" s="43">
        <f t="shared" si="283"/>
        <v>20689.889821925753</v>
      </c>
      <c r="AL520" s="43">
        <f t="shared" si="284"/>
        <v>10177.024014719997</v>
      </c>
      <c r="AM520" s="43">
        <f t="shared" si="285"/>
        <v>0</v>
      </c>
      <c r="AN520" s="43">
        <f t="shared" si="286"/>
        <v>0</v>
      </c>
    </row>
    <row r="521" spans="2:40">
      <c r="B521" s="37" t="str">
        <f t="shared" si="279"/>
        <v>Asset 215</v>
      </c>
      <c r="F521" s="37" t="str">
        <f t="shared" ref="F521:L521" si="317">F273</f>
        <v>11 Werktuigen</v>
      </c>
      <c r="G521" s="37">
        <f t="shared" si="317"/>
        <v>2019</v>
      </c>
      <c r="H521" s="52">
        <f t="shared" si="317"/>
        <v>288666.6970011855</v>
      </c>
      <c r="I521" s="37">
        <f t="shared" si="317"/>
        <v>2021</v>
      </c>
      <c r="J521" s="52">
        <f t="shared" si="317"/>
        <v>10</v>
      </c>
      <c r="K521" s="177">
        <f t="shared" si="317"/>
        <v>1</v>
      </c>
      <c r="L521" s="52">
        <f t="shared" si="317"/>
        <v>225683.08771589081</v>
      </c>
      <c r="N521" s="43">
        <f t="shared" si="290"/>
        <v>225683.08771589081</v>
      </c>
      <c r="P521" s="38">
        <f t="shared" si="281"/>
        <v>7.5</v>
      </c>
      <c r="R521" s="43">
        <f t="shared" si="312"/>
        <v>35206.56168367897</v>
      </c>
      <c r="S521" s="43">
        <f t="shared" si="312"/>
        <v>29104.09099184128</v>
      </c>
      <c r="T521" s="43">
        <f t="shared" si="312"/>
        <v>25237.113867051179</v>
      </c>
      <c r="U521" s="43">
        <f t="shared" si="312"/>
        <v>25237.113867051179</v>
      </c>
      <c r="V521" s="43">
        <f t="shared" si="312"/>
        <v>25237.113867051179</v>
      </c>
      <c r="X521" s="43">
        <f t="shared" si="313"/>
        <v>3009.1078362118778</v>
      </c>
      <c r="Y521" s="43">
        <f t="shared" si="313"/>
        <v>3009.1078362118778</v>
      </c>
      <c r="Z521" s="43">
        <f t="shared" si="313"/>
        <v>3009.1078362118778</v>
      </c>
      <c r="AA521" s="43">
        <f t="shared" si="313"/>
        <v>3009.1078362118778</v>
      </c>
      <c r="AB521" s="43">
        <f t="shared" si="313"/>
        <v>3009.1078362118778</v>
      </c>
      <c r="AD521" s="43">
        <f t="shared" si="291"/>
        <v>187467.41819599996</v>
      </c>
      <c r="AE521" s="43">
        <f t="shared" si="292"/>
        <v>155354.21936794679</v>
      </c>
      <c r="AF521" s="43">
        <f t="shared" si="293"/>
        <v>127107.99766468375</v>
      </c>
      <c r="AG521" s="43">
        <f t="shared" si="294"/>
        <v>98861.775961420688</v>
      </c>
      <c r="AH521" s="43">
        <f t="shared" si="295"/>
        <v>70615.55425815763</v>
      </c>
      <c r="AJ521" s="43">
        <f t="shared" si="282"/>
        <v>44589.561738554847</v>
      </c>
      <c r="AK521" s="43">
        <f t="shared" si="283"/>
        <v>37239.888067195403</v>
      </c>
      <c r="AL521" s="43">
        <f t="shared" si="284"/>
        <v>33076.32561452104</v>
      </c>
      <c r="AM521" s="43">
        <f t="shared" si="285"/>
        <v>32002.969189797044</v>
      </c>
      <c r="AN521" s="43">
        <f t="shared" si="286"/>
        <v>30929.612765073049</v>
      </c>
    </row>
    <row r="522" spans="2:40">
      <c r="B522" s="37" t="str">
        <f t="shared" si="279"/>
        <v>Asset 216</v>
      </c>
      <c r="F522" s="37" t="str">
        <f t="shared" ref="F522:L522" si="318">F274</f>
        <v>20 Kantoorgebouwen</v>
      </c>
      <c r="G522" s="37">
        <f t="shared" si="318"/>
        <v>2019</v>
      </c>
      <c r="H522" s="52">
        <f t="shared" si="318"/>
        <v>1170372.8470650064</v>
      </c>
      <c r="I522" s="37">
        <f t="shared" si="318"/>
        <v>2021</v>
      </c>
      <c r="J522" s="52">
        <f t="shared" si="318"/>
        <v>30</v>
      </c>
      <c r="K522" s="177">
        <f t="shared" si="318"/>
        <v>0</v>
      </c>
      <c r="L522" s="52">
        <f t="shared" si="318"/>
        <v>1118347.433267273</v>
      </c>
      <c r="N522" s="43">
        <f t="shared" si="290"/>
        <v>1118347.433267273</v>
      </c>
      <c r="P522" s="38">
        <f t="shared" si="281"/>
        <v>27.5</v>
      </c>
      <c r="R522" s="43">
        <f t="shared" si="312"/>
        <v>47580.599888098521</v>
      </c>
      <c r="S522" s="43">
        <f t="shared" si="312"/>
        <v>45331.335166115685</v>
      </c>
      <c r="T522" s="43">
        <f t="shared" si="312"/>
        <v>43188.399321899306</v>
      </c>
      <c r="U522" s="43">
        <f t="shared" si="312"/>
        <v>41146.765899409525</v>
      </c>
      <c r="V522" s="43">
        <f t="shared" si="312"/>
        <v>39201.646056891979</v>
      </c>
      <c r="X522" s="43">
        <f t="shared" si="313"/>
        <v>4066.7179391537202</v>
      </c>
      <c r="Y522" s="43">
        <f t="shared" si="313"/>
        <v>4066.7179391537202</v>
      </c>
      <c r="Z522" s="43">
        <f t="shared" si="313"/>
        <v>4066.7179391537202</v>
      </c>
      <c r="AA522" s="43">
        <f t="shared" si="313"/>
        <v>4066.7179391537202</v>
      </c>
      <c r="AB522" s="43">
        <f t="shared" si="313"/>
        <v>4066.7179391537202</v>
      </c>
      <c r="AD522" s="43">
        <f t="shared" si="291"/>
        <v>1066700.1154400208</v>
      </c>
      <c r="AE522" s="43">
        <f t="shared" si="292"/>
        <v>1017302.0623347515</v>
      </c>
      <c r="AF522" s="43">
        <f t="shared" si="293"/>
        <v>970046.94507369853</v>
      </c>
      <c r="AG522" s="43">
        <f t="shared" si="294"/>
        <v>924833.46123513533</v>
      </c>
      <c r="AH522" s="43">
        <f t="shared" si="295"/>
        <v>881565.09723908966</v>
      </c>
      <c r="AJ522" s="43">
        <f t="shared" si="282"/>
        <v>87915.121752212959</v>
      </c>
      <c r="AK522" s="43">
        <f t="shared" si="283"/>
        <v>82969.021162316203</v>
      </c>
      <c r="AL522" s="43">
        <f t="shared" si="284"/>
        <v>84116.901173853577</v>
      </c>
      <c r="AM522" s="43">
        <f t="shared" si="285"/>
        <v>80357.155365498387</v>
      </c>
      <c r="AN522" s="43">
        <f t="shared" si="286"/>
        <v>76767.837691131106</v>
      </c>
    </row>
    <row r="523" spans="2:40">
      <c r="B523" s="37" t="str">
        <f t="shared" si="279"/>
        <v>Asset 217</v>
      </c>
      <c r="F523" s="37" t="str">
        <f t="shared" ref="F523:L523" si="319">F275</f>
        <v>37 ICT middelen 1 (balancering)</v>
      </c>
      <c r="G523" s="37">
        <f t="shared" si="319"/>
        <v>2019</v>
      </c>
      <c r="H523" s="52">
        <f t="shared" si="319"/>
        <v>73704</v>
      </c>
      <c r="I523" s="37">
        <f t="shared" si="319"/>
        <v>2021</v>
      </c>
      <c r="J523" s="52">
        <f t="shared" si="319"/>
        <v>5</v>
      </c>
      <c r="K523" s="177">
        <f t="shared" si="319"/>
        <v>0</v>
      </c>
      <c r="L523" s="52">
        <f t="shared" si="319"/>
        <v>38415.114431999995</v>
      </c>
      <c r="N523" s="43">
        <f t="shared" si="290"/>
        <v>38415.114431999995</v>
      </c>
      <c r="P523" s="38">
        <f t="shared" si="281"/>
        <v>2.5</v>
      </c>
      <c r="R523" s="43">
        <f t="shared" si="312"/>
        <v>17978.273554175998</v>
      </c>
      <c r="S523" s="43">
        <f t="shared" si="312"/>
        <v>11063.552956416001</v>
      </c>
      <c r="T523" s="43">
        <f t="shared" si="312"/>
        <v>5531.7764782080003</v>
      </c>
      <c r="U523" s="43">
        <f t="shared" si="312"/>
        <v>0</v>
      </c>
      <c r="V523" s="43">
        <f t="shared" si="312"/>
        <v>0</v>
      </c>
      <c r="X523" s="43">
        <f t="shared" si="313"/>
        <v>1536.6045772799998</v>
      </c>
      <c r="Y523" s="43">
        <f t="shared" si="313"/>
        <v>1536.6045772799998</v>
      </c>
      <c r="Z523" s="43">
        <f t="shared" si="313"/>
        <v>768.30228863999992</v>
      </c>
      <c r="AA523" s="43">
        <f t="shared" si="313"/>
        <v>0</v>
      </c>
      <c r="AB523" s="43">
        <f t="shared" si="313"/>
        <v>0</v>
      </c>
      <c r="AD523" s="43">
        <f t="shared" si="291"/>
        <v>18900.236300543998</v>
      </c>
      <c r="AE523" s="43">
        <f t="shared" si="292"/>
        <v>6300.0787668479979</v>
      </c>
      <c r="AF523" s="43">
        <f t="shared" si="293"/>
        <v>-2.2737367544323206E-12</v>
      </c>
      <c r="AG523" s="43">
        <f t="shared" si="294"/>
        <v>0</v>
      </c>
      <c r="AH523" s="43">
        <f t="shared" si="295"/>
        <v>0</v>
      </c>
      <c r="AJ523" s="43">
        <f t="shared" si="282"/>
        <v>20157.486165674491</v>
      </c>
      <c r="AK523" s="43">
        <f t="shared" si="283"/>
        <v>12808.060133001985</v>
      </c>
      <c r="AL523" s="43">
        <f t="shared" si="284"/>
        <v>6300.0787668480007</v>
      </c>
      <c r="AM523" s="43">
        <f t="shared" si="285"/>
        <v>0</v>
      </c>
      <c r="AN523" s="43">
        <f t="shared" si="286"/>
        <v>0</v>
      </c>
    </row>
    <row r="524" spans="2:40">
      <c r="B524" s="37" t="str">
        <f t="shared" si="279"/>
        <v>Asset 218</v>
      </c>
      <c r="F524" s="37" t="str">
        <f t="shared" ref="F524:L524" si="320">F276</f>
        <v>37 ICT middelen 1 (gaschromatografen en comptabele meting)</v>
      </c>
      <c r="G524" s="37">
        <f t="shared" si="320"/>
        <v>2019</v>
      </c>
      <c r="H524" s="52">
        <f t="shared" si="320"/>
        <v>138775.45971332947</v>
      </c>
      <c r="I524" s="37">
        <f t="shared" si="320"/>
        <v>2021</v>
      </c>
      <c r="J524" s="52">
        <f t="shared" si="320"/>
        <v>5</v>
      </c>
      <c r="K524" s="177">
        <f t="shared" si="320"/>
        <v>0</v>
      </c>
      <c r="L524" s="52">
        <f t="shared" si="320"/>
        <v>72330.879806265031</v>
      </c>
      <c r="N524" s="43">
        <f t="shared" si="290"/>
        <v>72330.879806265031</v>
      </c>
      <c r="P524" s="38">
        <f t="shared" si="281"/>
        <v>2.5</v>
      </c>
      <c r="R524" s="43">
        <f t="shared" si="312"/>
        <v>33850.85174933204</v>
      </c>
      <c r="S524" s="43">
        <f t="shared" si="312"/>
        <v>20831.293384204328</v>
      </c>
      <c r="T524" s="43">
        <f t="shared" si="312"/>
        <v>10415.646692102164</v>
      </c>
      <c r="U524" s="43">
        <f t="shared" si="312"/>
        <v>0</v>
      </c>
      <c r="V524" s="43">
        <f t="shared" si="312"/>
        <v>0</v>
      </c>
      <c r="X524" s="43">
        <f t="shared" si="313"/>
        <v>2893.2351922506018</v>
      </c>
      <c r="Y524" s="43">
        <f t="shared" si="313"/>
        <v>2893.2351922506009</v>
      </c>
      <c r="Z524" s="43">
        <f t="shared" si="313"/>
        <v>1446.6175961253005</v>
      </c>
      <c r="AA524" s="43">
        <f t="shared" si="313"/>
        <v>0</v>
      </c>
      <c r="AB524" s="43">
        <f t="shared" si="313"/>
        <v>0</v>
      </c>
      <c r="AD524" s="43">
        <f t="shared" si="291"/>
        <v>35586.792864682393</v>
      </c>
      <c r="AE524" s="43">
        <f t="shared" si="292"/>
        <v>11862.264288227465</v>
      </c>
      <c r="AF524" s="43">
        <f t="shared" si="293"/>
        <v>6.8212102632969618E-13</v>
      </c>
      <c r="AG524" s="43">
        <f t="shared" si="294"/>
        <v>0</v>
      </c>
      <c r="AH524" s="43">
        <f t="shared" si="295"/>
        <v>0</v>
      </c>
      <c r="AJ524" s="43">
        <f t="shared" si="282"/>
        <v>37954.037898981842</v>
      </c>
      <c r="AK524" s="43">
        <f t="shared" si="283"/>
        <v>24115.983297966435</v>
      </c>
      <c r="AL524" s="43">
        <f t="shared" si="284"/>
        <v>11862.264288227465</v>
      </c>
      <c r="AM524" s="43">
        <f t="shared" si="285"/>
        <v>0</v>
      </c>
      <c r="AN524" s="43">
        <f t="shared" si="286"/>
        <v>0</v>
      </c>
    </row>
    <row r="525" spans="2:40">
      <c r="B525" s="37" t="str">
        <f t="shared" si="279"/>
        <v>Asset 219</v>
      </c>
      <c r="F525" s="37" t="str">
        <f t="shared" ref="F525:L525" si="321">F277</f>
        <v>10 Gereedschap</v>
      </c>
      <c r="G525" s="37">
        <f t="shared" si="321"/>
        <v>2019</v>
      </c>
      <c r="H525" s="52">
        <f t="shared" si="321"/>
        <v>142771.1801450084</v>
      </c>
      <c r="I525" s="37">
        <f t="shared" si="321"/>
        <v>2021</v>
      </c>
      <c r="J525" s="52">
        <f t="shared" si="321"/>
        <v>10</v>
      </c>
      <c r="K525" s="177">
        <f t="shared" si="321"/>
        <v>1</v>
      </c>
      <c r="L525" s="52">
        <f t="shared" si="321"/>
        <v>111620.22189152931</v>
      </c>
      <c r="N525" s="43">
        <f t="shared" si="290"/>
        <v>111620.22189152931</v>
      </c>
      <c r="P525" s="38">
        <f t="shared" si="281"/>
        <v>7.5</v>
      </c>
      <c r="R525" s="43">
        <f t="shared" si="312"/>
        <v>17412.754615078575</v>
      </c>
      <c r="S525" s="43">
        <f t="shared" si="312"/>
        <v>14394.543815131619</v>
      </c>
      <c r="T525" s="43">
        <f t="shared" si="312"/>
        <v>12481.982049484761</v>
      </c>
      <c r="U525" s="43">
        <f t="shared" si="312"/>
        <v>12481.982049484761</v>
      </c>
      <c r="V525" s="43">
        <f t="shared" si="312"/>
        <v>12481.982049484761</v>
      </c>
      <c r="X525" s="43">
        <f t="shared" si="313"/>
        <v>1488.2696252203907</v>
      </c>
      <c r="Y525" s="43">
        <f t="shared" si="313"/>
        <v>1488.2696252203907</v>
      </c>
      <c r="Z525" s="43">
        <f t="shared" si="313"/>
        <v>1488.2696252203907</v>
      </c>
      <c r="AA525" s="43">
        <f t="shared" si="313"/>
        <v>1488.2696252203907</v>
      </c>
      <c r="AB525" s="43">
        <f t="shared" si="313"/>
        <v>1488.2696252203907</v>
      </c>
      <c r="AD525" s="43">
        <f t="shared" si="291"/>
        <v>92719.197651230337</v>
      </c>
      <c r="AE525" s="43">
        <f t="shared" si="292"/>
        <v>76836.384210878328</v>
      </c>
      <c r="AF525" s="43">
        <f t="shared" si="293"/>
        <v>62866.13253617318</v>
      </c>
      <c r="AG525" s="43">
        <f t="shared" si="294"/>
        <v>48895.880861468031</v>
      </c>
      <c r="AH525" s="43">
        <f t="shared" si="295"/>
        <v>34925.629186762882</v>
      </c>
      <c r="AJ525" s="43">
        <f t="shared" si="282"/>
        <v>22053.476960440796</v>
      </c>
      <c r="AK525" s="43">
        <f t="shared" si="283"/>
        <v>18418.414119310997</v>
      </c>
      <c r="AL525" s="43">
        <f t="shared" si="284"/>
        <v>16359.164711079733</v>
      </c>
      <c r="AM525" s="43">
        <f t="shared" si="285"/>
        <v>15828.295147440938</v>
      </c>
      <c r="AN525" s="43">
        <f t="shared" si="286"/>
        <v>15297.425583802142</v>
      </c>
    </row>
    <row r="526" spans="2:40">
      <c r="B526" s="37" t="str">
        <f t="shared" si="279"/>
        <v>Asset 220</v>
      </c>
      <c r="F526" s="37" t="str">
        <f t="shared" ref="F526:L526" si="322">F278</f>
        <v>39 ICT middelen 3</v>
      </c>
      <c r="G526" s="37">
        <f t="shared" si="322"/>
        <v>2018</v>
      </c>
      <c r="H526" s="52">
        <f t="shared" si="322"/>
        <v>66462443.599999994</v>
      </c>
      <c r="I526" s="37">
        <f t="shared" si="322"/>
        <v>2021</v>
      </c>
      <c r="J526" s="52">
        <f t="shared" si="322"/>
        <v>15</v>
      </c>
      <c r="K526" s="177">
        <f t="shared" si="322"/>
        <v>1</v>
      </c>
      <c r="L526" s="52">
        <f t="shared" si="322"/>
        <v>53753217.800323352</v>
      </c>
      <c r="N526" s="43">
        <f t="shared" si="290"/>
        <v>53753217.800323352</v>
      </c>
      <c r="P526" s="38">
        <f t="shared" si="281"/>
        <v>11.5</v>
      </c>
      <c r="R526" s="43">
        <f t="shared" si="312"/>
        <v>5468805.637076376</v>
      </c>
      <c r="S526" s="43">
        <f t="shared" si="312"/>
        <v>4850592.8259286107</v>
      </c>
      <c r="T526" s="43">
        <f t="shared" si="312"/>
        <v>4302264.9412584202</v>
      </c>
      <c r="U526" s="43">
        <f t="shared" si="312"/>
        <v>3971321.4842385412</v>
      </c>
      <c r="V526" s="43">
        <f t="shared" si="312"/>
        <v>3971321.4842385412</v>
      </c>
      <c r="X526" s="43">
        <f t="shared" si="313"/>
        <v>467419.28522020311</v>
      </c>
      <c r="Y526" s="43">
        <f t="shared" si="313"/>
        <v>467419.28522020311</v>
      </c>
      <c r="Z526" s="43">
        <f t="shared" si="313"/>
        <v>467419.28522020311</v>
      </c>
      <c r="AA526" s="43">
        <f t="shared" si="313"/>
        <v>467419.28522020311</v>
      </c>
      <c r="AB526" s="43">
        <f t="shared" si="313"/>
        <v>467419.28522020311</v>
      </c>
      <c r="AD526" s="43">
        <f t="shared" si="291"/>
        <v>47816992.878026769</v>
      </c>
      <c r="AE526" s="43">
        <f t="shared" si="292"/>
        <v>42498980.766877949</v>
      </c>
      <c r="AF526" s="43">
        <f t="shared" si="293"/>
        <v>37729296.54039932</v>
      </c>
      <c r="AG526" s="43">
        <f t="shared" si="294"/>
        <v>33290555.770940576</v>
      </c>
      <c r="AH526" s="43">
        <f t="shared" si="295"/>
        <v>28851815.001481831</v>
      </c>
      <c r="AJ526" s="43">
        <f t="shared" si="282"/>
        <v>7562002.6801494891</v>
      </c>
      <c r="AK526" s="43">
        <f t="shared" si="283"/>
        <v>6720478.4764557863</v>
      </c>
      <c r="AL526" s="43">
        <f t="shared" si="284"/>
        <v>6203397.4950137977</v>
      </c>
      <c r="AM526" s="43">
        <f t="shared" si="285"/>
        <v>5703781.888754487</v>
      </c>
      <c r="AN526" s="43">
        <f t="shared" si="286"/>
        <v>5535109.739515054</v>
      </c>
    </row>
    <row r="527" spans="2:40">
      <c r="B527" s="37" t="str">
        <f t="shared" si="279"/>
        <v>Asset 221</v>
      </c>
      <c r="F527" s="37" t="str">
        <f t="shared" ref="F527:L527" si="323">F279</f>
        <v>39 ICT middelen 3 (balancering)</v>
      </c>
      <c r="G527" s="37">
        <f t="shared" si="323"/>
        <v>2018</v>
      </c>
      <c r="H527" s="52">
        <f t="shared" si="323"/>
        <v>13091088</v>
      </c>
      <c r="I527" s="37">
        <f t="shared" si="323"/>
        <v>2021</v>
      </c>
      <c r="J527" s="52">
        <f t="shared" si="323"/>
        <v>15</v>
      </c>
      <c r="K527" s="177">
        <f t="shared" si="323"/>
        <v>0</v>
      </c>
      <c r="L527" s="52">
        <f t="shared" si="323"/>
        <v>10587755.526147995</v>
      </c>
      <c r="N527" s="43">
        <f t="shared" si="290"/>
        <v>10587755.526147995</v>
      </c>
      <c r="P527" s="38">
        <f t="shared" si="281"/>
        <v>11.5</v>
      </c>
      <c r="R527" s="43">
        <f t="shared" ref="R527:V536" si="324">IF(R$305&lt;=$G527+$J527,VDB($L527*(1-$F$25),0,$P527,R$305-2022,MIN(R$305-2021,$P527),$F$22),0)</f>
        <v>1077189.0404863614</v>
      </c>
      <c r="S527" s="43">
        <f t="shared" si="324"/>
        <v>955419.84460529429</v>
      </c>
      <c r="T527" s="43">
        <f t="shared" si="324"/>
        <v>847415.86217165238</v>
      </c>
      <c r="U527" s="43">
        <f t="shared" si="324"/>
        <v>782230.02661998675</v>
      </c>
      <c r="V527" s="43">
        <f t="shared" si="324"/>
        <v>782230.02661998675</v>
      </c>
      <c r="X527" s="43">
        <f t="shared" ref="X527:AB536" si="325">IF(X$305&lt;=$G527+$J527,VDB($L527*$F$25,0,$P527,X$305-2022,MIN(X$305-2021,$P527),1),0)</f>
        <v>92067.439357808646</v>
      </c>
      <c r="Y527" s="43">
        <f t="shared" si="325"/>
        <v>92067.439357808646</v>
      </c>
      <c r="Z527" s="43">
        <f t="shared" si="325"/>
        <v>92067.439357808646</v>
      </c>
      <c r="AA527" s="43">
        <f t="shared" si="325"/>
        <v>92067.439357808646</v>
      </c>
      <c r="AB527" s="43">
        <f t="shared" si="325"/>
        <v>92067.439357808646</v>
      </c>
      <c r="AD527" s="43">
        <f t="shared" si="291"/>
        <v>9418499.0463038255</v>
      </c>
      <c r="AE527" s="43">
        <f t="shared" si="292"/>
        <v>8371011.7623407217</v>
      </c>
      <c r="AF527" s="43">
        <f t="shared" si="293"/>
        <v>7431528.4608112602</v>
      </c>
      <c r="AG527" s="43">
        <f t="shared" si="294"/>
        <v>6557230.9948334647</v>
      </c>
      <c r="AH527" s="43">
        <f t="shared" si="295"/>
        <v>5682933.5288556693</v>
      </c>
      <c r="AJ527" s="43">
        <f t="shared" si="282"/>
        <v>1489485.4474185</v>
      </c>
      <c r="AK527" s="43">
        <f t="shared" si="283"/>
        <v>1323730.6721203467</v>
      </c>
      <c r="AL527" s="43">
        <f t="shared" si="284"/>
        <v>1221881.3830402889</v>
      </c>
      <c r="AM527" s="43">
        <f t="shared" si="285"/>
        <v>1123472.243781467</v>
      </c>
      <c r="AN527" s="43">
        <f t="shared" si="286"/>
        <v>1090248.9400743109</v>
      </c>
    </row>
    <row r="528" spans="2:40">
      <c r="B528" s="37" t="str">
        <f t="shared" si="279"/>
        <v>Asset 222</v>
      </c>
      <c r="F528" s="37" t="str">
        <f t="shared" ref="F528:L528" si="326">F280</f>
        <v>39 ICT middelen 3 (KC)</v>
      </c>
      <c r="G528" s="37">
        <f t="shared" si="326"/>
        <v>2019</v>
      </c>
      <c r="H528" s="52">
        <f t="shared" si="326"/>
        <v>510273.00000000006</v>
      </c>
      <c r="I528" s="37">
        <f t="shared" si="326"/>
        <v>2021</v>
      </c>
      <c r="J528" s="52">
        <f t="shared" si="326"/>
        <v>15</v>
      </c>
      <c r="K528" s="177">
        <f t="shared" si="326"/>
        <v>0</v>
      </c>
      <c r="L528" s="52">
        <f t="shared" si="326"/>
        <v>443263.94964000006</v>
      </c>
      <c r="N528" s="43">
        <f t="shared" si="290"/>
        <v>443263.94964000006</v>
      </c>
      <c r="P528" s="38">
        <f t="shared" si="281"/>
        <v>12.5</v>
      </c>
      <c r="R528" s="43">
        <f t="shared" si="324"/>
        <v>41489.505686304015</v>
      </c>
      <c r="S528" s="43">
        <f t="shared" si="324"/>
        <v>37174.597094928395</v>
      </c>
      <c r="T528" s="43">
        <f t="shared" si="324"/>
        <v>33308.43899705584</v>
      </c>
      <c r="U528" s="43">
        <f t="shared" si="324"/>
        <v>30206.843462917033</v>
      </c>
      <c r="V528" s="43">
        <f t="shared" si="324"/>
        <v>30206.843462917033</v>
      </c>
      <c r="X528" s="43">
        <f t="shared" si="325"/>
        <v>3546.1115971200006</v>
      </c>
      <c r="Y528" s="43">
        <f t="shared" si="325"/>
        <v>3546.1115971200006</v>
      </c>
      <c r="Z528" s="43">
        <f t="shared" si="325"/>
        <v>3546.1115971200006</v>
      </c>
      <c r="AA528" s="43">
        <f t="shared" si="325"/>
        <v>3546.1115971200006</v>
      </c>
      <c r="AB528" s="43">
        <f t="shared" si="325"/>
        <v>3546.1115971200006</v>
      </c>
      <c r="AD528" s="43">
        <f t="shared" si="291"/>
        <v>398228.33235657605</v>
      </c>
      <c r="AE528" s="43">
        <f t="shared" si="292"/>
        <v>357507.62366452767</v>
      </c>
      <c r="AF528" s="43">
        <f t="shared" si="293"/>
        <v>320653.07307035179</v>
      </c>
      <c r="AG528" s="43">
        <f t="shared" si="294"/>
        <v>286900.11801031476</v>
      </c>
      <c r="AH528" s="43">
        <f t="shared" si="295"/>
        <v>253147.16295027774</v>
      </c>
      <c r="AJ528" s="43">
        <f t="shared" si="282"/>
        <v>58575.380583547601</v>
      </c>
      <c r="AK528" s="43">
        <f t="shared" si="283"/>
        <v>52518.460272977805</v>
      </c>
      <c r="AL528" s="43">
        <f t="shared" si="284"/>
        <v>49039.367370849206</v>
      </c>
      <c r="AM528" s="43">
        <f t="shared" si="285"/>
        <v>44655.159544429</v>
      </c>
      <c r="AN528" s="43">
        <f t="shared" si="286"/>
        <v>43372.547252147589</v>
      </c>
    </row>
    <row r="529" spans="2:40">
      <c r="B529" s="37" t="str">
        <f t="shared" si="279"/>
        <v>Asset 223</v>
      </c>
      <c r="F529" s="37" t="str">
        <f t="shared" ref="F529:L529" si="327">F281</f>
        <v>37 ICT middelen 1</v>
      </c>
      <c r="G529" s="37">
        <f t="shared" si="327"/>
        <v>2020</v>
      </c>
      <c r="H529" s="52">
        <f t="shared" si="327"/>
        <v>4054436.8604233577</v>
      </c>
      <c r="I529" s="37">
        <f t="shared" si="327"/>
        <v>2021</v>
      </c>
      <c r="J529" s="52">
        <f t="shared" si="327"/>
        <v>5</v>
      </c>
      <c r="K529" s="177">
        <f t="shared" si="327"/>
        <v>1</v>
      </c>
      <c r="L529" s="52">
        <f t="shared" si="327"/>
        <v>2883515.4951330922</v>
      </c>
      <c r="N529" s="43">
        <f t="shared" si="290"/>
        <v>2883515.4951330922</v>
      </c>
      <c r="P529" s="38">
        <f t="shared" si="281"/>
        <v>3.5</v>
      </c>
      <c r="R529" s="43">
        <f t="shared" si="324"/>
        <v>963918.03694449086</v>
      </c>
      <c r="S529" s="43">
        <f t="shared" si="324"/>
        <v>652498.36347011686</v>
      </c>
      <c r="T529" s="43">
        <f t="shared" si="324"/>
        <v>652498.36347011686</v>
      </c>
      <c r="U529" s="43">
        <f t="shared" si="324"/>
        <v>326249.18173505843</v>
      </c>
      <c r="V529" s="43">
        <f t="shared" si="324"/>
        <v>0</v>
      </c>
      <c r="X529" s="43">
        <f t="shared" si="325"/>
        <v>82386.157003802626</v>
      </c>
      <c r="Y529" s="43">
        <f t="shared" si="325"/>
        <v>82386.157003802626</v>
      </c>
      <c r="Z529" s="43">
        <f t="shared" si="325"/>
        <v>82386.157003802626</v>
      </c>
      <c r="AA529" s="43">
        <f t="shared" si="325"/>
        <v>41193.078501901313</v>
      </c>
      <c r="AB529" s="43">
        <f t="shared" si="325"/>
        <v>0</v>
      </c>
      <c r="AD529" s="43">
        <f t="shared" si="291"/>
        <v>1837211.3011847986</v>
      </c>
      <c r="AE529" s="43">
        <f t="shared" si="292"/>
        <v>1102326.780710879</v>
      </c>
      <c r="AF529" s="43">
        <f t="shared" si="293"/>
        <v>367442.26023695956</v>
      </c>
      <c r="AG529" s="43">
        <f t="shared" si="294"/>
        <v>-1.8917489796876907E-10</v>
      </c>
      <c r="AH529" s="43">
        <f t="shared" si="295"/>
        <v>0</v>
      </c>
      <c r="AJ529" s="43">
        <f t="shared" si="282"/>
        <v>1108769.3781885765</v>
      </c>
      <c r="AK529" s="43">
        <f t="shared" si="283"/>
        <v>771261.30423737853</v>
      </c>
      <c r="AL529" s="43">
        <f t="shared" si="284"/>
        <v>748847.32636292395</v>
      </c>
      <c r="AM529" s="43">
        <f t="shared" si="285"/>
        <v>367442.26023695973</v>
      </c>
      <c r="AN529" s="43">
        <f t="shared" si="286"/>
        <v>0</v>
      </c>
    </row>
    <row r="530" spans="2:40">
      <c r="B530" s="37" t="str">
        <f t="shared" si="279"/>
        <v>Asset 224</v>
      </c>
      <c r="F530" s="37" t="str">
        <f t="shared" ref="F530:L530" si="328">F282</f>
        <v>11 Werktuigen</v>
      </c>
      <c r="G530" s="37">
        <f t="shared" si="328"/>
        <v>2021</v>
      </c>
      <c r="H530" s="52">
        <f t="shared" si="328"/>
        <v>2667062.5363170211</v>
      </c>
      <c r="I530" s="37">
        <f t="shared" si="328"/>
        <v>2021</v>
      </c>
      <c r="J530" s="52">
        <f t="shared" si="328"/>
        <v>10</v>
      </c>
      <c r="K530" s="177">
        <f t="shared" si="328"/>
        <v>1</v>
      </c>
      <c r="L530" s="52">
        <f t="shared" si="328"/>
        <v>2533709.4095011703</v>
      </c>
      <c r="N530" s="43">
        <f t="shared" si="290"/>
        <v>2533709.4095011703</v>
      </c>
      <c r="P530" s="38">
        <f t="shared" si="281"/>
        <v>9.5</v>
      </c>
      <c r="R530" s="43">
        <f t="shared" si="324"/>
        <v>312046.31674909149</v>
      </c>
      <c r="S530" s="43">
        <f t="shared" si="324"/>
        <v>269345.24182553164</v>
      </c>
      <c r="T530" s="43">
        <f t="shared" si="324"/>
        <v>232487.47189151149</v>
      </c>
      <c r="U530" s="43">
        <f t="shared" si="324"/>
        <v>225609.14432075669</v>
      </c>
      <c r="V530" s="43">
        <f t="shared" si="324"/>
        <v>225609.14432075669</v>
      </c>
      <c r="X530" s="43">
        <f t="shared" si="325"/>
        <v>26670.625363170217</v>
      </c>
      <c r="Y530" s="43">
        <f t="shared" si="325"/>
        <v>26670.625363170217</v>
      </c>
      <c r="Z530" s="43">
        <f t="shared" si="325"/>
        <v>26670.625363170217</v>
      </c>
      <c r="AA530" s="43">
        <f t="shared" si="325"/>
        <v>26670.625363170217</v>
      </c>
      <c r="AB530" s="43">
        <f t="shared" si="325"/>
        <v>26670.625363170217</v>
      </c>
      <c r="AD530" s="43">
        <f t="shared" si="291"/>
        <v>2194992.4673889084</v>
      </c>
      <c r="AE530" s="43">
        <f t="shared" si="292"/>
        <v>1898976.6002002065</v>
      </c>
      <c r="AF530" s="43">
        <f t="shared" si="293"/>
        <v>1639818.5029455249</v>
      </c>
      <c r="AG530" s="43">
        <f t="shared" si="294"/>
        <v>1387538.733261598</v>
      </c>
      <c r="AH530" s="43">
        <f t="shared" si="295"/>
        <v>1135258.9635776712</v>
      </c>
      <c r="AJ530" s="43">
        <f t="shared" si="282"/>
        <v>413346.68600348465</v>
      </c>
      <c r="AK530" s="43">
        <f t="shared" si="283"/>
        <v>358682.09499530867</v>
      </c>
      <c r="AL530" s="43">
        <f t="shared" si="284"/>
        <v>321471.20036661165</v>
      </c>
      <c r="AM530" s="43">
        <f t="shared" si="285"/>
        <v>305006.24154786766</v>
      </c>
      <c r="AN530" s="43">
        <f t="shared" si="286"/>
        <v>295419.6102998784</v>
      </c>
    </row>
    <row r="531" spans="2:40">
      <c r="B531" s="37" t="str">
        <f t="shared" si="279"/>
        <v>Asset 225</v>
      </c>
      <c r="F531" s="37" t="str">
        <f t="shared" ref="F531:L531" si="329">F283</f>
        <v>10 Gereedschap</v>
      </c>
      <c r="G531" s="37">
        <f t="shared" si="329"/>
        <v>2021</v>
      </c>
      <c r="H531" s="52">
        <f t="shared" si="329"/>
        <v>467492.45719026914</v>
      </c>
      <c r="I531" s="37">
        <f t="shared" si="329"/>
        <v>2021</v>
      </c>
      <c r="J531" s="52">
        <f t="shared" si="329"/>
        <v>10</v>
      </c>
      <c r="K531" s="177">
        <f t="shared" si="329"/>
        <v>1</v>
      </c>
      <c r="L531" s="52">
        <f t="shared" si="329"/>
        <v>444117.83433075569</v>
      </c>
      <c r="N531" s="43">
        <f t="shared" si="290"/>
        <v>444117.83433075569</v>
      </c>
      <c r="P531" s="38">
        <f t="shared" si="281"/>
        <v>9.5</v>
      </c>
      <c r="R531" s="43">
        <f t="shared" si="324"/>
        <v>54696.617491261495</v>
      </c>
      <c r="S531" s="43">
        <f t="shared" si="324"/>
        <v>47211.817202983599</v>
      </c>
      <c r="T531" s="43">
        <f t="shared" si="324"/>
        <v>40751.252743627949</v>
      </c>
      <c r="U531" s="43">
        <f t="shared" si="324"/>
        <v>39545.594378431859</v>
      </c>
      <c r="V531" s="43">
        <f t="shared" si="324"/>
        <v>39545.594378431859</v>
      </c>
      <c r="X531" s="43">
        <f t="shared" si="325"/>
        <v>4674.9245719026922</v>
      </c>
      <c r="Y531" s="43">
        <f t="shared" si="325"/>
        <v>4674.9245719026922</v>
      </c>
      <c r="Z531" s="43">
        <f t="shared" si="325"/>
        <v>4674.9245719026922</v>
      </c>
      <c r="AA531" s="43">
        <f t="shared" si="325"/>
        <v>4674.9245719026922</v>
      </c>
      <c r="AB531" s="43">
        <f t="shared" si="325"/>
        <v>4674.9245719026922</v>
      </c>
      <c r="AD531" s="43">
        <f t="shared" si="291"/>
        <v>384746.29226759152</v>
      </c>
      <c r="AE531" s="43">
        <f t="shared" si="292"/>
        <v>332859.55049270525</v>
      </c>
      <c r="AF531" s="43">
        <f t="shared" si="293"/>
        <v>287433.37317717465</v>
      </c>
      <c r="AG531" s="43">
        <f t="shared" si="294"/>
        <v>243212.85422684011</v>
      </c>
      <c r="AH531" s="43">
        <f t="shared" si="295"/>
        <v>198992.33527650556</v>
      </c>
      <c r="AJ531" s="43">
        <f t="shared" si="282"/>
        <v>72452.91600026231</v>
      </c>
      <c r="AK531" s="43">
        <f t="shared" si="283"/>
        <v>62871.106941145568</v>
      </c>
      <c r="AL531" s="43">
        <f t="shared" si="284"/>
        <v>56348.645496263278</v>
      </c>
      <c r="AM531" s="43">
        <f t="shared" si="285"/>
        <v>53462.607410954479</v>
      </c>
      <c r="AN531" s="43">
        <f t="shared" si="286"/>
        <v>51782.227690841763</v>
      </c>
    </row>
    <row r="532" spans="2:40">
      <c r="B532" s="37" t="str">
        <f t="shared" si="279"/>
        <v>Asset 226</v>
      </c>
      <c r="F532" s="37" t="str">
        <f t="shared" ref="F532:L532" si="330">F284</f>
        <v>38 ICT middelen 2</v>
      </c>
      <c r="G532" s="37">
        <f t="shared" si="330"/>
        <v>2021</v>
      </c>
      <c r="H532" s="52">
        <f t="shared" si="330"/>
        <v>3432262.7310020467</v>
      </c>
      <c r="I532" s="37">
        <f t="shared" si="330"/>
        <v>2021</v>
      </c>
      <c r="J532" s="52">
        <f t="shared" si="330"/>
        <v>10</v>
      </c>
      <c r="K532" s="177">
        <f t="shared" si="330"/>
        <v>1</v>
      </c>
      <c r="L532" s="52">
        <f t="shared" si="330"/>
        <v>3260649.5944519443</v>
      </c>
      <c r="N532" s="43">
        <f t="shared" si="290"/>
        <v>3260649.5944519443</v>
      </c>
      <c r="P532" s="38">
        <f t="shared" si="281"/>
        <v>9.5</v>
      </c>
      <c r="R532" s="43">
        <f t="shared" si="324"/>
        <v>401574.73952723952</v>
      </c>
      <c r="S532" s="43">
        <f t="shared" si="324"/>
        <v>346622.40674982779</v>
      </c>
      <c r="T532" s="43">
        <f t="shared" si="324"/>
        <v>299189.8668787987</v>
      </c>
      <c r="U532" s="43">
        <f t="shared" si="324"/>
        <v>290338.09566936677</v>
      </c>
      <c r="V532" s="43">
        <f t="shared" si="324"/>
        <v>290338.09566936677</v>
      </c>
      <c r="X532" s="43">
        <f t="shared" si="325"/>
        <v>34322.627310020471</v>
      </c>
      <c r="Y532" s="43">
        <f t="shared" si="325"/>
        <v>34322.627310020463</v>
      </c>
      <c r="Z532" s="43">
        <f t="shared" si="325"/>
        <v>34322.627310020463</v>
      </c>
      <c r="AA532" s="43">
        <f t="shared" si="325"/>
        <v>34322.627310020463</v>
      </c>
      <c r="AB532" s="43">
        <f t="shared" si="325"/>
        <v>34322.627310020463</v>
      </c>
      <c r="AD532" s="43">
        <f t="shared" si="291"/>
        <v>2824752.2276146845</v>
      </c>
      <c r="AE532" s="43">
        <f t="shared" si="292"/>
        <v>2443807.1935548363</v>
      </c>
      <c r="AF532" s="43">
        <f t="shared" si="293"/>
        <v>2110294.6993660172</v>
      </c>
      <c r="AG532" s="43">
        <f t="shared" si="294"/>
        <v>1785633.97638663</v>
      </c>
      <c r="AH532" s="43">
        <f t="shared" si="295"/>
        <v>1460973.2534072427</v>
      </c>
      <c r="AJ532" s="43">
        <f t="shared" si="282"/>
        <v>531938.94257615926</v>
      </c>
      <c r="AK532" s="43">
        <f t="shared" si="283"/>
        <v>461590.67144715786</v>
      </c>
      <c r="AL532" s="43">
        <f t="shared" si="284"/>
        <v>413703.69276472781</v>
      </c>
      <c r="AM532" s="43">
        <f t="shared" si="285"/>
        <v>392514.81408207916</v>
      </c>
      <c r="AN532" s="43">
        <f t="shared" si="286"/>
        <v>380177.70660886244</v>
      </c>
    </row>
    <row r="533" spans="2:40">
      <c r="B533" s="37" t="str">
        <f t="shared" si="279"/>
        <v>Asset 227</v>
      </c>
      <c r="F533" s="37" t="str">
        <f t="shared" ref="F533:L533" si="331">F285</f>
        <v>37 ICT middelen 1</v>
      </c>
      <c r="G533" s="37">
        <f t="shared" si="331"/>
        <v>2021</v>
      </c>
      <c r="H533" s="52">
        <f t="shared" si="331"/>
        <v>8176022.700880779</v>
      </c>
      <c r="I533" s="37">
        <f t="shared" si="331"/>
        <v>2021</v>
      </c>
      <c r="J533" s="52">
        <f t="shared" si="331"/>
        <v>5</v>
      </c>
      <c r="K533" s="177">
        <f t="shared" si="331"/>
        <v>1</v>
      </c>
      <c r="L533" s="52">
        <f t="shared" si="331"/>
        <v>7358420.4307927005</v>
      </c>
      <c r="N533" s="43">
        <f t="shared" si="290"/>
        <v>7358420.4307927005</v>
      </c>
      <c r="P533" s="38">
        <f t="shared" si="281"/>
        <v>4.5</v>
      </c>
      <c r="R533" s="43">
        <f t="shared" si="324"/>
        <v>1913189.3120061024</v>
      </c>
      <c r="S533" s="43">
        <f t="shared" si="324"/>
        <v>1360490.1774265615</v>
      </c>
      <c r="T533" s="43">
        <f t="shared" si="324"/>
        <v>1339559.5593123063</v>
      </c>
      <c r="U533" s="43">
        <f t="shared" si="324"/>
        <v>1339559.5593123063</v>
      </c>
      <c r="V533" s="43">
        <f t="shared" si="324"/>
        <v>669779.77965615317</v>
      </c>
      <c r="X533" s="43">
        <f t="shared" si="325"/>
        <v>163520.45401761556</v>
      </c>
      <c r="Y533" s="43">
        <f t="shared" si="325"/>
        <v>163520.45401761559</v>
      </c>
      <c r="Z533" s="43">
        <f t="shared" si="325"/>
        <v>163520.45401761559</v>
      </c>
      <c r="AA533" s="43">
        <f t="shared" si="325"/>
        <v>163520.45401761559</v>
      </c>
      <c r="AB533" s="43">
        <f t="shared" si="325"/>
        <v>81760.227008807793</v>
      </c>
      <c r="AD533" s="43">
        <f t="shared" si="291"/>
        <v>5281710.6647689817</v>
      </c>
      <c r="AE533" s="43">
        <f t="shared" si="292"/>
        <v>3757700.0333248046</v>
      </c>
      <c r="AF533" s="43">
        <f t="shared" si="293"/>
        <v>2254620.0199948829</v>
      </c>
      <c r="AG533" s="43">
        <f t="shared" si="294"/>
        <v>751540.00666496088</v>
      </c>
      <c r="AH533" s="43">
        <f t="shared" si="295"/>
        <v>-8.7311491370201111E-11</v>
      </c>
      <c r="AJ533" s="43">
        <f t="shared" si="282"/>
        <v>2256287.9286258635</v>
      </c>
      <c r="AK533" s="43">
        <f t="shared" si="283"/>
        <v>1648014.7325438957</v>
      </c>
      <c r="AL533" s="43">
        <f t="shared" si="284"/>
        <v>1588755.5740897276</v>
      </c>
      <c r="AM533" s="43">
        <f t="shared" si="285"/>
        <v>1531638.5335831905</v>
      </c>
      <c r="AN533" s="43">
        <f t="shared" si="286"/>
        <v>751540.00666496099</v>
      </c>
    </row>
    <row r="534" spans="2:40">
      <c r="B534" s="37" t="str">
        <f t="shared" si="279"/>
        <v>Asset 228</v>
      </c>
      <c r="F534" s="37" t="str">
        <f t="shared" ref="F534:L534" si="332">F286</f>
        <v>39 ICT middelen 3</v>
      </c>
      <c r="G534" s="37">
        <f t="shared" si="332"/>
        <v>2019</v>
      </c>
      <c r="H534" s="52">
        <f t="shared" si="332"/>
        <v>1603714.1720507673</v>
      </c>
      <c r="I534" s="37">
        <f t="shared" si="332"/>
        <v>2021</v>
      </c>
      <c r="J534" s="52">
        <f t="shared" si="332"/>
        <v>15</v>
      </c>
      <c r="K534" s="177">
        <f t="shared" si="332"/>
        <v>1</v>
      </c>
      <c r="L534" s="52">
        <f t="shared" si="332"/>
        <v>1393114.426977061</v>
      </c>
      <c r="N534" s="43">
        <f t="shared" si="290"/>
        <v>1393114.426977061</v>
      </c>
      <c r="P534" s="38">
        <f t="shared" si="281"/>
        <v>12.5</v>
      </c>
      <c r="R534" s="43">
        <f t="shared" si="324"/>
        <v>130395.51036505291</v>
      </c>
      <c r="S534" s="43">
        <f t="shared" si="324"/>
        <v>116834.37728708741</v>
      </c>
      <c r="T534" s="43">
        <f t="shared" si="324"/>
        <v>104683.60204923032</v>
      </c>
      <c r="U534" s="43">
        <f t="shared" si="324"/>
        <v>94935.736271366753</v>
      </c>
      <c r="V534" s="43">
        <f t="shared" si="324"/>
        <v>94935.736271366753</v>
      </c>
      <c r="X534" s="43">
        <f t="shared" si="325"/>
        <v>11144.915415816489</v>
      </c>
      <c r="Y534" s="43">
        <f t="shared" si="325"/>
        <v>11144.915415816489</v>
      </c>
      <c r="Z534" s="43">
        <f t="shared" si="325"/>
        <v>11144.915415816489</v>
      </c>
      <c r="AA534" s="43">
        <f t="shared" si="325"/>
        <v>11144.915415816489</v>
      </c>
      <c r="AB534" s="43">
        <f t="shared" si="325"/>
        <v>11144.915415816489</v>
      </c>
      <c r="AD534" s="43">
        <f t="shared" si="291"/>
        <v>1251574.0011961916</v>
      </c>
      <c r="AE534" s="43">
        <f t="shared" si="292"/>
        <v>1123594.7084932877</v>
      </c>
      <c r="AF534" s="43">
        <f t="shared" si="293"/>
        <v>1007766.1910282408</v>
      </c>
      <c r="AG534" s="43">
        <f t="shared" si="294"/>
        <v>901685.53934105765</v>
      </c>
      <c r="AH534" s="43">
        <f t="shared" si="295"/>
        <v>795604.88765387447</v>
      </c>
      <c r="AJ534" s="43">
        <f t="shared" si="282"/>
        <v>184093.94182153989</v>
      </c>
      <c r="AK534" s="43">
        <f t="shared" si="283"/>
        <v>165057.91808318239</v>
      </c>
      <c r="AL534" s="43">
        <f t="shared" si="284"/>
        <v>154123.63272411996</v>
      </c>
      <c r="AM534" s="43">
        <f t="shared" si="285"/>
        <v>140344.70218214343</v>
      </c>
      <c r="AN534" s="43">
        <f t="shared" si="286"/>
        <v>136313.63741803047</v>
      </c>
    </row>
    <row r="535" spans="2:40">
      <c r="B535" s="37" t="str">
        <f t="shared" si="279"/>
        <v>Asset 229</v>
      </c>
      <c r="F535" s="37" t="str">
        <f t="shared" ref="F535:L535" si="333">F287</f>
        <v>39 ICT middelen 3 (balancering)</v>
      </c>
      <c r="G535" s="37">
        <f t="shared" si="333"/>
        <v>2019</v>
      </c>
      <c r="H535" s="52">
        <f t="shared" si="333"/>
        <v>315883</v>
      </c>
      <c r="I535" s="37">
        <f t="shared" si="333"/>
        <v>2021</v>
      </c>
      <c r="J535" s="52">
        <f t="shared" si="333"/>
        <v>15</v>
      </c>
      <c r="K535" s="177">
        <f t="shared" si="333"/>
        <v>0</v>
      </c>
      <c r="L535" s="52">
        <f t="shared" si="333"/>
        <v>274401.24443999998</v>
      </c>
      <c r="N535" s="43">
        <f t="shared" si="290"/>
        <v>274401.24443999998</v>
      </c>
      <c r="P535" s="38">
        <f t="shared" si="281"/>
        <v>12.5</v>
      </c>
      <c r="R535" s="43">
        <f t="shared" si="324"/>
        <v>25683.956479584001</v>
      </c>
      <c r="S535" s="43">
        <f t="shared" si="324"/>
        <v>23012.825005707266</v>
      </c>
      <c r="T535" s="43">
        <f t="shared" si="324"/>
        <v>20619.491205113707</v>
      </c>
      <c r="U535" s="43">
        <f t="shared" si="324"/>
        <v>18699.457611115264</v>
      </c>
      <c r="V535" s="43">
        <f t="shared" si="324"/>
        <v>18699.457611115264</v>
      </c>
      <c r="X535" s="43">
        <f t="shared" si="325"/>
        <v>2195.2099555200002</v>
      </c>
      <c r="Y535" s="43">
        <f t="shared" si="325"/>
        <v>2195.2099555200002</v>
      </c>
      <c r="Z535" s="43">
        <f t="shared" si="325"/>
        <v>2195.2099555200002</v>
      </c>
      <c r="AA535" s="43">
        <f t="shared" si="325"/>
        <v>2195.2099555200002</v>
      </c>
      <c r="AB535" s="43">
        <f t="shared" si="325"/>
        <v>2195.2099555200002</v>
      </c>
      <c r="AD535" s="43">
        <f t="shared" si="291"/>
        <v>246522.07800489597</v>
      </c>
      <c r="AE535" s="43">
        <f t="shared" si="292"/>
        <v>221314.0430436687</v>
      </c>
      <c r="AF535" s="43">
        <f t="shared" si="293"/>
        <v>198499.341883035</v>
      </c>
      <c r="AG535" s="43">
        <f t="shared" si="294"/>
        <v>177604.67431639973</v>
      </c>
      <c r="AH535" s="43">
        <f t="shared" si="295"/>
        <v>156710.00674976446</v>
      </c>
      <c r="AJ535" s="43">
        <f t="shared" si="282"/>
        <v>36260.917087270464</v>
      </c>
      <c r="AK535" s="43">
        <f t="shared" si="283"/>
        <v>32511.398381668332</v>
      </c>
      <c r="AL535" s="43">
        <f t="shared" si="284"/>
        <v>30357.676152189037</v>
      </c>
      <c r="AM535" s="43">
        <f t="shared" si="285"/>
        <v>27643.645190658455</v>
      </c>
      <c r="AN535" s="43">
        <f t="shared" si="286"/>
        <v>26849.647823126314</v>
      </c>
    </row>
    <row r="536" spans="2:40">
      <c r="B536" s="37" t="str">
        <f t="shared" si="279"/>
        <v>Asset 230</v>
      </c>
      <c r="F536" s="37" t="str">
        <f t="shared" ref="F536:L536" si="334">F288</f>
        <v>39 ICT middelen 3</v>
      </c>
      <c r="G536" s="37">
        <f t="shared" si="334"/>
        <v>2020</v>
      </c>
      <c r="H536" s="52">
        <f t="shared" si="334"/>
        <v>437.7361508808076</v>
      </c>
      <c r="I536" s="37">
        <f t="shared" si="334"/>
        <v>2021</v>
      </c>
      <c r="J536" s="52">
        <f t="shared" si="334"/>
        <v>15</v>
      </c>
      <c r="K536" s="177">
        <f t="shared" si="334"/>
        <v>1</v>
      </c>
      <c r="L536" s="52">
        <f t="shared" si="334"/>
        <v>400.26593636541048</v>
      </c>
      <c r="N536" s="43">
        <f t="shared" si="290"/>
        <v>400.26593636541048</v>
      </c>
      <c r="P536" s="38">
        <f t="shared" si="281"/>
        <v>13.5</v>
      </c>
      <c r="R536" s="43">
        <f t="shared" si="324"/>
        <v>34.689714485002241</v>
      </c>
      <c r="S536" s="43">
        <f t="shared" si="324"/>
        <v>31.349223460520545</v>
      </c>
      <c r="T536" s="43">
        <f t="shared" si="324"/>
        <v>28.330409349507455</v>
      </c>
      <c r="U536" s="43">
        <f t="shared" si="324"/>
        <v>25.602295856591919</v>
      </c>
      <c r="V536" s="43">
        <f t="shared" si="324"/>
        <v>25.291336797604973</v>
      </c>
      <c r="X536" s="43">
        <f t="shared" si="325"/>
        <v>2.9649328619660036</v>
      </c>
      <c r="Y536" s="43">
        <f t="shared" si="325"/>
        <v>2.9649328619660036</v>
      </c>
      <c r="Z536" s="43">
        <f t="shared" si="325"/>
        <v>2.9649328619660036</v>
      </c>
      <c r="AA536" s="43">
        <f t="shared" si="325"/>
        <v>2.9649328619660036</v>
      </c>
      <c r="AB536" s="43">
        <f t="shared" si="325"/>
        <v>2.9649328619660036</v>
      </c>
      <c r="AD536" s="43">
        <f t="shared" si="291"/>
        <v>362.61128901844222</v>
      </c>
      <c r="AE536" s="43">
        <f t="shared" si="292"/>
        <v>328.29713269595567</v>
      </c>
      <c r="AF536" s="43">
        <f t="shared" si="293"/>
        <v>297.00179048448217</v>
      </c>
      <c r="AG536" s="43">
        <f t="shared" si="294"/>
        <v>268.43456176592423</v>
      </c>
      <c r="AH536" s="43">
        <f t="shared" si="295"/>
        <v>240.17829210635327</v>
      </c>
      <c r="AJ536" s="43">
        <f t="shared" si="282"/>
        <v>49.983431173595285</v>
      </c>
      <c r="AK536" s="43">
        <f t="shared" si="283"/>
        <v>45.147961701453085</v>
      </c>
      <c r="AL536" s="43">
        <f t="shared" si="284"/>
        <v>42.581410249883781</v>
      </c>
      <c r="AM536" s="43">
        <f t="shared" si="285"/>
        <v>38.767742065663043</v>
      </c>
      <c r="AN536" s="43">
        <f t="shared" si="286"/>
        <v>37.383044759612403</v>
      </c>
    </row>
    <row r="537" spans="2:40">
      <c r="B537" s="37" t="str">
        <f t="shared" si="279"/>
        <v>Asset 231</v>
      </c>
      <c r="F537" s="37" t="str">
        <f t="shared" ref="F537:L537" si="335">F289</f>
        <v>05 Wegen en terreinvoorzieningen</v>
      </c>
      <c r="G537" s="37">
        <f t="shared" si="335"/>
        <v>2020</v>
      </c>
      <c r="H537" s="52">
        <f t="shared" si="335"/>
        <v>274981.09053004743</v>
      </c>
      <c r="I537" s="37">
        <f t="shared" si="335"/>
        <v>2021</v>
      </c>
      <c r="J537" s="52">
        <f t="shared" si="335"/>
        <v>10</v>
      </c>
      <c r="K537" s="177">
        <f t="shared" si="335"/>
        <v>0</v>
      </c>
      <c r="L537" s="52">
        <f t="shared" si="335"/>
        <v>237473.66978174893</v>
      </c>
      <c r="N537" s="43">
        <f t="shared" si="290"/>
        <v>237473.66978174893</v>
      </c>
      <c r="P537" s="38">
        <f t="shared" si="281"/>
        <v>8.5</v>
      </c>
      <c r="R537" s="43">
        <f t="shared" ref="R537:V549" si="336">IF(R$305&lt;=$G537+$J537,VDB($L537*(1-$F$25),0,$P537,R$305-2022,MIN(R$305-2021,$P537),$F$22),0)</f>
        <v>32687.552193487798</v>
      </c>
      <c r="S537" s="43">
        <f t="shared" si="336"/>
        <v>27688.279505072016</v>
      </c>
      <c r="T537" s="43">
        <f t="shared" si="336"/>
        <v>23592.38017000219</v>
      </c>
      <c r="U537" s="43">
        <f t="shared" si="336"/>
        <v>23592.38017000219</v>
      </c>
      <c r="V537" s="43">
        <f t="shared" si="336"/>
        <v>23592.38017000219</v>
      </c>
      <c r="X537" s="43">
        <f t="shared" ref="X537:AB549" si="337">IF(X$305&lt;=$G537+$J537,VDB($L537*$F$25,0,$P537,X$305-2022,MIN(X$305-2021,$P537),1),0)</f>
        <v>2793.8078797852818</v>
      </c>
      <c r="Y537" s="43">
        <f t="shared" si="337"/>
        <v>2793.8078797852813</v>
      </c>
      <c r="Z537" s="43">
        <f t="shared" si="337"/>
        <v>2793.8078797852813</v>
      </c>
      <c r="AA537" s="43">
        <f t="shared" si="337"/>
        <v>2793.8078797852813</v>
      </c>
      <c r="AB537" s="43">
        <f t="shared" si="337"/>
        <v>2793.8078797852813</v>
      </c>
      <c r="AD537" s="43">
        <f t="shared" si="291"/>
        <v>201992.30970847586</v>
      </c>
      <c r="AE537" s="43">
        <f t="shared" si="292"/>
        <v>171510.22232361857</v>
      </c>
      <c r="AF537" s="43">
        <f t="shared" si="293"/>
        <v>145124.03427383109</v>
      </c>
      <c r="AG537" s="43">
        <f t="shared" si="294"/>
        <v>118737.84622404362</v>
      </c>
      <c r="AH537" s="43">
        <f t="shared" si="295"/>
        <v>92351.658174256154</v>
      </c>
      <c r="AJ537" s="43">
        <f t="shared" si="282"/>
        <v>42349.098603361257</v>
      </c>
      <c r="AK537" s="43">
        <f t="shared" si="283"/>
        <v>36141.924721536707</v>
      </c>
      <c r="AL537" s="43">
        <f t="shared" si="284"/>
        <v>31900.901352193054</v>
      </c>
      <c r="AM537" s="43">
        <f t="shared" si="285"/>
        <v>30898.226206301129</v>
      </c>
      <c r="AN537" s="43">
        <f t="shared" si="286"/>
        <v>29895.551060409209</v>
      </c>
    </row>
    <row r="538" spans="2:40">
      <c r="B538" s="37" t="str">
        <f t="shared" si="279"/>
        <v>Asset 232</v>
      </c>
      <c r="F538" s="37" t="str">
        <f t="shared" ref="F538:L538" si="338">F290</f>
        <v>04 Terreinen</v>
      </c>
      <c r="G538" s="37">
        <f t="shared" si="338"/>
        <v>2020</v>
      </c>
      <c r="H538" s="52">
        <f t="shared" si="338"/>
        <v>1155506.2616599156</v>
      </c>
      <c r="I538" s="37">
        <f t="shared" si="338"/>
        <v>2021</v>
      </c>
      <c r="J538" s="52">
        <f t="shared" si="338"/>
        <v>0</v>
      </c>
      <c r="K538" s="177">
        <f t="shared" si="338"/>
        <v>0</v>
      </c>
      <c r="L538" s="52">
        <f t="shared" si="338"/>
        <v>1173994.3618464742</v>
      </c>
      <c r="N538" s="43">
        <f t="shared" si="290"/>
        <v>1173994.3618464742</v>
      </c>
      <c r="P538" s="38">
        <f t="shared" si="281"/>
        <v>0</v>
      </c>
      <c r="R538" s="43">
        <f t="shared" si="336"/>
        <v>0</v>
      </c>
      <c r="S538" s="43">
        <f t="shared" si="336"/>
        <v>0</v>
      </c>
      <c r="T538" s="43">
        <f t="shared" si="336"/>
        <v>0</v>
      </c>
      <c r="U538" s="43">
        <f t="shared" si="336"/>
        <v>0</v>
      </c>
      <c r="V538" s="43">
        <f t="shared" si="336"/>
        <v>0</v>
      </c>
      <c r="X538" s="43">
        <f t="shared" si="337"/>
        <v>0</v>
      </c>
      <c r="Y538" s="43">
        <f t="shared" si="337"/>
        <v>0</v>
      </c>
      <c r="Z538" s="43">
        <f t="shared" si="337"/>
        <v>0</v>
      </c>
      <c r="AA538" s="43">
        <f t="shared" si="337"/>
        <v>0</v>
      </c>
      <c r="AB538" s="43">
        <f t="shared" si="337"/>
        <v>0</v>
      </c>
      <c r="AD538" s="43">
        <f t="shared" si="291"/>
        <v>1173994.3618464742</v>
      </c>
      <c r="AE538" s="43">
        <f t="shared" si="292"/>
        <v>1173994.3618464742</v>
      </c>
      <c r="AF538" s="43">
        <f t="shared" si="293"/>
        <v>1173994.3618464742</v>
      </c>
      <c r="AG538" s="43">
        <f t="shared" si="294"/>
        <v>1173994.3618464742</v>
      </c>
      <c r="AH538" s="43">
        <f t="shared" si="295"/>
        <v>1173994.3618464742</v>
      </c>
      <c r="AJ538" s="43">
        <f t="shared" si="282"/>
        <v>39915.808302780126</v>
      </c>
      <c r="AK538" s="43">
        <f t="shared" si="283"/>
        <v>38741.813940933651</v>
      </c>
      <c r="AL538" s="43">
        <f t="shared" si="284"/>
        <v>44611.785750166018</v>
      </c>
      <c r="AM538" s="43">
        <f t="shared" si="285"/>
        <v>44611.785750166018</v>
      </c>
      <c r="AN538" s="43">
        <f t="shared" si="286"/>
        <v>44611.785750166018</v>
      </c>
    </row>
    <row r="539" spans="2:40">
      <c r="B539" s="37" t="str">
        <f t="shared" si="279"/>
        <v>Asset 233</v>
      </c>
      <c r="F539" s="37" t="str">
        <f t="shared" ref="F539:L539" si="339">F291</f>
        <v>08 Inrichting gebouwen</v>
      </c>
      <c r="G539" s="37">
        <f t="shared" si="339"/>
        <v>2020</v>
      </c>
      <c r="H539" s="52">
        <f t="shared" si="339"/>
        <v>227204.18889764068</v>
      </c>
      <c r="I539" s="37">
        <f t="shared" si="339"/>
        <v>2021</v>
      </c>
      <c r="J539" s="52">
        <f t="shared" si="339"/>
        <v>10</v>
      </c>
      <c r="K539" s="177">
        <f t="shared" si="339"/>
        <v>0</v>
      </c>
      <c r="L539" s="52">
        <f t="shared" si="339"/>
        <v>196213.53753200249</v>
      </c>
      <c r="N539" s="43">
        <f t="shared" si="290"/>
        <v>196213.53753200249</v>
      </c>
      <c r="P539" s="38">
        <f t="shared" si="281"/>
        <v>8.5</v>
      </c>
      <c r="R539" s="43">
        <f t="shared" si="336"/>
        <v>27008.216342640346</v>
      </c>
      <c r="S539" s="43">
        <f t="shared" si="336"/>
        <v>22877.547960824766</v>
      </c>
      <c r="T539" s="43">
        <f t="shared" si="336"/>
        <v>19493.295303898023</v>
      </c>
      <c r="U539" s="43">
        <f t="shared" si="336"/>
        <v>19493.295303898023</v>
      </c>
      <c r="V539" s="43">
        <f t="shared" si="336"/>
        <v>19493.295303898023</v>
      </c>
      <c r="X539" s="43">
        <f t="shared" si="337"/>
        <v>2308.3945592000291</v>
      </c>
      <c r="Y539" s="43">
        <f t="shared" si="337"/>
        <v>2308.3945592000296</v>
      </c>
      <c r="Z539" s="43">
        <f t="shared" si="337"/>
        <v>2308.3945592000296</v>
      </c>
      <c r="AA539" s="43">
        <f t="shared" si="337"/>
        <v>2308.3945592000296</v>
      </c>
      <c r="AB539" s="43">
        <f t="shared" si="337"/>
        <v>2308.3945592000296</v>
      </c>
      <c r="AD539" s="43">
        <f t="shared" si="291"/>
        <v>166896.92663016211</v>
      </c>
      <c r="AE539" s="43">
        <f t="shared" si="292"/>
        <v>141710.9841101373</v>
      </c>
      <c r="AF539" s="43">
        <f t="shared" si="293"/>
        <v>119909.29424703926</v>
      </c>
      <c r="AG539" s="43">
        <f t="shared" si="294"/>
        <v>98107.604383941216</v>
      </c>
      <c r="AH539" s="43">
        <f t="shared" si="295"/>
        <v>76305.914520843173</v>
      </c>
      <c r="AJ539" s="43">
        <f t="shared" si="282"/>
        <v>34991.106407265885</v>
      </c>
      <c r="AK539" s="43">
        <f t="shared" si="283"/>
        <v>29862.40499565933</v>
      </c>
      <c r="AL539" s="43">
        <f t="shared" si="284"/>
        <v>26358.243044485545</v>
      </c>
      <c r="AM539" s="43">
        <f t="shared" si="285"/>
        <v>25529.778829687821</v>
      </c>
      <c r="AN539" s="43">
        <f t="shared" si="286"/>
        <v>24701.314614890096</v>
      </c>
    </row>
    <row r="540" spans="2:40">
      <c r="B540" s="37" t="str">
        <f t="shared" si="279"/>
        <v>Asset 234</v>
      </c>
      <c r="F540" s="37" t="str">
        <f t="shared" ref="F540:L540" si="340">F292</f>
        <v>11 Werktuigen</v>
      </c>
      <c r="G540" s="37">
        <f t="shared" si="340"/>
        <v>2020</v>
      </c>
      <c r="H540" s="52">
        <f t="shared" si="340"/>
        <v>880855.41897943604</v>
      </c>
      <c r="I540" s="37">
        <f t="shared" si="340"/>
        <v>2021</v>
      </c>
      <c r="J540" s="52">
        <f t="shared" si="340"/>
        <v>10</v>
      </c>
      <c r="K540" s="177">
        <f t="shared" si="340"/>
        <v>1</v>
      </c>
      <c r="L540" s="52">
        <f t="shared" si="340"/>
        <v>760706.73983064084</v>
      </c>
      <c r="N540" s="43">
        <f t="shared" si="290"/>
        <v>760706.73983064084</v>
      </c>
      <c r="P540" s="38">
        <f t="shared" si="281"/>
        <v>8.5</v>
      </c>
      <c r="R540" s="43">
        <f t="shared" si="336"/>
        <v>104709.04536492353</v>
      </c>
      <c r="S540" s="43">
        <f t="shared" si="336"/>
        <v>88694.720779699928</v>
      </c>
      <c r="T540" s="43">
        <f t="shared" si="336"/>
        <v>75574.199954300522</v>
      </c>
      <c r="U540" s="43">
        <f t="shared" si="336"/>
        <v>75574.199954300522</v>
      </c>
      <c r="V540" s="43">
        <f t="shared" si="336"/>
        <v>75574.199954300522</v>
      </c>
      <c r="X540" s="43">
        <f t="shared" si="337"/>
        <v>8949.4910568310697</v>
      </c>
      <c r="Y540" s="43">
        <f t="shared" si="337"/>
        <v>8949.4910568310679</v>
      </c>
      <c r="Z540" s="43">
        <f t="shared" si="337"/>
        <v>8949.4910568310679</v>
      </c>
      <c r="AA540" s="43">
        <f t="shared" si="337"/>
        <v>8949.4910568310679</v>
      </c>
      <c r="AB540" s="43">
        <f t="shared" si="337"/>
        <v>8949.4910568310679</v>
      </c>
      <c r="AD540" s="43">
        <f t="shared" si="291"/>
        <v>647048.20340888621</v>
      </c>
      <c r="AE540" s="43">
        <f t="shared" si="292"/>
        <v>549403.99157235515</v>
      </c>
      <c r="AF540" s="43">
        <f t="shared" si="293"/>
        <v>464880.30056122353</v>
      </c>
      <c r="AG540" s="43">
        <f t="shared" si="294"/>
        <v>380356.6095500919</v>
      </c>
      <c r="AH540" s="43">
        <f t="shared" si="295"/>
        <v>295832.91853896028</v>
      </c>
      <c r="AJ540" s="43">
        <f t="shared" si="282"/>
        <v>135658.17533765675</v>
      </c>
      <c r="AK540" s="43">
        <f t="shared" si="283"/>
        <v>115774.54355841872</v>
      </c>
      <c r="AL540" s="43">
        <f t="shared" si="284"/>
        <v>102189.14243245809</v>
      </c>
      <c r="AM540" s="43">
        <f t="shared" si="285"/>
        <v>98977.242174035084</v>
      </c>
      <c r="AN540" s="43">
        <f t="shared" si="286"/>
        <v>95765.34191561208</v>
      </c>
    </row>
    <row r="541" spans="2:40">
      <c r="B541" s="37" t="str">
        <f t="shared" si="279"/>
        <v>Asset 235</v>
      </c>
      <c r="F541" s="37" t="str">
        <f t="shared" ref="F541:L541" si="341">F293</f>
        <v>14 Overig rollend materieel</v>
      </c>
      <c r="G541" s="37">
        <f t="shared" si="341"/>
        <v>2020</v>
      </c>
      <c r="H541" s="52">
        <f t="shared" si="341"/>
        <v>111163.8757407683</v>
      </c>
      <c r="I541" s="37">
        <f t="shared" si="341"/>
        <v>2021</v>
      </c>
      <c r="J541" s="52">
        <f t="shared" si="341"/>
        <v>10</v>
      </c>
      <c r="K541" s="177">
        <f t="shared" si="341"/>
        <v>1</v>
      </c>
      <c r="L541" s="52">
        <f t="shared" si="341"/>
        <v>96001.123089727509</v>
      </c>
      <c r="N541" s="43">
        <f t="shared" si="290"/>
        <v>96001.123089727509</v>
      </c>
      <c r="P541" s="38">
        <f t="shared" si="281"/>
        <v>8.5</v>
      </c>
      <c r="R541" s="43">
        <f t="shared" si="336"/>
        <v>13214.272237056612</v>
      </c>
      <c r="S541" s="43">
        <f t="shared" si="336"/>
        <v>11193.265894918542</v>
      </c>
      <c r="T541" s="43">
        <f t="shared" si="336"/>
        <v>9537.4573305814793</v>
      </c>
      <c r="U541" s="43">
        <f t="shared" si="336"/>
        <v>9537.4573305814793</v>
      </c>
      <c r="V541" s="43">
        <f t="shared" si="336"/>
        <v>9537.4573305814793</v>
      </c>
      <c r="X541" s="43">
        <f t="shared" si="337"/>
        <v>1129.424977526206</v>
      </c>
      <c r="Y541" s="43">
        <f t="shared" si="337"/>
        <v>1129.424977526206</v>
      </c>
      <c r="Z541" s="43">
        <f t="shared" si="337"/>
        <v>1129.424977526206</v>
      </c>
      <c r="AA541" s="43">
        <f t="shared" si="337"/>
        <v>1129.424977526206</v>
      </c>
      <c r="AB541" s="43">
        <f t="shared" si="337"/>
        <v>1129.424977526206</v>
      </c>
      <c r="AD541" s="43">
        <f t="shared" si="291"/>
        <v>81657.425875144705</v>
      </c>
      <c r="AE541" s="43">
        <f t="shared" si="292"/>
        <v>69334.735002699963</v>
      </c>
      <c r="AF541" s="43">
        <f t="shared" si="293"/>
        <v>58667.852694592279</v>
      </c>
      <c r="AG541" s="43">
        <f t="shared" si="294"/>
        <v>48000.970386484594</v>
      </c>
      <c r="AH541" s="43">
        <f t="shared" si="295"/>
        <v>37334.08807837691</v>
      </c>
      <c r="AJ541" s="43">
        <f t="shared" si="282"/>
        <v>17120.04969433774</v>
      </c>
      <c r="AK541" s="43">
        <f t="shared" si="283"/>
        <v>14610.737127533848</v>
      </c>
      <c r="AL541" s="43">
        <f t="shared" si="284"/>
        <v>12896.260710502191</v>
      </c>
      <c r="AM541" s="43">
        <f t="shared" si="285"/>
        <v>12490.919182794099</v>
      </c>
      <c r="AN541" s="43">
        <f t="shared" si="286"/>
        <v>12085.577655086006</v>
      </c>
    </row>
    <row r="542" spans="2:40">
      <c r="B542" s="37" t="str">
        <f t="shared" si="279"/>
        <v>Asset 236</v>
      </c>
      <c r="F542" s="37" t="str">
        <f t="shared" ref="F542:L542" si="342">F294</f>
        <v>38 ICT middelen 2</v>
      </c>
      <c r="G542" s="37">
        <f t="shared" si="342"/>
        <v>2020</v>
      </c>
      <c r="H542" s="52">
        <f t="shared" si="342"/>
        <v>2253829.6322485749</v>
      </c>
      <c r="I542" s="37">
        <f t="shared" si="342"/>
        <v>2021</v>
      </c>
      <c r="J542" s="52">
        <f t="shared" si="342"/>
        <v>10</v>
      </c>
      <c r="K542" s="177">
        <f t="shared" si="342"/>
        <v>1</v>
      </c>
      <c r="L542" s="52">
        <f t="shared" si="342"/>
        <v>1946407.2704098693</v>
      </c>
      <c r="N542" s="43">
        <f t="shared" si="290"/>
        <v>1946407.2704098693</v>
      </c>
      <c r="P542" s="38">
        <f t="shared" si="281"/>
        <v>8.5</v>
      </c>
      <c r="R542" s="43">
        <f t="shared" si="336"/>
        <v>267917.23604465259</v>
      </c>
      <c r="S542" s="43">
        <f t="shared" si="336"/>
        <v>226941.65876723515</v>
      </c>
      <c r="T542" s="43">
        <f t="shared" si="336"/>
        <v>193370.40747030685</v>
      </c>
      <c r="U542" s="43">
        <f t="shared" si="336"/>
        <v>193370.40747030685</v>
      </c>
      <c r="V542" s="43">
        <f t="shared" si="336"/>
        <v>193370.40747030685</v>
      </c>
      <c r="X542" s="43">
        <f t="shared" si="337"/>
        <v>22898.909063645522</v>
      </c>
      <c r="Y542" s="43">
        <f t="shared" si="337"/>
        <v>22898.909063645522</v>
      </c>
      <c r="Z542" s="43">
        <f t="shared" si="337"/>
        <v>22898.909063645522</v>
      </c>
      <c r="AA542" s="43">
        <f t="shared" si="337"/>
        <v>22898.909063645522</v>
      </c>
      <c r="AB542" s="43">
        <f t="shared" si="337"/>
        <v>22898.909063645522</v>
      </c>
      <c r="AD542" s="43">
        <f t="shared" si="291"/>
        <v>1655591.1253015711</v>
      </c>
      <c r="AE542" s="43">
        <f t="shared" si="292"/>
        <v>1405750.5574706905</v>
      </c>
      <c r="AF542" s="43">
        <f t="shared" si="293"/>
        <v>1189481.240936738</v>
      </c>
      <c r="AG542" s="43">
        <f t="shared" si="294"/>
        <v>973211.9244027856</v>
      </c>
      <c r="AH542" s="43">
        <f t="shared" si="295"/>
        <v>756942.60786883323</v>
      </c>
      <c r="AJ542" s="43">
        <f t="shared" si="282"/>
        <v>347106.24336855154</v>
      </c>
      <c r="AK542" s="43">
        <f t="shared" si="283"/>
        <v>296230.33622741344</v>
      </c>
      <c r="AL542" s="43">
        <f t="shared" si="284"/>
        <v>261469.60368954841</v>
      </c>
      <c r="AM542" s="43">
        <f t="shared" si="285"/>
        <v>253251.36966125821</v>
      </c>
      <c r="AN542" s="43">
        <f t="shared" si="286"/>
        <v>245033.13563296804</v>
      </c>
    </row>
    <row r="543" spans="2:40">
      <c r="B543" s="37" t="str">
        <f t="shared" si="279"/>
        <v>Asset 237</v>
      </c>
      <c r="F543" s="37" t="str">
        <f t="shared" ref="F543:L543" si="343">F295</f>
        <v>20 Kantoorgebouwen</v>
      </c>
      <c r="G543" s="37">
        <f t="shared" si="343"/>
        <v>2020</v>
      </c>
      <c r="H543" s="52">
        <f t="shared" si="343"/>
        <v>715175.01653112471</v>
      </c>
      <c r="I543" s="37">
        <f t="shared" si="343"/>
        <v>2021</v>
      </c>
      <c r="J543" s="52">
        <f t="shared" si="343"/>
        <v>30</v>
      </c>
      <c r="K543" s="177">
        <f t="shared" si="343"/>
        <v>0</v>
      </c>
      <c r="L543" s="52">
        <f t="shared" si="343"/>
        <v>690286.92595584155</v>
      </c>
      <c r="N543" s="43">
        <f t="shared" si="290"/>
        <v>690286.92595584155</v>
      </c>
      <c r="P543" s="38">
        <f t="shared" si="281"/>
        <v>28.5</v>
      </c>
      <c r="R543" s="43">
        <f t="shared" si="336"/>
        <v>28338.094855029289</v>
      </c>
      <c r="S543" s="43">
        <f t="shared" si="336"/>
        <v>27045.480001992866</v>
      </c>
      <c r="T543" s="43">
        <f t="shared" si="336"/>
        <v>25811.826528217753</v>
      </c>
      <c r="U543" s="43">
        <f t="shared" si="336"/>
        <v>24634.444967281503</v>
      </c>
      <c r="V543" s="43">
        <f t="shared" si="336"/>
        <v>23510.768530177436</v>
      </c>
      <c r="X543" s="43">
        <f t="shared" si="337"/>
        <v>2422.0593893187424</v>
      </c>
      <c r="Y543" s="43">
        <f t="shared" si="337"/>
        <v>2422.0593893187424</v>
      </c>
      <c r="Z543" s="43">
        <f t="shared" si="337"/>
        <v>2422.0593893187424</v>
      </c>
      <c r="AA543" s="43">
        <f t="shared" si="337"/>
        <v>2422.0593893187424</v>
      </c>
      <c r="AB543" s="43">
        <f t="shared" si="337"/>
        <v>2422.0593893187424</v>
      </c>
      <c r="AD543" s="43">
        <f t="shared" si="291"/>
        <v>659526.77171149361</v>
      </c>
      <c r="AE543" s="43">
        <f t="shared" si="292"/>
        <v>630059.23232018203</v>
      </c>
      <c r="AF543" s="43">
        <f t="shared" si="293"/>
        <v>601825.34640264558</v>
      </c>
      <c r="AG543" s="43">
        <f t="shared" si="294"/>
        <v>574768.84204604535</v>
      </c>
      <c r="AH543" s="43">
        <f t="shared" si="295"/>
        <v>548836.01412654924</v>
      </c>
      <c r="AJ543" s="43">
        <f t="shared" si="282"/>
        <v>53184.064482538815</v>
      </c>
      <c r="AK543" s="43">
        <f t="shared" si="283"/>
        <v>50259.494057877615</v>
      </c>
      <c r="AL543" s="43">
        <f t="shared" si="284"/>
        <v>51103.249080837028</v>
      </c>
      <c r="AM543" s="43">
        <f t="shared" si="285"/>
        <v>48897.720354349964</v>
      </c>
      <c r="AN543" s="43">
        <f t="shared" si="286"/>
        <v>46788.596456305051</v>
      </c>
    </row>
    <row r="544" spans="2:40">
      <c r="B544" s="37" t="str">
        <f t="shared" si="279"/>
        <v>Asset 238</v>
      </c>
      <c r="F544" s="37" t="str">
        <f t="shared" ref="F544:L544" si="344">F296</f>
        <v>06 Utiliteitsgebouwen</v>
      </c>
      <c r="G544" s="37">
        <f t="shared" si="344"/>
        <v>2020</v>
      </c>
      <c r="H544" s="52">
        <f t="shared" si="344"/>
        <v>611310.12783119339</v>
      </c>
      <c r="I544" s="37">
        <f t="shared" si="344"/>
        <v>2021</v>
      </c>
      <c r="J544" s="52">
        <f t="shared" si="344"/>
        <v>30</v>
      </c>
      <c r="K544" s="177">
        <f t="shared" si="344"/>
        <v>0</v>
      </c>
      <c r="L544" s="52">
        <f t="shared" si="344"/>
        <v>590036.53538266791</v>
      </c>
      <c r="N544" s="43">
        <f t="shared" si="290"/>
        <v>590036.53538266791</v>
      </c>
      <c r="P544" s="38">
        <f t="shared" si="281"/>
        <v>28.5</v>
      </c>
      <c r="R544" s="43">
        <f t="shared" si="336"/>
        <v>24222.552505183212</v>
      </c>
      <c r="S544" s="43">
        <f t="shared" si="336"/>
        <v>23117.664145297662</v>
      </c>
      <c r="T544" s="43">
        <f t="shared" si="336"/>
        <v>22063.174201827944</v>
      </c>
      <c r="U544" s="43">
        <f t="shared" si="336"/>
        <v>21056.783799639299</v>
      </c>
      <c r="V544" s="43">
        <f t="shared" si="336"/>
        <v>20096.298924568033</v>
      </c>
      <c r="X544" s="43">
        <f t="shared" si="337"/>
        <v>2070.303632921642</v>
      </c>
      <c r="Y544" s="43">
        <f t="shared" si="337"/>
        <v>2070.303632921642</v>
      </c>
      <c r="Z544" s="43">
        <f t="shared" si="337"/>
        <v>2070.303632921642</v>
      </c>
      <c r="AA544" s="43">
        <f t="shared" si="337"/>
        <v>2070.303632921642</v>
      </c>
      <c r="AB544" s="43">
        <f t="shared" si="337"/>
        <v>2070.303632921642</v>
      </c>
      <c r="AD544" s="43">
        <f t="shared" si="291"/>
        <v>563743.67924456298</v>
      </c>
      <c r="AE544" s="43">
        <f t="shared" si="292"/>
        <v>538555.71146634372</v>
      </c>
      <c r="AF544" s="43">
        <f t="shared" si="293"/>
        <v>514422.23363159411</v>
      </c>
      <c r="AG544" s="43">
        <f t="shared" si="294"/>
        <v>491295.14619903313</v>
      </c>
      <c r="AH544" s="43">
        <f t="shared" si="295"/>
        <v>469128.54364154342</v>
      </c>
      <c r="AJ544" s="43">
        <f t="shared" si="282"/>
        <v>45460.141232419992</v>
      </c>
      <c r="AK544" s="43">
        <f t="shared" si="283"/>
        <v>42960.306256608645</v>
      </c>
      <c r="AL544" s="43">
        <f t="shared" si="284"/>
        <v>43681.522712750157</v>
      </c>
      <c r="AM544" s="43">
        <f t="shared" si="285"/>
        <v>41796.302988124196</v>
      </c>
      <c r="AN544" s="43">
        <f t="shared" si="286"/>
        <v>39993.487215868328</v>
      </c>
    </row>
    <row r="545" spans="2:40">
      <c r="B545" s="37" t="str">
        <f t="shared" si="279"/>
        <v>Asset 239</v>
      </c>
      <c r="F545" s="37" t="str">
        <f t="shared" ref="F545:L545" si="345">F297</f>
        <v>08 Inrichting gebouwen</v>
      </c>
      <c r="G545" s="37">
        <f t="shared" si="345"/>
        <v>2021</v>
      </c>
      <c r="H545" s="52">
        <f t="shared" si="345"/>
        <v>384242.51972392667</v>
      </c>
      <c r="I545" s="37">
        <f t="shared" si="345"/>
        <v>2021</v>
      </c>
      <c r="J545" s="52">
        <f t="shared" si="345"/>
        <v>10</v>
      </c>
      <c r="K545" s="177">
        <f t="shared" si="345"/>
        <v>0</v>
      </c>
      <c r="L545" s="52">
        <f t="shared" si="345"/>
        <v>365030.39373773034</v>
      </c>
      <c r="N545" s="43">
        <f t="shared" si="290"/>
        <v>365030.39373773034</v>
      </c>
      <c r="P545" s="38">
        <f t="shared" si="281"/>
        <v>9.5</v>
      </c>
      <c r="R545" s="43">
        <f t="shared" si="336"/>
        <v>44956.374807699423</v>
      </c>
      <c r="S545" s="43">
        <f t="shared" si="336"/>
        <v>38804.449834014238</v>
      </c>
      <c r="T545" s="43">
        <f t="shared" si="336"/>
        <v>33494.367225149137</v>
      </c>
      <c r="U545" s="43">
        <f t="shared" si="336"/>
        <v>32503.40961493762</v>
      </c>
      <c r="V545" s="43">
        <f t="shared" si="336"/>
        <v>32503.40961493762</v>
      </c>
      <c r="X545" s="43">
        <f t="shared" si="337"/>
        <v>3842.4251972392667</v>
      </c>
      <c r="Y545" s="43">
        <f t="shared" si="337"/>
        <v>3842.4251972392667</v>
      </c>
      <c r="Z545" s="43">
        <f t="shared" si="337"/>
        <v>3842.4251972392667</v>
      </c>
      <c r="AA545" s="43">
        <f t="shared" si="337"/>
        <v>3842.4251972392667</v>
      </c>
      <c r="AB545" s="43">
        <f t="shared" si="337"/>
        <v>3842.4251972392667</v>
      </c>
      <c r="AD545" s="43">
        <f t="shared" si="291"/>
        <v>316231.59373279166</v>
      </c>
      <c r="AE545" s="43">
        <f t="shared" si="292"/>
        <v>273584.71870153816</v>
      </c>
      <c r="AF545" s="43">
        <f t="shared" si="293"/>
        <v>236247.92627914977</v>
      </c>
      <c r="AG545" s="43">
        <f t="shared" si="294"/>
        <v>199902.0914669729</v>
      </c>
      <c r="AH545" s="43">
        <f t="shared" si="295"/>
        <v>163556.25665479602</v>
      </c>
      <c r="AJ545" s="43">
        <f t="shared" si="282"/>
        <v>59550.674191853606</v>
      </c>
      <c r="AK545" s="43">
        <f t="shared" si="283"/>
        <v>51675.170748404264</v>
      </c>
      <c r="AL545" s="43">
        <f t="shared" si="284"/>
        <v>46314.213620996095</v>
      </c>
      <c r="AM545" s="43">
        <f t="shared" si="285"/>
        <v>43942.114287921853</v>
      </c>
      <c r="AN545" s="43">
        <f t="shared" si="286"/>
        <v>42560.972565059135</v>
      </c>
    </row>
    <row r="546" spans="2:40">
      <c r="B546" s="37" t="str">
        <f t="shared" si="279"/>
        <v>Asset 240</v>
      </c>
      <c r="F546" s="37" t="str">
        <f t="shared" ref="F546:L546" si="346">F298</f>
        <v>20 Kantoorgebouwen</v>
      </c>
      <c r="G546" s="37">
        <f t="shared" si="346"/>
        <v>2021</v>
      </c>
      <c r="H546" s="52">
        <f t="shared" si="346"/>
        <v>1098657.1778898467</v>
      </c>
      <c r="I546" s="37">
        <f t="shared" si="346"/>
        <v>2021</v>
      </c>
      <c r="J546" s="52">
        <f t="shared" si="346"/>
        <v>30</v>
      </c>
      <c r="K546" s="177">
        <f t="shared" si="346"/>
        <v>0</v>
      </c>
      <c r="L546" s="52">
        <f t="shared" si="346"/>
        <v>1080346.2249250161</v>
      </c>
      <c r="N546" s="43">
        <f t="shared" si="290"/>
        <v>1080346.2249250161</v>
      </c>
      <c r="P546" s="38">
        <f t="shared" si="281"/>
        <v>29.5</v>
      </c>
      <c r="R546" s="43">
        <f t="shared" si="336"/>
        <v>42847.629937704027</v>
      </c>
      <c r="S546" s="43">
        <f t="shared" si="336"/>
        <v>40959.429296381473</v>
      </c>
      <c r="T546" s="43">
        <f t="shared" si="336"/>
        <v>39154.437496879917</v>
      </c>
      <c r="U546" s="43">
        <f t="shared" si="336"/>
        <v>37428.987708881818</v>
      </c>
      <c r="V546" s="43">
        <f t="shared" si="336"/>
        <v>35779.574691202281</v>
      </c>
      <c r="X546" s="43">
        <f t="shared" si="337"/>
        <v>3662.1905929661566</v>
      </c>
      <c r="Y546" s="43">
        <f t="shared" si="337"/>
        <v>3662.1905929661561</v>
      </c>
      <c r="Z546" s="43">
        <f t="shared" si="337"/>
        <v>3662.1905929661561</v>
      </c>
      <c r="AA546" s="43">
        <f t="shared" si="337"/>
        <v>3662.1905929661561</v>
      </c>
      <c r="AB546" s="43">
        <f t="shared" si="337"/>
        <v>3662.1905929661561</v>
      </c>
      <c r="AD546" s="43">
        <f t="shared" si="291"/>
        <v>1033836.4043943458</v>
      </c>
      <c r="AE546" s="43">
        <f t="shared" si="292"/>
        <v>989214.78450499824</v>
      </c>
      <c r="AF546" s="43">
        <f t="shared" si="293"/>
        <v>946398.15641515213</v>
      </c>
      <c r="AG546" s="43">
        <f t="shared" si="294"/>
        <v>905306.97811330413</v>
      </c>
      <c r="AH546" s="43">
        <f t="shared" si="295"/>
        <v>865865.21282913571</v>
      </c>
      <c r="AJ546" s="43">
        <f t="shared" si="282"/>
        <v>81660.258280077949</v>
      </c>
      <c r="AK546" s="43">
        <f t="shared" si="283"/>
        <v>77265.707778012584</v>
      </c>
      <c r="AL546" s="43">
        <f t="shared" si="284"/>
        <v>78779.758033621853</v>
      </c>
      <c r="AM546" s="43">
        <f t="shared" si="285"/>
        <v>75492.84347015353</v>
      </c>
      <c r="AN546" s="43">
        <f t="shared" si="286"/>
        <v>72344.6433716756</v>
      </c>
    </row>
    <row r="547" spans="2:40">
      <c r="B547" s="37" t="str">
        <f t="shared" si="279"/>
        <v>Asset 241</v>
      </c>
      <c r="F547" s="37" t="str">
        <f t="shared" ref="F547:L547" si="347">F299</f>
        <v>03 Verremeting</v>
      </c>
      <c r="G547" s="37">
        <f t="shared" si="347"/>
        <v>1993</v>
      </c>
      <c r="H547" s="52">
        <f t="shared" si="347"/>
        <v>27208128.690000001</v>
      </c>
      <c r="I547" s="37">
        <f t="shared" si="347"/>
        <v>2021</v>
      </c>
      <c r="J547" s="52">
        <f t="shared" si="347"/>
        <v>5</v>
      </c>
      <c r="K547" s="177">
        <f t="shared" si="347"/>
        <v>1</v>
      </c>
      <c r="L547" s="52">
        <f t="shared" si="347"/>
        <v>0</v>
      </c>
      <c r="N547" s="43">
        <f t="shared" si="290"/>
        <v>0</v>
      </c>
      <c r="P547" s="38">
        <f t="shared" si="281"/>
        <v>0</v>
      </c>
      <c r="R547" s="43">
        <f t="shared" si="336"/>
        <v>0</v>
      </c>
      <c r="S547" s="43">
        <f t="shared" si="336"/>
        <v>0</v>
      </c>
      <c r="T547" s="43">
        <f t="shared" si="336"/>
        <v>0</v>
      </c>
      <c r="U547" s="43">
        <f t="shared" si="336"/>
        <v>0</v>
      </c>
      <c r="V547" s="43">
        <f t="shared" si="336"/>
        <v>0</v>
      </c>
      <c r="X547" s="43">
        <f t="shared" si="337"/>
        <v>0</v>
      </c>
      <c r="Y547" s="43">
        <f t="shared" si="337"/>
        <v>0</v>
      </c>
      <c r="Z547" s="43">
        <f t="shared" si="337"/>
        <v>0</v>
      </c>
      <c r="AA547" s="43">
        <f t="shared" si="337"/>
        <v>0</v>
      </c>
      <c r="AB547" s="43">
        <f t="shared" si="337"/>
        <v>0</v>
      </c>
      <c r="AD547" s="43">
        <f t="shared" si="291"/>
        <v>0</v>
      </c>
      <c r="AE547" s="43">
        <f t="shared" si="292"/>
        <v>0</v>
      </c>
      <c r="AF547" s="43">
        <f t="shared" si="293"/>
        <v>0</v>
      </c>
      <c r="AG547" s="43">
        <f t="shared" si="294"/>
        <v>0</v>
      </c>
      <c r="AH547" s="43">
        <f t="shared" si="295"/>
        <v>0</v>
      </c>
      <c r="AJ547" s="43">
        <f t="shared" si="282"/>
        <v>0</v>
      </c>
      <c r="AK547" s="43">
        <f t="shared" si="283"/>
        <v>0</v>
      </c>
      <c r="AL547" s="43">
        <f t="shared" si="284"/>
        <v>0</v>
      </c>
      <c r="AM547" s="43">
        <f t="shared" si="285"/>
        <v>0</v>
      </c>
      <c r="AN547" s="43">
        <f t="shared" si="286"/>
        <v>0</v>
      </c>
    </row>
    <row r="548" spans="2:40">
      <c r="B548" s="37" t="str">
        <f t="shared" si="279"/>
        <v>Asset 242</v>
      </c>
      <c r="F548" s="37" t="str">
        <f t="shared" ref="F548:L548" si="348">F300</f>
        <v>06 Utiliteitsgebouwen</v>
      </c>
      <c r="G548" s="37">
        <f t="shared" si="348"/>
        <v>2021</v>
      </c>
      <c r="H548" s="52">
        <f t="shared" si="348"/>
        <v>114485.52709029273</v>
      </c>
      <c r="I548" s="37">
        <f t="shared" si="348"/>
        <v>2021</v>
      </c>
      <c r="J548" s="52">
        <f t="shared" si="348"/>
        <v>30</v>
      </c>
      <c r="K548" s="177">
        <f t="shared" si="348"/>
        <v>0</v>
      </c>
      <c r="L548" s="52">
        <f t="shared" si="348"/>
        <v>112577.43497212119</v>
      </c>
      <c r="N548" s="43">
        <f t="shared" si="290"/>
        <v>112577.43497212119</v>
      </c>
      <c r="P548" s="38">
        <f t="shared" si="281"/>
        <v>29.5</v>
      </c>
      <c r="R548" s="43">
        <f t="shared" si="336"/>
        <v>4464.9355565214173</v>
      </c>
      <c r="S548" s="43">
        <f t="shared" si="336"/>
        <v>4268.1756845391174</v>
      </c>
      <c r="T548" s="43">
        <f t="shared" si="336"/>
        <v>4080.0865865763762</v>
      </c>
      <c r="U548" s="43">
        <f t="shared" si="336"/>
        <v>3900.2861607272475</v>
      </c>
      <c r="V548" s="43">
        <f t="shared" si="336"/>
        <v>3728.4091434748602</v>
      </c>
      <c r="X548" s="43">
        <f t="shared" si="337"/>
        <v>381.61842363430912</v>
      </c>
      <c r="Y548" s="43">
        <f t="shared" si="337"/>
        <v>381.61842363430912</v>
      </c>
      <c r="Z548" s="43">
        <f t="shared" si="337"/>
        <v>381.61842363430912</v>
      </c>
      <c r="AA548" s="43">
        <f t="shared" si="337"/>
        <v>381.61842363430912</v>
      </c>
      <c r="AB548" s="43">
        <f t="shared" si="337"/>
        <v>381.61842363430912</v>
      </c>
      <c r="AD548" s="43">
        <f t="shared" si="291"/>
        <v>107730.88099196546</v>
      </c>
      <c r="AE548" s="43">
        <f t="shared" si="292"/>
        <v>103081.08688379203</v>
      </c>
      <c r="AF548" s="43">
        <f t="shared" si="293"/>
        <v>98619.38187358134</v>
      </c>
      <c r="AG548" s="43">
        <f t="shared" si="294"/>
        <v>94337.47728921978</v>
      </c>
      <c r="AH548" s="43">
        <f t="shared" si="295"/>
        <v>90227.449722110614</v>
      </c>
      <c r="AJ548" s="43">
        <f t="shared" si="282"/>
        <v>8509.4039338825514</v>
      </c>
      <c r="AK548" s="43">
        <f t="shared" si="283"/>
        <v>8051.469975338563</v>
      </c>
      <c r="AL548" s="43">
        <f t="shared" si="284"/>
        <v>8209.2415214067769</v>
      </c>
      <c r="AM548" s="43">
        <f t="shared" si="285"/>
        <v>7866.7287213519085</v>
      </c>
      <c r="AN548" s="43">
        <f t="shared" si="286"/>
        <v>7538.6706565493732</v>
      </c>
    </row>
    <row r="549" spans="2:40">
      <c r="B549" s="37" t="str">
        <f t="shared" si="279"/>
        <v>Asset 243</v>
      </c>
      <c r="F549" s="37" t="str">
        <f t="shared" ref="F549:L549" si="349">F301</f>
        <v>38 ICT middelen 2</v>
      </c>
      <c r="G549" s="37">
        <f t="shared" si="349"/>
        <v>2019</v>
      </c>
      <c r="H549" s="52">
        <f t="shared" si="349"/>
        <v>5155994.869123158</v>
      </c>
      <c r="I549" s="37">
        <f t="shared" si="349"/>
        <v>2021</v>
      </c>
      <c r="J549" s="52">
        <f t="shared" si="349"/>
        <v>10</v>
      </c>
      <c r="K549" s="177">
        <f t="shared" si="349"/>
        <v>1</v>
      </c>
      <c r="L549" s="52">
        <f t="shared" si="349"/>
        <v>4031018.6606189152</v>
      </c>
      <c r="N549" s="43">
        <f t="shared" si="290"/>
        <v>4031018.6606189152</v>
      </c>
      <c r="P549" s="38">
        <f t="shared" si="281"/>
        <v>7.5</v>
      </c>
      <c r="R549" s="43">
        <f t="shared" si="336"/>
        <v>628838.9110565508</v>
      </c>
      <c r="S549" s="43">
        <f t="shared" si="336"/>
        <v>519840.16647341533</v>
      </c>
      <c r="T549" s="43">
        <f t="shared" si="336"/>
        <v>450770.4940049196</v>
      </c>
      <c r="U549" s="43">
        <f t="shared" si="336"/>
        <v>450770.4940049196</v>
      </c>
      <c r="V549" s="43">
        <f t="shared" si="336"/>
        <v>450770.4940049196</v>
      </c>
      <c r="X549" s="43">
        <f t="shared" si="337"/>
        <v>53746.915474918875</v>
      </c>
      <c r="Y549" s="43">
        <f t="shared" si="337"/>
        <v>53746.915474918867</v>
      </c>
      <c r="Z549" s="43">
        <f t="shared" si="337"/>
        <v>53746.915474918867</v>
      </c>
      <c r="AA549" s="43">
        <f t="shared" si="337"/>
        <v>53746.915474918867</v>
      </c>
      <c r="AB549" s="43">
        <f t="shared" si="337"/>
        <v>53746.915474918867</v>
      </c>
      <c r="AD549" s="43">
        <f t="shared" si="291"/>
        <v>3348432.8340874459</v>
      </c>
      <c r="AE549" s="43">
        <f t="shared" si="292"/>
        <v>2774845.752139112</v>
      </c>
      <c r="AF549" s="43">
        <f t="shared" si="293"/>
        <v>2270328.3426592737</v>
      </c>
      <c r="AG549" s="43">
        <f t="shared" si="294"/>
        <v>1765810.9331794351</v>
      </c>
      <c r="AH549" s="43">
        <f t="shared" si="295"/>
        <v>1261293.5236995965</v>
      </c>
      <c r="AJ549" s="43">
        <f t="shared" si="282"/>
        <v>796432.54289044288</v>
      </c>
      <c r="AK549" s="43">
        <f t="shared" si="283"/>
        <v>665156.99176892499</v>
      </c>
      <c r="AL549" s="43">
        <f t="shared" si="284"/>
        <v>590789.88650089083</v>
      </c>
      <c r="AM549" s="43">
        <f t="shared" si="285"/>
        <v>571618.22494065692</v>
      </c>
      <c r="AN549" s="43">
        <f t="shared" si="286"/>
        <v>552446.56338042312</v>
      </c>
    </row>
    <row r="550" spans="2:40">
      <c r="AM550" s="89"/>
    </row>
    <row r="551" spans="2:40" s="33" customFormat="1">
      <c r="B551" s="33" t="s">
        <v>1052</v>
      </c>
    </row>
    <row r="552" spans="2:40" s="36" customFormat="1">
      <c r="P552" s="36" t="s">
        <v>1053</v>
      </c>
      <c r="V552" s="36" t="s">
        <v>889</v>
      </c>
      <c r="AB552" s="36" t="s">
        <v>890</v>
      </c>
    </row>
    <row r="553" spans="2:40" s="39" customFormat="1">
      <c r="B553" s="39" t="s">
        <v>1048</v>
      </c>
      <c r="F553" s="39" t="s">
        <v>895</v>
      </c>
      <c r="G553" s="39" t="s">
        <v>553</v>
      </c>
      <c r="H553" s="39" t="s">
        <v>1049</v>
      </c>
      <c r="I553" s="39" t="s">
        <v>1050</v>
      </c>
      <c r="J553" s="39" t="s">
        <v>302</v>
      </c>
      <c r="K553" s="39" t="s">
        <v>1045</v>
      </c>
      <c r="L553" s="39" t="s">
        <v>556</v>
      </c>
      <c r="N553" s="39" t="s">
        <v>931</v>
      </c>
      <c r="P553" s="45">
        <v>2022</v>
      </c>
      <c r="Q553" s="45">
        <v>2023</v>
      </c>
      <c r="R553" s="45">
        <v>2024</v>
      </c>
      <c r="S553" s="45">
        <v>2025</v>
      </c>
      <c r="T553" s="45">
        <v>2026</v>
      </c>
      <c r="V553" s="45">
        <v>2022</v>
      </c>
      <c r="W553" s="45">
        <v>2023</v>
      </c>
      <c r="X553" s="45">
        <v>2024</v>
      </c>
      <c r="Y553" s="45">
        <v>2025</v>
      </c>
      <c r="Z553" s="45">
        <v>2026</v>
      </c>
      <c r="AB553" s="45">
        <v>2022</v>
      </c>
      <c r="AC553" s="45">
        <v>2023</v>
      </c>
      <c r="AD553" s="45">
        <v>2024</v>
      </c>
      <c r="AE553" s="45">
        <v>2025</v>
      </c>
      <c r="AF553" s="45">
        <v>2026</v>
      </c>
    </row>
    <row r="555" spans="2:40">
      <c r="B555" s="37" t="str">
        <f>B59</f>
        <v>Asset 1</v>
      </c>
      <c r="F555" s="37" t="str">
        <f t="shared" ref="F555:L557" si="350">F59</f>
        <v>05 Wegen en terreinvoorzieningen</v>
      </c>
      <c r="G555" s="37">
        <f t="shared" si="350"/>
        <v>1971</v>
      </c>
      <c r="H555" s="42">
        <f t="shared" si="350"/>
        <v>47083.78</v>
      </c>
      <c r="I555" s="37">
        <f t="shared" si="350"/>
        <v>2021</v>
      </c>
      <c r="J555" s="37">
        <f t="shared" si="350"/>
        <v>10</v>
      </c>
      <c r="K555" s="37">
        <f t="shared" si="350"/>
        <v>0</v>
      </c>
      <c r="L555" s="42">
        <f t="shared" si="350"/>
        <v>0</v>
      </c>
      <c r="N555" s="38">
        <f>MAX(0,IF(G555&lt;=2021, J555-2021+G555-0.5,J555))</f>
        <v>0</v>
      </c>
      <c r="P555" s="43">
        <f>IF(P$553&lt;=$G555+$J555,VDB($L555,0,$N555,P$553-2022,MIN(P$553-2021,$N555),1),0)</f>
        <v>0</v>
      </c>
      <c r="Q555" s="43">
        <f t="shared" ref="Q555:T570" si="351">IF(Q$553&lt;=$G555+$J555,VDB($L555,0,$N555,Q$553-2022,MIN(Q$553-2021,$N555),1),0)</f>
        <v>0</v>
      </c>
      <c r="R555" s="43">
        <f t="shared" si="351"/>
        <v>0</v>
      </c>
      <c r="S555" s="43">
        <f t="shared" si="351"/>
        <v>0</v>
      </c>
      <c r="T555" s="43">
        <f t="shared" si="351"/>
        <v>0</v>
      </c>
      <c r="V555" s="47">
        <f>IF(OR(V$553&lt;=$G555+$J555,$J555=0),IF(U555=0,$L555,U555)-P555,0)</f>
        <v>0</v>
      </c>
      <c r="W555" s="47">
        <f t="shared" ref="W555:Z555" si="352">IF(OR(W$553&lt;=$G555+$J555,$J555=0),IF(V555=0,$L555,V555)-Q555,0)</f>
        <v>0</v>
      </c>
      <c r="X555" s="47">
        <f t="shared" si="352"/>
        <v>0</v>
      </c>
      <c r="Y555" s="47">
        <f t="shared" si="352"/>
        <v>0</v>
      </c>
      <c r="Z555" s="47">
        <f t="shared" si="352"/>
        <v>0</v>
      </c>
      <c r="AB555" s="47">
        <f>(P555+V555*I$16)*IF($K555=1,$F$19,1)</f>
        <v>0</v>
      </c>
      <c r="AC555" s="47">
        <f t="shared" ref="AC555:AF555" si="353">(Q555+W555*J$16)*IF($K555=1,$F$19,1)</f>
        <v>0</v>
      </c>
      <c r="AD555" s="47">
        <f t="shared" si="353"/>
        <v>0</v>
      </c>
      <c r="AE555" s="47">
        <f t="shared" si="353"/>
        <v>0</v>
      </c>
      <c r="AF555" s="47">
        <f t="shared" si="353"/>
        <v>0</v>
      </c>
    </row>
    <row r="556" spans="2:40">
      <c r="B556" s="37" t="str">
        <f t="shared" ref="B556:B619" si="354">B60</f>
        <v>Asset 2</v>
      </c>
      <c r="F556" s="37" t="str">
        <f t="shared" si="350"/>
        <v>06 Utiliteitsgebouwen</v>
      </c>
      <c r="G556" s="37">
        <f t="shared" si="350"/>
        <v>1961</v>
      </c>
      <c r="H556" s="42">
        <f t="shared" si="350"/>
        <v>50334.43</v>
      </c>
      <c r="I556" s="37">
        <f t="shared" si="350"/>
        <v>2021</v>
      </c>
      <c r="J556" s="37">
        <f t="shared" si="350"/>
        <v>30</v>
      </c>
      <c r="K556" s="37">
        <f t="shared" si="350"/>
        <v>0</v>
      </c>
      <c r="L556" s="42">
        <f t="shared" si="350"/>
        <v>0</v>
      </c>
      <c r="N556" s="38">
        <f t="shared" ref="N556:N619" si="355">MAX(0,IF(G556&lt;=2021, J556-2021+G556-0.5,J556))</f>
        <v>0</v>
      </c>
      <c r="P556" s="43">
        <f t="shared" ref="P556:T571" si="356">IF(P$553&lt;=$G556+$J556,VDB($L556,0,$N556,P$553-2022,MIN(P$553-2021,$N556),1),0)</f>
        <v>0</v>
      </c>
      <c r="Q556" s="43">
        <f t="shared" si="351"/>
        <v>0</v>
      </c>
      <c r="R556" s="43">
        <f t="shared" si="351"/>
        <v>0</v>
      </c>
      <c r="S556" s="43">
        <f t="shared" si="351"/>
        <v>0</v>
      </c>
      <c r="T556" s="43">
        <f t="shared" si="351"/>
        <v>0</v>
      </c>
      <c r="V556" s="47">
        <f t="shared" ref="V556:V558" si="357">IF(OR(V$553&lt;=$G556+$J556,$J556=0),IF(U556=0,$L556,U556)-P556,0)</f>
        <v>0</v>
      </c>
      <c r="W556" s="47">
        <f t="shared" ref="W556:W558" si="358">IF(OR(W$553&lt;=$G556+$J556,$J556=0),IF(V556=0,$L556,V556)-Q556,0)</f>
        <v>0</v>
      </c>
      <c r="X556" s="47">
        <f t="shared" ref="X556:X558" si="359">IF(OR(X$553&lt;=$G556+$J556,$J556=0),IF(W556=0,$L556,W556)-R556,0)</f>
        <v>0</v>
      </c>
      <c r="Y556" s="47">
        <f t="shared" ref="Y556:Y558" si="360">IF(OR(Y$553&lt;=$G556+$J556,$J556=0),IF(X556=0,$L556,X556)-S556,0)</f>
        <v>0</v>
      </c>
      <c r="Z556" s="47">
        <f t="shared" ref="Z556:Z558" si="361">IF(OR(Z$553&lt;=$G556+$J556,$J556=0),IF(Y556=0,$L556,Y556)-T556,0)</f>
        <v>0</v>
      </c>
      <c r="AB556" s="47">
        <f t="shared" ref="AB556:AB619" si="362">(P556+V556*I$16)*IF($K556=1,$F$19,1)</f>
        <v>0</v>
      </c>
      <c r="AC556" s="47">
        <f t="shared" ref="AC556:AC619" si="363">(Q556+W556*J$16)*IF($K556=1,$F$19,1)</f>
        <v>0</v>
      </c>
      <c r="AD556" s="47">
        <f t="shared" ref="AD556:AD619" si="364">(R556+X556*K$16)*IF($K556=1,$F$19,1)</f>
        <v>0</v>
      </c>
      <c r="AE556" s="47">
        <f t="shared" ref="AE556:AE619" si="365">(S556+Y556*L$16)*IF($K556=1,$F$19,1)</f>
        <v>0</v>
      </c>
      <c r="AF556" s="47">
        <f t="shared" ref="AF556:AF619" si="366">(T556+Z556*M$16)*IF($K556=1,$F$19,1)</f>
        <v>0</v>
      </c>
    </row>
    <row r="557" spans="2:40">
      <c r="B557" s="37" t="str">
        <f t="shared" si="354"/>
        <v>Asset 3</v>
      </c>
      <c r="F557" s="37" t="str">
        <f t="shared" si="350"/>
        <v>06 Utiliteitsgebouwen</v>
      </c>
      <c r="G557" s="37">
        <f t="shared" si="350"/>
        <v>1972</v>
      </c>
      <c r="H557" s="42">
        <f t="shared" si="350"/>
        <v>2621.49</v>
      </c>
      <c r="I557" s="37">
        <f t="shared" si="350"/>
        <v>2021</v>
      </c>
      <c r="J557" s="37">
        <f t="shared" si="350"/>
        <v>30</v>
      </c>
      <c r="K557" s="37">
        <f t="shared" si="350"/>
        <v>0</v>
      </c>
      <c r="L557" s="42">
        <f t="shared" si="350"/>
        <v>0</v>
      </c>
      <c r="N557" s="38">
        <f t="shared" si="355"/>
        <v>0</v>
      </c>
      <c r="P557" s="43">
        <f t="shared" si="356"/>
        <v>0</v>
      </c>
      <c r="Q557" s="43">
        <f t="shared" si="351"/>
        <v>0</v>
      </c>
      <c r="R557" s="43">
        <f t="shared" si="351"/>
        <v>0</v>
      </c>
      <c r="S557" s="43">
        <f t="shared" si="351"/>
        <v>0</v>
      </c>
      <c r="T557" s="43">
        <f t="shared" si="351"/>
        <v>0</v>
      </c>
      <c r="V557" s="47">
        <f t="shared" si="357"/>
        <v>0</v>
      </c>
      <c r="W557" s="47">
        <f t="shared" si="358"/>
        <v>0</v>
      </c>
      <c r="X557" s="47">
        <f t="shared" si="359"/>
        <v>0</v>
      </c>
      <c r="Y557" s="47">
        <f t="shared" si="360"/>
        <v>0</v>
      </c>
      <c r="Z557" s="47">
        <f t="shared" si="361"/>
        <v>0</v>
      </c>
      <c r="AB557" s="47">
        <f t="shared" si="362"/>
        <v>0</v>
      </c>
      <c r="AC557" s="47">
        <f t="shared" si="363"/>
        <v>0</v>
      </c>
      <c r="AD557" s="47">
        <f t="shared" si="364"/>
        <v>0</v>
      </c>
      <c r="AE557" s="47">
        <f t="shared" si="365"/>
        <v>0</v>
      </c>
      <c r="AF557" s="47">
        <f t="shared" si="366"/>
        <v>0</v>
      </c>
    </row>
    <row r="558" spans="2:40">
      <c r="B558" s="37" t="str">
        <f t="shared" si="354"/>
        <v>Asset 4</v>
      </c>
      <c r="F558" s="37" t="str">
        <f t="shared" ref="F558:L558" si="367">F62</f>
        <v>08 Inrichting gebouwen</v>
      </c>
      <c r="G558" s="37">
        <f t="shared" si="367"/>
        <v>1997</v>
      </c>
      <c r="H558" s="42">
        <f t="shared" si="367"/>
        <v>151227.48000000004</v>
      </c>
      <c r="I558" s="37">
        <f t="shared" si="367"/>
        <v>2021</v>
      </c>
      <c r="J558" s="37">
        <f t="shared" si="367"/>
        <v>10</v>
      </c>
      <c r="K558" s="37">
        <f t="shared" si="367"/>
        <v>0</v>
      </c>
      <c r="L558" s="42">
        <f t="shared" si="367"/>
        <v>0</v>
      </c>
      <c r="N558" s="38">
        <f t="shared" si="355"/>
        <v>0</v>
      </c>
      <c r="P558" s="43">
        <f t="shared" si="356"/>
        <v>0</v>
      </c>
      <c r="Q558" s="43">
        <f t="shared" si="351"/>
        <v>0</v>
      </c>
      <c r="R558" s="43">
        <f t="shared" si="351"/>
        <v>0</v>
      </c>
      <c r="S558" s="43">
        <f t="shared" si="351"/>
        <v>0</v>
      </c>
      <c r="T558" s="43">
        <f t="shared" si="351"/>
        <v>0</v>
      </c>
      <c r="V558" s="47">
        <f t="shared" si="357"/>
        <v>0</v>
      </c>
      <c r="W558" s="47">
        <f t="shared" si="358"/>
        <v>0</v>
      </c>
      <c r="X558" s="47">
        <f t="shared" si="359"/>
        <v>0</v>
      </c>
      <c r="Y558" s="47">
        <f t="shared" si="360"/>
        <v>0</v>
      </c>
      <c r="Z558" s="47">
        <f t="shared" si="361"/>
        <v>0</v>
      </c>
      <c r="AB558" s="47">
        <f t="shared" si="362"/>
        <v>0</v>
      </c>
      <c r="AC558" s="47">
        <f t="shared" si="363"/>
        <v>0</v>
      </c>
      <c r="AD558" s="47">
        <f t="shared" si="364"/>
        <v>0</v>
      </c>
      <c r="AE558" s="47">
        <f t="shared" si="365"/>
        <v>0</v>
      </c>
      <c r="AF558" s="47">
        <f t="shared" si="366"/>
        <v>0</v>
      </c>
    </row>
    <row r="559" spans="2:40">
      <c r="B559" s="37" t="str">
        <f t="shared" si="354"/>
        <v>Asset 5</v>
      </c>
      <c r="F559" s="37" t="str">
        <f t="shared" ref="F559:L559" si="368">F63</f>
        <v>11 Werktuigen</v>
      </c>
      <c r="G559" s="37">
        <f t="shared" si="368"/>
        <v>2009</v>
      </c>
      <c r="H559" s="42">
        <f t="shared" si="368"/>
        <v>1313895.18</v>
      </c>
      <c r="I559" s="37">
        <f t="shared" si="368"/>
        <v>2021</v>
      </c>
      <c r="J559" s="37">
        <f t="shared" si="368"/>
        <v>10</v>
      </c>
      <c r="K559" s="37">
        <f t="shared" si="368"/>
        <v>1</v>
      </c>
      <c r="L559" s="42">
        <f t="shared" si="368"/>
        <v>0</v>
      </c>
      <c r="N559" s="38">
        <f t="shared" si="355"/>
        <v>0</v>
      </c>
      <c r="P559" s="43">
        <f t="shared" si="356"/>
        <v>0</v>
      </c>
      <c r="Q559" s="43">
        <f t="shared" si="351"/>
        <v>0</v>
      </c>
      <c r="R559" s="43">
        <f t="shared" si="351"/>
        <v>0</v>
      </c>
      <c r="S559" s="43">
        <f t="shared" si="351"/>
        <v>0</v>
      </c>
      <c r="T559" s="43">
        <f t="shared" si="351"/>
        <v>0</v>
      </c>
      <c r="V559" s="47">
        <f t="shared" ref="V559:V622" si="369">IF(OR(V$553&lt;=$G559+$J559,$J559=0),IF(U559=0,$L559,U559)-P559,0)</f>
        <v>0</v>
      </c>
      <c r="W559" s="47">
        <f t="shared" ref="W559:W622" si="370">IF(OR(W$553&lt;=$G559+$J559,$J559=0),IF(V559=0,$L559,V559)-Q559,0)</f>
        <v>0</v>
      </c>
      <c r="X559" s="47">
        <f t="shared" ref="X559:X622" si="371">IF(OR(X$553&lt;=$G559+$J559,$J559=0),IF(W559=0,$L559,W559)-R559,0)</f>
        <v>0</v>
      </c>
      <c r="Y559" s="47">
        <f t="shared" ref="Y559:Y622" si="372">IF(OR(Y$553&lt;=$G559+$J559,$J559=0),IF(X559=0,$L559,X559)-S559,0)</f>
        <v>0</v>
      </c>
      <c r="Z559" s="47">
        <f t="shared" ref="Z559:Z622" si="373">IF(OR(Z$553&lt;=$G559+$J559,$J559=0),IF(Y559=0,$L559,Y559)-T559,0)</f>
        <v>0</v>
      </c>
      <c r="AB559" s="47">
        <f t="shared" si="362"/>
        <v>0</v>
      </c>
      <c r="AC559" s="47">
        <f t="shared" si="363"/>
        <v>0</v>
      </c>
      <c r="AD559" s="47">
        <f t="shared" si="364"/>
        <v>0</v>
      </c>
      <c r="AE559" s="47">
        <f t="shared" si="365"/>
        <v>0</v>
      </c>
      <c r="AF559" s="47">
        <f t="shared" si="366"/>
        <v>0</v>
      </c>
    </row>
    <row r="560" spans="2:40">
      <c r="B560" s="37" t="str">
        <f t="shared" si="354"/>
        <v>Asset 6</v>
      </c>
      <c r="F560" s="37" t="str">
        <f t="shared" ref="F560:L560" si="374">F64</f>
        <v>37 ICT middelen 1</v>
      </c>
      <c r="G560" s="37">
        <f t="shared" si="374"/>
        <v>2009</v>
      </c>
      <c r="H560" s="42">
        <f t="shared" si="374"/>
        <v>3658553.4539964925</v>
      </c>
      <c r="I560" s="37">
        <f t="shared" si="374"/>
        <v>2021</v>
      </c>
      <c r="J560" s="37">
        <f t="shared" si="374"/>
        <v>5</v>
      </c>
      <c r="K560" s="37">
        <f t="shared" si="374"/>
        <v>1</v>
      </c>
      <c r="L560" s="42">
        <f t="shared" si="374"/>
        <v>0</v>
      </c>
      <c r="N560" s="38">
        <f t="shared" si="355"/>
        <v>0</v>
      </c>
      <c r="P560" s="43">
        <f t="shared" si="356"/>
        <v>0</v>
      </c>
      <c r="Q560" s="43">
        <f t="shared" si="351"/>
        <v>0</v>
      </c>
      <c r="R560" s="43">
        <f t="shared" si="351"/>
        <v>0</v>
      </c>
      <c r="S560" s="43">
        <f t="shared" si="351"/>
        <v>0</v>
      </c>
      <c r="T560" s="43">
        <f t="shared" si="351"/>
        <v>0</v>
      </c>
      <c r="V560" s="47">
        <f t="shared" si="369"/>
        <v>0</v>
      </c>
      <c r="W560" s="47">
        <f t="shared" si="370"/>
        <v>0</v>
      </c>
      <c r="X560" s="47">
        <f t="shared" si="371"/>
        <v>0</v>
      </c>
      <c r="Y560" s="47">
        <f t="shared" si="372"/>
        <v>0</v>
      </c>
      <c r="Z560" s="47">
        <f t="shared" si="373"/>
        <v>0</v>
      </c>
      <c r="AB560" s="47">
        <f t="shared" si="362"/>
        <v>0</v>
      </c>
      <c r="AC560" s="47">
        <f t="shared" si="363"/>
        <v>0</v>
      </c>
      <c r="AD560" s="47">
        <f t="shared" si="364"/>
        <v>0</v>
      </c>
      <c r="AE560" s="47">
        <f t="shared" si="365"/>
        <v>0</v>
      </c>
      <c r="AF560" s="47">
        <f t="shared" si="366"/>
        <v>0</v>
      </c>
    </row>
    <row r="561" spans="2:32">
      <c r="B561" s="37" t="str">
        <f t="shared" si="354"/>
        <v>Asset 7</v>
      </c>
      <c r="F561" s="37" t="str">
        <f t="shared" ref="F561:L561" si="375">F65</f>
        <v>37 ICT middelen 1</v>
      </c>
      <c r="G561" s="37">
        <f t="shared" si="375"/>
        <v>2010</v>
      </c>
      <c r="H561" s="42">
        <f t="shared" si="375"/>
        <v>17379179.522018339</v>
      </c>
      <c r="I561" s="37">
        <f t="shared" si="375"/>
        <v>2021</v>
      </c>
      <c r="J561" s="37">
        <f t="shared" si="375"/>
        <v>5</v>
      </c>
      <c r="K561" s="37">
        <f t="shared" si="375"/>
        <v>1</v>
      </c>
      <c r="L561" s="42">
        <f t="shared" si="375"/>
        <v>0</v>
      </c>
      <c r="N561" s="38">
        <f t="shared" si="355"/>
        <v>0</v>
      </c>
      <c r="P561" s="43">
        <f t="shared" si="356"/>
        <v>0</v>
      </c>
      <c r="Q561" s="43">
        <f t="shared" si="351"/>
        <v>0</v>
      </c>
      <c r="R561" s="43">
        <f t="shared" si="351"/>
        <v>0</v>
      </c>
      <c r="S561" s="43">
        <f t="shared" si="351"/>
        <v>0</v>
      </c>
      <c r="T561" s="43">
        <f t="shared" si="351"/>
        <v>0</v>
      </c>
      <c r="V561" s="47">
        <f t="shared" si="369"/>
        <v>0</v>
      </c>
      <c r="W561" s="47">
        <f t="shared" si="370"/>
        <v>0</v>
      </c>
      <c r="X561" s="47">
        <f t="shared" si="371"/>
        <v>0</v>
      </c>
      <c r="Y561" s="47">
        <f t="shared" si="372"/>
        <v>0</v>
      </c>
      <c r="Z561" s="47">
        <f t="shared" si="373"/>
        <v>0</v>
      </c>
      <c r="AB561" s="47">
        <f t="shared" si="362"/>
        <v>0</v>
      </c>
      <c r="AC561" s="47">
        <f t="shared" si="363"/>
        <v>0</v>
      </c>
      <c r="AD561" s="47">
        <f t="shared" si="364"/>
        <v>0</v>
      </c>
      <c r="AE561" s="47">
        <f t="shared" si="365"/>
        <v>0</v>
      </c>
      <c r="AF561" s="47">
        <f t="shared" si="366"/>
        <v>0</v>
      </c>
    </row>
    <row r="562" spans="2:32">
      <c r="B562" s="37" t="str">
        <f t="shared" si="354"/>
        <v>Asset 8</v>
      </c>
      <c r="F562" s="37" t="str">
        <f t="shared" ref="F562:L562" si="376">F66</f>
        <v>10 Gereedschap</v>
      </c>
      <c r="G562" s="37">
        <f t="shared" si="376"/>
        <v>2010</v>
      </c>
      <c r="H562" s="42">
        <f t="shared" si="376"/>
        <v>2369604.1752097155</v>
      </c>
      <c r="I562" s="37">
        <f t="shared" si="376"/>
        <v>2021</v>
      </c>
      <c r="J562" s="37">
        <f t="shared" si="376"/>
        <v>10</v>
      </c>
      <c r="K562" s="37">
        <f t="shared" si="376"/>
        <v>1</v>
      </c>
      <c r="L562" s="42">
        <f t="shared" si="376"/>
        <v>0</v>
      </c>
      <c r="N562" s="38">
        <f t="shared" si="355"/>
        <v>0</v>
      </c>
      <c r="P562" s="43">
        <f t="shared" si="356"/>
        <v>0</v>
      </c>
      <c r="Q562" s="43">
        <f t="shared" si="351"/>
        <v>0</v>
      </c>
      <c r="R562" s="43">
        <f t="shared" si="351"/>
        <v>0</v>
      </c>
      <c r="S562" s="43">
        <f t="shared" si="351"/>
        <v>0</v>
      </c>
      <c r="T562" s="43">
        <f t="shared" si="351"/>
        <v>0</v>
      </c>
      <c r="V562" s="47">
        <f t="shared" si="369"/>
        <v>0</v>
      </c>
      <c r="W562" s="47">
        <f t="shared" si="370"/>
        <v>0</v>
      </c>
      <c r="X562" s="47">
        <f t="shared" si="371"/>
        <v>0</v>
      </c>
      <c r="Y562" s="47">
        <f t="shared" si="372"/>
        <v>0</v>
      </c>
      <c r="Z562" s="47">
        <f t="shared" si="373"/>
        <v>0</v>
      </c>
      <c r="AB562" s="47">
        <f t="shared" si="362"/>
        <v>0</v>
      </c>
      <c r="AC562" s="47">
        <f t="shared" si="363"/>
        <v>0</v>
      </c>
      <c r="AD562" s="47">
        <f t="shared" si="364"/>
        <v>0</v>
      </c>
      <c r="AE562" s="47">
        <f t="shared" si="365"/>
        <v>0</v>
      </c>
      <c r="AF562" s="47">
        <f t="shared" si="366"/>
        <v>0</v>
      </c>
    </row>
    <row r="563" spans="2:32">
      <c r="B563" s="37" t="str">
        <f t="shared" si="354"/>
        <v>Asset 9</v>
      </c>
      <c r="F563" s="37" t="str">
        <f t="shared" ref="F563:L563" si="377">F67</f>
        <v>37 ICT middelen 1 (transparency)</v>
      </c>
      <c r="G563" s="37">
        <f t="shared" si="377"/>
        <v>2010</v>
      </c>
      <c r="H563" s="42">
        <f t="shared" si="377"/>
        <v>137063.35897796138</v>
      </c>
      <c r="I563" s="37">
        <f t="shared" si="377"/>
        <v>2021</v>
      </c>
      <c r="J563" s="37">
        <f t="shared" si="377"/>
        <v>5</v>
      </c>
      <c r="K563" s="37">
        <f t="shared" si="377"/>
        <v>0</v>
      </c>
      <c r="L563" s="42">
        <f t="shared" si="377"/>
        <v>0</v>
      </c>
      <c r="N563" s="38">
        <f t="shared" si="355"/>
        <v>0</v>
      </c>
      <c r="P563" s="43">
        <f t="shared" si="356"/>
        <v>0</v>
      </c>
      <c r="Q563" s="43">
        <f t="shared" si="351"/>
        <v>0</v>
      </c>
      <c r="R563" s="43">
        <f t="shared" si="351"/>
        <v>0</v>
      </c>
      <c r="S563" s="43">
        <f t="shared" si="351"/>
        <v>0</v>
      </c>
      <c r="T563" s="43">
        <f t="shared" si="351"/>
        <v>0</v>
      </c>
      <c r="V563" s="47">
        <f t="shared" si="369"/>
        <v>0</v>
      </c>
      <c r="W563" s="47">
        <f t="shared" si="370"/>
        <v>0</v>
      </c>
      <c r="X563" s="47">
        <f t="shared" si="371"/>
        <v>0</v>
      </c>
      <c r="Y563" s="47">
        <f t="shared" si="372"/>
        <v>0</v>
      </c>
      <c r="Z563" s="47">
        <f t="shared" si="373"/>
        <v>0</v>
      </c>
      <c r="AB563" s="47">
        <f t="shared" si="362"/>
        <v>0</v>
      </c>
      <c r="AC563" s="47">
        <f t="shared" si="363"/>
        <v>0</v>
      </c>
      <c r="AD563" s="47">
        <f t="shared" si="364"/>
        <v>0</v>
      </c>
      <c r="AE563" s="47">
        <f t="shared" si="365"/>
        <v>0</v>
      </c>
      <c r="AF563" s="47">
        <f t="shared" si="366"/>
        <v>0</v>
      </c>
    </row>
    <row r="564" spans="2:32">
      <c r="B564" s="37" t="str">
        <f t="shared" si="354"/>
        <v>Asset 10</v>
      </c>
      <c r="F564" s="37" t="str">
        <f t="shared" ref="F564:L564" si="378">F68</f>
        <v>11 Werktuigen (gaschromatografen en comptabele meters)</v>
      </c>
      <c r="G564" s="37">
        <f t="shared" si="378"/>
        <v>2011</v>
      </c>
      <c r="H564" s="42">
        <f t="shared" si="378"/>
        <v>852201.48356837523</v>
      </c>
      <c r="I564" s="37">
        <f t="shared" si="378"/>
        <v>2021</v>
      </c>
      <c r="J564" s="37">
        <f t="shared" si="378"/>
        <v>10</v>
      </c>
      <c r="K564" s="37">
        <f t="shared" si="378"/>
        <v>0</v>
      </c>
      <c r="L564" s="42">
        <f t="shared" si="378"/>
        <v>0</v>
      </c>
      <c r="N564" s="38">
        <f t="shared" si="355"/>
        <v>0</v>
      </c>
      <c r="P564" s="43">
        <f t="shared" si="356"/>
        <v>0</v>
      </c>
      <c r="Q564" s="43">
        <f t="shared" si="351"/>
        <v>0</v>
      </c>
      <c r="R564" s="43">
        <f t="shared" si="351"/>
        <v>0</v>
      </c>
      <c r="S564" s="43">
        <f t="shared" si="351"/>
        <v>0</v>
      </c>
      <c r="T564" s="43">
        <f t="shared" si="351"/>
        <v>0</v>
      </c>
      <c r="V564" s="47">
        <f t="shared" si="369"/>
        <v>0</v>
      </c>
      <c r="W564" s="47">
        <f t="shared" si="370"/>
        <v>0</v>
      </c>
      <c r="X564" s="47">
        <f t="shared" si="371"/>
        <v>0</v>
      </c>
      <c r="Y564" s="47">
        <f t="shared" si="372"/>
        <v>0</v>
      </c>
      <c r="Z564" s="47">
        <f t="shared" si="373"/>
        <v>0</v>
      </c>
      <c r="AB564" s="47">
        <f t="shared" si="362"/>
        <v>0</v>
      </c>
      <c r="AC564" s="47">
        <f t="shared" si="363"/>
        <v>0</v>
      </c>
      <c r="AD564" s="47">
        <f t="shared" si="364"/>
        <v>0</v>
      </c>
      <c r="AE564" s="47">
        <f t="shared" si="365"/>
        <v>0</v>
      </c>
      <c r="AF564" s="47">
        <f t="shared" si="366"/>
        <v>0</v>
      </c>
    </row>
    <row r="565" spans="2:32">
      <c r="B565" s="37" t="str">
        <f t="shared" si="354"/>
        <v>Asset 11</v>
      </c>
      <c r="F565" s="37" t="str">
        <f t="shared" ref="F565:L565" si="379">F69</f>
        <v>20 Kantoorgebouwen</v>
      </c>
      <c r="G565" s="37">
        <f t="shared" si="379"/>
        <v>2011</v>
      </c>
      <c r="H565" s="42">
        <f t="shared" si="379"/>
        <v>3100554.2541983742</v>
      </c>
      <c r="I565" s="37">
        <f t="shared" si="379"/>
        <v>2021</v>
      </c>
      <c r="J565" s="37">
        <f t="shared" si="379"/>
        <v>30</v>
      </c>
      <c r="K565" s="37">
        <f t="shared" si="379"/>
        <v>0</v>
      </c>
      <c r="L565" s="42">
        <f t="shared" si="379"/>
        <v>2372891.9585730941</v>
      </c>
      <c r="N565" s="38">
        <f t="shared" si="355"/>
        <v>19.5</v>
      </c>
      <c r="P565" s="43">
        <f t="shared" si="356"/>
        <v>121686.76710631252</v>
      </c>
      <c r="Q565" s="43">
        <f t="shared" si="351"/>
        <v>121686.76710631253</v>
      </c>
      <c r="R565" s="43">
        <f t="shared" si="351"/>
        <v>121686.76710631253</v>
      </c>
      <c r="S565" s="43">
        <f t="shared" si="351"/>
        <v>121686.76710631253</v>
      </c>
      <c r="T565" s="43">
        <f t="shared" si="351"/>
        <v>121686.76710631253</v>
      </c>
      <c r="V565" s="47">
        <f t="shared" si="369"/>
        <v>2251205.1914667818</v>
      </c>
      <c r="W565" s="47">
        <f t="shared" si="370"/>
        <v>2129518.4243604694</v>
      </c>
      <c r="X565" s="47">
        <f t="shared" si="371"/>
        <v>2007831.6572541569</v>
      </c>
      <c r="Y565" s="47">
        <f t="shared" si="372"/>
        <v>1886144.8901478443</v>
      </c>
      <c r="Z565" s="47">
        <f t="shared" si="373"/>
        <v>1764458.1230415318</v>
      </c>
      <c r="AB565" s="47">
        <f t="shared" si="362"/>
        <v>198227.74361618311</v>
      </c>
      <c r="AC565" s="47">
        <f t="shared" si="363"/>
        <v>191960.87511020803</v>
      </c>
      <c r="AD565" s="47">
        <f t="shared" si="364"/>
        <v>197984.3700819705</v>
      </c>
      <c r="AE565" s="47">
        <f t="shared" si="365"/>
        <v>193360.27293193061</v>
      </c>
      <c r="AF565" s="47">
        <f t="shared" si="366"/>
        <v>188736.17578189075</v>
      </c>
    </row>
    <row r="566" spans="2:32">
      <c r="B566" s="37" t="str">
        <f t="shared" si="354"/>
        <v>Asset 12</v>
      </c>
      <c r="F566" s="37" t="str">
        <f t="shared" ref="F566:L566" si="380">F70</f>
        <v>37 ICT middelen 1</v>
      </c>
      <c r="G566" s="37">
        <f t="shared" si="380"/>
        <v>2011</v>
      </c>
      <c r="H566" s="42">
        <f t="shared" si="380"/>
        <v>30115806.268534236</v>
      </c>
      <c r="I566" s="37">
        <f t="shared" si="380"/>
        <v>2021</v>
      </c>
      <c r="J566" s="37">
        <f t="shared" si="380"/>
        <v>5</v>
      </c>
      <c r="K566" s="37">
        <f t="shared" si="380"/>
        <v>1</v>
      </c>
      <c r="L566" s="42">
        <f t="shared" si="380"/>
        <v>0</v>
      </c>
      <c r="N566" s="38">
        <f t="shared" si="355"/>
        <v>0</v>
      </c>
      <c r="P566" s="43">
        <f t="shared" si="356"/>
        <v>0</v>
      </c>
      <c r="Q566" s="43">
        <f t="shared" si="351"/>
        <v>0</v>
      </c>
      <c r="R566" s="43">
        <f t="shared" si="351"/>
        <v>0</v>
      </c>
      <c r="S566" s="43">
        <f t="shared" si="351"/>
        <v>0</v>
      </c>
      <c r="T566" s="43">
        <f t="shared" si="351"/>
        <v>0</v>
      </c>
      <c r="V566" s="47">
        <f t="shared" si="369"/>
        <v>0</v>
      </c>
      <c r="W566" s="47">
        <f t="shared" si="370"/>
        <v>0</v>
      </c>
      <c r="X566" s="47">
        <f t="shared" si="371"/>
        <v>0</v>
      </c>
      <c r="Y566" s="47">
        <f t="shared" si="372"/>
        <v>0</v>
      </c>
      <c r="Z566" s="47">
        <f t="shared" si="373"/>
        <v>0</v>
      </c>
      <c r="AB566" s="47">
        <f t="shared" si="362"/>
        <v>0</v>
      </c>
      <c r="AC566" s="47">
        <f t="shared" si="363"/>
        <v>0</v>
      </c>
      <c r="AD566" s="47">
        <f t="shared" si="364"/>
        <v>0</v>
      </c>
      <c r="AE566" s="47">
        <f t="shared" si="365"/>
        <v>0</v>
      </c>
      <c r="AF566" s="47">
        <f t="shared" si="366"/>
        <v>0</v>
      </c>
    </row>
    <row r="567" spans="2:32">
      <c r="B567" s="37" t="str">
        <f t="shared" si="354"/>
        <v>Asset 13</v>
      </c>
      <c r="F567" s="37" t="str">
        <f t="shared" ref="F567:L567" si="381">F71</f>
        <v>06 Utiliteitsgebouwen</v>
      </c>
      <c r="G567" s="37">
        <f t="shared" si="381"/>
        <v>2011</v>
      </c>
      <c r="H567" s="42">
        <f t="shared" si="381"/>
        <v>2437521.6070272112</v>
      </c>
      <c r="I567" s="37">
        <f t="shared" si="381"/>
        <v>2021</v>
      </c>
      <c r="J567" s="37">
        <f t="shared" si="381"/>
        <v>30</v>
      </c>
      <c r="K567" s="37">
        <f t="shared" si="381"/>
        <v>0</v>
      </c>
      <c r="L567" s="42">
        <f t="shared" si="381"/>
        <v>1865464.9930189459</v>
      </c>
      <c r="N567" s="38">
        <f t="shared" si="355"/>
        <v>19.5</v>
      </c>
      <c r="P567" s="43">
        <f t="shared" si="356"/>
        <v>95664.871436869027</v>
      </c>
      <c r="Q567" s="43">
        <f t="shared" si="351"/>
        <v>95664.871436869027</v>
      </c>
      <c r="R567" s="43">
        <f t="shared" si="351"/>
        <v>95664.871436869027</v>
      </c>
      <c r="S567" s="43">
        <f t="shared" si="351"/>
        <v>95664.871436869027</v>
      </c>
      <c r="T567" s="43">
        <f t="shared" si="351"/>
        <v>95664.871436869027</v>
      </c>
      <c r="V567" s="47">
        <f t="shared" si="369"/>
        <v>1769800.1215820769</v>
      </c>
      <c r="W567" s="47">
        <f t="shared" si="370"/>
        <v>1674135.2501452079</v>
      </c>
      <c r="X567" s="47">
        <f t="shared" si="371"/>
        <v>1578470.3787083388</v>
      </c>
      <c r="Y567" s="47">
        <f t="shared" si="372"/>
        <v>1482805.5072714698</v>
      </c>
      <c r="Z567" s="47">
        <f t="shared" si="373"/>
        <v>1387140.6358346008</v>
      </c>
      <c r="AB567" s="47">
        <f t="shared" si="362"/>
        <v>155838.07557065965</v>
      </c>
      <c r="AC567" s="47">
        <f t="shared" si="363"/>
        <v>150911.33469166089</v>
      </c>
      <c r="AD567" s="47">
        <f t="shared" si="364"/>
        <v>155646.7458277859</v>
      </c>
      <c r="AE567" s="47">
        <f t="shared" si="365"/>
        <v>152011.48071318486</v>
      </c>
      <c r="AF567" s="47">
        <f t="shared" si="366"/>
        <v>148376.21559858386</v>
      </c>
    </row>
    <row r="568" spans="2:32">
      <c r="B568" s="37" t="str">
        <f t="shared" si="354"/>
        <v>Asset 14</v>
      </c>
      <c r="F568" s="37" t="str">
        <f t="shared" ref="F568:L568" si="382">F72</f>
        <v>10 Gereedschap</v>
      </c>
      <c r="G568" s="37">
        <f t="shared" si="382"/>
        <v>2011</v>
      </c>
      <c r="H568" s="42">
        <f t="shared" si="382"/>
        <v>322323.48030063207</v>
      </c>
      <c r="I568" s="37">
        <f t="shared" si="382"/>
        <v>2021</v>
      </c>
      <c r="J568" s="37">
        <f t="shared" si="382"/>
        <v>10</v>
      </c>
      <c r="K568" s="37">
        <f t="shared" si="382"/>
        <v>1</v>
      </c>
      <c r="L568" s="42">
        <f t="shared" si="382"/>
        <v>0</v>
      </c>
      <c r="N568" s="38">
        <f t="shared" si="355"/>
        <v>0</v>
      </c>
      <c r="P568" s="43">
        <f t="shared" si="356"/>
        <v>0</v>
      </c>
      <c r="Q568" s="43">
        <f t="shared" si="351"/>
        <v>0</v>
      </c>
      <c r="R568" s="43">
        <f t="shared" si="351"/>
        <v>0</v>
      </c>
      <c r="S568" s="43">
        <f t="shared" si="351"/>
        <v>0</v>
      </c>
      <c r="T568" s="43">
        <f t="shared" si="351"/>
        <v>0</v>
      </c>
      <c r="V568" s="47">
        <f t="shared" si="369"/>
        <v>0</v>
      </c>
      <c r="W568" s="47">
        <f t="shared" si="370"/>
        <v>0</v>
      </c>
      <c r="X568" s="47">
        <f t="shared" si="371"/>
        <v>0</v>
      </c>
      <c r="Y568" s="47">
        <f t="shared" si="372"/>
        <v>0</v>
      </c>
      <c r="Z568" s="47">
        <f t="shared" si="373"/>
        <v>0</v>
      </c>
      <c r="AB568" s="47">
        <f t="shared" si="362"/>
        <v>0</v>
      </c>
      <c r="AC568" s="47">
        <f t="shared" si="363"/>
        <v>0</v>
      </c>
      <c r="AD568" s="47">
        <f t="shared" si="364"/>
        <v>0</v>
      </c>
      <c r="AE568" s="47">
        <f t="shared" si="365"/>
        <v>0</v>
      </c>
      <c r="AF568" s="47">
        <f t="shared" si="366"/>
        <v>0</v>
      </c>
    </row>
    <row r="569" spans="2:32">
      <c r="B569" s="37" t="str">
        <f t="shared" si="354"/>
        <v>Asset 15</v>
      </c>
      <c r="F569" s="37" t="str">
        <f t="shared" ref="F569:L569" si="383">F73</f>
        <v>14 Overig rollend materieel</v>
      </c>
      <c r="G569" s="37">
        <f t="shared" si="383"/>
        <v>2011</v>
      </c>
      <c r="H569" s="42">
        <f t="shared" si="383"/>
        <v>4126005.7948834877</v>
      </c>
      <c r="I569" s="37">
        <f t="shared" si="383"/>
        <v>2021</v>
      </c>
      <c r="J569" s="37">
        <f t="shared" si="383"/>
        <v>10</v>
      </c>
      <c r="K569" s="37">
        <f t="shared" si="383"/>
        <v>1</v>
      </c>
      <c r="L569" s="42">
        <f t="shared" si="383"/>
        <v>0</v>
      </c>
      <c r="N569" s="38">
        <f t="shared" si="355"/>
        <v>0</v>
      </c>
      <c r="P569" s="43">
        <f t="shared" si="356"/>
        <v>0</v>
      </c>
      <c r="Q569" s="43">
        <f t="shared" si="351"/>
        <v>0</v>
      </c>
      <c r="R569" s="43">
        <f t="shared" si="351"/>
        <v>0</v>
      </c>
      <c r="S569" s="43">
        <f t="shared" si="351"/>
        <v>0</v>
      </c>
      <c r="T569" s="43">
        <f t="shared" si="351"/>
        <v>0</v>
      </c>
      <c r="V569" s="47">
        <f t="shared" si="369"/>
        <v>0</v>
      </c>
      <c r="W569" s="47">
        <f t="shared" si="370"/>
        <v>0</v>
      </c>
      <c r="X569" s="47">
        <f t="shared" si="371"/>
        <v>0</v>
      </c>
      <c r="Y569" s="47">
        <f t="shared" si="372"/>
        <v>0</v>
      </c>
      <c r="Z569" s="47">
        <f t="shared" si="373"/>
        <v>0</v>
      </c>
      <c r="AB569" s="47">
        <f t="shared" si="362"/>
        <v>0</v>
      </c>
      <c r="AC569" s="47">
        <f t="shared" si="363"/>
        <v>0</v>
      </c>
      <c r="AD569" s="47">
        <f t="shared" si="364"/>
        <v>0</v>
      </c>
      <c r="AE569" s="47">
        <f t="shared" si="365"/>
        <v>0</v>
      </c>
      <c r="AF569" s="47">
        <f t="shared" si="366"/>
        <v>0</v>
      </c>
    </row>
    <row r="570" spans="2:32">
      <c r="B570" s="37" t="str">
        <f t="shared" si="354"/>
        <v>Asset 16</v>
      </c>
      <c r="F570" s="37" t="str">
        <f t="shared" ref="F570:L570" si="384">F74</f>
        <v>37 ICT middelen 1</v>
      </c>
      <c r="G570" s="37">
        <f t="shared" si="384"/>
        <v>2012</v>
      </c>
      <c r="H570" s="42">
        <f t="shared" si="384"/>
        <v>22695798.709637098</v>
      </c>
      <c r="I570" s="37">
        <f t="shared" si="384"/>
        <v>2021</v>
      </c>
      <c r="J570" s="37">
        <f t="shared" si="384"/>
        <v>5</v>
      </c>
      <c r="K570" s="37">
        <f t="shared" si="384"/>
        <v>1</v>
      </c>
      <c r="L570" s="42">
        <f t="shared" si="384"/>
        <v>0</v>
      </c>
      <c r="N570" s="38">
        <f t="shared" si="355"/>
        <v>0</v>
      </c>
      <c r="P570" s="43">
        <f t="shared" si="356"/>
        <v>0</v>
      </c>
      <c r="Q570" s="43">
        <f t="shared" si="351"/>
        <v>0</v>
      </c>
      <c r="R570" s="43">
        <f t="shared" si="351"/>
        <v>0</v>
      </c>
      <c r="S570" s="43">
        <f t="shared" si="351"/>
        <v>0</v>
      </c>
      <c r="T570" s="43">
        <f t="shared" si="351"/>
        <v>0</v>
      </c>
      <c r="V570" s="47">
        <f t="shared" si="369"/>
        <v>0</v>
      </c>
      <c r="W570" s="47">
        <f t="shared" si="370"/>
        <v>0</v>
      </c>
      <c r="X570" s="47">
        <f t="shared" si="371"/>
        <v>0</v>
      </c>
      <c r="Y570" s="47">
        <f t="shared" si="372"/>
        <v>0</v>
      </c>
      <c r="Z570" s="47">
        <f t="shared" si="373"/>
        <v>0</v>
      </c>
      <c r="AB570" s="47">
        <f t="shared" si="362"/>
        <v>0</v>
      </c>
      <c r="AC570" s="47">
        <f t="shared" si="363"/>
        <v>0</v>
      </c>
      <c r="AD570" s="47">
        <f t="shared" si="364"/>
        <v>0</v>
      </c>
      <c r="AE570" s="47">
        <f t="shared" si="365"/>
        <v>0</v>
      </c>
      <c r="AF570" s="47">
        <f t="shared" si="366"/>
        <v>0</v>
      </c>
    </row>
    <row r="571" spans="2:32">
      <c r="B571" s="37" t="str">
        <f t="shared" si="354"/>
        <v>Asset 17</v>
      </c>
      <c r="F571" s="37" t="str">
        <f t="shared" ref="F571:L571" si="385">F75</f>
        <v>37 ICT middelen 1</v>
      </c>
      <c r="G571" s="37">
        <f t="shared" si="385"/>
        <v>2013</v>
      </c>
      <c r="H571" s="42">
        <f t="shared" si="385"/>
        <v>18719949.80436749</v>
      </c>
      <c r="I571" s="37">
        <f t="shared" si="385"/>
        <v>2021</v>
      </c>
      <c r="J571" s="37">
        <f t="shared" si="385"/>
        <v>5</v>
      </c>
      <c r="K571" s="37">
        <f t="shared" si="385"/>
        <v>1</v>
      </c>
      <c r="L571" s="42">
        <f t="shared" si="385"/>
        <v>0</v>
      </c>
      <c r="N571" s="38">
        <f t="shared" si="355"/>
        <v>0</v>
      </c>
      <c r="P571" s="43">
        <f t="shared" si="356"/>
        <v>0</v>
      </c>
      <c r="Q571" s="43">
        <f t="shared" si="356"/>
        <v>0</v>
      </c>
      <c r="R571" s="43">
        <f t="shared" si="356"/>
        <v>0</v>
      </c>
      <c r="S571" s="43">
        <f t="shared" si="356"/>
        <v>0</v>
      </c>
      <c r="T571" s="43">
        <f t="shared" si="356"/>
        <v>0</v>
      </c>
      <c r="V571" s="47">
        <f t="shared" si="369"/>
        <v>0</v>
      </c>
      <c r="W571" s="47">
        <f t="shared" si="370"/>
        <v>0</v>
      </c>
      <c r="X571" s="47">
        <f t="shared" si="371"/>
        <v>0</v>
      </c>
      <c r="Y571" s="47">
        <f t="shared" si="372"/>
        <v>0</v>
      </c>
      <c r="Z571" s="47">
        <f t="shared" si="373"/>
        <v>0</v>
      </c>
      <c r="AB571" s="47">
        <f t="shared" si="362"/>
        <v>0</v>
      </c>
      <c r="AC571" s="47">
        <f t="shared" si="363"/>
        <v>0</v>
      </c>
      <c r="AD571" s="47">
        <f t="shared" si="364"/>
        <v>0</v>
      </c>
      <c r="AE571" s="47">
        <f t="shared" si="365"/>
        <v>0</v>
      </c>
      <c r="AF571" s="47">
        <f t="shared" si="366"/>
        <v>0</v>
      </c>
    </row>
    <row r="572" spans="2:32">
      <c r="B572" s="37" t="str">
        <f t="shared" si="354"/>
        <v>Asset 18</v>
      </c>
      <c r="F572" s="37" t="str">
        <f t="shared" ref="F572:L572" si="386">F76</f>
        <v>14 Overig rollend materieel</v>
      </c>
      <c r="G572" s="37">
        <f t="shared" si="386"/>
        <v>2013</v>
      </c>
      <c r="H572" s="42">
        <f t="shared" si="386"/>
        <v>14233.766853302437</v>
      </c>
      <c r="I572" s="37">
        <f t="shared" si="386"/>
        <v>2021</v>
      </c>
      <c r="J572" s="37">
        <f t="shared" si="386"/>
        <v>10</v>
      </c>
      <c r="K572" s="37">
        <f t="shared" si="386"/>
        <v>1</v>
      </c>
      <c r="L572" s="42">
        <f t="shared" si="386"/>
        <v>2395.0433871794298</v>
      </c>
      <c r="N572" s="38">
        <f t="shared" si="355"/>
        <v>1.5</v>
      </c>
      <c r="P572" s="43">
        <f t="shared" ref="P572:T622" si="387">IF(P$553&lt;=$G572+$J572,VDB($L572,0,$N572,P$553-2022,MIN(P$553-2021,$N572),1),0)</f>
        <v>1596.6955914529533</v>
      </c>
      <c r="Q572" s="43">
        <f t="shared" si="387"/>
        <v>798.34779572647665</v>
      </c>
      <c r="R572" s="43">
        <f t="shared" si="387"/>
        <v>0</v>
      </c>
      <c r="S572" s="43">
        <f t="shared" si="387"/>
        <v>0</v>
      </c>
      <c r="T572" s="43">
        <f t="shared" si="387"/>
        <v>0</v>
      </c>
      <c r="V572" s="47">
        <f t="shared" si="369"/>
        <v>798.34779572647653</v>
      </c>
      <c r="W572" s="47">
        <f t="shared" si="370"/>
        <v>-1.1368683772161603E-13</v>
      </c>
      <c r="X572" s="47">
        <f t="shared" si="371"/>
        <v>0</v>
      </c>
      <c r="Y572" s="47">
        <f t="shared" si="372"/>
        <v>0</v>
      </c>
      <c r="Z572" s="47">
        <f t="shared" si="373"/>
        <v>0</v>
      </c>
      <c r="AB572" s="47">
        <f t="shared" si="362"/>
        <v>1623.8394165076536</v>
      </c>
      <c r="AC572" s="47">
        <f t="shared" si="363"/>
        <v>798.34779572647665</v>
      </c>
      <c r="AD572" s="47">
        <f t="shared" si="364"/>
        <v>0</v>
      </c>
      <c r="AE572" s="47">
        <f t="shared" si="365"/>
        <v>0</v>
      </c>
      <c r="AF572" s="47">
        <f t="shared" si="366"/>
        <v>0</v>
      </c>
    </row>
    <row r="573" spans="2:32">
      <c r="B573" s="37" t="str">
        <f t="shared" si="354"/>
        <v>Asset 19</v>
      </c>
      <c r="F573" s="37" t="str">
        <f t="shared" ref="F573:L573" si="388">F77</f>
        <v>10 Gereedschap</v>
      </c>
      <c r="G573" s="37">
        <f t="shared" si="388"/>
        <v>2013</v>
      </c>
      <c r="H573" s="42">
        <f t="shared" si="388"/>
        <v>717715.3058753697</v>
      </c>
      <c r="I573" s="37">
        <f t="shared" si="388"/>
        <v>2021</v>
      </c>
      <c r="J573" s="37">
        <f t="shared" si="388"/>
        <v>10</v>
      </c>
      <c r="K573" s="37">
        <f t="shared" si="388"/>
        <v>1</v>
      </c>
      <c r="L573" s="42">
        <f t="shared" si="388"/>
        <v>120766.29573396736</v>
      </c>
      <c r="N573" s="38">
        <f t="shared" si="355"/>
        <v>1.5</v>
      </c>
      <c r="P573" s="43">
        <f t="shared" si="387"/>
        <v>80510.863822644911</v>
      </c>
      <c r="Q573" s="43">
        <f t="shared" si="387"/>
        <v>40255.431911322456</v>
      </c>
      <c r="R573" s="43">
        <f t="shared" si="387"/>
        <v>0</v>
      </c>
      <c r="S573" s="43">
        <f t="shared" si="387"/>
        <v>0</v>
      </c>
      <c r="T573" s="43">
        <f t="shared" si="387"/>
        <v>0</v>
      </c>
      <c r="V573" s="47">
        <f t="shared" si="369"/>
        <v>40255.431911322448</v>
      </c>
      <c r="W573" s="47">
        <f t="shared" si="370"/>
        <v>-7.2759576141834259E-12</v>
      </c>
      <c r="X573" s="47">
        <f t="shared" si="371"/>
        <v>0</v>
      </c>
      <c r="Y573" s="47">
        <f t="shared" si="372"/>
        <v>0</v>
      </c>
      <c r="Z573" s="47">
        <f t="shared" si="373"/>
        <v>0</v>
      </c>
      <c r="AB573" s="47">
        <f t="shared" si="362"/>
        <v>81879.548507629879</v>
      </c>
      <c r="AC573" s="47">
        <f t="shared" si="363"/>
        <v>40255.431911322456</v>
      </c>
      <c r="AD573" s="47">
        <f t="shared" si="364"/>
        <v>0</v>
      </c>
      <c r="AE573" s="47">
        <f t="shared" si="365"/>
        <v>0</v>
      </c>
      <c r="AF573" s="47">
        <f t="shared" si="366"/>
        <v>0</v>
      </c>
    </row>
    <row r="574" spans="2:32">
      <c r="B574" s="37" t="str">
        <f t="shared" si="354"/>
        <v>Asset 20</v>
      </c>
      <c r="F574" s="37" t="str">
        <f t="shared" ref="F574:L574" si="389">F78</f>
        <v>37 ICT middelen 1</v>
      </c>
      <c r="G574" s="37">
        <f t="shared" si="389"/>
        <v>2014</v>
      </c>
      <c r="H574" s="42">
        <f t="shared" si="389"/>
        <v>29278944.009914741</v>
      </c>
      <c r="I574" s="37">
        <f t="shared" si="389"/>
        <v>2021</v>
      </c>
      <c r="J574" s="37">
        <f t="shared" si="389"/>
        <v>5</v>
      </c>
      <c r="K574" s="37">
        <f t="shared" si="389"/>
        <v>1</v>
      </c>
      <c r="L574" s="42">
        <f t="shared" si="389"/>
        <v>0</v>
      </c>
      <c r="N574" s="38">
        <f t="shared" si="355"/>
        <v>0</v>
      </c>
      <c r="P574" s="43">
        <f t="shared" si="387"/>
        <v>0</v>
      </c>
      <c r="Q574" s="43">
        <f t="shared" si="387"/>
        <v>0</v>
      </c>
      <c r="R574" s="43">
        <f t="shared" si="387"/>
        <v>0</v>
      </c>
      <c r="S574" s="43">
        <f t="shared" si="387"/>
        <v>0</v>
      </c>
      <c r="T574" s="43">
        <f t="shared" si="387"/>
        <v>0</v>
      </c>
      <c r="V574" s="47">
        <f t="shared" si="369"/>
        <v>0</v>
      </c>
      <c r="W574" s="47">
        <f t="shared" si="370"/>
        <v>0</v>
      </c>
      <c r="X574" s="47">
        <f t="shared" si="371"/>
        <v>0</v>
      </c>
      <c r="Y574" s="47">
        <f t="shared" si="372"/>
        <v>0</v>
      </c>
      <c r="Z574" s="47">
        <f t="shared" si="373"/>
        <v>0</v>
      </c>
      <c r="AB574" s="47">
        <f t="shared" si="362"/>
        <v>0</v>
      </c>
      <c r="AC574" s="47">
        <f t="shared" si="363"/>
        <v>0</v>
      </c>
      <c r="AD574" s="47">
        <f t="shared" si="364"/>
        <v>0</v>
      </c>
      <c r="AE574" s="47">
        <f t="shared" si="365"/>
        <v>0</v>
      </c>
      <c r="AF574" s="47">
        <f t="shared" si="366"/>
        <v>0</v>
      </c>
    </row>
    <row r="575" spans="2:32">
      <c r="B575" s="37" t="str">
        <f t="shared" si="354"/>
        <v>Asset 21</v>
      </c>
      <c r="F575" s="37" t="str">
        <f t="shared" ref="F575:L575" si="390">F79</f>
        <v>38 ICT middelen 2</v>
      </c>
      <c r="G575" s="37">
        <f t="shared" si="390"/>
        <v>2014</v>
      </c>
      <c r="H575" s="42">
        <f t="shared" si="390"/>
        <v>149619.99545874962</v>
      </c>
      <c r="I575" s="37">
        <f t="shared" si="390"/>
        <v>2021</v>
      </c>
      <c r="J575" s="37">
        <f t="shared" si="390"/>
        <v>10</v>
      </c>
      <c r="K575" s="37">
        <f t="shared" si="390"/>
        <v>1</v>
      </c>
      <c r="L575" s="42">
        <f t="shared" si="390"/>
        <v>40816.786477904512</v>
      </c>
      <c r="N575" s="38">
        <f t="shared" si="355"/>
        <v>2.5</v>
      </c>
      <c r="P575" s="43">
        <f t="shared" si="387"/>
        <v>16326.714591161806</v>
      </c>
      <c r="Q575" s="43">
        <f t="shared" si="387"/>
        <v>16326.714591161804</v>
      </c>
      <c r="R575" s="43">
        <f t="shared" si="387"/>
        <v>8163.3572955809022</v>
      </c>
      <c r="S575" s="43">
        <f t="shared" si="387"/>
        <v>0</v>
      </c>
      <c r="T575" s="43">
        <f t="shared" si="387"/>
        <v>0</v>
      </c>
      <c r="V575" s="47">
        <f t="shared" si="369"/>
        <v>24490.071886742706</v>
      </c>
      <c r="W575" s="47">
        <f t="shared" si="370"/>
        <v>8163.3572955809013</v>
      </c>
      <c r="X575" s="47">
        <f t="shared" si="371"/>
        <v>-9.0949470177292824E-13</v>
      </c>
      <c r="Y575" s="47">
        <f t="shared" si="372"/>
        <v>0</v>
      </c>
      <c r="Z575" s="47">
        <f t="shared" si="373"/>
        <v>0</v>
      </c>
      <c r="AB575" s="47">
        <f t="shared" si="362"/>
        <v>17159.377035311059</v>
      </c>
      <c r="AC575" s="47">
        <f t="shared" si="363"/>
        <v>16596.105381915975</v>
      </c>
      <c r="AD575" s="47">
        <f t="shared" si="364"/>
        <v>8163.3572955809022</v>
      </c>
      <c r="AE575" s="47">
        <f t="shared" si="365"/>
        <v>0</v>
      </c>
      <c r="AF575" s="47">
        <f t="shared" si="366"/>
        <v>0</v>
      </c>
    </row>
    <row r="576" spans="2:32">
      <c r="B576" s="37" t="str">
        <f t="shared" si="354"/>
        <v>Asset 22</v>
      </c>
      <c r="F576" s="37" t="str">
        <f t="shared" ref="F576:L576" si="391">F80</f>
        <v>37 ICT middelen 1 (transparency)</v>
      </c>
      <c r="G576" s="37">
        <f t="shared" si="391"/>
        <v>2014</v>
      </c>
      <c r="H576" s="42">
        <f t="shared" si="391"/>
        <v>180341</v>
      </c>
      <c r="I576" s="37">
        <f t="shared" si="391"/>
        <v>2021</v>
      </c>
      <c r="J576" s="37">
        <f t="shared" si="391"/>
        <v>5</v>
      </c>
      <c r="K576" s="37">
        <f t="shared" si="391"/>
        <v>0</v>
      </c>
      <c r="L576" s="42">
        <f t="shared" si="391"/>
        <v>0</v>
      </c>
      <c r="N576" s="38">
        <f t="shared" si="355"/>
        <v>0</v>
      </c>
      <c r="P576" s="43">
        <f t="shared" si="387"/>
        <v>0</v>
      </c>
      <c r="Q576" s="43">
        <f t="shared" si="387"/>
        <v>0</v>
      </c>
      <c r="R576" s="43">
        <f t="shared" si="387"/>
        <v>0</v>
      </c>
      <c r="S576" s="43">
        <f t="shared" si="387"/>
        <v>0</v>
      </c>
      <c r="T576" s="43">
        <f t="shared" si="387"/>
        <v>0</v>
      </c>
      <c r="V576" s="47">
        <f t="shared" si="369"/>
        <v>0</v>
      </c>
      <c r="W576" s="47">
        <f t="shared" si="370"/>
        <v>0</v>
      </c>
      <c r="X576" s="47">
        <f t="shared" si="371"/>
        <v>0</v>
      </c>
      <c r="Y576" s="47">
        <f t="shared" si="372"/>
        <v>0</v>
      </c>
      <c r="Z576" s="47">
        <f t="shared" si="373"/>
        <v>0</v>
      </c>
      <c r="AB576" s="47">
        <f t="shared" si="362"/>
        <v>0</v>
      </c>
      <c r="AC576" s="47">
        <f t="shared" si="363"/>
        <v>0</v>
      </c>
      <c r="AD576" s="47">
        <f t="shared" si="364"/>
        <v>0</v>
      </c>
      <c r="AE576" s="47">
        <f t="shared" si="365"/>
        <v>0</v>
      </c>
      <c r="AF576" s="47">
        <f t="shared" si="366"/>
        <v>0</v>
      </c>
    </row>
    <row r="577" spans="2:32">
      <c r="B577" s="37" t="str">
        <f t="shared" si="354"/>
        <v>Asset 23</v>
      </c>
      <c r="F577" s="37" t="str">
        <f t="shared" ref="F577:L577" si="392">F81</f>
        <v>37 ICT middelen 1</v>
      </c>
      <c r="G577" s="37">
        <f t="shared" si="392"/>
        <v>2015</v>
      </c>
      <c r="H577" s="42">
        <f t="shared" si="392"/>
        <v>16219637.049707994</v>
      </c>
      <c r="I577" s="37">
        <f t="shared" si="392"/>
        <v>2021</v>
      </c>
      <c r="J577" s="37">
        <f t="shared" si="392"/>
        <v>5</v>
      </c>
      <c r="K577" s="37">
        <f t="shared" si="392"/>
        <v>1</v>
      </c>
      <c r="L577" s="42">
        <f t="shared" si="392"/>
        <v>0</v>
      </c>
      <c r="N577" s="38">
        <f t="shared" si="355"/>
        <v>0</v>
      </c>
      <c r="P577" s="43">
        <f t="shared" si="387"/>
        <v>0</v>
      </c>
      <c r="Q577" s="43">
        <f t="shared" si="387"/>
        <v>0</v>
      </c>
      <c r="R577" s="43">
        <f t="shared" si="387"/>
        <v>0</v>
      </c>
      <c r="S577" s="43">
        <f t="shared" si="387"/>
        <v>0</v>
      </c>
      <c r="T577" s="43">
        <f t="shared" si="387"/>
        <v>0</v>
      </c>
      <c r="V577" s="47">
        <f t="shared" si="369"/>
        <v>0</v>
      </c>
      <c r="W577" s="47">
        <f t="shared" si="370"/>
        <v>0</v>
      </c>
      <c r="X577" s="47">
        <f t="shared" si="371"/>
        <v>0</v>
      </c>
      <c r="Y577" s="47">
        <f t="shared" si="372"/>
        <v>0</v>
      </c>
      <c r="Z577" s="47">
        <f t="shared" si="373"/>
        <v>0</v>
      </c>
      <c r="AB577" s="47">
        <f t="shared" si="362"/>
        <v>0</v>
      </c>
      <c r="AC577" s="47">
        <f t="shared" si="363"/>
        <v>0</v>
      </c>
      <c r="AD577" s="47">
        <f t="shared" si="364"/>
        <v>0</v>
      </c>
      <c r="AE577" s="47">
        <f t="shared" si="365"/>
        <v>0</v>
      </c>
      <c r="AF577" s="47">
        <f t="shared" si="366"/>
        <v>0</v>
      </c>
    </row>
    <row r="578" spans="2:32">
      <c r="B578" s="37" t="str">
        <f t="shared" si="354"/>
        <v>Asset 24</v>
      </c>
      <c r="F578" s="37" t="str">
        <f t="shared" ref="F578:L578" si="393">F82</f>
        <v>14 Overig rollend materieel</v>
      </c>
      <c r="G578" s="37">
        <f t="shared" si="393"/>
        <v>2015</v>
      </c>
      <c r="H578" s="42">
        <f t="shared" si="393"/>
        <v>9111235.8707030155</v>
      </c>
      <c r="I578" s="37">
        <f t="shared" si="393"/>
        <v>2021</v>
      </c>
      <c r="J578" s="37">
        <f t="shared" si="393"/>
        <v>10</v>
      </c>
      <c r="K578" s="37">
        <f t="shared" si="393"/>
        <v>1</v>
      </c>
      <c r="L578" s="42">
        <f t="shared" si="393"/>
        <v>3445348.23215965</v>
      </c>
      <c r="N578" s="38">
        <f t="shared" si="355"/>
        <v>3.5</v>
      </c>
      <c r="P578" s="43">
        <f t="shared" si="387"/>
        <v>984385.20918847143</v>
      </c>
      <c r="Q578" s="43">
        <f t="shared" si="387"/>
        <v>984385.20918847143</v>
      </c>
      <c r="R578" s="43">
        <f t="shared" si="387"/>
        <v>984385.20918847143</v>
      </c>
      <c r="S578" s="43">
        <f t="shared" si="387"/>
        <v>492192.60459423572</v>
      </c>
      <c r="T578" s="43">
        <f t="shared" si="387"/>
        <v>0</v>
      </c>
      <c r="V578" s="47">
        <f t="shared" si="369"/>
        <v>2460963.0229711784</v>
      </c>
      <c r="W578" s="47">
        <f t="shared" si="370"/>
        <v>1476577.8137827069</v>
      </c>
      <c r="X578" s="47">
        <f t="shared" si="371"/>
        <v>492192.60459423542</v>
      </c>
      <c r="Y578" s="47">
        <f t="shared" si="372"/>
        <v>-2.9103830456733704E-10</v>
      </c>
      <c r="Z578" s="47">
        <f t="shared" si="373"/>
        <v>0</v>
      </c>
      <c r="AB578" s="47">
        <f t="shared" si="362"/>
        <v>1068057.9519694916</v>
      </c>
      <c r="AC578" s="47">
        <f t="shared" si="363"/>
        <v>1033112.2770433008</v>
      </c>
      <c r="AD578" s="47">
        <f t="shared" si="364"/>
        <v>1003088.5281630524</v>
      </c>
      <c r="AE578" s="47">
        <f t="shared" si="365"/>
        <v>492192.60459423572</v>
      </c>
      <c r="AF578" s="47">
        <f t="shared" si="366"/>
        <v>0</v>
      </c>
    </row>
    <row r="579" spans="2:32">
      <c r="B579" s="37" t="str">
        <f t="shared" si="354"/>
        <v>Asset 25</v>
      </c>
      <c r="F579" s="37" t="str">
        <f t="shared" ref="F579:L579" si="394">F83</f>
        <v>10 Gereedschap</v>
      </c>
      <c r="G579" s="37">
        <f t="shared" si="394"/>
        <v>2015</v>
      </c>
      <c r="H579" s="42">
        <f t="shared" si="394"/>
        <v>1215996.3265953835</v>
      </c>
      <c r="I579" s="37">
        <f t="shared" si="394"/>
        <v>2021</v>
      </c>
      <c r="J579" s="37">
        <f t="shared" si="394"/>
        <v>10</v>
      </c>
      <c r="K579" s="37">
        <f t="shared" si="394"/>
        <v>1</v>
      </c>
      <c r="L579" s="42">
        <f t="shared" si="394"/>
        <v>459820.25420057232</v>
      </c>
      <c r="N579" s="38">
        <f t="shared" si="355"/>
        <v>3.5</v>
      </c>
      <c r="P579" s="43">
        <f t="shared" si="387"/>
        <v>131377.21548587779</v>
      </c>
      <c r="Q579" s="43">
        <f t="shared" si="387"/>
        <v>131377.21548587782</v>
      </c>
      <c r="R579" s="43">
        <f t="shared" si="387"/>
        <v>131377.21548587782</v>
      </c>
      <c r="S579" s="43">
        <f t="shared" si="387"/>
        <v>65688.607742938912</v>
      </c>
      <c r="T579" s="43">
        <f t="shared" si="387"/>
        <v>0</v>
      </c>
      <c r="V579" s="47">
        <f t="shared" si="369"/>
        <v>328443.03871469456</v>
      </c>
      <c r="W579" s="47">
        <f t="shared" si="370"/>
        <v>197065.82322881673</v>
      </c>
      <c r="X579" s="47">
        <f t="shared" si="371"/>
        <v>65688.607742938912</v>
      </c>
      <c r="Y579" s="47">
        <f t="shared" si="372"/>
        <v>0</v>
      </c>
      <c r="Z579" s="47">
        <f t="shared" si="373"/>
        <v>0</v>
      </c>
      <c r="AB579" s="47">
        <f t="shared" si="362"/>
        <v>142544.2788021774</v>
      </c>
      <c r="AC579" s="47">
        <f t="shared" si="363"/>
        <v>137880.38765242876</v>
      </c>
      <c r="AD579" s="47">
        <f t="shared" si="364"/>
        <v>133873.38258010949</v>
      </c>
      <c r="AE579" s="47">
        <f t="shared" si="365"/>
        <v>65688.607742938912</v>
      </c>
      <c r="AF579" s="47">
        <f t="shared" si="366"/>
        <v>0</v>
      </c>
    </row>
    <row r="580" spans="2:32">
      <c r="B580" s="37" t="str">
        <f t="shared" si="354"/>
        <v>Asset 26</v>
      </c>
      <c r="F580" s="37" t="str">
        <f t="shared" ref="F580:L580" si="395">F84</f>
        <v>13 Aanhangwagens (gaschromatografen en comptabele meters)</v>
      </c>
      <c r="G580" s="37">
        <f t="shared" si="395"/>
        <v>2015</v>
      </c>
      <c r="H580" s="42">
        <f t="shared" si="395"/>
        <v>7968.6502792695001</v>
      </c>
      <c r="I580" s="37">
        <f t="shared" si="395"/>
        <v>2021</v>
      </c>
      <c r="J580" s="37">
        <f t="shared" si="395"/>
        <v>10</v>
      </c>
      <c r="K580" s="37">
        <f t="shared" si="395"/>
        <v>0</v>
      </c>
      <c r="L580" s="42">
        <f t="shared" si="395"/>
        <v>3013.2877188110033</v>
      </c>
      <c r="N580" s="38">
        <f t="shared" si="355"/>
        <v>3.5</v>
      </c>
      <c r="P580" s="43">
        <f t="shared" si="387"/>
        <v>860.93934823171526</v>
      </c>
      <c r="Q580" s="43">
        <f t="shared" si="387"/>
        <v>860.93934823171526</v>
      </c>
      <c r="R580" s="43">
        <f t="shared" si="387"/>
        <v>860.93934823171526</v>
      </c>
      <c r="S580" s="43">
        <f t="shared" si="387"/>
        <v>430.46967411585763</v>
      </c>
      <c r="T580" s="43">
        <f t="shared" si="387"/>
        <v>0</v>
      </c>
      <c r="V580" s="47">
        <f t="shared" si="369"/>
        <v>2152.3483705792878</v>
      </c>
      <c r="W580" s="47">
        <f t="shared" si="370"/>
        <v>1291.4090223475725</v>
      </c>
      <c r="X580" s="47">
        <f t="shared" si="371"/>
        <v>430.46967411585729</v>
      </c>
      <c r="Y580" s="47">
        <f t="shared" si="372"/>
        <v>-3.4106051316484809E-13</v>
      </c>
      <c r="Z580" s="47">
        <f t="shared" si="373"/>
        <v>0</v>
      </c>
      <c r="AB580" s="47">
        <f t="shared" si="362"/>
        <v>934.11919283141106</v>
      </c>
      <c r="AC580" s="47">
        <f t="shared" si="363"/>
        <v>903.55584596918516</v>
      </c>
      <c r="AD580" s="47">
        <f t="shared" si="364"/>
        <v>877.29719584811778</v>
      </c>
      <c r="AE580" s="47">
        <f t="shared" si="365"/>
        <v>430.46967411585763</v>
      </c>
      <c r="AF580" s="47">
        <f t="shared" si="366"/>
        <v>0</v>
      </c>
    </row>
    <row r="581" spans="2:32">
      <c r="B581" s="37" t="str">
        <f t="shared" si="354"/>
        <v>Asset 27</v>
      </c>
      <c r="F581" s="37" t="str">
        <f t="shared" ref="F581:L581" si="396">F85</f>
        <v>37 ICT middelen 1</v>
      </c>
      <c r="G581" s="37">
        <f t="shared" si="396"/>
        <v>2016</v>
      </c>
      <c r="H581" s="42">
        <f t="shared" si="396"/>
        <v>15289349.60564645</v>
      </c>
      <c r="I581" s="37">
        <f t="shared" si="396"/>
        <v>2021</v>
      </c>
      <c r="J581" s="37">
        <f t="shared" si="396"/>
        <v>5</v>
      </c>
      <c r="K581" s="37">
        <f t="shared" si="396"/>
        <v>1</v>
      </c>
      <c r="L581" s="42">
        <f t="shared" si="396"/>
        <v>0</v>
      </c>
      <c r="N581" s="38">
        <f t="shared" si="355"/>
        <v>0</v>
      </c>
      <c r="P581" s="43">
        <f t="shared" si="387"/>
        <v>0</v>
      </c>
      <c r="Q581" s="43">
        <f t="shared" si="387"/>
        <v>0</v>
      </c>
      <c r="R581" s="43">
        <f t="shared" si="387"/>
        <v>0</v>
      </c>
      <c r="S581" s="43">
        <f t="shared" si="387"/>
        <v>0</v>
      </c>
      <c r="T581" s="43">
        <f t="shared" si="387"/>
        <v>0</v>
      </c>
      <c r="V581" s="47">
        <f t="shared" si="369"/>
        <v>0</v>
      </c>
      <c r="W581" s="47">
        <f t="shared" si="370"/>
        <v>0</v>
      </c>
      <c r="X581" s="47">
        <f t="shared" si="371"/>
        <v>0</v>
      </c>
      <c r="Y581" s="47">
        <f t="shared" si="372"/>
        <v>0</v>
      </c>
      <c r="Z581" s="47">
        <f t="shared" si="373"/>
        <v>0</v>
      </c>
      <c r="AB581" s="47">
        <f t="shared" si="362"/>
        <v>0</v>
      </c>
      <c r="AC581" s="47">
        <f t="shared" si="363"/>
        <v>0</v>
      </c>
      <c r="AD581" s="47">
        <f t="shared" si="364"/>
        <v>0</v>
      </c>
      <c r="AE581" s="47">
        <f t="shared" si="365"/>
        <v>0</v>
      </c>
      <c r="AF581" s="47">
        <f t="shared" si="366"/>
        <v>0</v>
      </c>
    </row>
    <row r="582" spans="2:32">
      <c r="B582" s="37" t="str">
        <f t="shared" si="354"/>
        <v>Asset 28</v>
      </c>
      <c r="F582" s="37" t="str">
        <f t="shared" ref="F582:L582" si="397">F86</f>
        <v>11 Werktuigen</v>
      </c>
      <c r="G582" s="37">
        <f t="shared" si="397"/>
        <v>2016</v>
      </c>
      <c r="H582" s="42">
        <f t="shared" si="397"/>
        <v>1481397.6896878041</v>
      </c>
      <c r="I582" s="37">
        <f t="shared" si="397"/>
        <v>2021</v>
      </c>
      <c r="J582" s="37">
        <f t="shared" si="397"/>
        <v>10</v>
      </c>
      <c r="K582" s="37">
        <f t="shared" si="397"/>
        <v>1</v>
      </c>
      <c r="L582" s="42">
        <f t="shared" si="397"/>
        <v>714515.13830443297</v>
      </c>
      <c r="N582" s="38">
        <f t="shared" si="355"/>
        <v>4.5</v>
      </c>
      <c r="P582" s="43">
        <f>IF(P$553&lt;=$G582+$J582,VDB($L582,0,$N582,P$553-2022,MIN(P$553-2021,$N582),1),0)</f>
        <v>158781.14184542955</v>
      </c>
      <c r="Q582" s="43">
        <f t="shared" si="387"/>
        <v>158781.14184542955</v>
      </c>
      <c r="R582" s="43">
        <f t="shared" si="387"/>
        <v>158781.14184542955</v>
      </c>
      <c r="S582" s="43">
        <f t="shared" si="387"/>
        <v>158781.14184542955</v>
      </c>
      <c r="T582" s="43">
        <f t="shared" si="387"/>
        <v>79390.570922714774</v>
      </c>
      <c r="V582" s="47">
        <f t="shared" si="369"/>
        <v>555733.99645900342</v>
      </c>
      <c r="W582" s="47">
        <f t="shared" si="370"/>
        <v>396952.85461357387</v>
      </c>
      <c r="X582" s="47">
        <f t="shared" si="371"/>
        <v>238171.71276814432</v>
      </c>
      <c r="Y582" s="47">
        <f t="shared" si="372"/>
        <v>79390.570922714774</v>
      </c>
      <c r="Z582" s="47">
        <f t="shared" si="373"/>
        <v>0</v>
      </c>
      <c r="AB582" s="47">
        <f t="shared" si="362"/>
        <v>177676.09772503568</v>
      </c>
      <c r="AC582" s="47">
        <f t="shared" si="363"/>
        <v>171880.5860476775</v>
      </c>
      <c r="AD582" s="47">
        <f t="shared" si="364"/>
        <v>167831.66693061905</v>
      </c>
      <c r="AE582" s="47">
        <f t="shared" si="365"/>
        <v>161797.98354049271</v>
      </c>
      <c r="AF582" s="47">
        <f t="shared" si="366"/>
        <v>79390.570922714774</v>
      </c>
    </row>
    <row r="583" spans="2:32">
      <c r="B583" s="37" t="str">
        <f t="shared" si="354"/>
        <v>Asset 29</v>
      </c>
      <c r="F583" s="37" t="str">
        <f t="shared" ref="F583:L583" si="398">F87</f>
        <v>14 Overig rollend materieel</v>
      </c>
      <c r="G583" s="37">
        <f t="shared" si="398"/>
        <v>2016</v>
      </c>
      <c r="H583" s="42">
        <f t="shared" si="398"/>
        <v>5338260.5379699524</v>
      </c>
      <c r="I583" s="37">
        <f t="shared" si="398"/>
        <v>2021</v>
      </c>
      <c r="J583" s="37">
        <f t="shared" si="398"/>
        <v>10</v>
      </c>
      <c r="K583" s="37">
        <f t="shared" si="398"/>
        <v>1</v>
      </c>
      <c r="L583" s="42">
        <f t="shared" si="398"/>
        <v>2574776.5054207225</v>
      </c>
      <c r="N583" s="38">
        <f t="shared" si="355"/>
        <v>4.5</v>
      </c>
      <c r="P583" s="43">
        <f t="shared" si="387"/>
        <v>572172.5567601606</v>
      </c>
      <c r="Q583" s="43">
        <f t="shared" si="387"/>
        <v>572172.5567601606</v>
      </c>
      <c r="R583" s="43">
        <f t="shared" si="387"/>
        <v>572172.5567601606</v>
      </c>
      <c r="S583" s="43">
        <f t="shared" si="387"/>
        <v>572172.5567601606</v>
      </c>
      <c r="T583" s="43">
        <f t="shared" si="387"/>
        <v>286086.2783800803</v>
      </c>
      <c r="V583" s="47">
        <f t="shared" si="369"/>
        <v>2002603.9486605618</v>
      </c>
      <c r="W583" s="47">
        <f t="shared" si="370"/>
        <v>1430431.3919004011</v>
      </c>
      <c r="X583" s="47">
        <f t="shared" si="371"/>
        <v>858258.8351402405</v>
      </c>
      <c r="Y583" s="47">
        <f t="shared" si="372"/>
        <v>286086.27838007989</v>
      </c>
      <c r="Z583" s="47">
        <f t="shared" si="373"/>
        <v>-4.0745362639427185E-10</v>
      </c>
      <c r="AB583" s="47">
        <f t="shared" si="362"/>
        <v>640261.09101461968</v>
      </c>
      <c r="AC583" s="47">
        <f t="shared" si="363"/>
        <v>619376.79269287386</v>
      </c>
      <c r="AD583" s="47">
        <f t="shared" si="364"/>
        <v>604786.3924954898</v>
      </c>
      <c r="AE583" s="47">
        <f t="shared" si="365"/>
        <v>583043.83533860359</v>
      </c>
      <c r="AF583" s="47">
        <f t="shared" si="366"/>
        <v>286086.2783800803</v>
      </c>
    </row>
    <row r="584" spans="2:32">
      <c r="B584" s="37" t="str">
        <f t="shared" si="354"/>
        <v>Asset 30</v>
      </c>
      <c r="F584" s="37" t="str">
        <f t="shared" ref="F584:L584" si="399">F88</f>
        <v>37 ICT middelen 1</v>
      </c>
      <c r="G584" s="37">
        <f t="shared" si="399"/>
        <v>2017</v>
      </c>
      <c r="H584" s="42">
        <f t="shared" si="399"/>
        <v>17348227.126304951</v>
      </c>
      <c r="I584" s="37">
        <f t="shared" si="399"/>
        <v>2021</v>
      </c>
      <c r="J584" s="37">
        <f t="shared" si="399"/>
        <v>5</v>
      </c>
      <c r="K584" s="37">
        <f t="shared" si="399"/>
        <v>1</v>
      </c>
      <c r="L584" s="42">
        <f t="shared" si="399"/>
        <v>1855729.3459505453</v>
      </c>
      <c r="N584" s="38">
        <f t="shared" si="355"/>
        <v>0.5</v>
      </c>
      <c r="P584" s="43">
        <f t="shared" si="387"/>
        <v>1855729.3459505453</v>
      </c>
      <c r="Q584" s="43">
        <f t="shared" si="387"/>
        <v>0</v>
      </c>
      <c r="R584" s="43">
        <f t="shared" si="387"/>
        <v>0</v>
      </c>
      <c r="S584" s="43">
        <f t="shared" si="387"/>
        <v>0</v>
      </c>
      <c r="T584" s="43">
        <f t="shared" si="387"/>
        <v>0</v>
      </c>
      <c r="V584" s="47">
        <f t="shared" si="369"/>
        <v>0</v>
      </c>
      <c r="W584" s="47">
        <f t="shared" si="370"/>
        <v>0</v>
      </c>
      <c r="X584" s="47">
        <f t="shared" si="371"/>
        <v>0</v>
      </c>
      <c r="Y584" s="47">
        <f t="shared" si="372"/>
        <v>0</v>
      </c>
      <c r="Z584" s="47">
        <f t="shared" si="373"/>
        <v>0</v>
      </c>
      <c r="AB584" s="47">
        <f t="shared" si="362"/>
        <v>1855729.3459505453</v>
      </c>
      <c r="AC584" s="47">
        <f t="shared" si="363"/>
        <v>0</v>
      </c>
      <c r="AD584" s="47">
        <f t="shared" si="364"/>
        <v>0</v>
      </c>
      <c r="AE584" s="47">
        <f t="shared" si="365"/>
        <v>0</v>
      </c>
      <c r="AF584" s="47">
        <f t="shared" si="366"/>
        <v>0</v>
      </c>
    </row>
    <row r="585" spans="2:32">
      <c r="B585" s="37" t="str">
        <f t="shared" si="354"/>
        <v>Asset 31</v>
      </c>
      <c r="F585" s="37" t="str">
        <f t="shared" ref="F585:L585" si="400">F89</f>
        <v>05 Wegen en terreinvoorzieningen</v>
      </c>
      <c r="G585" s="37">
        <f t="shared" si="400"/>
        <v>2012</v>
      </c>
      <c r="H585" s="42">
        <f t="shared" si="400"/>
        <v>56189.23</v>
      </c>
      <c r="I585" s="37">
        <f t="shared" si="400"/>
        <v>2021</v>
      </c>
      <c r="J585" s="37">
        <f t="shared" si="400"/>
        <v>10</v>
      </c>
      <c r="K585" s="37">
        <f t="shared" si="400"/>
        <v>0</v>
      </c>
      <c r="L585" s="42">
        <f t="shared" si="400"/>
        <v>3224.0442736663617</v>
      </c>
      <c r="N585" s="38">
        <f t="shared" si="355"/>
        <v>0.5</v>
      </c>
      <c r="P585" s="43">
        <f t="shared" si="387"/>
        <v>3224.0442736663617</v>
      </c>
      <c r="Q585" s="43">
        <f t="shared" si="387"/>
        <v>0</v>
      </c>
      <c r="R585" s="43">
        <f t="shared" si="387"/>
        <v>0</v>
      </c>
      <c r="S585" s="43">
        <f t="shared" si="387"/>
        <v>0</v>
      </c>
      <c r="T585" s="43">
        <f t="shared" si="387"/>
        <v>0</v>
      </c>
      <c r="V585" s="47">
        <f t="shared" si="369"/>
        <v>0</v>
      </c>
      <c r="W585" s="47">
        <f t="shared" si="370"/>
        <v>0</v>
      </c>
      <c r="X585" s="47">
        <f t="shared" si="371"/>
        <v>0</v>
      </c>
      <c r="Y585" s="47">
        <f t="shared" si="372"/>
        <v>0</v>
      </c>
      <c r="Z585" s="47">
        <f t="shared" si="373"/>
        <v>0</v>
      </c>
      <c r="AB585" s="47">
        <f t="shared" si="362"/>
        <v>3224.0442736663617</v>
      </c>
      <c r="AC585" s="47">
        <f t="shared" si="363"/>
        <v>0</v>
      </c>
      <c r="AD585" s="47">
        <f t="shared" si="364"/>
        <v>0</v>
      </c>
      <c r="AE585" s="47">
        <f t="shared" si="365"/>
        <v>0</v>
      </c>
      <c r="AF585" s="47">
        <f t="shared" si="366"/>
        <v>0</v>
      </c>
    </row>
    <row r="586" spans="2:32">
      <c r="B586" s="37" t="str">
        <f t="shared" si="354"/>
        <v>Asset 32</v>
      </c>
      <c r="F586" s="37" t="str">
        <f t="shared" ref="F586:L586" si="401">F90</f>
        <v>37 ICT middelen 1</v>
      </c>
      <c r="G586" s="37">
        <f t="shared" si="401"/>
        <v>2018</v>
      </c>
      <c r="H586" s="42">
        <f t="shared" si="401"/>
        <v>20811887.293785572</v>
      </c>
      <c r="I586" s="37">
        <f t="shared" si="401"/>
        <v>2021</v>
      </c>
      <c r="J586" s="37">
        <f t="shared" si="401"/>
        <v>5</v>
      </c>
      <c r="K586" s="37">
        <f t="shared" si="401"/>
        <v>1</v>
      </c>
      <c r="L586" s="42">
        <f t="shared" si="401"/>
        <v>6586494.0110704908</v>
      </c>
      <c r="N586" s="38">
        <f t="shared" si="355"/>
        <v>1.5</v>
      </c>
      <c r="P586" s="43">
        <f t="shared" si="387"/>
        <v>4390996.0073803272</v>
      </c>
      <c r="Q586" s="43">
        <f t="shared" si="387"/>
        <v>2195498.0036901636</v>
      </c>
      <c r="R586" s="43">
        <f t="shared" si="387"/>
        <v>0</v>
      </c>
      <c r="S586" s="43">
        <f t="shared" si="387"/>
        <v>0</v>
      </c>
      <c r="T586" s="43">
        <f t="shared" si="387"/>
        <v>0</v>
      </c>
      <c r="V586" s="47">
        <f t="shared" si="369"/>
        <v>2195498.0036901636</v>
      </c>
      <c r="W586" s="47">
        <f t="shared" si="370"/>
        <v>0</v>
      </c>
      <c r="X586" s="47">
        <f t="shared" si="371"/>
        <v>0</v>
      </c>
      <c r="Y586" s="47">
        <f t="shared" si="372"/>
        <v>0</v>
      </c>
      <c r="Z586" s="47">
        <f t="shared" si="373"/>
        <v>0</v>
      </c>
      <c r="AB586" s="47">
        <f t="shared" si="362"/>
        <v>4465642.9395057932</v>
      </c>
      <c r="AC586" s="47">
        <f t="shared" si="363"/>
        <v>2195498.0036901636</v>
      </c>
      <c r="AD586" s="47">
        <f t="shared" si="364"/>
        <v>0</v>
      </c>
      <c r="AE586" s="47">
        <f t="shared" si="365"/>
        <v>0</v>
      </c>
      <c r="AF586" s="47">
        <f t="shared" si="366"/>
        <v>0</v>
      </c>
    </row>
    <row r="587" spans="2:32">
      <c r="B587" s="37" t="str">
        <f t="shared" si="354"/>
        <v>Asset 33</v>
      </c>
      <c r="F587" s="37" t="str">
        <f t="shared" ref="F587:L587" si="402">F91</f>
        <v>37 ICT middelen 1</v>
      </c>
      <c r="G587" s="37">
        <f t="shared" si="402"/>
        <v>2005</v>
      </c>
      <c r="H587" s="42">
        <f t="shared" si="402"/>
        <v>3284081.86</v>
      </c>
      <c r="I587" s="37">
        <f t="shared" si="402"/>
        <v>2021</v>
      </c>
      <c r="J587" s="37">
        <f t="shared" si="402"/>
        <v>5</v>
      </c>
      <c r="K587" s="37">
        <f t="shared" si="402"/>
        <v>1</v>
      </c>
      <c r="L587" s="42">
        <f t="shared" si="402"/>
        <v>0</v>
      </c>
      <c r="N587" s="38">
        <f t="shared" si="355"/>
        <v>0</v>
      </c>
      <c r="P587" s="43">
        <f t="shared" si="387"/>
        <v>0</v>
      </c>
      <c r="Q587" s="43">
        <f t="shared" si="387"/>
        <v>0</v>
      </c>
      <c r="R587" s="43">
        <f t="shared" si="387"/>
        <v>0</v>
      </c>
      <c r="S587" s="43">
        <f t="shared" si="387"/>
        <v>0</v>
      </c>
      <c r="T587" s="43">
        <f t="shared" si="387"/>
        <v>0</v>
      </c>
      <c r="V587" s="47">
        <f t="shared" si="369"/>
        <v>0</v>
      </c>
      <c r="W587" s="47">
        <f t="shared" si="370"/>
        <v>0</v>
      </c>
      <c r="X587" s="47">
        <f t="shared" si="371"/>
        <v>0</v>
      </c>
      <c r="Y587" s="47">
        <f t="shared" si="372"/>
        <v>0</v>
      </c>
      <c r="Z587" s="47">
        <f t="shared" si="373"/>
        <v>0</v>
      </c>
      <c r="AB587" s="47">
        <f t="shared" si="362"/>
        <v>0</v>
      </c>
      <c r="AC587" s="47">
        <f t="shared" si="363"/>
        <v>0</v>
      </c>
      <c r="AD587" s="47">
        <f t="shared" si="364"/>
        <v>0</v>
      </c>
      <c r="AE587" s="47">
        <f t="shared" si="365"/>
        <v>0</v>
      </c>
      <c r="AF587" s="47">
        <f t="shared" si="366"/>
        <v>0</v>
      </c>
    </row>
    <row r="588" spans="2:32">
      <c r="B588" s="37" t="str">
        <f t="shared" si="354"/>
        <v>Asset 34</v>
      </c>
      <c r="F588" s="37" t="str">
        <f t="shared" ref="F588:L588" si="403">F92</f>
        <v>14 Overig rollend materieel</v>
      </c>
      <c r="G588" s="37">
        <f t="shared" si="403"/>
        <v>2005</v>
      </c>
      <c r="H588" s="42">
        <f t="shared" si="403"/>
        <v>1438517.3199999998</v>
      </c>
      <c r="I588" s="37">
        <f t="shared" si="403"/>
        <v>2021</v>
      </c>
      <c r="J588" s="37">
        <f t="shared" si="403"/>
        <v>10</v>
      </c>
      <c r="K588" s="37">
        <f t="shared" si="403"/>
        <v>1</v>
      </c>
      <c r="L588" s="42">
        <f t="shared" si="403"/>
        <v>0</v>
      </c>
      <c r="N588" s="38">
        <f t="shared" si="355"/>
        <v>0</v>
      </c>
      <c r="P588" s="43">
        <f t="shared" si="387"/>
        <v>0</v>
      </c>
      <c r="Q588" s="43">
        <f t="shared" si="387"/>
        <v>0</v>
      </c>
      <c r="R588" s="43">
        <f t="shared" si="387"/>
        <v>0</v>
      </c>
      <c r="S588" s="43">
        <f t="shared" si="387"/>
        <v>0</v>
      </c>
      <c r="T588" s="43">
        <f t="shared" si="387"/>
        <v>0</v>
      </c>
      <c r="V588" s="47">
        <f t="shared" si="369"/>
        <v>0</v>
      </c>
      <c r="W588" s="47">
        <f t="shared" si="370"/>
        <v>0</v>
      </c>
      <c r="X588" s="47">
        <f t="shared" si="371"/>
        <v>0</v>
      </c>
      <c r="Y588" s="47">
        <f t="shared" si="372"/>
        <v>0</v>
      </c>
      <c r="Z588" s="47">
        <f t="shared" si="373"/>
        <v>0</v>
      </c>
      <c r="AB588" s="47">
        <f t="shared" si="362"/>
        <v>0</v>
      </c>
      <c r="AC588" s="47">
        <f t="shared" si="363"/>
        <v>0</v>
      </c>
      <c r="AD588" s="47">
        <f t="shared" si="364"/>
        <v>0</v>
      </c>
      <c r="AE588" s="47">
        <f t="shared" si="365"/>
        <v>0</v>
      </c>
      <c r="AF588" s="47">
        <f t="shared" si="366"/>
        <v>0</v>
      </c>
    </row>
    <row r="589" spans="2:32">
      <c r="B589" s="37" t="str">
        <f t="shared" si="354"/>
        <v>Asset 35</v>
      </c>
      <c r="F589" s="37" t="str">
        <f t="shared" ref="F589:L589" si="404">F93</f>
        <v>11 Werktuigen</v>
      </c>
      <c r="G589" s="37">
        <f t="shared" si="404"/>
        <v>2005</v>
      </c>
      <c r="H589" s="42">
        <f t="shared" si="404"/>
        <v>499809.02999999997</v>
      </c>
      <c r="I589" s="37">
        <f t="shared" si="404"/>
        <v>2021</v>
      </c>
      <c r="J589" s="37">
        <f t="shared" si="404"/>
        <v>10</v>
      </c>
      <c r="K589" s="37">
        <f t="shared" si="404"/>
        <v>1</v>
      </c>
      <c r="L589" s="42">
        <f t="shared" si="404"/>
        <v>0</v>
      </c>
      <c r="N589" s="38">
        <f t="shared" si="355"/>
        <v>0</v>
      </c>
      <c r="P589" s="43">
        <f t="shared" si="387"/>
        <v>0</v>
      </c>
      <c r="Q589" s="43">
        <f t="shared" si="387"/>
        <v>0</v>
      </c>
      <c r="R589" s="43">
        <f t="shared" si="387"/>
        <v>0</v>
      </c>
      <c r="S589" s="43">
        <f t="shared" si="387"/>
        <v>0</v>
      </c>
      <c r="T589" s="43">
        <f t="shared" si="387"/>
        <v>0</v>
      </c>
      <c r="V589" s="47">
        <f t="shared" si="369"/>
        <v>0</v>
      </c>
      <c r="W589" s="47">
        <f t="shared" si="370"/>
        <v>0</v>
      </c>
      <c r="X589" s="47">
        <f t="shared" si="371"/>
        <v>0</v>
      </c>
      <c r="Y589" s="47">
        <f t="shared" si="372"/>
        <v>0</v>
      </c>
      <c r="Z589" s="47">
        <f t="shared" si="373"/>
        <v>0</v>
      </c>
      <c r="AB589" s="47">
        <f t="shared" si="362"/>
        <v>0</v>
      </c>
      <c r="AC589" s="47">
        <f t="shared" si="363"/>
        <v>0</v>
      </c>
      <c r="AD589" s="47">
        <f t="shared" si="364"/>
        <v>0</v>
      </c>
      <c r="AE589" s="47">
        <f t="shared" si="365"/>
        <v>0</v>
      </c>
      <c r="AF589" s="47">
        <f t="shared" si="366"/>
        <v>0</v>
      </c>
    </row>
    <row r="590" spans="2:32">
      <c r="B590" s="37" t="str">
        <f t="shared" si="354"/>
        <v>Asset 36</v>
      </c>
      <c r="F590" s="37" t="str">
        <f t="shared" ref="F590:L590" si="405">F94</f>
        <v>14 Overig rollend materieel (odorisatie)</v>
      </c>
      <c r="G590" s="37">
        <f t="shared" si="405"/>
        <v>2005</v>
      </c>
      <c r="H590" s="42">
        <f t="shared" si="405"/>
        <v>245809.3</v>
      </c>
      <c r="I590" s="37">
        <f t="shared" si="405"/>
        <v>2021</v>
      </c>
      <c r="J590" s="37">
        <f t="shared" si="405"/>
        <v>10</v>
      </c>
      <c r="K590" s="37">
        <f t="shared" si="405"/>
        <v>0</v>
      </c>
      <c r="L590" s="42">
        <f t="shared" si="405"/>
        <v>0</v>
      </c>
      <c r="N590" s="38">
        <f t="shared" si="355"/>
        <v>0</v>
      </c>
      <c r="P590" s="43">
        <f t="shared" si="387"/>
        <v>0</v>
      </c>
      <c r="Q590" s="43">
        <f t="shared" si="387"/>
        <v>0</v>
      </c>
      <c r="R590" s="43">
        <f t="shared" si="387"/>
        <v>0</v>
      </c>
      <c r="S590" s="43">
        <f t="shared" si="387"/>
        <v>0</v>
      </c>
      <c r="T590" s="43">
        <f t="shared" si="387"/>
        <v>0</v>
      </c>
      <c r="V590" s="47">
        <f t="shared" si="369"/>
        <v>0</v>
      </c>
      <c r="W590" s="47">
        <f t="shared" si="370"/>
        <v>0</v>
      </c>
      <c r="X590" s="47">
        <f t="shared" si="371"/>
        <v>0</v>
      </c>
      <c r="Y590" s="47">
        <f t="shared" si="372"/>
        <v>0</v>
      </c>
      <c r="Z590" s="47">
        <f t="shared" si="373"/>
        <v>0</v>
      </c>
      <c r="AB590" s="47">
        <f t="shared" si="362"/>
        <v>0</v>
      </c>
      <c r="AC590" s="47">
        <f t="shared" si="363"/>
        <v>0</v>
      </c>
      <c r="AD590" s="47">
        <f t="shared" si="364"/>
        <v>0</v>
      </c>
      <c r="AE590" s="47">
        <f t="shared" si="365"/>
        <v>0</v>
      </c>
      <c r="AF590" s="47">
        <f t="shared" si="366"/>
        <v>0</v>
      </c>
    </row>
    <row r="591" spans="2:32">
      <c r="B591" s="37" t="str">
        <f t="shared" si="354"/>
        <v>Asset 37</v>
      </c>
      <c r="F591" s="37" t="str">
        <f t="shared" ref="F591:L591" si="406">F95</f>
        <v>10 Gereedschap</v>
      </c>
      <c r="G591" s="37">
        <f t="shared" si="406"/>
        <v>2005</v>
      </c>
      <c r="H591" s="42">
        <f t="shared" si="406"/>
        <v>58217.59</v>
      </c>
      <c r="I591" s="37">
        <f t="shared" si="406"/>
        <v>2021</v>
      </c>
      <c r="J591" s="37">
        <f t="shared" si="406"/>
        <v>10</v>
      </c>
      <c r="K591" s="37">
        <f t="shared" si="406"/>
        <v>1</v>
      </c>
      <c r="L591" s="42">
        <f t="shared" si="406"/>
        <v>0</v>
      </c>
      <c r="N591" s="38">
        <f t="shared" si="355"/>
        <v>0</v>
      </c>
      <c r="P591" s="43">
        <f t="shared" si="387"/>
        <v>0</v>
      </c>
      <c r="Q591" s="43">
        <f t="shared" si="387"/>
        <v>0</v>
      </c>
      <c r="R591" s="43">
        <f t="shared" si="387"/>
        <v>0</v>
      </c>
      <c r="S591" s="43">
        <f t="shared" si="387"/>
        <v>0</v>
      </c>
      <c r="T591" s="43">
        <f t="shared" si="387"/>
        <v>0</v>
      </c>
      <c r="V591" s="47">
        <f t="shared" si="369"/>
        <v>0</v>
      </c>
      <c r="W591" s="47">
        <f t="shared" si="370"/>
        <v>0</v>
      </c>
      <c r="X591" s="47">
        <f t="shared" si="371"/>
        <v>0</v>
      </c>
      <c r="Y591" s="47">
        <f t="shared" si="372"/>
        <v>0</v>
      </c>
      <c r="Z591" s="47">
        <f t="shared" si="373"/>
        <v>0</v>
      </c>
      <c r="AB591" s="47">
        <f t="shared" si="362"/>
        <v>0</v>
      </c>
      <c r="AC591" s="47">
        <f t="shared" si="363"/>
        <v>0</v>
      </c>
      <c r="AD591" s="47">
        <f t="shared" si="364"/>
        <v>0</v>
      </c>
      <c r="AE591" s="47">
        <f t="shared" si="365"/>
        <v>0</v>
      </c>
      <c r="AF591" s="47">
        <f t="shared" si="366"/>
        <v>0</v>
      </c>
    </row>
    <row r="592" spans="2:32">
      <c r="B592" s="37" t="str">
        <f t="shared" si="354"/>
        <v>Asset 38</v>
      </c>
      <c r="F592" s="37" t="str">
        <f t="shared" ref="F592:L592" si="407">F96</f>
        <v>37 ICT middelen 1</v>
      </c>
      <c r="G592" s="37">
        <f t="shared" si="407"/>
        <v>2006</v>
      </c>
      <c r="H592" s="42">
        <f t="shared" si="407"/>
        <v>4639319.7116944697</v>
      </c>
      <c r="I592" s="37">
        <f t="shared" si="407"/>
        <v>2021</v>
      </c>
      <c r="J592" s="37">
        <f t="shared" si="407"/>
        <v>5</v>
      </c>
      <c r="K592" s="37">
        <f t="shared" si="407"/>
        <v>1</v>
      </c>
      <c r="L592" s="42">
        <f t="shared" si="407"/>
        <v>0</v>
      </c>
      <c r="N592" s="38">
        <f t="shared" si="355"/>
        <v>0</v>
      </c>
      <c r="P592" s="43">
        <f t="shared" si="387"/>
        <v>0</v>
      </c>
      <c r="Q592" s="43">
        <f t="shared" si="387"/>
        <v>0</v>
      </c>
      <c r="R592" s="43">
        <f t="shared" si="387"/>
        <v>0</v>
      </c>
      <c r="S592" s="43">
        <f t="shared" si="387"/>
        <v>0</v>
      </c>
      <c r="T592" s="43">
        <f t="shared" si="387"/>
        <v>0</v>
      </c>
      <c r="V592" s="47">
        <f t="shared" si="369"/>
        <v>0</v>
      </c>
      <c r="W592" s="47">
        <f t="shared" si="370"/>
        <v>0</v>
      </c>
      <c r="X592" s="47">
        <f t="shared" si="371"/>
        <v>0</v>
      </c>
      <c r="Y592" s="47">
        <f t="shared" si="372"/>
        <v>0</v>
      </c>
      <c r="Z592" s="47">
        <f t="shared" si="373"/>
        <v>0</v>
      </c>
      <c r="AB592" s="47">
        <f t="shared" si="362"/>
        <v>0</v>
      </c>
      <c r="AC592" s="47">
        <f t="shared" si="363"/>
        <v>0</v>
      </c>
      <c r="AD592" s="47">
        <f t="shared" si="364"/>
        <v>0</v>
      </c>
      <c r="AE592" s="47">
        <f t="shared" si="365"/>
        <v>0</v>
      </c>
      <c r="AF592" s="47">
        <f t="shared" si="366"/>
        <v>0</v>
      </c>
    </row>
    <row r="593" spans="2:32">
      <c r="B593" s="37" t="str">
        <f t="shared" si="354"/>
        <v>Asset 39</v>
      </c>
      <c r="F593" s="37" t="str">
        <f t="shared" ref="F593:L593" si="408">F97</f>
        <v>08 Inrichting gebouwen</v>
      </c>
      <c r="G593" s="37">
        <f t="shared" si="408"/>
        <v>2006</v>
      </c>
      <c r="H593" s="42">
        <f t="shared" si="408"/>
        <v>68586.959999999992</v>
      </c>
      <c r="I593" s="37">
        <f t="shared" si="408"/>
        <v>2021</v>
      </c>
      <c r="J593" s="37">
        <f t="shared" si="408"/>
        <v>10</v>
      </c>
      <c r="K593" s="37">
        <f t="shared" si="408"/>
        <v>0</v>
      </c>
      <c r="L593" s="42">
        <f t="shared" si="408"/>
        <v>0</v>
      </c>
      <c r="N593" s="38">
        <f t="shared" si="355"/>
        <v>0</v>
      </c>
      <c r="P593" s="43">
        <f t="shared" si="387"/>
        <v>0</v>
      </c>
      <c r="Q593" s="43">
        <f t="shared" si="387"/>
        <v>0</v>
      </c>
      <c r="R593" s="43">
        <f t="shared" si="387"/>
        <v>0</v>
      </c>
      <c r="S593" s="43">
        <f t="shared" si="387"/>
        <v>0</v>
      </c>
      <c r="T593" s="43">
        <f t="shared" si="387"/>
        <v>0</v>
      </c>
      <c r="V593" s="47">
        <f t="shared" si="369"/>
        <v>0</v>
      </c>
      <c r="W593" s="47">
        <f t="shared" si="370"/>
        <v>0</v>
      </c>
      <c r="X593" s="47">
        <f t="shared" si="371"/>
        <v>0</v>
      </c>
      <c r="Y593" s="47">
        <f t="shared" si="372"/>
        <v>0</v>
      </c>
      <c r="Z593" s="47">
        <f t="shared" si="373"/>
        <v>0</v>
      </c>
      <c r="AB593" s="47">
        <f t="shared" si="362"/>
        <v>0</v>
      </c>
      <c r="AC593" s="47">
        <f t="shared" si="363"/>
        <v>0</v>
      </c>
      <c r="AD593" s="47">
        <f t="shared" si="364"/>
        <v>0</v>
      </c>
      <c r="AE593" s="47">
        <f t="shared" si="365"/>
        <v>0</v>
      </c>
      <c r="AF593" s="47">
        <f t="shared" si="366"/>
        <v>0</v>
      </c>
    </row>
    <row r="594" spans="2:32">
      <c r="B594" s="37" t="str">
        <f t="shared" si="354"/>
        <v>Asset 40</v>
      </c>
      <c r="F594" s="37" t="str">
        <f t="shared" ref="F594:L594" si="409">F98</f>
        <v>20 Kantoorgebouwen</v>
      </c>
      <c r="G594" s="37">
        <f t="shared" si="409"/>
        <v>2006</v>
      </c>
      <c r="H594" s="42">
        <f t="shared" si="409"/>
        <v>104600</v>
      </c>
      <c r="I594" s="37">
        <f t="shared" si="409"/>
        <v>2021</v>
      </c>
      <c r="J594" s="37">
        <f t="shared" si="409"/>
        <v>30</v>
      </c>
      <c r="K594" s="37">
        <f t="shared" si="409"/>
        <v>0</v>
      </c>
      <c r="L594" s="42">
        <f t="shared" si="409"/>
        <v>64112.024048213396</v>
      </c>
      <c r="N594" s="38">
        <f t="shared" si="355"/>
        <v>14.5</v>
      </c>
      <c r="P594" s="43">
        <f t="shared" si="387"/>
        <v>4421.5188998767862</v>
      </c>
      <c r="Q594" s="43">
        <f t="shared" si="387"/>
        <v>4421.5188998767862</v>
      </c>
      <c r="R594" s="43">
        <f t="shared" si="387"/>
        <v>4421.5188998767862</v>
      </c>
      <c r="S594" s="43">
        <f t="shared" si="387"/>
        <v>4421.5188998767862</v>
      </c>
      <c r="T594" s="43">
        <f t="shared" si="387"/>
        <v>4421.5188998767862</v>
      </c>
      <c r="V594" s="47">
        <f t="shared" si="369"/>
        <v>59690.505148336611</v>
      </c>
      <c r="W594" s="47">
        <f t="shared" si="370"/>
        <v>55268.986248459827</v>
      </c>
      <c r="X594" s="47">
        <f t="shared" si="371"/>
        <v>50847.467348583043</v>
      </c>
      <c r="Y594" s="47">
        <f t="shared" si="372"/>
        <v>46425.948448706258</v>
      </c>
      <c r="Z594" s="47">
        <f t="shared" si="373"/>
        <v>42004.429548829474</v>
      </c>
      <c r="AB594" s="47">
        <f t="shared" si="362"/>
        <v>6450.996074920231</v>
      </c>
      <c r="AC594" s="47">
        <f t="shared" si="363"/>
        <v>6245.3954460759605</v>
      </c>
      <c r="AD594" s="47">
        <f t="shared" si="364"/>
        <v>6353.7226591229419</v>
      </c>
      <c r="AE594" s="47">
        <f t="shared" si="365"/>
        <v>6185.7049409276242</v>
      </c>
      <c r="AF594" s="47">
        <f t="shared" si="366"/>
        <v>6017.6872227323065</v>
      </c>
    </row>
    <row r="595" spans="2:32">
      <c r="B595" s="37" t="str">
        <f t="shared" si="354"/>
        <v>Asset 41</v>
      </c>
      <c r="F595" s="37" t="str">
        <f t="shared" ref="F595:L595" si="410">F99</f>
        <v>09 Bedrijfsinventaris</v>
      </c>
      <c r="G595" s="37">
        <f t="shared" si="410"/>
        <v>2006</v>
      </c>
      <c r="H595" s="42">
        <f t="shared" si="410"/>
        <v>243251.93</v>
      </c>
      <c r="I595" s="37">
        <f t="shared" si="410"/>
        <v>2021</v>
      </c>
      <c r="J595" s="37">
        <f t="shared" si="410"/>
        <v>10</v>
      </c>
      <c r="K595" s="37">
        <f t="shared" si="410"/>
        <v>1</v>
      </c>
      <c r="L595" s="42">
        <f t="shared" si="410"/>
        <v>0</v>
      </c>
      <c r="N595" s="38">
        <f t="shared" si="355"/>
        <v>0</v>
      </c>
      <c r="P595" s="43">
        <f t="shared" si="387"/>
        <v>0</v>
      </c>
      <c r="Q595" s="43">
        <f t="shared" si="387"/>
        <v>0</v>
      </c>
      <c r="R595" s="43">
        <f t="shared" si="387"/>
        <v>0</v>
      </c>
      <c r="S595" s="43">
        <f t="shared" si="387"/>
        <v>0</v>
      </c>
      <c r="T595" s="43">
        <f t="shared" si="387"/>
        <v>0</v>
      </c>
      <c r="V595" s="47">
        <f t="shared" si="369"/>
        <v>0</v>
      </c>
      <c r="W595" s="47">
        <f t="shared" si="370"/>
        <v>0</v>
      </c>
      <c r="X595" s="47">
        <f t="shared" si="371"/>
        <v>0</v>
      </c>
      <c r="Y595" s="47">
        <f t="shared" si="372"/>
        <v>0</v>
      </c>
      <c r="Z595" s="47">
        <f t="shared" si="373"/>
        <v>0</v>
      </c>
      <c r="AB595" s="47">
        <f t="shared" si="362"/>
        <v>0</v>
      </c>
      <c r="AC595" s="47">
        <f t="shared" si="363"/>
        <v>0</v>
      </c>
      <c r="AD595" s="47">
        <f t="shared" si="364"/>
        <v>0</v>
      </c>
      <c r="AE595" s="47">
        <f t="shared" si="365"/>
        <v>0</v>
      </c>
      <c r="AF595" s="47">
        <f t="shared" si="366"/>
        <v>0</v>
      </c>
    </row>
    <row r="596" spans="2:32">
      <c r="B596" s="37" t="str">
        <f t="shared" si="354"/>
        <v>Asset 42</v>
      </c>
      <c r="F596" s="37" t="str">
        <f t="shared" ref="F596:L596" si="411">F100</f>
        <v>10 Gereedschap</v>
      </c>
      <c r="G596" s="37">
        <f t="shared" si="411"/>
        <v>2006</v>
      </c>
      <c r="H596" s="42">
        <f t="shared" si="411"/>
        <v>585474.13</v>
      </c>
      <c r="I596" s="37">
        <f t="shared" si="411"/>
        <v>2021</v>
      </c>
      <c r="J596" s="37">
        <f t="shared" si="411"/>
        <v>10</v>
      </c>
      <c r="K596" s="37">
        <f t="shared" si="411"/>
        <v>1</v>
      </c>
      <c r="L596" s="42">
        <f t="shared" si="411"/>
        <v>0</v>
      </c>
      <c r="N596" s="38">
        <f t="shared" si="355"/>
        <v>0</v>
      </c>
      <c r="P596" s="43">
        <f t="shared" si="387"/>
        <v>0</v>
      </c>
      <c r="Q596" s="43">
        <f t="shared" si="387"/>
        <v>0</v>
      </c>
      <c r="R596" s="43">
        <f t="shared" si="387"/>
        <v>0</v>
      </c>
      <c r="S596" s="43">
        <f t="shared" si="387"/>
        <v>0</v>
      </c>
      <c r="T596" s="43">
        <f t="shared" si="387"/>
        <v>0</v>
      </c>
      <c r="V596" s="47">
        <f t="shared" si="369"/>
        <v>0</v>
      </c>
      <c r="W596" s="47">
        <f t="shared" si="370"/>
        <v>0</v>
      </c>
      <c r="X596" s="47">
        <f t="shared" si="371"/>
        <v>0</v>
      </c>
      <c r="Y596" s="47">
        <f t="shared" si="372"/>
        <v>0</v>
      </c>
      <c r="Z596" s="47">
        <f t="shared" si="373"/>
        <v>0</v>
      </c>
      <c r="AB596" s="47">
        <f t="shared" si="362"/>
        <v>0</v>
      </c>
      <c r="AC596" s="47">
        <f t="shared" si="363"/>
        <v>0</v>
      </c>
      <c r="AD596" s="47">
        <f t="shared" si="364"/>
        <v>0</v>
      </c>
      <c r="AE596" s="47">
        <f t="shared" si="365"/>
        <v>0</v>
      </c>
      <c r="AF596" s="47">
        <f t="shared" si="366"/>
        <v>0</v>
      </c>
    </row>
    <row r="597" spans="2:32">
      <c r="B597" s="37" t="str">
        <f t="shared" si="354"/>
        <v>Asset 43</v>
      </c>
      <c r="F597" s="37" t="str">
        <f t="shared" ref="F597:L597" si="412">F101</f>
        <v>08 Inrichting gebouwen</v>
      </c>
      <c r="G597" s="37">
        <f t="shared" si="412"/>
        <v>2007</v>
      </c>
      <c r="H597" s="42">
        <f t="shared" si="412"/>
        <v>332079.90999999997</v>
      </c>
      <c r="I597" s="37">
        <f t="shared" si="412"/>
        <v>2021</v>
      </c>
      <c r="J597" s="37">
        <f t="shared" si="412"/>
        <v>10</v>
      </c>
      <c r="K597" s="37">
        <f t="shared" si="412"/>
        <v>0</v>
      </c>
      <c r="L597" s="42">
        <f t="shared" si="412"/>
        <v>0</v>
      </c>
      <c r="N597" s="38">
        <f t="shared" si="355"/>
        <v>0</v>
      </c>
      <c r="P597" s="43">
        <f t="shared" si="387"/>
        <v>0</v>
      </c>
      <c r="Q597" s="43">
        <f t="shared" si="387"/>
        <v>0</v>
      </c>
      <c r="R597" s="43">
        <f t="shared" si="387"/>
        <v>0</v>
      </c>
      <c r="S597" s="43">
        <f t="shared" si="387"/>
        <v>0</v>
      </c>
      <c r="T597" s="43">
        <f t="shared" si="387"/>
        <v>0</v>
      </c>
      <c r="V597" s="47">
        <f t="shared" si="369"/>
        <v>0</v>
      </c>
      <c r="W597" s="47">
        <f t="shared" si="370"/>
        <v>0</v>
      </c>
      <c r="X597" s="47">
        <f t="shared" si="371"/>
        <v>0</v>
      </c>
      <c r="Y597" s="47">
        <f t="shared" si="372"/>
        <v>0</v>
      </c>
      <c r="Z597" s="47">
        <f t="shared" si="373"/>
        <v>0</v>
      </c>
      <c r="AB597" s="47">
        <f t="shared" si="362"/>
        <v>0</v>
      </c>
      <c r="AC597" s="47">
        <f t="shared" si="363"/>
        <v>0</v>
      </c>
      <c r="AD597" s="47">
        <f t="shared" si="364"/>
        <v>0</v>
      </c>
      <c r="AE597" s="47">
        <f t="shared" si="365"/>
        <v>0</v>
      </c>
      <c r="AF597" s="47">
        <f t="shared" si="366"/>
        <v>0</v>
      </c>
    </row>
    <row r="598" spans="2:32">
      <c r="B598" s="37" t="str">
        <f t="shared" si="354"/>
        <v>Asset 44</v>
      </c>
      <c r="F598" s="37" t="str">
        <f t="shared" ref="F598:L598" si="413">F102</f>
        <v>20 Kantoorgebouwen</v>
      </c>
      <c r="G598" s="37">
        <f t="shared" si="413"/>
        <v>2007</v>
      </c>
      <c r="H598" s="42">
        <f t="shared" si="413"/>
        <v>163550.16999999998</v>
      </c>
      <c r="I598" s="37">
        <f t="shared" si="413"/>
        <v>2021</v>
      </c>
      <c r="J598" s="37">
        <f t="shared" si="413"/>
        <v>30</v>
      </c>
      <c r="K598" s="37">
        <f t="shared" si="413"/>
        <v>0</v>
      </c>
      <c r="L598" s="42">
        <f t="shared" si="413"/>
        <v>105677.9899746046</v>
      </c>
      <c r="N598" s="38">
        <f t="shared" si="355"/>
        <v>15.5</v>
      </c>
      <c r="P598" s="43">
        <f t="shared" si="387"/>
        <v>6817.9348370712642</v>
      </c>
      <c r="Q598" s="43">
        <f t="shared" si="387"/>
        <v>6817.9348370712642</v>
      </c>
      <c r="R598" s="43">
        <f t="shared" si="387"/>
        <v>6817.9348370712642</v>
      </c>
      <c r="S598" s="43">
        <f t="shared" si="387"/>
        <v>6817.9348370712642</v>
      </c>
      <c r="T598" s="43">
        <f t="shared" si="387"/>
        <v>6817.9348370712642</v>
      </c>
      <c r="V598" s="47">
        <f t="shared" si="369"/>
        <v>98860.055137533331</v>
      </c>
      <c r="W598" s="47">
        <f t="shared" si="370"/>
        <v>92042.120300462062</v>
      </c>
      <c r="X598" s="47">
        <f t="shared" si="371"/>
        <v>85224.185463390793</v>
      </c>
      <c r="Y598" s="47">
        <f t="shared" si="372"/>
        <v>78406.250626319525</v>
      </c>
      <c r="Z598" s="47">
        <f t="shared" si="373"/>
        <v>71588.315789248256</v>
      </c>
      <c r="AB598" s="47">
        <f t="shared" si="362"/>
        <v>10179.176711747397</v>
      </c>
      <c r="AC598" s="47">
        <f t="shared" si="363"/>
        <v>9855.3248069865112</v>
      </c>
      <c r="AD598" s="47">
        <f t="shared" si="364"/>
        <v>10056.453884680115</v>
      </c>
      <c r="AE598" s="47">
        <f t="shared" si="365"/>
        <v>9797.3723608714063</v>
      </c>
      <c r="AF598" s="47">
        <f t="shared" si="366"/>
        <v>9538.2908370626974</v>
      </c>
    </row>
    <row r="599" spans="2:32">
      <c r="B599" s="37" t="str">
        <f t="shared" si="354"/>
        <v>Asset 45</v>
      </c>
      <c r="F599" s="37" t="str">
        <f t="shared" ref="F599:L599" si="414">F103</f>
        <v>37 ICT middelen 1</v>
      </c>
      <c r="G599" s="37">
        <f t="shared" si="414"/>
        <v>2007</v>
      </c>
      <c r="H599" s="42">
        <f t="shared" si="414"/>
        <v>21517730.71653875</v>
      </c>
      <c r="I599" s="37">
        <f t="shared" si="414"/>
        <v>2021</v>
      </c>
      <c r="J599" s="37">
        <f t="shared" si="414"/>
        <v>5</v>
      </c>
      <c r="K599" s="37">
        <f t="shared" si="414"/>
        <v>1</v>
      </c>
      <c r="L599" s="42">
        <f t="shared" si="414"/>
        <v>0</v>
      </c>
      <c r="N599" s="38">
        <f t="shared" si="355"/>
        <v>0</v>
      </c>
      <c r="P599" s="43">
        <f t="shared" si="387"/>
        <v>0</v>
      </c>
      <c r="Q599" s="43">
        <f t="shared" si="387"/>
        <v>0</v>
      </c>
      <c r="R599" s="43">
        <f t="shared" si="387"/>
        <v>0</v>
      </c>
      <c r="S599" s="43">
        <f t="shared" si="387"/>
        <v>0</v>
      </c>
      <c r="T599" s="43">
        <f t="shared" si="387"/>
        <v>0</v>
      </c>
      <c r="V599" s="47">
        <f t="shared" si="369"/>
        <v>0</v>
      </c>
      <c r="W599" s="47">
        <f t="shared" si="370"/>
        <v>0</v>
      </c>
      <c r="X599" s="47">
        <f t="shared" si="371"/>
        <v>0</v>
      </c>
      <c r="Y599" s="47">
        <f t="shared" si="372"/>
        <v>0</v>
      </c>
      <c r="Z599" s="47">
        <f t="shared" si="373"/>
        <v>0</v>
      </c>
      <c r="AB599" s="47">
        <f t="shared" si="362"/>
        <v>0</v>
      </c>
      <c r="AC599" s="47">
        <f t="shared" si="363"/>
        <v>0</v>
      </c>
      <c r="AD599" s="47">
        <f t="shared" si="364"/>
        <v>0</v>
      </c>
      <c r="AE599" s="47">
        <f t="shared" si="365"/>
        <v>0</v>
      </c>
      <c r="AF599" s="47">
        <f t="shared" si="366"/>
        <v>0</v>
      </c>
    </row>
    <row r="600" spans="2:32">
      <c r="B600" s="37" t="str">
        <f t="shared" si="354"/>
        <v>Asset 46</v>
      </c>
      <c r="F600" s="37" t="str">
        <f t="shared" ref="F600:L600" si="415">F104</f>
        <v>10 Gereedschap</v>
      </c>
      <c r="G600" s="37">
        <f t="shared" si="415"/>
        <v>2007</v>
      </c>
      <c r="H600" s="42">
        <f t="shared" si="415"/>
        <v>611283.49</v>
      </c>
      <c r="I600" s="37">
        <f t="shared" si="415"/>
        <v>2021</v>
      </c>
      <c r="J600" s="37">
        <f t="shared" si="415"/>
        <v>10</v>
      </c>
      <c r="K600" s="37">
        <f t="shared" si="415"/>
        <v>1</v>
      </c>
      <c r="L600" s="42">
        <f t="shared" si="415"/>
        <v>0</v>
      </c>
      <c r="N600" s="38">
        <f t="shared" si="355"/>
        <v>0</v>
      </c>
      <c r="P600" s="43">
        <f t="shared" si="387"/>
        <v>0</v>
      </c>
      <c r="Q600" s="43">
        <f t="shared" si="387"/>
        <v>0</v>
      </c>
      <c r="R600" s="43">
        <f t="shared" si="387"/>
        <v>0</v>
      </c>
      <c r="S600" s="43">
        <f t="shared" si="387"/>
        <v>0</v>
      </c>
      <c r="T600" s="43">
        <f t="shared" si="387"/>
        <v>0</v>
      </c>
      <c r="V600" s="47">
        <f t="shared" si="369"/>
        <v>0</v>
      </c>
      <c r="W600" s="47">
        <f t="shared" si="370"/>
        <v>0</v>
      </c>
      <c r="X600" s="47">
        <f t="shared" si="371"/>
        <v>0</v>
      </c>
      <c r="Y600" s="47">
        <f t="shared" si="372"/>
        <v>0</v>
      </c>
      <c r="Z600" s="47">
        <f t="shared" si="373"/>
        <v>0</v>
      </c>
      <c r="AB600" s="47">
        <f t="shared" si="362"/>
        <v>0</v>
      </c>
      <c r="AC600" s="47">
        <f t="shared" si="363"/>
        <v>0</v>
      </c>
      <c r="AD600" s="47">
        <f t="shared" si="364"/>
        <v>0</v>
      </c>
      <c r="AE600" s="47">
        <f t="shared" si="365"/>
        <v>0</v>
      </c>
      <c r="AF600" s="47">
        <f t="shared" si="366"/>
        <v>0</v>
      </c>
    </row>
    <row r="601" spans="2:32">
      <c r="B601" s="37" t="str">
        <f t="shared" si="354"/>
        <v>Asset 47</v>
      </c>
      <c r="F601" s="37" t="str">
        <f t="shared" ref="F601:L601" si="416">F105</f>
        <v>09 Bedrijfsinventaris</v>
      </c>
      <c r="G601" s="37">
        <f t="shared" si="416"/>
        <v>2007</v>
      </c>
      <c r="H601" s="42">
        <f t="shared" si="416"/>
        <v>87193.72</v>
      </c>
      <c r="I601" s="37">
        <f t="shared" si="416"/>
        <v>2021</v>
      </c>
      <c r="J601" s="37">
        <f t="shared" si="416"/>
        <v>10</v>
      </c>
      <c r="K601" s="37">
        <f t="shared" si="416"/>
        <v>1</v>
      </c>
      <c r="L601" s="42">
        <f t="shared" si="416"/>
        <v>0</v>
      </c>
      <c r="N601" s="38">
        <f t="shared" si="355"/>
        <v>0</v>
      </c>
      <c r="P601" s="43">
        <f t="shared" si="387"/>
        <v>0</v>
      </c>
      <c r="Q601" s="43">
        <f t="shared" si="387"/>
        <v>0</v>
      </c>
      <c r="R601" s="43">
        <f t="shared" si="387"/>
        <v>0</v>
      </c>
      <c r="S601" s="43">
        <f t="shared" si="387"/>
        <v>0</v>
      </c>
      <c r="T601" s="43">
        <f t="shared" si="387"/>
        <v>0</v>
      </c>
      <c r="V601" s="47">
        <f t="shared" si="369"/>
        <v>0</v>
      </c>
      <c r="W601" s="47">
        <f t="shared" si="370"/>
        <v>0</v>
      </c>
      <c r="X601" s="47">
        <f t="shared" si="371"/>
        <v>0</v>
      </c>
      <c r="Y601" s="47">
        <f t="shared" si="372"/>
        <v>0</v>
      </c>
      <c r="Z601" s="47">
        <f t="shared" si="373"/>
        <v>0</v>
      </c>
      <c r="AB601" s="47">
        <f t="shared" si="362"/>
        <v>0</v>
      </c>
      <c r="AC601" s="47">
        <f t="shared" si="363"/>
        <v>0</v>
      </c>
      <c r="AD601" s="47">
        <f t="shared" si="364"/>
        <v>0</v>
      </c>
      <c r="AE601" s="47">
        <f t="shared" si="365"/>
        <v>0</v>
      </c>
      <c r="AF601" s="47">
        <f t="shared" si="366"/>
        <v>0</v>
      </c>
    </row>
    <row r="602" spans="2:32">
      <c r="B602" s="37" t="str">
        <f t="shared" si="354"/>
        <v>Asset 48</v>
      </c>
      <c r="F602" s="37" t="str">
        <f t="shared" ref="F602:L602" si="417">F106</f>
        <v>13 Aanhangwagens</v>
      </c>
      <c r="G602" s="37">
        <f t="shared" si="417"/>
        <v>2007</v>
      </c>
      <c r="H602" s="42">
        <f t="shared" si="417"/>
        <v>25760.58</v>
      </c>
      <c r="I602" s="37">
        <f t="shared" si="417"/>
        <v>2021</v>
      </c>
      <c r="J602" s="37">
        <f t="shared" si="417"/>
        <v>10</v>
      </c>
      <c r="K602" s="37">
        <f t="shared" si="417"/>
        <v>1</v>
      </c>
      <c r="L602" s="42">
        <f t="shared" si="417"/>
        <v>0</v>
      </c>
      <c r="N602" s="38">
        <f t="shared" si="355"/>
        <v>0</v>
      </c>
      <c r="P602" s="43">
        <f t="shared" si="387"/>
        <v>0</v>
      </c>
      <c r="Q602" s="43">
        <f t="shared" si="387"/>
        <v>0</v>
      </c>
      <c r="R602" s="43">
        <f t="shared" si="387"/>
        <v>0</v>
      </c>
      <c r="S602" s="43">
        <f t="shared" si="387"/>
        <v>0</v>
      </c>
      <c r="T602" s="43">
        <f t="shared" si="387"/>
        <v>0</v>
      </c>
      <c r="V602" s="47">
        <f t="shared" si="369"/>
        <v>0</v>
      </c>
      <c r="W602" s="47">
        <f t="shared" si="370"/>
        <v>0</v>
      </c>
      <c r="X602" s="47">
        <f t="shared" si="371"/>
        <v>0</v>
      </c>
      <c r="Y602" s="47">
        <f t="shared" si="372"/>
        <v>0</v>
      </c>
      <c r="Z602" s="47">
        <f t="shared" si="373"/>
        <v>0</v>
      </c>
      <c r="AB602" s="47">
        <f t="shared" si="362"/>
        <v>0</v>
      </c>
      <c r="AC602" s="47">
        <f t="shared" si="363"/>
        <v>0</v>
      </c>
      <c r="AD602" s="47">
        <f t="shared" si="364"/>
        <v>0</v>
      </c>
      <c r="AE602" s="47">
        <f t="shared" si="365"/>
        <v>0</v>
      </c>
      <c r="AF602" s="47">
        <f t="shared" si="366"/>
        <v>0</v>
      </c>
    </row>
    <row r="603" spans="2:32">
      <c r="B603" s="37" t="str">
        <f t="shared" si="354"/>
        <v>Asset 49</v>
      </c>
      <c r="F603" s="37" t="str">
        <f t="shared" ref="F603:L603" si="418">F107</f>
        <v>37 ICT middelen 1 (gaschromatografen en comptabele meting)</v>
      </c>
      <c r="G603" s="37">
        <f t="shared" si="418"/>
        <v>2007</v>
      </c>
      <c r="H603" s="42">
        <f t="shared" si="418"/>
        <v>140047.50693888956</v>
      </c>
      <c r="I603" s="37">
        <f t="shared" si="418"/>
        <v>2021</v>
      </c>
      <c r="J603" s="37">
        <f t="shared" si="418"/>
        <v>5</v>
      </c>
      <c r="K603" s="37">
        <f t="shared" si="418"/>
        <v>0</v>
      </c>
      <c r="L603" s="42">
        <f t="shared" si="418"/>
        <v>0</v>
      </c>
      <c r="N603" s="38">
        <f t="shared" si="355"/>
        <v>0</v>
      </c>
      <c r="P603" s="43">
        <f t="shared" si="387"/>
        <v>0</v>
      </c>
      <c r="Q603" s="43">
        <f t="shared" si="387"/>
        <v>0</v>
      </c>
      <c r="R603" s="43">
        <f t="shared" si="387"/>
        <v>0</v>
      </c>
      <c r="S603" s="43">
        <f t="shared" si="387"/>
        <v>0</v>
      </c>
      <c r="T603" s="43">
        <f t="shared" si="387"/>
        <v>0</v>
      </c>
      <c r="V603" s="47">
        <f t="shared" si="369"/>
        <v>0</v>
      </c>
      <c r="W603" s="47">
        <f t="shared" si="370"/>
        <v>0</v>
      </c>
      <c r="X603" s="47">
        <f t="shared" si="371"/>
        <v>0</v>
      </c>
      <c r="Y603" s="47">
        <f t="shared" si="372"/>
        <v>0</v>
      </c>
      <c r="Z603" s="47">
        <f t="shared" si="373"/>
        <v>0</v>
      </c>
      <c r="AB603" s="47">
        <f t="shared" si="362"/>
        <v>0</v>
      </c>
      <c r="AC603" s="47">
        <f t="shared" si="363"/>
        <v>0</v>
      </c>
      <c r="AD603" s="47">
        <f t="shared" si="364"/>
        <v>0</v>
      </c>
      <c r="AE603" s="47">
        <f t="shared" si="365"/>
        <v>0</v>
      </c>
      <c r="AF603" s="47">
        <f t="shared" si="366"/>
        <v>0</v>
      </c>
    </row>
    <row r="604" spans="2:32">
      <c r="B604" s="37" t="str">
        <f t="shared" si="354"/>
        <v>Asset 50</v>
      </c>
      <c r="F604" s="37" t="str">
        <f t="shared" ref="F604:L604" si="419">F108</f>
        <v>37 ICT middelen 1</v>
      </c>
      <c r="G604" s="37">
        <f t="shared" si="419"/>
        <v>2008</v>
      </c>
      <c r="H604" s="42">
        <f t="shared" si="419"/>
        <v>1405801.5634173665</v>
      </c>
      <c r="I604" s="37">
        <f t="shared" si="419"/>
        <v>2021</v>
      </c>
      <c r="J604" s="37">
        <f t="shared" si="419"/>
        <v>5</v>
      </c>
      <c r="K604" s="37">
        <f t="shared" si="419"/>
        <v>1</v>
      </c>
      <c r="L604" s="42">
        <f t="shared" si="419"/>
        <v>0</v>
      </c>
      <c r="N604" s="38">
        <f t="shared" si="355"/>
        <v>0</v>
      </c>
      <c r="P604" s="43">
        <f t="shared" si="387"/>
        <v>0</v>
      </c>
      <c r="Q604" s="43">
        <f t="shared" si="387"/>
        <v>0</v>
      </c>
      <c r="R604" s="43">
        <f t="shared" si="387"/>
        <v>0</v>
      </c>
      <c r="S604" s="43">
        <f t="shared" si="387"/>
        <v>0</v>
      </c>
      <c r="T604" s="43">
        <f t="shared" si="387"/>
        <v>0</v>
      </c>
      <c r="V604" s="47">
        <f t="shared" si="369"/>
        <v>0</v>
      </c>
      <c r="W604" s="47">
        <f t="shared" si="370"/>
        <v>0</v>
      </c>
      <c r="X604" s="47">
        <f t="shared" si="371"/>
        <v>0</v>
      </c>
      <c r="Y604" s="47">
        <f t="shared" si="372"/>
        <v>0</v>
      </c>
      <c r="Z604" s="47">
        <f t="shared" si="373"/>
        <v>0</v>
      </c>
      <c r="AB604" s="47">
        <f t="shared" si="362"/>
        <v>0</v>
      </c>
      <c r="AC604" s="47">
        <f t="shared" si="363"/>
        <v>0</v>
      </c>
      <c r="AD604" s="47">
        <f t="shared" si="364"/>
        <v>0</v>
      </c>
      <c r="AE604" s="47">
        <f t="shared" si="365"/>
        <v>0</v>
      </c>
      <c r="AF604" s="47">
        <f t="shared" si="366"/>
        <v>0</v>
      </c>
    </row>
    <row r="605" spans="2:32">
      <c r="B605" s="37" t="str">
        <f t="shared" si="354"/>
        <v>Asset 51</v>
      </c>
      <c r="F605" s="37" t="str">
        <f t="shared" ref="F605:L605" si="420">F109</f>
        <v>13 Aanhangwagens</v>
      </c>
      <c r="G605" s="37">
        <f t="shared" si="420"/>
        <v>2008</v>
      </c>
      <c r="H605" s="42">
        <f t="shared" si="420"/>
        <v>6485.6</v>
      </c>
      <c r="I605" s="37">
        <f t="shared" si="420"/>
        <v>2021</v>
      </c>
      <c r="J605" s="37">
        <f t="shared" si="420"/>
        <v>10</v>
      </c>
      <c r="K605" s="37">
        <f t="shared" si="420"/>
        <v>1</v>
      </c>
      <c r="L605" s="42">
        <f t="shared" si="420"/>
        <v>0</v>
      </c>
      <c r="N605" s="38">
        <f t="shared" si="355"/>
        <v>0</v>
      </c>
      <c r="P605" s="43">
        <f t="shared" si="387"/>
        <v>0</v>
      </c>
      <c r="Q605" s="43">
        <f t="shared" si="387"/>
        <v>0</v>
      </c>
      <c r="R605" s="43">
        <f t="shared" si="387"/>
        <v>0</v>
      </c>
      <c r="S605" s="43">
        <f t="shared" si="387"/>
        <v>0</v>
      </c>
      <c r="T605" s="43">
        <f t="shared" si="387"/>
        <v>0</v>
      </c>
      <c r="V605" s="47">
        <f t="shared" si="369"/>
        <v>0</v>
      </c>
      <c r="W605" s="47">
        <f t="shared" si="370"/>
        <v>0</v>
      </c>
      <c r="X605" s="47">
        <f t="shared" si="371"/>
        <v>0</v>
      </c>
      <c r="Y605" s="47">
        <f t="shared" si="372"/>
        <v>0</v>
      </c>
      <c r="Z605" s="47">
        <f t="shared" si="373"/>
        <v>0</v>
      </c>
      <c r="AB605" s="47">
        <f t="shared" si="362"/>
        <v>0</v>
      </c>
      <c r="AC605" s="47">
        <f t="shared" si="363"/>
        <v>0</v>
      </c>
      <c r="AD605" s="47">
        <f t="shared" si="364"/>
        <v>0</v>
      </c>
      <c r="AE605" s="47">
        <f t="shared" si="365"/>
        <v>0</v>
      </c>
      <c r="AF605" s="47">
        <f t="shared" si="366"/>
        <v>0</v>
      </c>
    </row>
    <row r="606" spans="2:32">
      <c r="B606" s="37" t="str">
        <f t="shared" si="354"/>
        <v>Asset 52</v>
      </c>
      <c r="F606" s="37" t="str">
        <f t="shared" ref="F606:L606" si="421">F110</f>
        <v>04 Terreinen</v>
      </c>
      <c r="G606" s="37">
        <f t="shared" si="421"/>
        <v>1956</v>
      </c>
      <c r="H606" s="42">
        <f t="shared" si="421"/>
        <v>32433.599999999999</v>
      </c>
      <c r="I606" s="37">
        <f t="shared" si="421"/>
        <v>2021</v>
      </c>
      <c r="J606" s="37">
        <f t="shared" si="421"/>
        <v>0</v>
      </c>
      <c r="K606" s="37">
        <f t="shared" si="421"/>
        <v>0</v>
      </c>
      <c r="L606" s="42">
        <f t="shared" si="421"/>
        <v>275057.7098199001</v>
      </c>
      <c r="N606" s="38">
        <f t="shared" si="355"/>
        <v>0</v>
      </c>
      <c r="P606" s="43">
        <f t="shared" si="387"/>
        <v>0</v>
      </c>
      <c r="Q606" s="43">
        <f t="shared" si="387"/>
        <v>0</v>
      </c>
      <c r="R606" s="43">
        <f t="shared" si="387"/>
        <v>0</v>
      </c>
      <c r="S606" s="43">
        <f t="shared" si="387"/>
        <v>0</v>
      </c>
      <c r="T606" s="43">
        <f t="shared" si="387"/>
        <v>0</v>
      </c>
      <c r="V606" s="47">
        <f t="shared" si="369"/>
        <v>275057.7098199001</v>
      </c>
      <c r="W606" s="47">
        <f t="shared" si="370"/>
        <v>275057.7098199001</v>
      </c>
      <c r="X606" s="47">
        <f t="shared" si="371"/>
        <v>275057.7098199001</v>
      </c>
      <c r="Y606" s="47">
        <f t="shared" si="372"/>
        <v>275057.7098199001</v>
      </c>
      <c r="Z606" s="47">
        <f t="shared" si="373"/>
        <v>275057.7098199001</v>
      </c>
      <c r="AB606" s="47">
        <f t="shared" si="362"/>
        <v>9351.9621338766046</v>
      </c>
      <c r="AC606" s="47">
        <f t="shared" si="363"/>
        <v>9076.9044240567036</v>
      </c>
      <c r="AD606" s="47">
        <f t="shared" si="364"/>
        <v>10452.192973156203</v>
      </c>
      <c r="AE606" s="47">
        <f t="shared" si="365"/>
        <v>10452.192973156203</v>
      </c>
      <c r="AF606" s="47">
        <f t="shared" si="366"/>
        <v>10452.192973156203</v>
      </c>
    </row>
    <row r="607" spans="2:32">
      <c r="B607" s="37" t="str">
        <f t="shared" si="354"/>
        <v>Asset 53</v>
      </c>
      <c r="F607" s="37" t="str">
        <f t="shared" ref="F607:L607" si="422">F111</f>
        <v>04 Terreinen</v>
      </c>
      <c r="G607" s="37">
        <f t="shared" si="422"/>
        <v>1968</v>
      </c>
      <c r="H607" s="42">
        <f t="shared" si="422"/>
        <v>219516.18</v>
      </c>
      <c r="I607" s="37">
        <f t="shared" si="422"/>
        <v>2021</v>
      </c>
      <c r="J607" s="37">
        <f t="shared" si="422"/>
        <v>0</v>
      </c>
      <c r="K607" s="37">
        <f t="shared" si="422"/>
        <v>0</v>
      </c>
      <c r="L607" s="42">
        <f t="shared" si="422"/>
        <v>1219692.8562955547</v>
      </c>
      <c r="N607" s="38">
        <f t="shared" si="355"/>
        <v>0</v>
      </c>
      <c r="P607" s="43">
        <f t="shared" si="387"/>
        <v>0</v>
      </c>
      <c r="Q607" s="43">
        <f t="shared" si="387"/>
        <v>0</v>
      </c>
      <c r="R607" s="43">
        <f t="shared" si="387"/>
        <v>0</v>
      </c>
      <c r="S607" s="43">
        <f t="shared" si="387"/>
        <v>0</v>
      </c>
      <c r="T607" s="43">
        <f t="shared" si="387"/>
        <v>0</v>
      </c>
      <c r="V607" s="47">
        <f t="shared" si="369"/>
        <v>1219692.8562955547</v>
      </c>
      <c r="W607" s="47">
        <f t="shared" si="370"/>
        <v>1219692.8562955547</v>
      </c>
      <c r="X607" s="47">
        <f t="shared" si="371"/>
        <v>1219692.8562955547</v>
      </c>
      <c r="Y607" s="47">
        <f t="shared" si="372"/>
        <v>1219692.8562955547</v>
      </c>
      <c r="Z607" s="47">
        <f t="shared" si="373"/>
        <v>1219692.8562955547</v>
      </c>
      <c r="AB607" s="47">
        <f t="shared" si="362"/>
        <v>41469.557114048861</v>
      </c>
      <c r="AC607" s="47">
        <f t="shared" si="363"/>
        <v>40249.864257753303</v>
      </c>
      <c r="AD607" s="47">
        <f t="shared" si="364"/>
        <v>46348.328539231079</v>
      </c>
      <c r="AE607" s="47">
        <f t="shared" si="365"/>
        <v>46348.328539231079</v>
      </c>
      <c r="AF607" s="47">
        <f t="shared" si="366"/>
        <v>46348.328539231079</v>
      </c>
    </row>
    <row r="608" spans="2:32">
      <c r="B608" s="37" t="str">
        <f t="shared" si="354"/>
        <v>Asset 54</v>
      </c>
      <c r="F608" s="37" t="str">
        <f t="shared" ref="F608:L608" si="423">F112</f>
        <v>04 Terreinen</v>
      </c>
      <c r="G608" s="37">
        <f t="shared" si="423"/>
        <v>1972</v>
      </c>
      <c r="H608" s="42">
        <f t="shared" si="423"/>
        <v>411128.51</v>
      </c>
      <c r="I608" s="37">
        <f t="shared" si="423"/>
        <v>2021</v>
      </c>
      <c r="J608" s="37">
        <f t="shared" si="423"/>
        <v>0</v>
      </c>
      <c r="K608" s="37">
        <f t="shared" si="423"/>
        <v>0</v>
      </c>
      <c r="L608" s="42">
        <f t="shared" si="423"/>
        <v>1824024.3386379536</v>
      </c>
      <c r="N608" s="38">
        <f t="shared" si="355"/>
        <v>0</v>
      </c>
      <c r="P608" s="43">
        <f t="shared" si="387"/>
        <v>0</v>
      </c>
      <c r="Q608" s="43">
        <f t="shared" si="387"/>
        <v>0</v>
      </c>
      <c r="R608" s="43">
        <f t="shared" si="387"/>
        <v>0</v>
      </c>
      <c r="S608" s="43">
        <f t="shared" si="387"/>
        <v>0</v>
      </c>
      <c r="T608" s="43">
        <f t="shared" si="387"/>
        <v>0</v>
      </c>
      <c r="V608" s="47">
        <f t="shared" si="369"/>
        <v>1824024.3386379536</v>
      </c>
      <c r="W608" s="47">
        <f t="shared" si="370"/>
        <v>1824024.3386379536</v>
      </c>
      <c r="X608" s="47">
        <f t="shared" si="371"/>
        <v>1824024.3386379536</v>
      </c>
      <c r="Y608" s="47">
        <f t="shared" si="372"/>
        <v>1824024.3386379536</v>
      </c>
      <c r="Z608" s="47">
        <f t="shared" si="373"/>
        <v>1824024.3386379536</v>
      </c>
      <c r="AB608" s="47">
        <f t="shared" si="362"/>
        <v>62016.827513690427</v>
      </c>
      <c r="AC608" s="47">
        <f t="shared" si="363"/>
        <v>60192.803175052475</v>
      </c>
      <c r="AD608" s="47">
        <f t="shared" si="364"/>
        <v>69312.924868242233</v>
      </c>
      <c r="AE608" s="47">
        <f t="shared" si="365"/>
        <v>69312.924868242233</v>
      </c>
      <c r="AF608" s="47">
        <f t="shared" si="366"/>
        <v>69312.924868242233</v>
      </c>
    </row>
    <row r="609" spans="2:32">
      <c r="B609" s="37" t="str">
        <f t="shared" si="354"/>
        <v>Asset 55</v>
      </c>
      <c r="F609" s="37" t="str">
        <f t="shared" ref="F609:L609" si="424">F113</f>
        <v>05 Wegen en terreinvoorzieningen</v>
      </c>
      <c r="G609" s="37">
        <f t="shared" si="424"/>
        <v>1970</v>
      </c>
      <c r="H609" s="42">
        <f t="shared" si="424"/>
        <v>65342.54</v>
      </c>
      <c r="I609" s="37">
        <f t="shared" si="424"/>
        <v>2021</v>
      </c>
      <c r="J609" s="37">
        <f t="shared" si="424"/>
        <v>10</v>
      </c>
      <c r="K609" s="37">
        <f t="shared" si="424"/>
        <v>0</v>
      </c>
      <c r="L609" s="42">
        <f t="shared" si="424"/>
        <v>0</v>
      </c>
      <c r="N609" s="38">
        <f t="shared" si="355"/>
        <v>0</v>
      </c>
      <c r="P609" s="43">
        <f t="shared" si="387"/>
        <v>0</v>
      </c>
      <c r="Q609" s="43">
        <f t="shared" si="387"/>
        <v>0</v>
      </c>
      <c r="R609" s="43">
        <f t="shared" si="387"/>
        <v>0</v>
      </c>
      <c r="S609" s="43">
        <f t="shared" si="387"/>
        <v>0</v>
      </c>
      <c r="T609" s="43">
        <f t="shared" si="387"/>
        <v>0</v>
      </c>
      <c r="V609" s="47">
        <f t="shared" si="369"/>
        <v>0</v>
      </c>
      <c r="W609" s="47">
        <f t="shared" si="370"/>
        <v>0</v>
      </c>
      <c r="X609" s="47">
        <f t="shared" si="371"/>
        <v>0</v>
      </c>
      <c r="Y609" s="47">
        <f t="shared" si="372"/>
        <v>0</v>
      </c>
      <c r="Z609" s="47">
        <f t="shared" si="373"/>
        <v>0</v>
      </c>
      <c r="AB609" s="47">
        <f t="shared" si="362"/>
        <v>0</v>
      </c>
      <c r="AC609" s="47">
        <f t="shared" si="363"/>
        <v>0</v>
      </c>
      <c r="AD609" s="47">
        <f t="shared" si="364"/>
        <v>0</v>
      </c>
      <c r="AE609" s="47">
        <f t="shared" si="365"/>
        <v>0</v>
      </c>
      <c r="AF609" s="47">
        <f t="shared" si="366"/>
        <v>0</v>
      </c>
    </row>
    <row r="610" spans="2:32">
      <c r="B610" s="37" t="str">
        <f t="shared" si="354"/>
        <v>Asset 56</v>
      </c>
      <c r="F610" s="37" t="str">
        <f t="shared" ref="F610:L610" si="425">F114</f>
        <v>06 Utiliteitsgebouwen</v>
      </c>
      <c r="G610" s="37">
        <f t="shared" si="425"/>
        <v>1980</v>
      </c>
      <c r="H610" s="42">
        <f t="shared" si="425"/>
        <v>1188787.02</v>
      </c>
      <c r="I610" s="37">
        <f t="shared" si="425"/>
        <v>2021</v>
      </c>
      <c r="J610" s="37">
        <f t="shared" si="425"/>
        <v>30</v>
      </c>
      <c r="K610" s="37">
        <f t="shared" si="425"/>
        <v>0</v>
      </c>
      <c r="L610" s="42">
        <f t="shared" si="425"/>
        <v>0</v>
      </c>
      <c r="N610" s="38">
        <f t="shared" si="355"/>
        <v>0</v>
      </c>
      <c r="P610" s="43">
        <f t="shared" si="387"/>
        <v>0</v>
      </c>
      <c r="Q610" s="43">
        <f t="shared" si="387"/>
        <v>0</v>
      </c>
      <c r="R610" s="43">
        <f t="shared" si="387"/>
        <v>0</v>
      </c>
      <c r="S610" s="43">
        <f t="shared" si="387"/>
        <v>0</v>
      </c>
      <c r="T610" s="43">
        <f t="shared" si="387"/>
        <v>0</v>
      </c>
      <c r="V610" s="47">
        <f t="shared" si="369"/>
        <v>0</v>
      </c>
      <c r="W610" s="47">
        <f t="shared" si="370"/>
        <v>0</v>
      </c>
      <c r="X610" s="47">
        <f t="shared" si="371"/>
        <v>0</v>
      </c>
      <c r="Y610" s="47">
        <f t="shared" si="372"/>
        <v>0</v>
      </c>
      <c r="Z610" s="47">
        <f t="shared" si="373"/>
        <v>0</v>
      </c>
      <c r="AB610" s="47">
        <f t="shared" si="362"/>
        <v>0</v>
      </c>
      <c r="AC610" s="47">
        <f t="shared" si="363"/>
        <v>0</v>
      </c>
      <c r="AD610" s="47">
        <f t="shared" si="364"/>
        <v>0</v>
      </c>
      <c r="AE610" s="47">
        <f t="shared" si="365"/>
        <v>0</v>
      </c>
      <c r="AF610" s="47">
        <f t="shared" si="366"/>
        <v>0</v>
      </c>
    </row>
    <row r="611" spans="2:32">
      <c r="B611" s="37" t="str">
        <f t="shared" si="354"/>
        <v>Asset 57</v>
      </c>
      <c r="F611" s="37" t="str">
        <f t="shared" ref="F611:L611" si="426">F115</f>
        <v>06 Utiliteitsgebouwen</v>
      </c>
      <c r="G611" s="37">
        <f t="shared" si="426"/>
        <v>1971</v>
      </c>
      <c r="H611" s="42">
        <f t="shared" si="426"/>
        <v>1287617.6299999999</v>
      </c>
      <c r="I611" s="37">
        <f t="shared" si="426"/>
        <v>2021</v>
      </c>
      <c r="J611" s="37">
        <f t="shared" si="426"/>
        <v>30</v>
      </c>
      <c r="K611" s="37">
        <f t="shared" si="426"/>
        <v>0</v>
      </c>
      <c r="L611" s="42">
        <f t="shared" si="426"/>
        <v>0</v>
      </c>
      <c r="N611" s="38">
        <f t="shared" si="355"/>
        <v>0</v>
      </c>
      <c r="P611" s="43">
        <f t="shared" si="387"/>
        <v>0</v>
      </c>
      <c r="Q611" s="43">
        <f t="shared" si="387"/>
        <v>0</v>
      </c>
      <c r="R611" s="43">
        <f t="shared" si="387"/>
        <v>0</v>
      </c>
      <c r="S611" s="43">
        <f t="shared" si="387"/>
        <v>0</v>
      </c>
      <c r="T611" s="43">
        <f t="shared" si="387"/>
        <v>0</v>
      </c>
      <c r="V611" s="47">
        <f t="shared" si="369"/>
        <v>0</v>
      </c>
      <c r="W611" s="47">
        <f t="shared" si="370"/>
        <v>0</v>
      </c>
      <c r="X611" s="47">
        <f t="shared" si="371"/>
        <v>0</v>
      </c>
      <c r="Y611" s="47">
        <f t="shared" si="372"/>
        <v>0</v>
      </c>
      <c r="Z611" s="47">
        <f t="shared" si="373"/>
        <v>0</v>
      </c>
      <c r="AB611" s="47">
        <f t="shared" si="362"/>
        <v>0</v>
      </c>
      <c r="AC611" s="47">
        <f t="shared" si="363"/>
        <v>0</v>
      </c>
      <c r="AD611" s="47">
        <f t="shared" si="364"/>
        <v>0</v>
      </c>
      <c r="AE611" s="47">
        <f t="shared" si="365"/>
        <v>0</v>
      </c>
      <c r="AF611" s="47">
        <f t="shared" si="366"/>
        <v>0</v>
      </c>
    </row>
    <row r="612" spans="2:32">
      <c r="B612" s="37" t="str">
        <f t="shared" si="354"/>
        <v>Asset 58</v>
      </c>
      <c r="F612" s="37" t="str">
        <f t="shared" ref="F612:L612" si="427">F116</f>
        <v>06 Utiliteitsgebouwen</v>
      </c>
      <c r="G612" s="37">
        <f t="shared" si="427"/>
        <v>1986</v>
      </c>
      <c r="H612" s="42">
        <f t="shared" si="427"/>
        <v>986052.31</v>
      </c>
      <c r="I612" s="37">
        <f t="shared" si="427"/>
        <v>2021</v>
      </c>
      <c r="J612" s="37">
        <f t="shared" si="427"/>
        <v>30</v>
      </c>
      <c r="K612" s="37">
        <f t="shared" si="427"/>
        <v>0</v>
      </c>
      <c r="L612" s="42">
        <f t="shared" si="427"/>
        <v>0</v>
      </c>
      <c r="N612" s="38">
        <f t="shared" si="355"/>
        <v>0</v>
      </c>
      <c r="P612" s="43">
        <f t="shared" si="387"/>
        <v>0</v>
      </c>
      <c r="Q612" s="43">
        <f t="shared" si="387"/>
        <v>0</v>
      </c>
      <c r="R612" s="43">
        <f t="shared" si="387"/>
        <v>0</v>
      </c>
      <c r="S612" s="43">
        <f t="shared" si="387"/>
        <v>0</v>
      </c>
      <c r="T612" s="43">
        <f t="shared" si="387"/>
        <v>0</v>
      </c>
      <c r="V612" s="47">
        <f t="shared" si="369"/>
        <v>0</v>
      </c>
      <c r="W612" s="47">
        <f t="shared" si="370"/>
        <v>0</v>
      </c>
      <c r="X612" s="47">
        <f t="shared" si="371"/>
        <v>0</v>
      </c>
      <c r="Y612" s="47">
        <f t="shared" si="372"/>
        <v>0</v>
      </c>
      <c r="Z612" s="47">
        <f t="shared" si="373"/>
        <v>0</v>
      </c>
      <c r="AB612" s="47">
        <f t="shared" si="362"/>
        <v>0</v>
      </c>
      <c r="AC612" s="47">
        <f t="shared" si="363"/>
        <v>0</v>
      </c>
      <c r="AD612" s="47">
        <f t="shared" si="364"/>
        <v>0</v>
      </c>
      <c r="AE612" s="47">
        <f t="shared" si="365"/>
        <v>0</v>
      </c>
      <c r="AF612" s="47">
        <f t="shared" si="366"/>
        <v>0</v>
      </c>
    </row>
    <row r="613" spans="2:32">
      <c r="B613" s="37" t="str">
        <f t="shared" si="354"/>
        <v>Asset 59</v>
      </c>
      <c r="F613" s="37" t="str">
        <f t="shared" ref="F613:L613" si="428">F117</f>
        <v>06 Utiliteitsgebouwen</v>
      </c>
      <c r="G613" s="37">
        <f t="shared" si="428"/>
        <v>1988</v>
      </c>
      <c r="H613" s="42">
        <f t="shared" si="428"/>
        <v>45049.48</v>
      </c>
      <c r="I613" s="37">
        <f t="shared" si="428"/>
        <v>2021</v>
      </c>
      <c r="J613" s="37">
        <f t="shared" si="428"/>
        <v>30</v>
      </c>
      <c r="K613" s="37">
        <f t="shared" si="428"/>
        <v>0</v>
      </c>
      <c r="L613" s="42">
        <f t="shared" si="428"/>
        <v>0</v>
      </c>
      <c r="N613" s="38">
        <f t="shared" si="355"/>
        <v>0</v>
      </c>
      <c r="P613" s="43">
        <f t="shared" si="387"/>
        <v>0</v>
      </c>
      <c r="Q613" s="43">
        <f t="shared" si="387"/>
        <v>0</v>
      </c>
      <c r="R613" s="43">
        <f t="shared" si="387"/>
        <v>0</v>
      </c>
      <c r="S613" s="43">
        <f t="shared" si="387"/>
        <v>0</v>
      </c>
      <c r="T613" s="43">
        <f t="shared" si="387"/>
        <v>0</v>
      </c>
      <c r="V613" s="47">
        <f t="shared" si="369"/>
        <v>0</v>
      </c>
      <c r="W613" s="47">
        <f t="shared" si="370"/>
        <v>0</v>
      </c>
      <c r="X613" s="47">
        <f t="shared" si="371"/>
        <v>0</v>
      </c>
      <c r="Y613" s="47">
        <f t="shared" si="372"/>
        <v>0</v>
      </c>
      <c r="Z613" s="47">
        <f t="shared" si="373"/>
        <v>0</v>
      </c>
      <c r="AB613" s="47">
        <f t="shared" si="362"/>
        <v>0</v>
      </c>
      <c r="AC613" s="47">
        <f t="shared" si="363"/>
        <v>0</v>
      </c>
      <c r="AD613" s="47">
        <f t="shared" si="364"/>
        <v>0</v>
      </c>
      <c r="AE613" s="47">
        <f t="shared" si="365"/>
        <v>0</v>
      </c>
      <c r="AF613" s="47">
        <f t="shared" si="366"/>
        <v>0</v>
      </c>
    </row>
    <row r="614" spans="2:32">
      <c r="B614" s="37" t="str">
        <f t="shared" si="354"/>
        <v>Asset 60</v>
      </c>
      <c r="F614" s="37" t="str">
        <f t="shared" ref="F614:L614" si="429">F118</f>
        <v>04 Terreinen</v>
      </c>
      <c r="G614" s="37">
        <f t="shared" si="429"/>
        <v>1969</v>
      </c>
      <c r="H614" s="42">
        <f t="shared" si="429"/>
        <v>35732.019999999997</v>
      </c>
      <c r="I614" s="37">
        <f t="shared" si="429"/>
        <v>2021</v>
      </c>
      <c r="J614" s="37">
        <f t="shared" si="429"/>
        <v>0</v>
      </c>
      <c r="K614" s="37">
        <f t="shared" si="429"/>
        <v>0</v>
      </c>
      <c r="L614" s="42">
        <f t="shared" si="429"/>
        <v>192194.60406110552</v>
      </c>
      <c r="N614" s="38">
        <f t="shared" si="355"/>
        <v>0</v>
      </c>
      <c r="P614" s="43">
        <f t="shared" si="387"/>
        <v>0</v>
      </c>
      <c r="Q614" s="43">
        <f t="shared" si="387"/>
        <v>0</v>
      </c>
      <c r="R614" s="43">
        <f t="shared" si="387"/>
        <v>0</v>
      </c>
      <c r="S614" s="43">
        <f t="shared" si="387"/>
        <v>0</v>
      </c>
      <c r="T614" s="43">
        <f t="shared" si="387"/>
        <v>0</v>
      </c>
      <c r="V614" s="47">
        <f t="shared" si="369"/>
        <v>192194.60406110552</v>
      </c>
      <c r="W614" s="47">
        <f t="shared" si="370"/>
        <v>192194.60406110552</v>
      </c>
      <c r="X614" s="47">
        <f t="shared" si="371"/>
        <v>192194.60406110552</v>
      </c>
      <c r="Y614" s="47">
        <f t="shared" si="372"/>
        <v>192194.60406110552</v>
      </c>
      <c r="Z614" s="47">
        <f t="shared" si="373"/>
        <v>192194.60406110552</v>
      </c>
      <c r="AB614" s="47">
        <f t="shared" si="362"/>
        <v>6534.6165380775883</v>
      </c>
      <c r="AC614" s="47">
        <f t="shared" si="363"/>
        <v>6342.4219340164827</v>
      </c>
      <c r="AD614" s="47">
        <f t="shared" si="364"/>
        <v>7303.3949543220097</v>
      </c>
      <c r="AE614" s="47">
        <f t="shared" si="365"/>
        <v>7303.3949543220097</v>
      </c>
      <c r="AF614" s="47">
        <f t="shared" si="366"/>
        <v>7303.3949543220097</v>
      </c>
    </row>
    <row r="615" spans="2:32">
      <c r="B615" s="37" t="str">
        <f t="shared" si="354"/>
        <v>Asset 61</v>
      </c>
      <c r="F615" s="37" t="str">
        <f t="shared" ref="F615:L615" si="430">F119</f>
        <v>06 Utiliteitsgebouwen</v>
      </c>
      <c r="G615" s="37">
        <f t="shared" si="430"/>
        <v>1993</v>
      </c>
      <c r="H615" s="42">
        <f t="shared" si="430"/>
        <v>4915025</v>
      </c>
      <c r="I615" s="37">
        <f t="shared" si="430"/>
        <v>2021</v>
      </c>
      <c r="J615" s="37">
        <f t="shared" si="430"/>
        <v>30</v>
      </c>
      <c r="K615" s="37">
        <f t="shared" si="430"/>
        <v>0</v>
      </c>
      <c r="L615" s="42">
        <f t="shared" si="430"/>
        <v>420683.7813984917</v>
      </c>
      <c r="N615" s="38">
        <f t="shared" si="355"/>
        <v>1.5</v>
      </c>
      <c r="P615" s="43">
        <f t="shared" si="387"/>
        <v>280455.85426566115</v>
      </c>
      <c r="Q615" s="43">
        <f t="shared" si="387"/>
        <v>140227.92713283058</v>
      </c>
      <c r="R615" s="43">
        <f t="shared" si="387"/>
        <v>0</v>
      </c>
      <c r="S615" s="43">
        <f t="shared" si="387"/>
        <v>0</v>
      </c>
      <c r="T615" s="43">
        <f t="shared" si="387"/>
        <v>0</v>
      </c>
      <c r="V615" s="47">
        <f t="shared" si="369"/>
        <v>140227.92713283055</v>
      </c>
      <c r="W615" s="47">
        <f t="shared" si="370"/>
        <v>-2.9103830456733704E-11</v>
      </c>
      <c r="X615" s="47">
        <f t="shared" si="371"/>
        <v>0</v>
      </c>
      <c r="Y615" s="47">
        <f t="shared" si="372"/>
        <v>0</v>
      </c>
      <c r="Z615" s="47">
        <f t="shared" si="373"/>
        <v>0</v>
      </c>
      <c r="AB615" s="47">
        <f t="shared" si="362"/>
        <v>285223.60378817737</v>
      </c>
      <c r="AC615" s="47">
        <f t="shared" si="363"/>
        <v>140227.92713283058</v>
      </c>
      <c r="AD615" s="47">
        <f t="shared" si="364"/>
        <v>0</v>
      </c>
      <c r="AE615" s="47">
        <f t="shared" si="365"/>
        <v>0</v>
      </c>
      <c r="AF615" s="47">
        <f t="shared" si="366"/>
        <v>0</v>
      </c>
    </row>
    <row r="616" spans="2:32">
      <c r="B616" s="37" t="str">
        <f t="shared" si="354"/>
        <v>Asset 62</v>
      </c>
      <c r="F616" s="37" t="str">
        <f t="shared" ref="F616:L616" si="431">F120</f>
        <v>04 Terreinen</v>
      </c>
      <c r="G616" s="37">
        <f t="shared" si="431"/>
        <v>1990</v>
      </c>
      <c r="H616" s="42">
        <f t="shared" si="431"/>
        <v>4936129.59</v>
      </c>
      <c r="I616" s="37">
        <f t="shared" si="431"/>
        <v>2021</v>
      </c>
      <c r="J616" s="37">
        <f t="shared" si="431"/>
        <v>0</v>
      </c>
      <c r="K616" s="37">
        <f t="shared" si="431"/>
        <v>0</v>
      </c>
      <c r="L616" s="42">
        <f t="shared" si="431"/>
        <v>9367389.4688880406</v>
      </c>
      <c r="N616" s="38">
        <f t="shared" si="355"/>
        <v>0</v>
      </c>
      <c r="P616" s="43">
        <f t="shared" si="387"/>
        <v>0</v>
      </c>
      <c r="Q616" s="43">
        <f t="shared" si="387"/>
        <v>0</v>
      </c>
      <c r="R616" s="43">
        <f t="shared" si="387"/>
        <v>0</v>
      </c>
      <c r="S616" s="43">
        <f t="shared" si="387"/>
        <v>0</v>
      </c>
      <c r="T616" s="43">
        <f t="shared" si="387"/>
        <v>0</v>
      </c>
      <c r="V616" s="47">
        <f t="shared" si="369"/>
        <v>9367389.4688880406</v>
      </c>
      <c r="W616" s="47">
        <f t="shared" si="370"/>
        <v>9367389.4688880406</v>
      </c>
      <c r="X616" s="47">
        <f t="shared" si="371"/>
        <v>9367389.4688880406</v>
      </c>
      <c r="Y616" s="47">
        <f t="shared" si="372"/>
        <v>9367389.4688880406</v>
      </c>
      <c r="Z616" s="47">
        <f t="shared" si="373"/>
        <v>9367389.4688880406</v>
      </c>
      <c r="AB616" s="47">
        <f t="shared" si="362"/>
        <v>318491.24194219342</v>
      </c>
      <c r="AC616" s="47">
        <f t="shared" si="363"/>
        <v>309123.85247330536</v>
      </c>
      <c r="AD616" s="47">
        <f t="shared" si="364"/>
        <v>355960.79981774552</v>
      </c>
      <c r="AE616" s="47">
        <f t="shared" si="365"/>
        <v>355960.79981774552</v>
      </c>
      <c r="AF616" s="47">
        <f t="shared" si="366"/>
        <v>355960.79981774552</v>
      </c>
    </row>
    <row r="617" spans="2:32">
      <c r="B617" s="37" t="str">
        <f t="shared" si="354"/>
        <v>Asset 63</v>
      </c>
      <c r="F617" s="37" t="str">
        <f t="shared" ref="F617:L617" si="432">F121</f>
        <v>09 Bedrijfsinventaris</v>
      </c>
      <c r="G617" s="37">
        <f t="shared" si="432"/>
        <v>1994</v>
      </c>
      <c r="H617" s="42">
        <f t="shared" si="432"/>
        <v>5646696.2199999997</v>
      </c>
      <c r="I617" s="37">
        <f t="shared" si="432"/>
        <v>2021</v>
      </c>
      <c r="J617" s="37">
        <f t="shared" si="432"/>
        <v>10</v>
      </c>
      <c r="K617" s="37">
        <f t="shared" si="432"/>
        <v>1</v>
      </c>
      <c r="L617" s="42">
        <f t="shared" si="432"/>
        <v>0</v>
      </c>
      <c r="N617" s="38">
        <f t="shared" si="355"/>
        <v>0</v>
      </c>
      <c r="P617" s="43">
        <f t="shared" si="387"/>
        <v>0</v>
      </c>
      <c r="Q617" s="43">
        <f t="shared" si="387"/>
        <v>0</v>
      </c>
      <c r="R617" s="43">
        <f t="shared" si="387"/>
        <v>0</v>
      </c>
      <c r="S617" s="43">
        <f t="shared" si="387"/>
        <v>0</v>
      </c>
      <c r="T617" s="43">
        <f t="shared" si="387"/>
        <v>0</v>
      </c>
      <c r="V617" s="47">
        <f t="shared" si="369"/>
        <v>0</v>
      </c>
      <c r="W617" s="47">
        <f t="shared" si="370"/>
        <v>0</v>
      </c>
      <c r="X617" s="47">
        <f t="shared" si="371"/>
        <v>0</v>
      </c>
      <c r="Y617" s="47">
        <f t="shared" si="372"/>
        <v>0</v>
      </c>
      <c r="Z617" s="47">
        <f t="shared" si="373"/>
        <v>0</v>
      </c>
      <c r="AB617" s="47">
        <f t="shared" si="362"/>
        <v>0</v>
      </c>
      <c r="AC617" s="47">
        <f t="shared" si="363"/>
        <v>0</v>
      </c>
      <c r="AD617" s="47">
        <f t="shared" si="364"/>
        <v>0</v>
      </c>
      <c r="AE617" s="47">
        <f t="shared" si="365"/>
        <v>0</v>
      </c>
      <c r="AF617" s="47">
        <f t="shared" si="366"/>
        <v>0</v>
      </c>
    </row>
    <row r="618" spans="2:32">
      <c r="B618" s="37" t="str">
        <f t="shared" si="354"/>
        <v>Asset 64</v>
      </c>
      <c r="F618" s="37" t="str">
        <f t="shared" ref="F618:L618" si="433">F122</f>
        <v>06 Utiliteitsgebouwen</v>
      </c>
      <c r="G618" s="37">
        <f t="shared" si="433"/>
        <v>1994</v>
      </c>
      <c r="H618" s="42">
        <f t="shared" si="433"/>
        <v>326095.09000000003</v>
      </c>
      <c r="I618" s="37">
        <f t="shared" si="433"/>
        <v>2021</v>
      </c>
      <c r="J618" s="37">
        <f t="shared" si="433"/>
        <v>30</v>
      </c>
      <c r="K618" s="37">
        <f t="shared" si="433"/>
        <v>0</v>
      </c>
      <c r="L618" s="42">
        <f t="shared" si="433"/>
        <v>45606.0937185246</v>
      </c>
      <c r="N618" s="38">
        <f t="shared" si="355"/>
        <v>2.5</v>
      </c>
      <c r="P618" s="43">
        <f t="shared" si="387"/>
        <v>18242.437487409839</v>
      </c>
      <c r="Q618" s="43">
        <f t="shared" si="387"/>
        <v>18242.437487409839</v>
      </c>
      <c r="R618" s="43">
        <f t="shared" si="387"/>
        <v>9121.2187437049197</v>
      </c>
      <c r="S618" s="43">
        <f t="shared" si="387"/>
        <v>0</v>
      </c>
      <c r="T618" s="43">
        <f t="shared" si="387"/>
        <v>0</v>
      </c>
      <c r="V618" s="47">
        <f t="shared" si="369"/>
        <v>27363.656231114761</v>
      </c>
      <c r="W618" s="47">
        <f t="shared" si="370"/>
        <v>9121.2187437049215</v>
      </c>
      <c r="X618" s="47">
        <f t="shared" si="371"/>
        <v>1.8189894035458565E-12</v>
      </c>
      <c r="Y618" s="47">
        <f t="shared" si="372"/>
        <v>0</v>
      </c>
      <c r="Z618" s="47">
        <f t="shared" si="373"/>
        <v>0</v>
      </c>
      <c r="AB618" s="47">
        <f t="shared" si="362"/>
        <v>19172.801799267741</v>
      </c>
      <c r="AC618" s="47">
        <f t="shared" si="363"/>
        <v>18543.437705952103</v>
      </c>
      <c r="AD618" s="47">
        <f t="shared" si="364"/>
        <v>9121.2187437049197</v>
      </c>
      <c r="AE618" s="47">
        <f t="shared" si="365"/>
        <v>0</v>
      </c>
      <c r="AF618" s="47">
        <f t="shared" si="366"/>
        <v>0</v>
      </c>
    </row>
    <row r="619" spans="2:32">
      <c r="B619" s="37" t="str">
        <f t="shared" si="354"/>
        <v>Asset 65</v>
      </c>
      <c r="F619" s="37" t="str">
        <f t="shared" ref="F619:L619" si="434">F123</f>
        <v>05 Wegen en terreinvoorzieningen</v>
      </c>
      <c r="G619" s="37">
        <f t="shared" si="434"/>
        <v>1993</v>
      </c>
      <c r="H619" s="42">
        <f t="shared" si="434"/>
        <v>174007.47</v>
      </c>
      <c r="I619" s="37">
        <f t="shared" si="434"/>
        <v>2021</v>
      </c>
      <c r="J619" s="37">
        <f t="shared" si="434"/>
        <v>10</v>
      </c>
      <c r="K619" s="37">
        <f t="shared" si="434"/>
        <v>0</v>
      </c>
      <c r="L619" s="42">
        <f t="shared" si="434"/>
        <v>0</v>
      </c>
      <c r="N619" s="38">
        <f t="shared" si="355"/>
        <v>0</v>
      </c>
      <c r="P619" s="43">
        <f t="shared" si="387"/>
        <v>0</v>
      </c>
      <c r="Q619" s="43">
        <f t="shared" si="387"/>
        <v>0</v>
      </c>
      <c r="R619" s="43">
        <f t="shared" si="387"/>
        <v>0</v>
      </c>
      <c r="S619" s="43">
        <f t="shared" si="387"/>
        <v>0</v>
      </c>
      <c r="T619" s="43">
        <f t="shared" si="387"/>
        <v>0</v>
      </c>
      <c r="V619" s="47">
        <f t="shared" si="369"/>
        <v>0</v>
      </c>
      <c r="W619" s="47">
        <f t="shared" si="370"/>
        <v>0</v>
      </c>
      <c r="X619" s="47">
        <f t="shared" si="371"/>
        <v>0</v>
      </c>
      <c r="Y619" s="47">
        <f t="shared" si="372"/>
        <v>0</v>
      </c>
      <c r="Z619" s="47">
        <f t="shared" si="373"/>
        <v>0</v>
      </c>
      <c r="AB619" s="47">
        <f t="shared" si="362"/>
        <v>0</v>
      </c>
      <c r="AC619" s="47">
        <f t="shared" si="363"/>
        <v>0</v>
      </c>
      <c r="AD619" s="47">
        <f t="shared" si="364"/>
        <v>0</v>
      </c>
      <c r="AE619" s="47">
        <f t="shared" si="365"/>
        <v>0</v>
      </c>
      <c r="AF619" s="47">
        <f t="shared" si="366"/>
        <v>0</v>
      </c>
    </row>
    <row r="620" spans="2:32">
      <c r="B620" s="37" t="str">
        <f t="shared" ref="B620:B683" si="435">B124</f>
        <v>Asset 66</v>
      </c>
      <c r="F620" s="37" t="str">
        <f t="shared" ref="F620:L620" si="436">F124</f>
        <v>20 Kantoorgebouwen</v>
      </c>
      <c r="G620" s="37">
        <f t="shared" si="436"/>
        <v>1991</v>
      </c>
      <c r="H620" s="42">
        <f t="shared" si="436"/>
        <v>475302.12</v>
      </c>
      <c r="I620" s="37">
        <f t="shared" si="436"/>
        <v>2021</v>
      </c>
      <c r="J620" s="37">
        <f t="shared" si="436"/>
        <v>30</v>
      </c>
      <c r="K620" s="37">
        <f t="shared" si="436"/>
        <v>0</v>
      </c>
      <c r="L620" s="42">
        <f t="shared" si="436"/>
        <v>0</v>
      </c>
      <c r="N620" s="38">
        <f t="shared" ref="N620:N683" si="437">MAX(0,IF(G620&lt;=2021, J620-2021+G620-0.5,J620))</f>
        <v>0</v>
      </c>
      <c r="P620" s="43">
        <f t="shared" si="387"/>
        <v>0</v>
      </c>
      <c r="Q620" s="43">
        <f t="shared" si="387"/>
        <v>0</v>
      </c>
      <c r="R620" s="43">
        <f t="shared" si="387"/>
        <v>0</v>
      </c>
      <c r="S620" s="43">
        <f t="shared" si="387"/>
        <v>0</v>
      </c>
      <c r="T620" s="43">
        <f t="shared" si="387"/>
        <v>0</v>
      </c>
      <c r="V620" s="47">
        <f t="shared" si="369"/>
        <v>0</v>
      </c>
      <c r="W620" s="47">
        <f t="shared" si="370"/>
        <v>0</v>
      </c>
      <c r="X620" s="47">
        <f t="shared" si="371"/>
        <v>0</v>
      </c>
      <c r="Y620" s="47">
        <f t="shared" si="372"/>
        <v>0</v>
      </c>
      <c r="Z620" s="47">
        <f t="shared" si="373"/>
        <v>0</v>
      </c>
      <c r="AB620" s="47">
        <f t="shared" ref="AB620:AB683" si="438">(P620+V620*I$16)*IF($K620=1,$F$19,1)</f>
        <v>0</v>
      </c>
      <c r="AC620" s="47">
        <f t="shared" ref="AC620:AC683" si="439">(Q620+W620*J$16)*IF($K620=1,$F$19,1)</f>
        <v>0</v>
      </c>
      <c r="AD620" s="47">
        <f t="shared" ref="AD620:AD683" si="440">(R620+X620*K$16)*IF($K620=1,$F$19,1)</f>
        <v>0</v>
      </c>
      <c r="AE620" s="47">
        <f t="shared" ref="AE620:AE683" si="441">(S620+Y620*L$16)*IF($K620=1,$F$19,1)</f>
        <v>0</v>
      </c>
      <c r="AF620" s="47">
        <f t="shared" ref="AF620:AF683" si="442">(T620+Z620*M$16)*IF($K620=1,$F$19,1)</f>
        <v>0</v>
      </c>
    </row>
    <row r="621" spans="2:32">
      <c r="B621" s="37" t="str">
        <f t="shared" si="435"/>
        <v>Asset 67</v>
      </c>
      <c r="F621" s="37" t="str">
        <f t="shared" ref="F621:L621" si="443">F125</f>
        <v>08 Inrichting gebouwen</v>
      </c>
      <c r="G621" s="37">
        <f t="shared" si="443"/>
        <v>1995</v>
      </c>
      <c r="H621" s="42">
        <f t="shared" si="443"/>
        <v>365539.92999999993</v>
      </c>
      <c r="I621" s="37">
        <f t="shared" si="443"/>
        <v>2021</v>
      </c>
      <c r="J621" s="37">
        <f t="shared" si="443"/>
        <v>10</v>
      </c>
      <c r="K621" s="37">
        <f t="shared" si="443"/>
        <v>0</v>
      </c>
      <c r="L621" s="42">
        <f t="shared" si="443"/>
        <v>0</v>
      </c>
      <c r="N621" s="38">
        <f t="shared" si="437"/>
        <v>0</v>
      </c>
      <c r="P621" s="43">
        <f t="shared" si="387"/>
        <v>0</v>
      </c>
      <c r="Q621" s="43">
        <f t="shared" si="387"/>
        <v>0</v>
      </c>
      <c r="R621" s="43">
        <f t="shared" si="387"/>
        <v>0</v>
      </c>
      <c r="S621" s="43">
        <f t="shared" si="387"/>
        <v>0</v>
      </c>
      <c r="T621" s="43">
        <f t="shared" si="387"/>
        <v>0</v>
      </c>
      <c r="V621" s="47">
        <f t="shared" si="369"/>
        <v>0</v>
      </c>
      <c r="W621" s="47">
        <f t="shared" si="370"/>
        <v>0</v>
      </c>
      <c r="X621" s="47">
        <f t="shared" si="371"/>
        <v>0</v>
      </c>
      <c r="Y621" s="47">
        <f t="shared" si="372"/>
        <v>0</v>
      </c>
      <c r="Z621" s="47">
        <f t="shared" si="373"/>
        <v>0</v>
      </c>
      <c r="AB621" s="47">
        <f t="shared" si="438"/>
        <v>0</v>
      </c>
      <c r="AC621" s="47">
        <f t="shared" si="439"/>
        <v>0</v>
      </c>
      <c r="AD621" s="47">
        <f t="shared" si="440"/>
        <v>0</v>
      </c>
      <c r="AE621" s="47">
        <f t="shared" si="441"/>
        <v>0</v>
      </c>
      <c r="AF621" s="47">
        <f t="shared" si="442"/>
        <v>0</v>
      </c>
    </row>
    <row r="622" spans="2:32">
      <c r="B622" s="37" t="str">
        <f t="shared" si="435"/>
        <v>Asset 68</v>
      </c>
      <c r="F622" s="37" t="str">
        <f t="shared" ref="F622:L622" si="444">F126</f>
        <v>08 Inrichting gebouwen</v>
      </c>
      <c r="G622" s="37">
        <f t="shared" si="444"/>
        <v>1994</v>
      </c>
      <c r="H622" s="42">
        <f t="shared" si="444"/>
        <v>6615395.4499999993</v>
      </c>
      <c r="I622" s="37">
        <f t="shared" si="444"/>
        <v>2021</v>
      </c>
      <c r="J622" s="37">
        <f t="shared" si="444"/>
        <v>10</v>
      </c>
      <c r="K622" s="37">
        <f t="shared" si="444"/>
        <v>0</v>
      </c>
      <c r="L622" s="42">
        <f t="shared" si="444"/>
        <v>0</v>
      </c>
      <c r="N622" s="38">
        <f t="shared" si="437"/>
        <v>0</v>
      </c>
      <c r="P622" s="43">
        <f t="shared" si="387"/>
        <v>0</v>
      </c>
      <c r="Q622" s="43">
        <f t="shared" si="387"/>
        <v>0</v>
      </c>
      <c r="R622" s="43">
        <f t="shared" si="387"/>
        <v>0</v>
      </c>
      <c r="S622" s="43">
        <f t="shared" si="387"/>
        <v>0</v>
      </c>
      <c r="T622" s="43">
        <f t="shared" si="387"/>
        <v>0</v>
      </c>
      <c r="V622" s="47">
        <f t="shared" si="369"/>
        <v>0</v>
      </c>
      <c r="W622" s="47">
        <f t="shared" si="370"/>
        <v>0</v>
      </c>
      <c r="X622" s="47">
        <f t="shared" si="371"/>
        <v>0</v>
      </c>
      <c r="Y622" s="47">
        <f t="shared" si="372"/>
        <v>0</v>
      </c>
      <c r="Z622" s="47">
        <f t="shared" si="373"/>
        <v>0</v>
      </c>
      <c r="AB622" s="47">
        <f t="shared" si="438"/>
        <v>0</v>
      </c>
      <c r="AC622" s="47">
        <f t="shared" si="439"/>
        <v>0</v>
      </c>
      <c r="AD622" s="47">
        <f t="shared" si="440"/>
        <v>0</v>
      </c>
      <c r="AE622" s="47">
        <f t="shared" si="441"/>
        <v>0</v>
      </c>
      <c r="AF622" s="47">
        <f t="shared" si="442"/>
        <v>0</v>
      </c>
    </row>
    <row r="623" spans="2:32">
      <c r="B623" s="37" t="str">
        <f t="shared" si="435"/>
        <v>Asset 69</v>
      </c>
      <c r="F623" s="37" t="str">
        <f t="shared" ref="F623:L623" si="445">F127</f>
        <v>20 Kantoorgebouwen</v>
      </c>
      <c r="G623" s="37">
        <f t="shared" si="445"/>
        <v>1998</v>
      </c>
      <c r="H623" s="42">
        <f t="shared" si="445"/>
        <v>789493.11</v>
      </c>
      <c r="I623" s="37">
        <f t="shared" si="445"/>
        <v>2021</v>
      </c>
      <c r="J623" s="37">
        <f t="shared" si="445"/>
        <v>30</v>
      </c>
      <c r="K623" s="37">
        <f t="shared" si="445"/>
        <v>0</v>
      </c>
      <c r="L623" s="42">
        <f t="shared" si="445"/>
        <v>263672.8175889462</v>
      </c>
      <c r="N623" s="38">
        <f t="shared" si="437"/>
        <v>6.5</v>
      </c>
      <c r="P623" s="43">
        <f t="shared" ref="P623:T673" si="446">IF(P$553&lt;=$G623+$J623,VDB($L623,0,$N623,P$553-2022,MIN(P$553-2021,$N623),1),0)</f>
        <v>40565.04885983788</v>
      </c>
      <c r="Q623" s="43">
        <f t="shared" si="446"/>
        <v>40565.04885983788</v>
      </c>
      <c r="R623" s="43">
        <f t="shared" si="446"/>
        <v>40565.04885983788</v>
      </c>
      <c r="S623" s="43">
        <f t="shared" si="446"/>
        <v>40565.04885983788</v>
      </c>
      <c r="T623" s="43">
        <f t="shared" si="446"/>
        <v>40565.04885983788</v>
      </c>
      <c r="V623" s="47">
        <f t="shared" ref="V623:V686" si="447">IF(OR(V$553&lt;=$G623+$J623,$J623=0),IF(U623=0,$L623,U623)-P623,0)</f>
        <v>223107.76872910833</v>
      </c>
      <c r="W623" s="47">
        <f t="shared" ref="W623:W686" si="448">IF(OR(W$553&lt;=$G623+$J623,$J623=0),IF(V623=0,$L623,V623)-Q623,0)</f>
        <v>182542.71986927046</v>
      </c>
      <c r="X623" s="47">
        <f t="shared" ref="X623:X686" si="449">IF(OR(X$553&lt;=$G623+$J623,$J623=0),IF(W623=0,$L623,W623)-R623,0)</f>
        <v>141977.67100943258</v>
      </c>
      <c r="Y623" s="47">
        <f t="shared" ref="Y623:Y686" si="450">IF(OR(Y$553&lt;=$G623+$J623,$J623=0),IF(X623=0,$L623,X623)-S623,0)</f>
        <v>101412.62214959471</v>
      </c>
      <c r="Z623" s="47">
        <f t="shared" ref="Z623:Z686" si="451">IF(OR(Z$553&lt;=$G623+$J623,$J623=0),IF(Y623=0,$L623,Y623)-T623,0)</f>
        <v>60847.57328975683</v>
      </c>
      <c r="AB623" s="47">
        <f t="shared" si="438"/>
        <v>48150.712996627561</v>
      </c>
      <c r="AC623" s="47">
        <f t="shared" si="439"/>
        <v>46588.958615523807</v>
      </c>
      <c r="AD623" s="47">
        <f t="shared" si="440"/>
        <v>45960.200358196322</v>
      </c>
      <c r="AE623" s="47">
        <f t="shared" si="441"/>
        <v>44418.728501522477</v>
      </c>
      <c r="AF623" s="47">
        <f t="shared" si="442"/>
        <v>42877.25664484864</v>
      </c>
    </row>
    <row r="624" spans="2:32">
      <c r="B624" s="37" t="str">
        <f t="shared" si="435"/>
        <v>Asset 70</v>
      </c>
      <c r="F624" s="37" t="str">
        <f t="shared" ref="F624:L624" si="452">F128</f>
        <v>20 Kantoorgebouwen</v>
      </c>
      <c r="G624" s="37">
        <f t="shared" si="452"/>
        <v>1995</v>
      </c>
      <c r="H624" s="42">
        <f t="shared" si="452"/>
        <v>93310335.520000011</v>
      </c>
      <c r="I624" s="37">
        <f t="shared" si="452"/>
        <v>2021</v>
      </c>
      <c r="J624" s="37">
        <f t="shared" si="452"/>
        <v>30</v>
      </c>
      <c r="K624" s="37">
        <f t="shared" si="452"/>
        <v>0</v>
      </c>
      <c r="L624" s="42">
        <f t="shared" si="452"/>
        <v>17806929.596040629</v>
      </c>
      <c r="N624" s="38">
        <f t="shared" si="437"/>
        <v>3.5</v>
      </c>
      <c r="P624" s="43">
        <f t="shared" si="446"/>
        <v>5087694.1702973228</v>
      </c>
      <c r="Q624" s="43">
        <f t="shared" si="446"/>
        <v>5087694.1702973228</v>
      </c>
      <c r="R624" s="43">
        <f t="shared" si="446"/>
        <v>5087694.1702973228</v>
      </c>
      <c r="S624" s="43">
        <f t="shared" si="446"/>
        <v>2543847.0851486614</v>
      </c>
      <c r="T624" s="43">
        <f t="shared" si="446"/>
        <v>0</v>
      </c>
      <c r="V624" s="47">
        <f t="shared" si="447"/>
        <v>12719235.425743306</v>
      </c>
      <c r="W624" s="47">
        <f t="shared" si="448"/>
        <v>7631541.2554459833</v>
      </c>
      <c r="X624" s="47">
        <f t="shared" si="449"/>
        <v>2543847.0851486605</v>
      </c>
      <c r="Y624" s="47">
        <f t="shared" si="450"/>
        <v>-9.3132257461547852E-10</v>
      </c>
      <c r="Z624" s="47">
        <f t="shared" si="451"/>
        <v>0</v>
      </c>
      <c r="AB624" s="47">
        <f t="shared" si="438"/>
        <v>5520148.1747725951</v>
      </c>
      <c r="AC624" s="47">
        <f t="shared" si="439"/>
        <v>5339535.0317270402</v>
      </c>
      <c r="AD624" s="47">
        <f t="shared" si="440"/>
        <v>5184360.3595329719</v>
      </c>
      <c r="AE624" s="47">
        <f t="shared" si="441"/>
        <v>2543847.0851486614</v>
      </c>
      <c r="AF624" s="47">
        <f t="shared" si="442"/>
        <v>0</v>
      </c>
    </row>
    <row r="625" spans="2:32">
      <c r="B625" s="37" t="str">
        <f t="shared" si="435"/>
        <v>Asset 71</v>
      </c>
      <c r="F625" s="37" t="str">
        <f t="shared" ref="F625:L625" si="453">F129</f>
        <v>09 Bedrijfsinventaris</v>
      </c>
      <c r="G625" s="37">
        <f t="shared" si="453"/>
        <v>1997</v>
      </c>
      <c r="H625" s="42">
        <f t="shared" si="453"/>
        <v>3767.74</v>
      </c>
      <c r="I625" s="37">
        <f t="shared" si="453"/>
        <v>2021</v>
      </c>
      <c r="J625" s="37">
        <f t="shared" si="453"/>
        <v>10</v>
      </c>
      <c r="K625" s="37">
        <f t="shared" si="453"/>
        <v>1</v>
      </c>
      <c r="L625" s="42">
        <f t="shared" si="453"/>
        <v>0</v>
      </c>
      <c r="N625" s="38">
        <f t="shared" si="437"/>
        <v>0</v>
      </c>
      <c r="P625" s="43">
        <f t="shared" si="446"/>
        <v>0</v>
      </c>
      <c r="Q625" s="43">
        <f t="shared" si="446"/>
        <v>0</v>
      </c>
      <c r="R625" s="43">
        <f t="shared" si="446"/>
        <v>0</v>
      </c>
      <c r="S625" s="43">
        <f t="shared" si="446"/>
        <v>0</v>
      </c>
      <c r="T625" s="43">
        <f t="shared" si="446"/>
        <v>0</v>
      </c>
      <c r="V625" s="47">
        <f t="shared" si="447"/>
        <v>0</v>
      </c>
      <c r="W625" s="47">
        <f t="shared" si="448"/>
        <v>0</v>
      </c>
      <c r="X625" s="47">
        <f t="shared" si="449"/>
        <v>0</v>
      </c>
      <c r="Y625" s="47">
        <f t="shared" si="450"/>
        <v>0</v>
      </c>
      <c r="Z625" s="47">
        <f t="shared" si="451"/>
        <v>0</v>
      </c>
      <c r="AB625" s="47">
        <f t="shared" si="438"/>
        <v>0</v>
      </c>
      <c r="AC625" s="47">
        <f t="shared" si="439"/>
        <v>0</v>
      </c>
      <c r="AD625" s="47">
        <f t="shared" si="440"/>
        <v>0</v>
      </c>
      <c r="AE625" s="47">
        <f t="shared" si="441"/>
        <v>0</v>
      </c>
      <c r="AF625" s="47">
        <f t="shared" si="442"/>
        <v>0</v>
      </c>
    </row>
    <row r="626" spans="2:32">
      <c r="B626" s="37" t="str">
        <f t="shared" si="435"/>
        <v>Asset 72</v>
      </c>
      <c r="F626" s="37" t="str">
        <f t="shared" ref="F626:L626" si="454">F130</f>
        <v>08 Inrichting gebouwen</v>
      </c>
      <c r="G626" s="37">
        <f t="shared" si="454"/>
        <v>2002</v>
      </c>
      <c r="H626" s="42">
        <f t="shared" si="454"/>
        <v>257167.26</v>
      </c>
      <c r="I626" s="37">
        <f t="shared" si="454"/>
        <v>2021</v>
      </c>
      <c r="J626" s="37">
        <f t="shared" si="454"/>
        <v>10</v>
      </c>
      <c r="K626" s="37">
        <f t="shared" si="454"/>
        <v>0</v>
      </c>
      <c r="L626" s="42">
        <f t="shared" si="454"/>
        <v>0</v>
      </c>
      <c r="N626" s="38">
        <f t="shared" si="437"/>
        <v>0</v>
      </c>
      <c r="P626" s="43">
        <f t="shared" si="446"/>
        <v>0</v>
      </c>
      <c r="Q626" s="43">
        <f t="shared" si="446"/>
        <v>0</v>
      </c>
      <c r="R626" s="43">
        <f t="shared" si="446"/>
        <v>0</v>
      </c>
      <c r="S626" s="43">
        <f t="shared" si="446"/>
        <v>0</v>
      </c>
      <c r="T626" s="43">
        <f t="shared" si="446"/>
        <v>0</v>
      </c>
      <c r="V626" s="47">
        <f t="shared" si="447"/>
        <v>0</v>
      </c>
      <c r="W626" s="47">
        <f t="shared" si="448"/>
        <v>0</v>
      </c>
      <c r="X626" s="47">
        <f t="shared" si="449"/>
        <v>0</v>
      </c>
      <c r="Y626" s="47">
        <f t="shared" si="450"/>
        <v>0</v>
      </c>
      <c r="Z626" s="47">
        <f t="shared" si="451"/>
        <v>0</v>
      </c>
      <c r="AB626" s="47">
        <f t="shared" si="438"/>
        <v>0</v>
      </c>
      <c r="AC626" s="47">
        <f t="shared" si="439"/>
        <v>0</v>
      </c>
      <c r="AD626" s="47">
        <f t="shared" si="440"/>
        <v>0</v>
      </c>
      <c r="AE626" s="47">
        <f t="shared" si="441"/>
        <v>0</v>
      </c>
      <c r="AF626" s="47">
        <f t="shared" si="442"/>
        <v>0</v>
      </c>
    </row>
    <row r="627" spans="2:32">
      <c r="B627" s="37" t="str">
        <f t="shared" si="435"/>
        <v>Asset 73</v>
      </c>
      <c r="F627" s="37" t="str">
        <f t="shared" ref="F627:L627" si="455">F131</f>
        <v>20 Kantoorgebouwen</v>
      </c>
      <c r="G627" s="37">
        <f t="shared" si="455"/>
        <v>1997</v>
      </c>
      <c r="H627" s="42">
        <f t="shared" si="455"/>
        <v>9956.39</v>
      </c>
      <c r="I627" s="37">
        <f t="shared" si="455"/>
        <v>2021</v>
      </c>
      <c r="J627" s="37">
        <f t="shared" si="455"/>
        <v>30</v>
      </c>
      <c r="K627" s="37">
        <f t="shared" si="455"/>
        <v>0</v>
      </c>
      <c r="L627" s="42">
        <f t="shared" si="455"/>
        <v>2886.7927731398736</v>
      </c>
      <c r="N627" s="38">
        <f t="shared" si="437"/>
        <v>5.5</v>
      </c>
      <c r="P627" s="43">
        <f t="shared" si="446"/>
        <v>524.87141329815881</v>
      </c>
      <c r="Q627" s="43">
        <f t="shared" si="446"/>
        <v>524.87141329815881</v>
      </c>
      <c r="R627" s="43">
        <f t="shared" si="446"/>
        <v>524.87141329815881</v>
      </c>
      <c r="S627" s="43">
        <f t="shared" si="446"/>
        <v>524.87141329815881</v>
      </c>
      <c r="T627" s="43">
        <f t="shared" si="446"/>
        <v>524.87141329815881</v>
      </c>
      <c r="V627" s="47">
        <f t="shared" si="447"/>
        <v>2361.9213598417145</v>
      </c>
      <c r="W627" s="47">
        <f t="shared" si="448"/>
        <v>1837.0499465435557</v>
      </c>
      <c r="X627" s="47">
        <f t="shared" si="449"/>
        <v>1312.1785332453969</v>
      </c>
      <c r="Y627" s="47">
        <f t="shared" si="450"/>
        <v>787.30711994723811</v>
      </c>
      <c r="Z627" s="47">
        <f t="shared" si="451"/>
        <v>262.43570664907929</v>
      </c>
      <c r="AB627" s="47">
        <f t="shared" si="438"/>
        <v>605.17673953277711</v>
      </c>
      <c r="AC627" s="47">
        <f t="shared" si="439"/>
        <v>585.4940615340962</v>
      </c>
      <c r="AD627" s="47">
        <f t="shared" si="440"/>
        <v>574.73419756148394</v>
      </c>
      <c r="AE627" s="47">
        <f t="shared" si="441"/>
        <v>554.78908385615387</v>
      </c>
      <c r="AF627" s="47">
        <f t="shared" si="442"/>
        <v>534.84397015082379</v>
      </c>
    </row>
    <row r="628" spans="2:32">
      <c r="B628" s="37" t="str">
        <f t="shared" si="435"/>
        <v>Asset 74</v>
      </c>
      <c r="F628" s="37" t="str">
        <f t="shared" ref="F628:L628" si="456">F132</f>
        <v>09 Bedrijfsinventaris</v>
      </c>
      <c r="G628" s="37">
        <f t="shared" si="456"/>
        <v>2002</v>
      </c>
      <c r="H628" s="42">
        <f t="shared" si="456"/>
        <v>259859.76</v>
      </c>
      <c r="I628" s="37">
        <f t="shared" si="456"/>
        <v>2021</v>
      </c>
      <c r="J628" s="37">
        <f t="shared" si="456"/>
        <v>10</v>
      </c>
      <c r="K628" s="37">
        <f t="shared" si="456"/>
        <v>1</v>
      </c>
      <c r="L628" s="42">
        <f t="shared" si="456"/>
        <v>0</v>
      </c>
      <c r="N628" s="38">
        <f t="shared" si="437"/>
        <v>0</v>
      </c>
      <c r="P628" s="43">
        <f t="shared" si="446"/>
        <v>0</v>
      </c>
      <c r="Q628" s="43">
        <f t="shared" si="446"/>
        <v>0</v>
      </c>
      <c r="R628" s="43">
        <f t="shared" si="446"/>
        <v>0</v>
      </c>
      <c r="S628" s="43">
        <f t="shared" si="446"/>
        <v>0</v>
      </c>
      <c r="T628" s="43">
        <f t="shared" si="446"/>
        <v>0</v>
      </c>
      <c r="V628" s="47">
        <f t="shared" si="447"/>
        <v>0</v>
      </c>
      <c r="W628" s="47">
        <f t="shared" si="448"/>
        <v>0</v>
      </c>
      <c r="X628" s="47">
        <f t="shared" si="449"/>
        <v>0</v>
      </c>
      <c r="Y628" s="47">
        <f t="shared" si="450"/>
        <v>0</v>
      </c>
      <c r="Z628" s="47">
        <f t="shared" si="451"/>
        <v>0</v>
      </c>
      <c r="AB628" s="47">
        <f t="shared" si="438"/>
        <v>0</v>
      </c>
      <c r="AC628" s="47">
        <f t="shared" si="439"/>
        <v>0</v>
      </c>
      <c r="AD628" s="47">
        <f t="shared" si="440"/>
        <v>0</v>
      </c>
      <c r="AE628" s="47">
        <f t="shared" si="441"/>
        <v>0</v>
      </c>
      <c r="AF628" s="47">
        <f t="shared" si="442"/>
        <v>0</v>
      </c>
    </row>
    <row r="629" spans="2:32">
      <c r="B629" s="37" t="str">
        <f t="shared" si="435"/>
        <v>Asset 75</v>
      </c>
      <c r="F629" s="37" t="str">
        <f t="shared" ref="F629:L629" si="457">F133</f>
        <v>37 ICT middelen 1</v>
      </c>
      <c r="G629" s="37">
        <f t="shared" si="457"/>
        <v>1998</v>
      </c>
      <c r="H629" s="42">
        <f t="shared" si="457"/>
        <v>194674.43</v>
      </c>
      <c r="I629" s="37">
        <f t="shared" si="457"/>
        <v>2021</v>
      </c>
      <c r="J629" s="37">
        <f t="shared" si="457"/>
        <v>5</v>
      </c>
      <c r="K629" s="37">
        <f t="shared" si="457"/>
        <v>1</v>
      </c>
      <c r="L629" s="42">
        <f t="shared" si="457"/>
        <v>0</v>
      </c>
      <c r="N629" s="38">
        <f t="shared" si="437"/>
        <v>0</v>
      </c>
      <c r="P629" s="43">
        <f t="shared" si="446"/>
        <v>0</v>
      </c>
      <c r="Q629" s="43">
        <f t="shared" si="446"/>
        <v>0</v>
      </c>
      <c r="R629" s="43">
        <f t="shared" si="446"/>
        <v>0</v>
      </c>
      <c r="S629" s="43">
        <f t="shared" si="446"/>
        <v>0</v>
      </c>
      <c r="T629" s="43">
        <f t="shared" si="446"/>
        <v>0</v>
      </c>
      <c r="V629" s="47">
        <f t="shared" si="447"/>
        <v>0</v>
      </c>
      <c r="W629" s="47">
        <f t="shared" si="448"/>
        <v>0</v>
      </c>
      <c r="X629" s="47">
        <f t="shared" si="449"/>
        <v>0</v>
      </c>
      <c r="Y629" s="47">
        <f t="shared" si="450"/>
        <v>0</v>
      </c>
      <c r="Z629" s="47">
        <f t="shared" si="451"/>
        <v>0</v>
      </c>
      <c r="AB629" s="47">
        <f t="shared" si="438"/>
        <v>0</v>
      </c>
      <c r="AC629" s="47">
        <f t="shared" si="439"/>
        <v>0</v>
      </c>
      <c r="AD629" s="47">
        <f t="shared" si="440"/>
        <v>0</v>
      </c>
      <c r="AE629" s="47">
        <f t="shared" si="441"/>
        <v>0</v>
      </c>
      <c r="AF629" s="47">
        <f t="shared" si="442"/>
        <v>0</v>
      </c>
    </row>
    <row r="630" spans="2:32">
      <c r="B630" s="37" t="str">
        <f t="shared" si="435"/>
        <v>Asset 76</v>
      </c>
      <c r="F630" s="37" t="str">
        <f t="shared" ref="F630:L630" si="458">F134</f>
        <v>13 Aanhangwagens</v>
      </c>
      <c r="G630" s="37">
        <f t="shared" si="458"/>
        <v>2000</v>
      </c>
      <c r="H630" s="42">
        <f t="shared" si="458"/>
        <v>5437.76</v>
      </c>
      <c r="I630" s="37">
        <f t="shared" si="458"/>
        <v>2021</v>
      </c>
      <c r="J630" s="37">
        <f t="shared" si="458"/>
        <v>10</v>
      </c>
      <c r="K630" s="37">
        <f t="shared" si="458"/>
        <v>1</v>
      </c>
      <c r="L630" s="42">
        <f t="shared" si="458"/>
        <v>0</v>
      </c>
      <c r="N630" s="38">
        <f t="shared" si="437"/>
        <v>0</v>
      </c>
      <c r="P630" s="43">
        <f t="shared" si="446"/>
        <v>0</v>
      </c>
      <c r="Q630" s="43">
        <f t="shared" si="446"/>
        <v>0</v>
      </c>
      <c r="R630" s="43">
        <f t="shared" si="446"/>
        <v>0</v>
      </c>
      <c r="S630" s="43">
        <f t="shared" si="446"/>
        <v>0</v>
      </c>
      <c r="T630" s="43">
        <f t="shared" si="446"/>
        <v>0</v>
      </c>
      <c r="V630" s="47">
        <f t="shared" si="447"/>
        <v>0</v>
      </c>
      <c r="W630" s="47">
        <f t="shared" si="448"/>
        <v>0</v>
      </c>
      <c r="X630" s="47">
        <f t="shared" si="449"/>
        <v>0</v>
      </c>
      <c r="Y630" s="47">
        <f t="shared" si="450"/>
        <v>0</v>
      </c>
      <c r="Z630" s="47">
        <f t="shared" si="451"/>
        <v>0</v>
      </c>
      <c r="AB630" s="47">
        <f t="shared" si="438"/>
        <v>0</v>
      </c>
      <c r="AC630" s="47">
        <f t="shared" si="439"/>
        <v>0</v>
      </c>
      <c r="AD630" s="47">
        <f t="shared" si="440"/>
        <v>0</v>
      </c>
      <c r="AE630" s="47">
        <f t="shared" si="441"/>
        <v>0</v>
      </c>
      <c r="AF630" s="47">
        <f t="shared" si="442"/>
        <v>0</v>
      </c>
    </row>
    <row r="631" spans="2:32">
      <c r="B631" s="37" t="str">
        <f t="shared" si="435"/>
        <v>Asset 77</v>
      </c>
      <c r="F631" s="37" t="str">
        <f t="shared" ref="F631:L631" si="459">F135</f>
        <v>09 Bedrijfsinventaris</v>
      </c>
      <c r="G631" s="37">
        <f t="shared" si="459"/>
        <v>1998</v>
      </c>
      <c r="H631" s="42">
        <f t="shared" si="459"/>
        <v>159402.09</v>
      </c>
      <c r="I631" s="37">
        <f t="shared" si="459"/>
        <v>2021</v>
      </c>
      <c r="J631" s="37">
        <f t="shared" si="459"/>
        <v>10</v>
      </c>
      <c r="K631" s="37">
        <f t="shared" si="459"/>
        <v>1</v>
      </c>
      <c r="L631" s="42">
        <f t="shared" si="459"/>
        <v>0</v>
      </c>
      <c r="N631" s="38">
        <f t="shared" si="437"/>
        <v>0</v>
      </c>
      <c r="P631" s="43">
        <f t="shared" si="446"/>
        <v>0</v>
      </c>
      <c r="Q631" s="43">
        <f t="shared" si="446"/>
        <v>0</v>
      </c>
      <c r="R631" s="43">
        <f t="shared" si="446"/>
        <v>0</v>
      </c>
      <c r="S631" s="43">
        <f t="shared" si="446"/>
        <v>0</v>
      </c>
      <c r="T631" s="43">
        <f t="shared" si="446"/>
        <v>0</v>
      </c>
      <c r="V631" s="47">
        <f t="shared" si="447"/>
        <v>0</v>
      </c>
      <c r="W631" s="47">
        <f t="shared" si="448"/>
        <v>0</v>
      </c>
      <c r="X631" s="47">
        <f t="shared" si="449"/>
        <v>0</v>
      </c>
      <c r="Y631" s="47">
        <f t="shared" si="450"/>
        <v>0</v>
      </c>
      <c r="Z631" s="47">
        <f t="shared" si="451"/>
        <v>0</v>
      </c>
      <c r="AB631" s="47">
        <f t="shared" si="438"/>
        <v>0</v>
      </c>
      <c r="AC631" s="47">
        <f t="shared" si="439"/>
        <v>0</v>
      </c>
      <c r="AD631" s="47">
        <f t="shared" si="440"/>
        <v>0</v>
      </c>
      <c r="AE631" s="47">
        <f t="shared" si="441"/>
        <v>0</v>
      </c>
      <c r="AF631" s="47">
        <f t="shared" si="442"/>
        <v>0</v>
      </c>
    </row>
    <row r="632" spans="2:32">
      <c r="B632" s="37" t="str">
        <f t="shared" si="435"/>
        <v>Asset 78</v>
      </c>
      <c r="F632" s="37" t="str">
        <f t="shared" ref="F632:L632" si="460">F136</f>
        <v>08 Inrichting gebouwen</v>
      </c>
      <c r="G632" s="37">
        <f t="shared" si="460"/>
        <v>1998</v>
      </c>
      <c r="H632" s="42">
        <f t="shared" si="460"/>
        <v>120568.99000000002</v>
      </c>
      <c r="I632" s="37">
        <f t="shared" si="460"/>
        <v>2021</v>
      </c>
      <c r="J632" s="37">
        <f t="shared" si="460"/>
        <v>10</v>
      </c>
      <c r="K632" s="37">
        <f t="shared" si="460"/>
        <v>0</v>
      </c>
      <c r="L632" s="42">
        <f t="shared" si="460"/>
        <v>0</v>
      </c>
      <c r="N632" s="38">
        <f t="shared" si="437"/>
        <v>0</v>
      </c>
      <c r="P632" s="43">
        <f t="shared" si="446"/>
        <v>0</v>
      </c>
      <c r="Q632" s="43">
        <f t="shared" si="446"/>
        <v>0</v>
      </c>
      <c r="R632" s="43">
        <f t="shared" si="446"/>
        <v>0</v>
      </c>
      <c r="S632" s="43">
        <f t="shared" si="446"/>
        <v>0</v>
      </c>
      <c r="T632" s="43">
        <f t="shared" si="446"/>
        <v>0</v>
      </c>
      <c r="V632" s="47">
        <f t="shared" si="447"/>
        <v>0</v>
      </c>
      <c r="W632" s="47">
        <f t="shared" si="448"/>
        <v>0</v>
      </c>
      <c r="X632" s="47">
        <f t="shared" si="449"/>
        <v>0</v>
      </c>
      <c r="Y632" s="47">
        <f t="shared" si="450"/>
        <v>0</v>
      </c>
      <c r="Z632" s="47">
        <f t="shared" si="451"/>
        <v>0</v>
      </c>
      <c r="AB632" s="47">
        <f t="shared" si="438"/>
        <v>0</v>
      </c>
      <c r="AC632" s="47">
        <f t="shared" si="439"/>
        <v>0</v>
      </c>
      <c r="AD632" s="47">
        <f t="shared" si="440"/>
        <v>0</v>
      </c>
      <c r="AE632" s="47">
        <f t="shared" si="441"/>
        <v>0</v>
      </c>
      <c r="AF632" s="47">
        <f t="shared" si="442"/>
        <v>0</v>
      </c>
    </row>
    <row r="633" spans="2:32">
      <c r="B633" s="37" t="str">
        <f t="shared" si="435"/>
        <v>Asset 79</v>
      </c>
      <c r="F633" s="37" t="str">
        <f t="shared" ref="F633:L633" si="461">F137</f>
        <v>37 ICT middelen 1</v>
      </c>
      <c r="G633" s="37">
        <f t="shared" si="461"/>
        <v>2002</v>
      </c>
      <c r="H633" s="42">
        <f t="shared" si="461"/>
        <v>342396.39</v>
      </c>
      <c r="I633" s="37">
        <f t="shared" si="461"/>
        <v>2021</v>
      </c>
      <c r="J633" s="37">
        <f t="shared" si="461"/>
        <v>5</v>
      </c>
      <c r="K633" s="37">
        <f t="shared" si="461"/>
        <v>1</v>
      </c>
      <c r="L633" s="42">
        <f t="shared" si="461"/>
        <v>0</v>
      </c>
      <c r="N633" s="38">
        <f t="shared" si="437"/>
        <v>0</v>
      </c>
      <c r="P633" s="43">
        <f t="shared" si="446"/>
        <v>0</v>
      </c>
      <c r="Q633" s="43">
        <f t="shared" si="446"/>
        <v>0</v>
      </c>
      <c r="R633" s="43">
        <f t="shared" si="446"/>
        <v>0</v>
      </c>
      <c r="S633" s="43">
        <f t="shared" si="446"/>
        <v>0</v>
      </c>
      <c r="T633" s="43">
        <f t="shared" si="446"/>
        <v>0</v>
      </c>
      <c r="V633" s="47">
        <f t="shared" si="447"/>
        <v>0</v>
      </c>
      <c r="W633" s="47">
        <f t="shared" si="448"/>
        <v>0</v>
      </c>
      <c r="X633" s="47">
        <f t="shared" si="449"/>
        <v>0</v>
      </c>
      <c r="Y633" s="47">
        <f t="shared" si="450"/>
        <v>0</v>
      </c>
      <c r="Z633" s="47">
        <f t="shared" si="451"/>
        <v>0</v>
      </c>
      <c r="AB633" s="47">
        <f t="shared" si="438"/>
        <v>0</v>
      </c>
      <c r="AC633" s="47">
        <f t="shared" si="439"/>
        <v>0</v>
      </c>
      <c r="AD633" s="47">
        <f t="shared" si="440"/>
        <v>0</v>
      </c>
      <c r="AE633" s="47">
        <f t="shared" si="441"/>
        <v>0</v>
      </c>
      <c r="AF633" s="47">
        <f t="shared" si="442"/>
        <v>0</v>
      </c>
    </row>
    <row r="634" spans="2:32">
      <c r="B634" s="37" t="str">
        <f t="shared" si="435"/>
        <v>Asset 80</v>
      </c>
      <c r="F634" s="37" t="str">
        <f t="shared" ref="F634:L634" si="462">F138</f>
        <v>37 ICT middelen 1 (gaschromatografen en comptabele meting)</v>
      </c>
      <c r="G634" s="37">
        <f t="shared" si="462"/>
        <v>2000</v>
      </c>
      <c r="H634" s="42">
        <f t="shared" si="462"/>
        <v>717051.87</v>
      </c>
      <c r="I634" s="37">
        <f t="shared" si="462"/>
        <v>2021</v>
      </c>
      <c r="J634" s="37">
        <f t="shared" si="462"/>
        <v>5</v>
      </c>
      <c r="K634" s="37">
        <f t="shared" si="462"/>
        <v>0</v>
      </c>
      <c r="L634" s="42">
        <f t="shared" si="462"/>
        <v>0</v>
      </c>
      <c r="N634" s="38">
        <f t="shared" si="437"/>
        <v>0</v>
      </c>
      <c r="P634" s="43">
        <f t="shared" si="446"/>
        <v>0</v>
      </c>
      <c r="Q634" s="43">
        <f t="shared" si="446"/>
        <v>0</v>
      </c>
      <c r="R634" s="43">
        <f t="shared" si="446"/>
        <v>0</v>
      </c>
      <c r="S634" s="43">
        <f t="shared" si="446"/>
        <v>0</v>
      </c>
      <c r="T634" s="43">
        <f t="shared" si="446"/>
        <v>0</v>
      </c>
      <c r="V634" s="47">
        <f t="shared" si="447"/>
        <v>0</v>
      </c>
      <c r="W634" s="47">
        <f t="shared" si="448"/>
        <v>0</v>
      </c>
      <c r="X634" s="47">
        <f t="shared" si="449"/>
        <v>0</v>
      </c>
      <c r="Y634" s="47">
        <f t="shared" si="450"/>
        <v>0</v>
      </c>
      <c r="Z634" s="47">
        <f t="shared" si="451"/>
        <v>0</v>
      </c>
      <c r="AB634" s="47">
        <f t="shared" si="438"/>
        <v>0</v>
      </c>
      <c r="AC634" s="47">
        <f t="shared" si="439"/>
        <v>0</v>
      </c>
      <c r="AD634" s="47">
        <f t="shared" si="440"/>
        <v>0</v>
      </c>
      <c r="AE634" s="47">
        <f t="shared" si="441"/>
        <v>0</v>
      </c>
      <c r="AF634" s="47">
        <f t="shared" si="442"/>
        <v>0</v>
      </c>
    </row>
    <row r="635" spans="2:32">
      <c r="B635" s="37" t="str">
        <f t="shared" si="435"/>
        <v>Asset 81</v>
      </c>
      <c r="F635" s="37" t="str">
        <f t="shared" ref="F635:L635" si="463">F139</f>
        <v>09 Bedrijfsinventaris</v>
      </c>
      <c r="G635" s="37">
        <f t="shared" si="463"/>
        <v>1999</v>
      </c>
      <c r="H635" s="42">
        <f t="shared" si="463"/>
        <v>64305.72</v>
      </c>
      <c r="I635" s="37">
        <f t="shared" si="463"/>
        <v>2021</v>
      </c>
      <c r="J635" s="37">
        <f t="shared" si="463"/>
        <v>10</v>
      </c>
      <c r="K635" s="37">
        <f t="shared" si="463"/>
        <v>1</v>
      </c>
      <c r="L635" s="42">
        <f t="shared" si="463"/>
        <v>0</v>
      </c>
      <c r="N635" s="38">
        <f t="shared" si="437"/>
        <v>0</v>
      </c>
      <c r="P635" s="43">
        <f t="shared" si="446"/>
        <v>0</v>
      </c>
      <c r="Q635" s="43">
        <f t="shared" si="446"/>
        <v>0</v>
      </c>
      <c r="R635" s="43">
        <f t="shared" si="446"/>
        <v>0</v>
      </c>
      <c r="S635" s="43">
        <f t="shared" si="446"/>
        <v>0</v>
      </c>
      <c r="T635" s="43">
        <f t="shared" si="446"/>
        <v>0</v>
      </c>
      <c r="V635" s="47">
        <f t="shared" si="447"/>
        <v>0</v>
      </c>
      <c r="W635" s="47">
        <f t="shared" si="448"/>
        <v>0</v>
      </c>
      <c r="X635" s="47">
        <f t="shared" si="449"/>
        <v>0</v>
      </c>
      <c r="Y635" s="47">
        <f t="shared" si="450"/>
        <v>0</v>
      </c>
      <c r="Z635" s="47">
        <f t="shared" si="451"/>
        <v>0</v>
      </c>
      <c r="AB635" s="47">
        <f t="shared" si="438"/>
        <v>0</v>
      </c>
      <c r="AC635" s="47">
        <f t="shared" si="439"/>
        <v>0</v>
      </c>
      <c r="AD635" s="47">
        <f t="shared" si="440"/>
        <v>0</v>
      </c>
      <c r="AE635" s="47">
        <f t="shared" si="441"/>
        <v>0</v>
      </c>
      <c r="AF635" s="47">
        <f t="shared" si="442"/>
        <v>0</v>
      </c>
    </row>
    <row r="636" spans="2:32">
      <c r="B636" s="37" t="str">
        <f t="shared" si="435"/>
        <v>Asset 82</v>
      </c>
      <c r="F636" s="37" t="str">
        <f t="shared" ref="F636:L636" si="464">F140</f>
        <v>08 Inrichting gebouwen</v>
      </c>
      <c r="G636" s="37">
        <f t="shared" si="464"/>
        <v>1999</v>
      </c>
      <c r="H636" s="42">
        <f t="shared" si="464"/>
        <v>41263.56</v>
      </c>
      <c r="I636" s="37">
        <f t="shared" si="464"/>
        <v>2021</v>
      </c>
      <c r="J636" s="37">
        <f t="shared" si="464"/>
        <v>10</v>
      </c>
      <c r="K636" s="37">
        <f t="shared" si="464"/>
        <v>0</v>
      </c>
      <c r="L636" s="42">
        <f t="shared" si="464"/>
        <v>0</v>
      </c>
      <c r="N636" s="38">
        <f t="shared" si="437"/>
        <v>0</v>
      </c>
      <c r="P636" s="43">
        <f t="shared" si="446"/>
        <v>0</v>
      </c>
      <c r="Q636" s="43">
        <f t="shared" si="446"/>
        <v>0</v>
      </c>
      <c r="R636" s="43">
        <f t="shared" si="446"/>
        <v>0</v>
      </c>
      <c r="S636" s="43">
        <f t="shared" si="446"/>
        <v>0</v>
      </c>
      <c r="T636" s="43">
        <f t="shared" si="446"/>
        <v>0</v>
      </c>
      <c r="V636" s="47">
        <f t="shared" si="447"/>
        <v>0</v>
      </c>
      <c r="W636" s="47">
        <f t="shared" si="448"/>
        <v>0</v>
      </c>
      <c r="X636" s="47">
        <f t="shared" si="449"/>
        <v>0</v>
      </c>
      <c r="Y636" s="47">
        <f t="shared" si="450"/>
        <v>0</v>
      </c>
      <c r="Z636" s="47">
        <f t="shared" si="451"/>
        <v>0</v>
      </c>
      <c r="AB636" s="47">
        <f t="shared" si="438"/>
        <v>0</v>
      </c>
      <c r="AC636" s="47">
        <f t="shared" si="439"/>
        <v>0</v>
      </c>
      <c r="AD636" s="47">
        <f t="shared" si="440"/>
        <v>0</v>
      </c>
      <c r="AE636" s="47">
        <f t="shared" si="441"/>
        <v>0</v>
      </c>
      <c r="AF636" s="47">
        <f t="shared" si="442"/>
        <v>0</v>
      </c>
    </row>
    <row r="637" spans="2:32">
      <c r="B637" s="37" t="str">
        <f t="shared" si="435"/>
        <v>Asset 83</v>
      </c>
      <c r="F637" s="37" t="str">
        <f t="shared" ref="F637:L637" si="465">F141</f>
        <v>09 Bedrijfsinventaris</v>
      </c>
      <c r="G637" s="37">
        <f t="shared" si="465"/>
        <v>2000</v>
      </c>
      <c r="H637" s="42">
        <f t="shared" si="465"/>
        <v>5312.4</v>
      </c>
      <c r="I637" s="37">
        <f t="shared" si="465"/>
        <v>2021</v>
      </c>
      <c r="J637" s="37">
        <f t="shared" si="465"/>
        <v>10</v>
      </c>
      <c r="K637" s="37">
        <f t="shared" si="465"/>
        <v>1</v>
      </c>
      <c r="L637" s="42">
        <f t="shared" si="465"/>
        <v>0</v>
      </c>
      <c r="N637" s="38">
        <f t="shared" si="437"/>
        <v>0</v>
      </c>
      <c r="P637" s="43">
        <f t="shared" si="446"/>
        <v>0</v>
      </c>
      <c r="Q637" s="43">
        <f t="shared" si="446"/>
        <v>0</v>
      </c>
      <c r="R637" s="43">
        <f t="shared" si="446"/>
        <v>0</v>
      </c>
      <c r="S637" s="43">
        <f t="shared" si="446"/>
        <v>0</v>
      </c>
      <c r="T637" s="43">
        <f t="shared" si="446"/>
        <v>0</v>
      </c>
      <c r="V637" s="47">
        <f t="shared" si="447"/>
        <v>0</v>
      </c>
      <c r="W637" s="47">
        <f t="shared" si="448"/>
        <v>0</v>
      </c>
      <c r="X637" s="47">
        <f t="shared" si="449"/>
        <v>0</v>
      </c>
      <c r="Y637" s="47">
        <f t="shared" si="450"/>
        <v>0</v>
      </c>
      <c r="Z637" s="47">
        <f t="shared" si="451"/>
        <v>0</v>
      </c>
      <c r="AB637" s="47">
        <f t="shared" si="438"/>
        <v>0</v>
      </c>
      <c r="AC637" s="47">
        <f t="shared" si="439"/>
        <v>0</v>
      </c>
      <c r="AD637" s="47">
        <f t="shared" si="440"/>
        <v>0</v>
      </c>
      <c r="AE637" s="47">
        <f t="shared" si="441"/>
        <v>0</v>
      </c>
      <c r="AF637" s="47">
        <f t="shared" si="442"/>
        <v>0</v>
      </c>
    </row>
    <row r="638" spans="2:32">
      <c r="B638" s="37" t="str">
        <f t="shared" si="435"/>
        <v>Asset 84</v>
      </c>
      <c r="F638" s="37" t="str">
        <f t="shared" ref="F638:L638" si="466">F142</f>
        <v>37 ICT middelen 1</v>
      </c>
      <c r="G638" s="37">
        <f t="shared" si="466"/>
        <v>2001</v>
      </c>
      <c r="H638" s="42">
        <f t="shared" si="466"/>
        <v>1754908.7700000003</v>
      </c>
      <c r="I638" s="37">
        <f t="shared" si="466"/>
        <v>2021</v>
      </c>
      <c r="J638" s="37">
        <f t="shared" si="466"/>
        <v>5</v>
      </c>
      <c r="K638" s="37">
        <f t="shared" si="466"/>
        <v>1</v>
      </c>
      <c r="L638" s="42">
        <f t="shared" si="466"/>
        <v>0</v>
      </c>
      <c r="N638" s="38">
        <f t="shared" si="437"/>
        <v>0</v>
      </c>
      <c r="P638" s="43">
        <f t="shared" si="446"/>
        <v>0</v>
      </c>
      <c r="Q638" s="43">
        <f t="shared" si="446"/>
        <v>0</v>
      </c>
      <c r="R638" s="43">
        <f t="shared" si="446"/>
        <v>0</v>
      </c>
      <c r="S638" s="43">
        <f t="shared" si="446"/>
        <v>0</v>
      </c>
      <c r="T638" s="43">
        <f t="shared" si="446"/>
        <v>0</v>
      </c>
      <c r="V638" s="47">
        <f t="shared" si="447"/>
        <v>0</v>
      </c>
      <c r="W638" s="47">
        <f t="shared" si="448"/>
        <v>0</v>
      </c>
      <c r="X638" s="47">
        <f t="shared" si="449"/>
        <v>0</v>
      </c>
      <c r="Y638" s="47">
        <f t="shared" si="450"/>
        <v>0</v>
      </c>
      <c r="Z638" s="47">
        <f t="shared" si="451"/>
        <v>0</v>
      </c>
      <c r="AB638" s="47">
        <f t="shared" si="438"/>
        <v>0</v>
      </c>
      <c r="AC638" s="47">
        <f t="shared" si="439"/>
        <v>0</v>
      </c>
      <c r="AD638" s="47">
        <f t="shared" si="440"/>
        <v>0</v>
      </c>
      <c r="AE638" s="47">
        <f t="shared" si="441"/>
        <v>0</v>
      </c>
      <c r="AF638" s="47">
        <f t="shared" si="442"/>
        <v>0</v>
      </c>
    </row>
    <row r="639" spans="2:32">
      <c r="B639" s="37" t="str">
        <f t="shared" si="435"/>
        <v>Asset 85</v>
      </c>
      <c r="F639" s="37" t="str">
        <f t="shared" ref="F639:L639" si="467">F143</f>
        <v>11 Werktuigen</v>
      </c>
      <c r="G639" s="37">
        <f t="shared" si="467"/>
        <v>2000</v>
      </c>
      <c r="H639" s="42">
        <f t="shared" si="467"/>
        <v>86461.709999999992</v>
      </c>
      <c r="I639" s="37">
        <f t="shared" si="467"/>
        <v>2021</v>
      </c>
      <c r="J639" s="37">
        <f t="shared" si="467"/>
        <v>10</v>
      </c>
      <c r="K639" s="37">
        <f t="shared" si="467"/>
        <v>1</v>
      </c>
      <c r="L639" s="42">
        <f t="shared" si="467"/>
        <v>0</v>
      </c>
      <c r="N639" s="38">
        <f t="shared" si="437"/>
        <v>0</v>
      </c>
      <c r="P639" s="43">
        <f t="shared" si="446"/>
        <v>0</v>
      </c>
      <c r="Q639" s="43">
        <f t="shared" si="446"/>
        <v>0</v>
      </c>
      <c r="R639" s="43">
        <f t="shared" si="446"/>
        <v>0</v>
      </c>
      <c r="S639" s="43">
        <f t="shared" si="446"/>
        <v>0</v>
      </c>
      <c r="T639" s="43">
        <f t="shared" si="446"/>
        <v>0</v>
      </c>
      <c r="V639" s="47">
        <f t="shared" si="447"/>
        <v>0</v>
      </c>
      <c r="W639" s="47">
        <f t="shared" si="448"/>
        <v>0</v>
      </c>
      <c r="X639" s="47">
        <f t="shared" si="449"/>
        <v>0</v>
      </c>
      <c r="Y639" s="47">
        <f t="shared" si="450"/>
        <v>0</v>
      </c>
      <c r="Z639" s="47">
        <f t="shared" si="451"/>
        <v>0</v>
      </c>
      <c r="AB639" s="47">
        <f t="shared" si="438"/>
        <v>0</v>
      </c>
      <c r="AC639" s="47">
        <f t="shared" si="439"/>
        <v>0</v>
      </c>
      <c r="AD639" s="47">
        <f t="shared" si="440"/>
        <v>0</v>
      </c>
      <c r="AE639" s="47">
        <f t="shared" si="441"/>
        <v>0</v>
      </c>
      <c r="AF639" s="47">
        <f t="shared" si="442"/>
        <v>0</v>
      </c>
    </row>
    <row r="640" spans="2:32">
      <c r="B640" s="37" t="str">
        <f t="shared" si="435"/>
        <v>Asset 86</v>
      </c>
      <c r="F640" s="37" t="str">
        <f t="shared" ref="F640:L640" si="468">F144</f>
        <v>13 Aanhangwagens</v>
      </c>
      <c r="G640" s="37">
        <f t="shared" si="468"/>
        <v>1998</v>
      </c>
      <c r="H640" s="42">
        <f t="shared" si="468"/>
        <v>3630.24</v>
      </c>
      <c r="I640" s="37">
        <f t="shared" si="468"/>
        <v>2021</v>
      </c>
      <c r="J640" s="37">
        <f t="shared" si="468"/>
        <v>10</v>
      </c>
      <c r="K640" s="37">
        <f t="shared" si="468"/>
        <v>1</v>
      </c>
      <c r="L640" s="42">
        <f t="shared" si="468"/>
        <v>0</v>
      </c>
      <c r="N640" s="38">
        <f t="shared" si="437"/>
        <v>0</v>
      </c>
      <c r="P640" s="43">
        <f t="shared" si="446"/>
        <v>0</v>
      </c>
      <c r="Q640" s="43">
        <f t="shared" si="446"/>
        <v>0</v>
      </c>
      <c r="R640" s="43">
        <f t="shared" si="446"/>
        <v>0</v>
      </c>
      <c r="S640" s="43">
        <f t="shared" si="446"/>
        <v>0</v>
      </c>
      <c r="T640" s="43">
        <f t="shared" si="446"/>
        <v>0</v>
      </c>
      <c r="V640" s="47">
        <f t="shared" si="447"/>
        <v>0</v>
      </c>
      <c r="W640" s="47">
        <f t="shared" si="448"/>
        <v>0</v>
      </c>
      <c r="X640" s="47">
        <f t="shared" si="449"/>
        <v>0</v>
      </c>
      <c r="Y640" s="47">
        <f t="shared" si="450"/>
        <v>0</v>
      </c>
      <c r="Z640" s="47">
        <f t="shared" si="451"/>
        <v>0</v>
      </c>
      <c r="AB640" s="47">
        <f t="shared" si="438"/>
        <v>0</v>
      </c>
      <c r="AC640" s="47">
        <f t="shared" si="439"/>
        <v>0</v>
      </c>
      <c r="AD640" s="47">
        <f t="shared" si="440"/>
        <v>0</v>
      </c>
      <c r="AE640" s="47">
        <f t="shared" si="441"/>
        <v>0</v>
      </c>
      <c r="AF640" s="47">
        <f t="shared" si="442"/>
        <v>0</v>
      </c>
    </row>
    <row r="641" spans="2:32">
      <c r="B641" s="37" t="str">
        <f t="shared" si="435"/>
        <v>Asset 87</v>
      </c>
      <c r="F641" s="37" t="str">
        <f t="shared" ref="F641:L641" si="469">F145</f>
        <v>37 ICT middelen 1</v>
      </c>
      <c r="G641" s="37">
        <f t="shared" si="469"/>
        <v>2000</v>
      </c>
      <c r="H641" s="42">
        <f t="shared" si="469"/>
        <v>63690.75</v>
      </c>
      <c r="I641" s="37">
        <f t="shared" si="469"/>
        <v>2021</v>
      </c>
      <c r="J641" s="37">
        <f t="shared" si="469"/>
        <v>5</v>
      </c>
      <c r="K641" s="37">
        <f t="shared" si="469"/>
        <v>1</v>
      </c>
      <c r="L641" s="42">
        <f t="shared" si="469"/>
        <v>0</v>
      </c>
      <c r="N641" s="38">
        <f t="shared" si="437"/>
        <v>0</v>
      </c>
      <c r="P641" s="43">
        <f t="shared" si="446"/>
        <v>0</v>
      </c>
      <c r="Q641" s="43">
        <f t="shared" si="446"/>
        <v>0</v>
      </c>
      <c r="R641" s="43">
        <f t="shared" si="446"/>
        <v>0</v>
      </c>
      <c r="S641" s="43">
        <f t="shared" si="446"/>
        <v>0</v>
      </c>
      <c r="T641" s="43">
        <f t="shared" si="446"/>
        <v>0</v>
      </c>
      <c r="V641" s="47">
        <f t="shared" si="447"/>
        <v>0</v>
      </c>
      <c r="W641" s="47">
        <f t="shared" si="448"/>
        <v>0</v>
      </c>
      <c r="X641" s="47">
        <f t="shared" si="449"/>
        <v>0</v>
      </c>
      <c r="Y641" s="47">
        <f t="shared" si="450"/>
        <v>0</v>
      </c>
      <c r="Z641" s="47">
        <f t="shared" si="451"/>
        <v>0</v>
      </c>
      <c r="AB641" s="47">
        <f t="shared" si="438"/>
        <v>0</v>
      </c>
      <c r="AC641" s="47">
        <f t="shared" si="439"/>
        <v>0</v>
      </c>
      <c r="AD641" s="47">
        <f t="shared" si="440"/>
        <v>0</v>
      </c>
      <c r="AE641" s="47">
        <f t="shared" si="441"/>
        <v>0</v>
      </c>
      <c r="AF641" s="47">
        <f t="shared" si="442"/>
        <v>0</v>
      </c>
    </row>
    <row r="642" spans="2:32">
      <c r="B642" s="37" t="str">
        <f t="shared" si="435"/>
        <v>Asset 88</v>
      </c>
      <c r="F642" s="37" t="str">
        <f t="shared" ref="F642:L642" si="470">F146</f>
        <v>08 Inrichting gebouwen</v>
      </c>
      <c r="G642" s="37">
        <f t="shared" si="470"/>
        <v>2000</v>
      </c>
      <c r="H642" s="42">
        <f t="shared" si="470"/>
        <v>53314.77</v>
      </c>
      <c r="I642" s="37">
        <f t="shared" si="470"/>
        <v>2021</v>
      </c>
      <c r="J642" s="37">
        <f t="shared" si="470"/>
        <v>10</v>
      </c>
      <c r="K642" s="37">
        <f t="shared" si="470"/>
        <v>0</v>
      </c>
      <c r="L642" s="42">
        <f t="shared" si="470"/>
        <v>0</v>
      </c>
      <c r="N642" s="38">
        <f t="shared" si="437"/>
        <v>0</v>
      </c>
      <c r="P642" s="43">
        <f t="shared" si="446"/>
        <v>0</v>
      </c>
      <c r="Q642" s="43">
        <f t="shared" si="446"/>
        <v>0</v>
      </c>
      <c r="R642" s="43">
        <f t="shared" si="446"/>
        <v>0</v>
      </c>
      <c r="S642" s="43">
        <f t="shared" si="446"/>
        <v>0</v>
      </c>
      <c r="T642" s="43">
        <f t="shared" si="446"/>
        <v>0</v>
      </c>
      <c r="V642" s="47">
        <f t="shared" si="447"/>
        <v>0</v>
      </c>
      <c r="W642" s="47">
        <f t="shared" si="448"/>
        <v>0</v>
      </c>
      <c r="X642" s="47">
        <f t="shared" si="449"/>
        <v>0</v>
      </c>
      <c r="Y642" s="47">
        <f t="shared" si="450"/>
        <v>0</v>
      </c>
      <c r="Z642" s="47">
        <f t="shared" si="451"/>
        <v>0</v>
      </c>
      <c r="AB642" s="47">
        <f t="shared" si="438"/>
        <v>0</v>
      </c>
      <c r="AC642" s="47">
        <f t="shared" si="439"/>
        <v>0</v>
      </c>
      <c r="AD642" s="47">
        <f t="shared" si="440"/>
        <v>0</v>
      </c>
      <c r="AE642" s="47">
        <f t="shared" si="441"/>
        <v>0</v>
      </c>
      <c r="AF642" s="47">
        <f t="shared" si="442"/>
        <v>0</v>
      </c>
    </row>
    <row r="643" spans="2:32">
      <c r="B643" s="37" t="str">
        <f t="shared" si="435"/>
        <v>Asset 89</v>
      </c>
      <c r="F643" s="37" t="str">
        <f t="shared" ref="F643:L643" si="471">F147</f>
        <v>14 Overig rollend materieel</v>
      </c>
      <c r="G643" s="37">
        <f t="shared" si="471"/>
        <v>2000</v>
      </c>
      <c r="H643" s="42">
        <f t="shared" si="471"/>
        <v>36334.86</v>
      </c>
      <c r="I643" s="37">
        <f t="shared" si="471"/>
        <v>2021</v>
      </c>
      <c r="J643" s="37">
        <f t="shared" si="471"/>
        <v>10</v>
      </c>
      <c r="K643" s="37">
        <f t="shared" si="471"/>
        <v>1</v>
      </c>
      <c r="L643" s="42">
        <f t="shared" si="471"/>
        <v>0</v>
      </c>
      <c r="N643" s="38">
        <f t="shared" si="437"/>
        <v>0</v>
      </c>
      <c r="P643" s="43">
        <f t="shared" si="446"/>
        <v>0</v>
      </c>
      <c r="Q643" s="43">
        <f t="shared" si="446"/>
        <v>0</v>
      </c>
      <c r="R643" s="43">
        <f t="shared" si="446"/>
        <v>0</v>
      </c>
      <c r="S643" s="43">
        <f t="shared" si="446"/>
        <v>0</v>
      </c>
      <c r="T643" s="43">
        <f t="shared" si="446"/>
        <v>0</v>
      </c>
      <c r="V643" s="47">
        <f t="shared" si="447"/>
        <v>0</v>
      </c>
      <c r="W643" s="47">
        <f t="shared" si="448"/>
        <v>0</v>
      </c>
      <c r="X643" s="47">
        <f t="shared" si="449"/>
        <v>0</v>
      </c>
      <c r="Y643" s="47">
        <f t="shared" si="450"/>
        <v>0</v>
      </c>
      <c r="Z643" s="47">
        <f t="shared" si="451"/>
        <v>0</v>
      </c>
      <c r="AB643" s="47">
        <f t="shared" si="438"/>
        <v>0</v>
      </c>
      <c r="AC643" s="47">
        <f t="shared" si="439"/>
        <v>0</v>
      </c>
      <c r="AD643" s="47">
        <f t="shared" si="440"/>
        <v>0</v>
      </c>
      <c r="AE643" s="47">
        <f t="shared" si="441"/>
        <v>0</v>
      </c>
      <c r="AF643" s="47">
        <f t="shared" si="442"/>
        <v>0</v>
      </c>
    </row>
    <row r="644" spans="2:32">
      <c r="B644" s="37" t="str">
        <f t="shared" si="435"/>
        <v>Asset 90</v>
      </c>
      <c r="F644" s="37" t="str">
        <f t="shared" ref="F644:L644" si="472">F148</f>
        <v>06 Utiliteitsgebouwen</v>
      </c>
      <c r="G644" s="37">
        <f t="shared" si="472"/>
        <v>2000</v>
      </c>
      <c r="H644" s="42">
        <f t="shared" si="472"/>
        <v>61022.52</v>
      </c>
      <c r="I644" s="37">
        <f t="shared" si="472"/>
        <v>2021</v>
      </c>
      <c r="J644" s="37">
        <f t="shared" si="472"/>
        <v>30</v>
      </c>
      <c r="K644" s="37">
        <f t="shared" si="472"/>
        <v>0</v>
      </c>
      <c r="L644" s="42">
        <f t="shared" si="472"/>
        <v>25541.383007029126</v>
      </c>
      <c r="N644" s="38">
        <f t="shared" si="437"/>
        <v>8.5</v>
      </c>
      <c r="P644" s="43">
        <f t="shared" si="446"/>
        <v>3004.8685890622501</v>
      </c>
      <c r="Q644" s="43">
        <f t="shared" si="446"/>
        <v>3004.8685890622501</v>
      </c>
      <c r="R644" s="43">
        <f t="shared" si="446"/>
        <v>3004.8685890622501</v>
      </c>
      <c r="S644" s="43">
        <f t="shared" si="446"/>
        <v>3004.8685890622501</v>
      </c>
      <c r="T644" s="43">
        <f t="shared" si="446"/>
        <v>3004.8685890622501</v>
      </c>
      <c r="V644" s="47">
        <f t="shared" si="447"/>
        <v>22536.514417966875</v>
      </c>
      <c r="W644" s="47">
        <f t="shared" si="448"/>
        <v>19531.645828904624</v>
      </c>
      <c r="X644" s="47">
        <f t="shared" si="449"/>
        <v>16526.777239842373</v>
      </c>
      <c r="Y644" s="47">
        <f t="shared" si="450"/>
        <v>13521.908650780122</v>
      </c>
      <c r="Z644" s="47">
        <f t="shared" si="451"/>
        <v>10517.040061717871</v>
      </c>
      <c r="AB644" s="47">
        <f t="shared" si="438"/>
        <v>3771.110079273124</v>
      </c>
      <c r="AC644" s="47">
        <f t="shared" si="439"/>
        <v>3649.4129014161026</v>
      </c>
      <c r="AD644" s="47">
        <f t="shared" si="440"/>
        <v>3632.8861241762602</v>
      </c>
      <c r="AE644" s="47">
        <f t="shared" si="441"/>
        <v>3518.7011177918948</v>
      </c>
      <c r="AF644" s="47">
        <f t="shared" si="442"/>
        <v>3404.516111407529</v>
      </c>
    </row>
    <row r="645" spans="2:32">
      <c r="B645" s="37" t="str">
        <f t="shared" si="435"/>
        <v>Asset 91</v>
      </c>
      <c r="F645" s="37" t="str">
        <f t="shared" ref="F645:L645" si="473">F149</f>
        <v>11 Werktuigen</v>
      </c>
      <c r="G645" s="37">
        <f t="shared" si="473"/>
        <v>2001</v>
      </c>
      <c r="H645" s="42">
        <f t="shared" si="473"/>
        <v>11928.48</v>
      </c>
      <c r="I645" s="37">
        <f t="shared" si="473"/>
        <v>2021</v>
      </c>
      <c r="J645" s="37">
        <f t="shared" si="473"/>
        <v>10</v>
      </c>
      <c r="K645" s="37">
        <f t="shared" si="473"/>
        <v>1</v>
      </c>
      <c r="L645" s="42">
        <f t="shared" si="473"/>
        <v>0</v>
      </c>
      <c r="N645" s="38">
        <f t="shared" si="437"/>
        <v>0</v>
      </c>
      <c r="P645" s="43">
        <f t="shared" si="446"/>
        <v>0</v>
      </c>
      <c r="Q645" s="43">
        <f t="shared" si="446"/>
        <v>0</v>
      </c>
      <c r="R645" s="43">
        <f t="shared" si="446"/>
        <v>0</v>
      </c>
      <c r="S645" s="43">
        <f t="shared" si="446"/>
        <v>0</v>
      </c>
      <c r="T645" s="43">
        <f t="shared" si="446"/>
        <v>0</v>
      </c>
      <c r="V645" s="47">
        <f t="shared" si="447"/>
        <v>0</v>
      </c>
      <c r="W645" s="47">
        <f t="shared" si="448"/>
        <v>0</v>
      </c>
      <c r="X645" s="47">
        <f t="shared" si="449"/>
        <v>0</v>
      </c>
      <c r="Y645" s="47">
        <f t="shared" si="450"/>
        <v>0</v>
      </c>
      <c r="Z645" s="47">
        <f t="shared" si="451"/>
        <v>0</v>
      </c>
      <c r="AB645" s="47">
        <f t="shared" si="438"/>
        <v>0</v>
      </c>
      <c r="AC645" s="47">
        <f t="shared" si="439"/>
        <v>0</v>
      </c>
      <c r="AD645" s="47">
        <f t="shared" si="440"/>
        <v>0</v>
      </c>
      <c r="AE645" s="47">
        <f t="shared" si="441"/>
        <v>0</v>
      </c>
      <c r="AF645" s="47">
        <f t="shared" si="442"/>
        <v>0</v>
      </c>
    </row>
    <row r="646" spans="2:32">
      <c r="B646" s="37" t="str">
        <f t="shared" si="435"/>
        <v>Asset 92</v>
      </c>
      <c r="F646" s="37" t="str">
        <f t="shared" ref="F646:L646" si="474">F150</f>
        <v>14 Overig rollend materieel</v>
      </c>
      <c r="G646" s="37">
        <f t="shared" si="474"/>
        <v>2001</v>
      </c>
      <c r="H646" s="42">
        <f t="shared" si="474"/>
        <v>70639.289999999994</v>
      </c>
      <c r="I646" s="37">
        <f t="shared" si="474"/>
        <v>2021</v>
      </c>
      <c r="J646" s="37">
        <f t="shared" si="474"/>
        <v>10</v>
      </c>
      <c r="K646" s="37">
        <f t="shared" si="474"/>
        <v>1</v>
      </c>
      <c r="L646" s="42">
        <f t="shared" si="474"/>
        <v>0</v>
      </c>
      <c r="N646" s="38">
        <f t="shared" si="437"/>
        <v>0</v>
      </c>
      <c r="P646" s="43">
        <f t="shared" si="446"/>
        <v>0</v>
      </c>
      <c r="Q646" s="43">
        <f t="shared" si="446"/>
        <v>0</v>
      </c>
      <c r="R646" s="43">
        <f t="shared" si="446"/>
        <v>0</v>
      </c>
      <c r="S646" s="43">
        <f t="shared" si="446"/>
        <v>0</v>
      </c>
      <c r="T646" s="43">
        <f t="shared" si="446"/>
        <v>0</v>
      </c>
      <c r="V646" s="47">
        <f t="shared" si="447"/>
        <v>0</v>
      </c>
      <c r="W646" s="47">
        <f t="shared" si="448"/>
        <v>0</v>
      </c>
      <c r="X646" s="47">
        <f t="shared" si="449"/>
        <v>0</v>
      </c>
      <c r="Y646" s="47">
        <f t="shared" si="450"/>
        <v>0</v>
      </c>
      <c r="Z646" s="47">
        <f t="shared" si="451"/>
        <v>0</v>
      </c>
      <c r="AB646" s="47">
        <f t="shared" si="438"/>
        <v>0</v>
      </c>
      <c r="AC646" s="47">
        <f t="shared" si="439"/>
        <v>0</v>
      </c>
      <c r="AD646" s="47">
        <f t="shared" si="440"/>
        <v>0</v>
      </c>
      <c r="AE646" s="47">
        <f t="shared" si="441"/>
        <v>0</v>
      </c>
      <c r="AF646" s="47">
        <f t="shared" si="442"/>
        <v>0</v>
      </c>
    </row>
    <row r="647" spans="2:32">
      <c r="B647" s="37" t="str">
        <f t="shared" si="435"/>
        <v>Asset 93</v>
      </c>
      <c r="F647" s="37" t="str">
        <f t="shared" ref="F647:L647" si="475">F151</f>
        <v>09 Bedrijfsinventaris</v>
      </c>
      <c r="G647" s="37">
        <f t="shared" si="475"/>
        <v>2001</v>
      </c>
      <c r="H647" s="42">
        <f t="shared" si="475"/>
        <v>55051.729999999996</v>
      </c>
      <c r="I647" s="37">
        <f t="shared" si="475"/>
        <v>2021</v>
      </c>
      <c r="J647" s="37">
        <f t="shared" si="475"/>
        <v>10</v>
      </c>
      <c r="K647" s="37">
        <f t="shared" si="475"/>
        <v>1</v>
      </c>
      <c r="L647" s="42">
        <f t="shared" si="475"/>
        <v>0</v>
      </c>
      <c r="N647" s="38">
        <f t="shared" si="437"/>
        <v>0</v>
      </c>
      <c r="P647" s="43">
        <f t="shared" si="446"/>
        <v>0</v>
      </c>
      <c r="Q647" s="43">
        <f t="shared" si="446"/>
        <v>0</v>
      </c>
      <c r="R647" s="43">
        <f t="shared" si="446"/>
        <v>0</v>
      </c>
      <c r="S647" s="43">
        <f t="shared" si="446"/>
        <v>0</v>
      </c>
      <c r="T647" s="43">
        <f t="shared" si="446"/>
        <v>0</v>
      </c>
      <c r="V647" s="47">
        <f t="shared" si="447"/>
        <v>0</v>
      </c>
      <c r="W647" s="47">
        <f t="shared" si="448"/>
        <v>0</v>
      </c>
      <c r="X647" s="47">
        <f t="shared" si="449"/>
        <v>0</v>
      </c>
      <c r="Y647" s="47">
        <f t="shared" si="450"/>
        <v>0</v>
      </c>
      <c r="Z647" s="47">
        <f t="shared" si="451"/>
        <v>0</v>
      </c>
      <c r="AB647" s="47">
        <f t="shared" si="438"/>
        <v>0</v>
      </c>
      <c r="AC647" s="47">
        <f t="shared" si="439"/>
        <v>0</v>
      </c>
      <c r="AD647" s="47">
        <f t="shared" si="440"/>
        <v>0</v>
      </c>
      <c r="AE647" s="47">
        <f t="shared" si="441"/>
        <v>0</v>
      </c>
      <c r="AF647" s="47">
        <f t="shared" si="442"/>
        <v>0</v>
      </c>
    </row>
    <row r="648" spans="2:32">
      <c r="B648" s="37" t="str">
        <f t="shared" si="435"/>
        <v>Asset 94</v>
      </c>
      <c r="F648" s="37" t="str">
        <f t="shared" ref="F648:L648" si="476">F152</f>
        <v>10 Gereedschap</v>
      </c>
      <c r="G648" s="37">
        <f t="shared" si="476"/>
        <v>2002</v>
      </c>
      <c r="H648" s="42">
        <f t="shared" si="476"/>
        <v>26546</v>
      </c>
      <c r="I648" s="37">
        <f t="shared" si="476"/>
        <v>2021</v>
      </c>
      <c r="J648" s="37">
        <f t="shared" si="476"/>
        <v>10</v>
      </c>
      <c r="K648" s="37">
        <f t="shared" si="476"/>
        <v>1</v>
      </c>
      <c r="L648" s="42">
        <f t="shared" si="476"/>
        <v>0</v>
      </c>
      <c r="N648" s="38">
        <f t="shared" si="437"/>
        <v>0</v>
      </c>
      <c r="P648" s="43">
        <f t="shared" si="446"/>
        <v>0</v>
      </c>
      <c r="Q648" s="43">
        <f t="shared" si="446"/>
        <v>0</v>
      </c>
      <c r="R648" s="43">
        <f t="shared" si="446"/>
        <v>0</v>
      </c>
      <c r="S648" s="43">
        <f t="shared" si="446"/>
        <v>0</v>
      </c>
      <c r="T648" s="43">
        <f t="shared" si="446"/>
        <v>0</v>
      </c>
      <c r="V648" s="47">
        <f t="shared" si="447"/>
        <v>0</v>
      </c>
      <c r="W648" s="47">
        <f t="shared" si="448"/>
        <v>0</v>
      </c>
      <c r="X648" s="47">
        <f t="shared" si="449"/>
        <v>0</v>
      </c>
      <c r="Y648" s="47">
        <f t="shared" si="450"/>
        <v>0</v>
      </c>
      <c r="Z648" s="47">
        <f t="shared" si="451"/>
        <v>0</v>
      </c>
      <c r="AB648" s="47">
        <f t="shared" si="438"/>
        <v>0</v>
      </c>
      <c r="AC648" s="47">
        <f t="shared" si="439"/>
        <v>0</v>
      </c>
      <c r="AD648" s="47">
        <f t="shared" si="440"/>
        <v>0</v>
      </c>
      <c r="AE648" s="47">
        <f t="shared" si="441"/>
        <v>0</v>
      </c>
      <c r="AF648" s="47">
        <f t="shared" si="442"/>
        <v>0</v>
      </c>
    </row>
    <row r="649" spans="2:32">
      <c r="B649" s="37" t="str">
        <f t="shared" si="435"/>
        <v>Asset 95</v>
      </c>
      <c r="F649" s="37" t="str">
        <f t="shared" ref="F649:L649" si="477">F153</f>
        <v>03 Verremeting</v>
      </c>
      <c r="G649" s="37">
        <f t="shared" si="477"/>
        <v>2001</v>
      </c>
      <c r="H649" s="42">
        <f t="shared" si="477"/>
        <v>16968.61</v>
      </c>
      <c r="I649" s="37">
        <f t="shared" si="477"/>
        <v>2021</v>
      </c>
      <c r="J649" s="37">
        <f t="shared" si="477"/>
        <v>5</v>
      </c>
      <c r="K649" s="37">
        <f t="shared" si="477"/>
        <v>1</v>
      </c>
      <c r="L649" s="42">
        <f t="shared" si="477"/>
        <v>0</v>
      </c>
      <c r="N649" s="38">
        <f t="shared" si="437"/>
        <v>0</v>
      </c>
      <c r="P649" s="43">
        <f t="shared" si="446"/>
        <v>0</v>
      </c>
      <c r="Q649" s="43">
        <f t="shared" si="446"/>
        <v>0</v>
      </c>
      <c r="R649" s="43">
        <f t="shared" si="446"/>
        <v>0</v>
      </c>
      <c r="S649" s="43">
        <f t="shared" si="446"/>
        <v>0</v>
      </c>
      <c r="T649" s="43">
        <f t="shared" si="446"/>
        <v>0</v>
      </c>
      <c r="V649" s="47">
        <f t="shared" si="447"/>
        <v>0</v>
      </c>
      <c r="W649" s="47">
        <f t="shared" si="448"/>
        <v>0</v>
      </c>
      <c r="X649" s="47">
        <f t="shared" si="449"/>
        <v>0</v>
      </c>
      <c r="Y649" s="47">
        <f t="shared" si="450"/>
        <v>0</v>
      </c>
      <c r="Z649" s="47">
        <f t="shared" si="451"/>
        <v>0</v>
      </c>
      <c r="AB649" s="47">
        <f t="shared" si="438"/>
        <v>0</v>
      </c>
      <c r="AC649" s="47">
        <f t="shared" si="439"/>
        <v>0</v>
      </c>
      <c r="AD649" s="47">
        <f t="shared" si="440"/>
        <v>0</v>
      </c>
      <c r="AE649" s="47">
        <f t="shared" si="441"/>
        <v>0</v>
      </c>
      <c r="AF649" s="47">
        <f t="shared" si="442"/>
        <v>0</v>
      </c>
    </row>
    <row r="650" spans="2:32">
      <c r="B650" s="37" t="str">
        <f t="shared" si="435"/>
        <v>Asset 96</v>
      </c>
      <c r="F650" s="37" t="str">
        <f t="shared" ref="F650:L650" si="478">F154</f>
        <v>08 Inrichting gebouwen</v>
      </c>
      <c r="G650" s="37">
        <f t="shared" si="478"/>
        <v>2001</v>
      </c>
      <c r="H650" s="42">
        <f t="shared" si="478"/>
        <v>7752.83</v>
      </c>
      <c r="I650" s="37">
        <f t="shared" si="478"/>
        <v>2021</v>
      </c>
      <c r="J650" s="37">
        <f t="shared" si="478"/>
        <v>10</v>
      </c>
      <c r="K650" s="37">
        <f t="shared" si="478"/>
        <v>0</v>
      </c>
      <c r="L650" s="42">
        <f t="shared" si="478"/>
        <v>0</v>
      </c>
      <c r="N650" s="38">
        <f t="shared" si="437"/>
        <v>0</v>
      </c>
      <c r="P650" s="43">
        <f t="shared" si="446"/>
        <v>0</v>
      </c>
      <c r="Q650" s="43">
        <f t="shared" si="446"/>
        <v>0</v>
      </c>
      <c r="R650" s="43">
        <f t="shared" si="446"/>
        <v>0</v>
      </c>
      <c r="S650" s="43">
        <f t="shared" si="446"/>
        <v>0</v>
      </c>
      <c r="T650" s="43">
        <f t="shared" si="446"/>
        <v>0</v>
      </c>
      <c r="V650" s="47">
        <f t="shared" si="447"/>
        <v>0</v>
      </c>
      <c r="W650" s="47">
        <f t="shared" si="448"/>
        <v>0</v>
      </c>
      <c r="X650" s="47">
        <f t="shared" si="449"/>
        <v>0</v>
      </c>
      <c r="Y650" s="47">
        <f t="shared" si="450"/>
        <v>0</v>
      </c>
      <c r="Z650" s="47">
        <f t="shared" si="451"/>
        <v>0</v>
      </c>
      <c r="AB650" s="47">
        <f t="shared" si="438"/>
        <v>0</v>
      </c>
      <c r="AC650" s="47">
        <f t="shared" si="439"/>
        <v>0</v>
      </c>
      <c r="AD650" s="47">
        <f t="shared" si="440"/>
        <v>0</v>
      </c>
      <c r="AE650" s="47">
        <f t="shared" si="441"/>
        <v>0</v>
      </c>
      <c r="AF650" s="47">
        <f t="shared" si="442"/>
        <v>0</v>
      </c>
    </row>
    <row r="651" spans="2:32">
      <c r="B651" s="37" t="str">
        <f t="shared" si="435"/>
        <v>Asset 97</v>
      </c>
      <c r="F651" s="37" t="str">
        <f t="shared" ref="F651:L651" si="479">F155</f>
        <v>37 ICT middelen 1 (gaschromatografen en comptabele meting)</v>
      </c>
      <c r="G651" s="37">
        <f t="shared" si="479"/>
        <v>2001</v>
      </c>
      <c r="H651" s="42">
        <f t="shared" si="479"/>
        <v>757040.92</v>
      </c>
      <c r="I651" s="37">
        <f t="shared" si="479"/>
        <v>2021</v>
      </c>
      <c r="J651" s="37">
        <f t="shared" si="479"/>
        <v>5</v>
      </c>
      <c r="K651" s="37">
        <f t="shared" si="479"/>
        <v>0</v>
      </c>
      <c r="L651" s="42">
        <f t="shared" si="479"/>
        <v>0</v>
      </c>
      <c r="N651" s="38">
        <f t="shared" si="437"/>
        <v>0</v>
      </c>
      <c r="P651" s="43">
        <f t="shared" si="446"/>
        <v>0</v>
      </c>
      <c r="Q651" s="43">
        <f t="shared" si="446"/>
        <v>0</v>
      </c>
      <c r="R651" s="43">
        <f t="shared" si="446"/>
        <v>0</v>
      </c>
      <c r="S651" s="43">
        <f t="shared" si="446"/>
        <v>0</v>
      </c>
      <c r="T651" s="43">
        <f t="shared" si="446"/>
        <v>0</v>
      </c>
      <c r="V651" s="47">
        <f t="shared" si="447"/>
        <v>0</v>
      </c>
      <c r="W651" s="47">
        <f t="shared" si="448"/>
        <v>0</v>
      </c>
      <c r="X651" s="47">
        <f t="shared" si="449"/>
        <v>0</v>
      </c>
      <c r="Y651" s="47">
        <f t="shared" si="450"/>
        <v>0</v>
      </c>
      <c r="Z651" s="47">
        <f t="shared" si="451"/>
        <v>0</v>
      </c>
      <c r="AB651" s="47">
        <f t="shared" si="438"/>
        <v>0</v>
      </c>
      <c r="AC651" s="47">
        <f t="shared" si="439"/>
        <v>0</v>
      </c>
      <c r="AD651" s="47">
        <f t="shared" si="440"/>
        <v>0</v>
      </c>
      <c r="AE651" s="47">
        <f t="shared" si="441"/>
        <v>0</v>
      </c>
      <c r="AF651" s="47">
        <f t="shared" si="442"/>
        <v>0</v>
      </c>
    </row>
    <row r="652" spans="2:32">
      <c r="B652" s="37" t="str">
        <f t="shared" si="435"/>
        <v>Asset 98</v>
      </c>
      <c r="F652" s="37" t="str">
        <f t="shared" ref="F652:L652" si="480">F156</f>
        <v>13 Aanhangwagens</v>
      </c>
      <c r="G652" s="37">
        <f t="shared" si="480"/>
        <v>2001</v>
      </c>
      <c r="H652" s="42">
        <f t="shared" si="480"/>
        <v>2746.92</v>
      </c>
      <c r="I652" s="37">
        <f t="shared" si="480"/>
        <v>2021</v>
      </c>
      <c r="J652" s="37">
        <f t="shared" si="480"/>
        <v>10</v>
      </c>
      <c r="K652" s="37">
        <f t="shared" si="480"/>
        <v>1</v>
      </c>
      <c r="L652" s="42">
        <f t="shared" si="480"/>
        <v>0</v>
      </c>
      <c r="N652" s="38">
        <f t="shared" si="437"/>
        <v>0</v>
      </c>
      <c r="P652" s="43">
        <f t="shared" si="446"/>
        <v>0</v>
      </c>
      <c r="Q652" s="43">
        <f t="shared" si="446"/>
        <v>0</v>
      </c>
      <c r="R652" s="43">
        <f t="shared" si="446"/>
        <v>0</v>
      </c>
      <c r="S652" s="43">
        <f t="shared" si="446"/>
        <v>0</v>
      </c>
      <c r="T652" s="43">
        <f t="shared" si="446"/>
        <v>0</v>
      </c>
      <c r="V652" s="47">
        <f t="shared" si="447"/>
        <v>0</v>
      </c>
      <c r="W652" s="47">
        <f t="shared" si="448"/>
        <v>0</v>
      </c>
      <c r="X652" s="47">
        <f t="shared" si="449"/>
        <v>0</v>
      </c>
      <c r="Y652" s="47">
        <f t="shared" si="450"/>
        <v>0</v>
      </c>
      <c r="Z652" s="47">
        <f t="shared" si="451"/>
        <v>0</v>
      </c>
      <c r="AB652" s="47">
        <f t="shared" si="438"/>
        <v>0</v>
      </c>
      <c r="AC652" s="47">
        <f t="shared" si="439"/>
        <v>0</v>
      </c>
      <c r="AD652" s="47">
        <f t="shared" si="440"/>
        <v>0</v>
      </c>
      <c r="AE652" s="47">
        <f t="shared" si="441"/>
        <v>0</v>
      </c>
      <c r="AF652" s="47">
        <f t="shared" si="442"/>
        <v>0</v>
      </c>
    </row>
    <row r="653" spans="2:32">
      <c r="B653" s="37" t="str">
        <f t="shared" si="435"/>
        <v>Asset 99</v>
      </c>
      <c r="F653" s="37" t="str">
        <f t="shared" ref="F653:L653" si="481">F157</f>
        <v>11 Werktuigen</v>
      </c>
      <c r="G653" s="37">
        <f t="shared" si="481"/>
        <v>2002</v>
      </c>
      <c r="H653" s="42">
        <f t="shared" si="481"/>
        <v>108571.05</v>
      </c>
      <c r="I653" s="37">
        <f t="shared" si="481"/>
        <v>2021</v>
      </c>
      <c r="J653" s="37">
        <f t="shared" si="481"/>
        <v>10</v>
      </c>
      <c r="K653" s="37">
        <f t="shared" si="481"/>
        <v>1</v>
      </c>
      <c r="L653" s="42">
        <f t="shared" si="481"/>
        <v>0</v>
      </c>
      <c r="N653" s="38">
        <f t="shared" si="437"/>
        <v>0</v>
      </c>
      <c r="P653" s="43">
        <f t="shared" si="446"/>
        <v>0</v>
      </c>
      <c r="Q653" s="43">
        <f t="shared" si="446"/>
        <v>0</v>
      </c>
      <c r="R653" s="43">
        <f t="shared" si="446"/>
        <v>0</v>
      </c>
      <c r="S653" s="43">
        <f t="shared" si="446"/>
        <v>0</v>
      </c>
      <c r="T653" s="43">
        <f t="shared" si="446"/>
        <v>0</v>
      </c>
      <c r="V653" s="47">
        <f t="shared" si="447"/>
        <v>0</v>
      </c>
      <c r="W653" s="47">
        <f t="shared" si="448"/>
        <v>0</v>
      </c>
      <c r="X653" s="47">
        <f t="shared" si="449"/>
        <v>0</v>
      </c>
      <c r="Y653" s="47">
        <f t="shared" si="450"/>
        <v>0</v>
      </c>
      <c r="Z653" s="47">
        <f t="shared" si="451"/>
        <v>0</v>
      </c>
      <c r="AB653" s="47">
        <f t="shared" si="438"/>
        <v>0</v>
      </c>
      <c r="AC653" s="47">
        <f t="shared" si="439"/>
        <v>0</v>
      </c>
      <c r="AD653" s="47">
        <f t="shared" si="440"/>
        <v>0</v>
      </c>
      <c r="AE653" s="47">
        <f t="shared" si="441"/>
        <v>0</v>
      </c>
      <c r="AF653" s="47">
        <f t="shared" si="442"/>
        <v>0</v>
      </c>
    </row>
    <row r="654" spans="2:32">
      <c r="B654" s="37" t="str">
        <f t="shared" si="435"/>
        <v>Asset 100</v>
      </c>
      <c r="F654" s="37" t="str">
        <f t="shared" ref="F654:L654" si="482">F158</f>
        <v>37 ICT middelen 1 (gaschromatografen en comptabele meting)</v>
      </c>
      <c r="G654" s="37">
        <f t="shared" si="482"/>
        <v>2002</v>
      </c>
      <c r="H654" s="42">
        <f t="shared" si="482"/>
        <v>27589.78</v>
      </c>
      <c r="I654" s="37">
        <f t="shared" si="482"/>
        <v>2021</v>
      </c>
      <c r="J654" s="37">
        <f t="shared" si="482"/>
        <v>5</v>
      </c>
      <c r="K654" s="37">
        <f t="shared" si="482"/>
        <v>0</v>
      </c>
      <c r="L654" s="42">
        <f t="shared" si="482"/>
        <v>0</v>
      </c>
      <c r="N654" s="38">
        <f t="shared" si="437"/>
        <v>0</v>
      </c>
      <c r="P654" s="43">
        <f t="shared" si="446"/>
        <v>0</v>
      </c>
      <c r="Q654" s="43">
        <f t="shared" si="446"/>
        <v>0</v>
      </c>
      <c r="R654" s="43">
        <f t="shared" si="446"/>
        <v>0</v>
      </c>
      <c r="S654" s="43">
        <f t="shared" si="446"/>
        <v>0</v>
      </c>
      <c r="T654" s="43">
        <f t="shared" si="446"/>
        <v>0</v>
      </c>
      <c r="V654" s="47">
        <f t="shared" si="447"/>
        <v>0</v>
      </c>
      <c r="W654" s="47">
        <f t="shared" si="448"/>
        <v>0</v>
      </c>
      <c r="X654" s="47">
        <f t="shared" si="449"/>
        <v>0</v>
      </c>
      <c r="Y654" s="47">
        <f t="shared" si="450"/>
        <v>0</v>
      </c>
      <c r="Z654" s="47">
        <f t="shared" si="451"/>
        <v>0</v>
      </c>
      <c r="AB654" s="47">
        <f t="shared" si="438"/>
        <v>0</v>
      </c>
      <c r="AC654" s="47">
        <f t="shared" si="439"/>
        <v>0</v>
      </c>
      <c r="AD654" s="47">
        <f t="shared" si="440"/>
        <v>0</v>
      </c>
      <c r="AE654" s="47">
        <f t="shared" si="441"/>
        <v>0</v>
      </c>
      <c r="AF654" s="47">
        <f t="shared" si="442"/>
        <v>0</v>
      </c>
    </row>
    <row r="655" spans="2:32">
      <c r="B655" s="37" t="str">
        <f t="shared" si="435"/>
        <v>Asset 101</v>
      </c>
      <c r="F655" s="37" t="str">
        <f t="shared" ref="F655:L655" si="483">F159</f>
        <v>14 Overig rollend materieel</v>
      </c>
      <c r="G655" s="37">
        <f t="shared" si="483"/>
        <v>2002</v>
      </c>
      <c r="H655" s="42">
        <f t="shared" si="483"/>
        <v>7905</v>
      </c>
      <c r="I655" s="37">
        <f t="shared" si="483"/>
        <v>2021</v>
      </c>
      <c r="J655" s="37">
        <f t="shared" si="483"/>
        <v>10</v>
      </c>
      <c r="K655" s="37">
        <f t="shared" si="483"/>
        <v>1</v>
      </c>
      <c r="L655" s="42">
        <f t="shared" si="483"/>
        <v>0</v>
      </c>
      <c r="N655" s="38">
        <f t="shared" si="437"/>
        <v>0</v>
      </c>
      <c r="P655" s="43">
        <f t="shared" si="446"/>
        <v>0</v>
      </c>
      <c r="Q655" s="43">
        <f t="shared" si="446"/>
        <v>0</v>
      </c>
      <c r="R655" s="43">
        <f t="shared" si="446"/>
        <v>0</v>
      </c>
      <c r="S655" s="43">
        <f t="shared" si="446"/>
        <v>0</v>
      </c>
      <c r="T655" s="43">
        <f t="shared" si="446"/>
        <v>0</v>
      </c>
      <c r="V655" s="47">
        <f t="shared" si="447"/>
        <v>0</v>
      </c>
      <c r="W655" s="47">
        <f t="shared" si="448"/>
        <v>0</v>
      </c>
      <c r="X655" s="47">
        <f t="shared" si="449"/>
        <v>0</v>
      </c>
      <c r="Y655" s="47">
        <f t="shared" si="450"/>
        <v>0</v>
      </c>
      <c r="Z655" s="47">
        <f t="shared" si="451"/>
        <v>0</v>
      </c>
      <c r="AB655" s="47">
        <f t="shared" si="438"/>
        <v>0</v>
      </c>
      <c r="AC655" s="47">
        <f t="shared" si="439"/>
        <v>0</v>
      </c>
      <c r="AD655" s="47">
        <f t="shared" si="440"/>
        <v>0</v>
      </c>
      <c r="AE655" s="47">
        <f t="shared" si="441"/>
        <v>0</v>
      </c>
      <c r="AF655" s="47">
        <f t="shared" si="442"/>
        <v>0</v>
      </c>
    </row>
    <row r="656" spans="2:32">
      <c r="B656" s="37" t="str">
        <f t="shared" si="435"/>
        <v>Asset 102</v>
      </c>
      <c r="F656" s="37" t="str">
        <f t="shared" ref="F656:L656" si="484">F160</f>
        <v>13 Aanhangwagens</v>
      </c>
      <c r="G656" s="37">
        <f t="shared" si="484"/>
        <v>2002</v>
      </c>
      <c r="H656" s="42">
        <f t="shared" si="484"/>
        <v>1243</v>
      </c>
      <c r="I656" s="37">
        <f t="shared" si="484"/>
        <v>2021</v>
      </c>
      <c r="J656" s="37">
        <f t="shared" si="484"/>
        <v>10</v>
      </c>
      <c r="K656" s="37">
        <f t="shared" si="484"/>
        <v>1</v>
      </c>
      <c r="L656" s="42">
        <f t="shared" si="484"/>
        <v>0</v>
      </c>
      <c r="N656" s="38">
        <f t="shared" si="437"/>
        <v>0</v>
      </c>
      <c r="P656" s="43">
        <f t="shared" si="446"/>
        <v>0</v>
      </c>
      <c r="Q656" s="43">
        <f t="shared" si="446"/>
        <v>0</v>
      </c>
      <c r="R656" s="43">
        <f t="shared" si="446"/>
        <v>0</v>
      </c>
      <c r="S656" s="43">
        <f t="shared" si="446"/>
        <v>0</v>
      </c>
      <c r="T656" s="43">
        <f t="shared" si="446"/>
        <v>0</v>
      </c>
      <c r="V656" s="47">
        <f t="shared" si="447"/>
        <v>0</v>
      </c>
      <c r="W656" s="47">
        <f t="shared" si="448"/>
        <v>0</v>
      </c>
      <c r="X656" s="47">
        <f t="shared" si="449"/>
        <v>0</v>
      </c>
      <c r="Y656" s="47">
        <f t="shared" si="450"/>
        <v>0</v>
      </c>
      <c r="Z656" s="47">
        <f t="shared" si="451"/>
        <v>0</v>
      </c>
      <c r="AB656" s="47">
        <f t="shared" si="438"/>
        <v>0</v>
      </c>
      <c r="AC656" s="47">
        <f t="shared" si="439"/>
        <v>0</v>
      </c>
      <c r="AD656" s="47">
        <f t="shared" si="440"/>
        <v>0</v>
      </c>
      <c r="AE656" s="47">
        <f t="shared" si="441"/>
        <v>0</v>
      </c>
      <c r="AF656" s="47">
        <f t="shared" si="442"/>
        <v>0</v>
      </c>
    </row>
    <row r="657" spans="2:32">
      <c r="B657" s="37" t="str">
        <f t="shared" si="435"/>
        <v>Asset 103</v>
      </c>
      <c r="F657" s="37" t="str">
        <f t="shared" ref="F657:L657" si="485">F161</f>
        <v>06 Utiliteitsgebouwen</v>
      </c>
      <c r="G657" s="37">
        <f t="shared" si="485"/>
        <v>2002</v>
      </c>
      <c r="H657" s="42">
        <f t="shared" si="485"/>
        <v>68637.27</v>
      </c>
      <c r="I657" s="37">
        <f t="shared" si="485"/>
        <v>2021</v>
      </c>
      <c r="J657" s="37">
        <f t="shared" si="485"/>
        <v>30</v>
      </c>
      <c r="K657" s="37">
        <f t="shared" si="485"/>
        <v>0</v>
      </c>
      <c r="L657" s="42">
        <f t="shared" si="485"/>
        <v>33068.469795601901</v>
      </c>
      <c r="N657" s="38">
        <f t="shared" si="437"/>
        <v>10.5</v>
      </c>
      <c r="P657" s="43">
        <f t="shared" si="446"/>
        <v>3149.3780757716095</v>
      </c>
      <c r="Q657" s="43">
        <f t="shared" si="446"/>
        <v>3149.3780757716099</v>
      </c>
      <c r="R657" s="43">
        <f t="shared" si="446"/>
        <v>3149.3780757716099</v>
      </c>
      <c r="S657" s="43">
        <f t="shared" si="446"/>
        <v>3149.3780757716099</v>
      </c>
      <c r="T657" s="43">
        <f t="shared" si="446"/>
        <v>3149.3780757716099</v>
      </c>
      <c r="V657" s="47">
        <f t="shared" si="447"/>
        <v>29919.091719830292</v>
      </c>
      <c r="W657" s="47">
        <f t="shared" si="448"/>
        <v>26769.713644058684</v>
      </c>
      <c r="X657" s="47">
        <f t="shared" si="449"/>
        <v>23620.335568287075</v>
      </c>
      <c r="Y657" s="47">
        <f t="shared" si="450"/>
        <v>20470.957492515467</v>
      </c>
      <c r="Z657" s="47">
        <f t="shared" si="451"/>
        <v>17321.579416743858</v>
      </c>
      <c r="AB657" s="47">
        <f t="shared" si="438"/>
        <v>4166.6271942458397</v>
      </c>
      <c r="AC657" s="47">
        <f t="shared" si="439"/>
        <v>4032.7786260255466</v>
      </c>
      <c r="AD657" s="47">
        <f t="shared" si="440"/>
        <v>4046.9508273665188</v>
      </c>
      <c r="AE657" s="47">
        <f t="shared" si="441"/>
        <v>3927.2744604871978</v>
      </c>
      <c r="AF657" s="47">
        <f t="shared" si="442"/>
        <v>3807.5980936078768</v>
      </c>
    </row>
    <row r="658" spans="2:32">
      <c r="B658" s="37" t="str">
        <f t="shared" si="435"/>
        <v>Asset 104</v>
      </c>
      <c r="F658" s="37" t="str">
        <f t="shared" ref="F658:L658" si="486">F162</f>
        <v>09 Bedrijfsinventaris</v>
      </c>
      <c r="G658" s="37">
        <f t="shared" si="486"/>
        <v>2003</v>
      </c>
      <c r="H658" s="42">
        <f t="shared" si="486"/>
        <v>108222.26</v>
      </c>
      <c r="I658" s="37">
        <f t="shared" si="486"/>
        <v>2021</v>
      </c>
      <c r="J658" s="37">
        <f t="shared" si="486"/>
        <v>10</v>
      </c>
      <c r="K658" s="37">
        <f t="shared" si="486"/>
        <v>1</v>
      </c>
      <c r="L658" s="42">
        <f t="shared" si="486"/>
        <v>0</v>
      </c>
      <c r="N658" s="38">
        <f t="shared" si="437"/>
        <v>0</v>
      </c>
      <c r="P658" s="43">
        <f t="shared" si="446"/>
        <v>0</v>
      </c>
      <c r="Q658" s="43">
        <f t="shared" si="446"/>
        <v>0</v>
      </c>
      <c r="R658" s="43">
        <f t="shared" si="446"/>
        <v>0</v>
      </c>
      <c r="S658" s="43">
        <f t="shared" si="446"/>
        <v>0</v>
      </c>
      <c r="T658" s="43">
        <f t="shared" si="446"/>
        <v>0</v>
      </c>
      <c r="V658" s="47">
        <f t="shared" si="447"/>
        <v>0</v>
      </c>
      <c r="W658" s="47">
        <f t="shared" si="448"/>
        <v>0</v>
      </c>
      <c r="X658" s="47">
        <f t="shared" si="449"/>
        <v>0</v>
      </c>
      <c r="Y658" s="47">
        <f t="shared" si="450"/>
        <v>0</v>
      </c>
      <c r="Z658" s="47">
        <f t="shared" si="451"/>
        <v>0</v>
      </c>
      <c r="AB658" s="47">
        <f t="shared" si="438"/>
        <v>0</v>
      </c>
      <c r="AC658" s="47">
        <f t="shared" si="439"/>
        <v>0</v>
      </c>
      <c r="AD658" s="47">
        <f t="shared" si="440"/>
        <v>0</v>
      </c>
      <c r="AE658" s="47">
        <f t="shared" si="441"/>
        <v>0</v>
      </c>
      <c r="AF658" s="47">
        <f t="shared" si="442"/>
        <v>0</v>
      </c>
    </row>
    <row r="659" spans="2:32">
      <c r="B659" s="37" t="str">
        <f t="shared" si="435"/>
        <v>Asset 105</v>
      </c>
      <c r="F659" s="37" t="str">
        <f t="shared" ref="F659:L659" si="487">F163</f>
        <v>11 Werktuigen</v>
      </c>
      <c r="G659" s="37">
        <f t="shared" si="487"/>
        <v>2003</v>
      </c>
      <c r="H659" s="42">
        <f t="shared" si="487"/>
        <v>135681.9</v>
      </c>
      <c r="I659" s="37">
        <f t="shared" si="487"/>
        <v>2021</v>
      </c>
      <c r="J659" s="37">
        <f t="shared" si="487"/>
        <v>10</v>
      </c>
      <c r="K659" s="37">
        <f t="shared" si="487"/>
        <v>1</v>
      </c>
      <c r="L659" s="42">
        <f t="shared" si="487"/>
        <v>0</v>
      </c>
      <c r="N659" s="38">
        <f t="shared" si="437"/>
        <v>0</v>
      </c>
      <c r="P659" s="43">
        <f t="shared" si="446"/>
        <v>0</v>
      </c>
      <c r="Q659" s="43">
        <f t="shared" si="446"/>
        <v>0</v>
      </c>
      <c r="R659" s="43">
        <f t="shared" si="446"/>
        <v>0</v>
      </c>
      <c r="S659" s="43">
        <f t="shared" si="446"/>
        <v>0</v>
      </c>
      <c r="T659" s="43">
        <f t="shared" si="446"/>
        <v>0</v>
      </c>
      <c r="V659" s="47">
        <f t="shared" si="447"/>
        <v>0</v>
      </c>
      <c r="W659" s="47">
        <f t="shared" si="448"/>
        <v>0</v>
      </c>
      <c r="X659" s="47">
        <f t="shared" si="449"/>
        <v>0</v>
      </c>
      <c r="Y659" s="47">
        <f t="shared" si="450"/>
        <v>0</v>
      </c>
      <c r="Z659" s="47">
        <f t="shared" si="451"/>
        <v>0</v>
      </c>
      <c r="AB659" s="47">
        <f t="shared" si="438"/>
        <v>0</v>
      </c>
      <c r="AC659" s="47">
        <f t="shared" si="439"/>
        <v>0</v>
      </c>
      <c r="AD659" s="47">
        <f t="shared" si="440"/>
        <v>0</v>
      </c>
      <c r="AE659" s="47">
        <f t="shared" si="441"/>
        <v>0</v>
      </c>
      <c r="AF659" s="47">
        <f t="shared" si="442"/>
        <v>0</v>
      </c>
    </row>
    <row r="660" spans="2:32">
      <c r="B660" s="37" t="str">
        <f t="shared" si="435"/>
        <v>Asset 106</v>
      </c>
      <c r="F660" s="37" t="str">
        <f t="shared" ref="F660:L660" si="488">F164</f>
        <v>37 ICT middelen 1</v>
      </c>
      <c r="G660" s="37">
        <f t="shared" si="488"/>
        <v>2003</v>
      </c>
      <c r="H660" s="42">
        <f t="shared" si="488"/>
        <v>869353.66999999993</v>
      </c>
      <c r="I660" s="37">
        <f t="shared" si="488"/>
        <v>2021</v>
      </c>
      <c r="J660" s="37">
        <f t="shared" si="488"/>
        <v>5</v>
      </c>
      <c r="K660" s="37">
        <f t="shared" si="488"/>
        <v>1</v>
      </c>
      <c r="L660" s="42">
        <f t="shared" si="488"/>
        <v>0</v>
      </c>
      <c r="N660" s="38">
        <f t="shared" si="437"/>
        <v>0</v>
      </c>
      <c r="P660" s="43">
        <f t="shared" si="446"/>
        <v>0</v>
      </c>
      <c r="Q660" s="43">
        <f t="shared" si="446"/>
        <v>0</v>
      </c>
      <c r="R660" s="43">
        <f t="shared" si="446"/>
        <v>0</v>
      </c>
      <c r="S660" s="43">
        <f t="shared" si="446"/>
        <v>0</v>
      </c>
      <c r="T660" s="43">
        <f t="shared" si="446"/>
        <v>0</v>
      </c>
      <c r="V660" s="47">
        <f t="shared" si="447"/>
        <v>0</v>
      </c>
      <c r="W660" s="47">
        <f t="shared" si="448"/>
        <v>0</v>
      </c>
      <c r="X660" s="47">
        <f t="shared" si="449"/>
        <v>0</v>
      </c>
      <c r="Y660" s="47">
        <f t="shared" si="450"/>
        <v>0</v>
      </c>
      <c r="Z660" s="47">
        <f t="shared" si="451"/>
        <v>0</v>
      </c>
      <c r="AB660" s="47">
        <f t="shared" si="438"/>
        <v>0</v>
      </c>
      <c r="AC660" s="47">
        <f t="shared" si="439"/>
        <v>0</v>
      </c>
      <c r="AD660" s="47">
        <f t="shared" si="440"/>
        <v>0</v>
      </c>
      <c r="AE660" s="47">
        <f t="shared" si="441"/>
        <v>0</v>
      </c>
      <c r="AF660" s="47">
        <f t="shared" si="442"/>
        <v>0</v>
      </c>
    </row>
    <row r="661" spans="2:32">
      <c r="B661" s="37" t="str">
        <f t="shared" si="435"/>
        <v>Asset 107</v>
      </c>
      <c r="F661" s="37" t="str">
        <f t="shared" ref="F661:L661" si="489">F165</f>
        <v>37 ICT middelen 1 (gaschromatografen en comptabele meting)</v>
      </c>
      <c r="G661" s="37">
        <f t="shared" si="489"/>
        <v>2003</v>
      </c>
      <c r="H661" s="42">
        <f t="shared" si="489"/>
        <v>1210667.97</v>
      </c>
      <c r="I661" s="37">
        <f t="shared" si="489"/>
        <v>2021</v>
      </c>
      <c r="J661" s="37">
        <f t="shared" si="489"/>
        <v>5</v>
      </c>
      <c r="K661" s="37">
        <f t="shared" si="489"/>
        <v>0</v>
      </c>
      <c r="L661" s="42">
        <f t="shared" si="489"/>
        <v>0</v>
      </c>
      <c r="N661" s="38">
        <f t="shared" si="437"/>
        <v>0</v>
      </c>
      <c r="P661" s="43">
        <f t="shared" si="446"/>
        <v>0</v>
      </c>
      <c r="Q661" s="43">
        <f t="shared" si="446"/>
        <v>0</v>
      </c>
      <c r="R661" s="43">
        <f t="shared" si="446"/>
        <v>0</v>
      </c>
      <c r="S661" s="43">
        <f t="shared" si="446"/>
        <v>0</v>
      </c>
      <c r="T661" s="43">
        <f t="shared" si="446"/>
        <v>0</v>
      </c>
      <c r="V661" s="47">
        <f t="shared" si="447"/>
        <v>0</v>
      </c>
      <c r="W661" s="47">
        <f t="shared" si="448"/>
        <v>0</v>
      </c>
      <c r="X661" s="47">
        <f t="shared" si="449"/>
        <v>0</v>
      </c>
      <c r="Y661" s="47">
        <f t="shared" si="450"/>
        <v>0</v>
      </c>
      <c r="Z661" s="47">
        <f t="shared" si="451"/>
        <v>0</v>
      </c>
      <c r="AB661" s="47">
        <f t="shared" si="438"/>
        <v>0</v>
      </c>
      <c r="AC661" s="47">
        <f t="shared" si="439"/>
        <v>0</v>
      </c>
      <c r="AD661" s="47">
        <f t="shared" si="440"/>
        <v>0</v>
      </c>
      <c r="AE661" s="47">
        <f t="shared" si="441"/>
        <v>0</v>
      </c>
      <c r="AF661" s="47">
        <f t="shared" si="442"/>
        <v>0</v>
      </c>
    </row>
    <row r="662" spans="2:32">
      <c r="B662" s="37" t="str">
        <f t="shared" si="435"/>
        <v>Asset 108</v>
      </c>
      <c r="F662" s="37" t="str">
        <f t="shared" ref="F662:L662" si="490">F166</f>
        <v>10 Gereedschap</v>
      </c>
      <c r="G662" s="37">
        <f t="shared" si="490"/>
        <v>2003</v>
      </c>
      <c r="H662" s="42">
        <f t="shared" si="490"/>
        <v>62325</v>
      </c>
      <c r="I662" s="37">
        <f t="shared" si="490"/>
        <v>2021</v>
      </c>
      <c r="J662" s="37">
        <f t="shared" si="490"/>
        <v>10</v>
      </c>
      <c r="K662" s="37">
        <f t="shared" si="490"/>
        <v>1</v>
      </c>
      <c r="L662" s="42">
        <f t="shared" si="490"/>
        <v>0</v>
      </c>
      <c r="N662" s="38">
        <f t="shared" si="437"/>
        <v>0</v>
      </c>
      <c r="P662" s="43">
        <f t="shared" si="446"/>
        <v>0</v>
      </c>
      <c r="Q662" s="43">
        <f t="shared" si="446"/>
        <v>0</v>
      </c>
      <c r="R662" s="43">
        <f t="shared" si="446"/>
        <v>0</v>
      </c>
      <c r="S662" s="43">
        <f t="shared" si="446"/>
        <v>0</v>
      </c>
      <c r="T662" s="43">
        <f t="shared" si="446"/>
        <v>0</v>
      </c>
      <c r="V662" s="47">
        <f t="shared" si="447"/>
        <v>0</v>
      </c>
      <c r="W662" s="47">
        <f t="shared" si="448"/>
        <v>0</v>
      </c>
      <c r="X662" s="47">
        <f t="shared" si="449"/>
        <v>0</v>
      </c>
      <c r="Y662" s="47">
        <f t="shared" si="450"/>
        <v>0</v>
      </c>
      <c r="Z662" s="47">
        <f t="shared" si="451"/>
        <v>0</v>
      </c>
      <c r="AB662" s="47">
        <f t="shared" si="438"/>
        <v>0</v>
      </c>
      <c r="AC662" s="47">
        <f t="shared" si="439"/>
        <v>0</v>
      </c>
      <c r="AD662" s="47">
        <f t="shared" si="440"/>
        <v>0</v>
      </c>
      <c r="AE662" s="47">
        <f t="shared" si="441"/>
        <v>0</v>
      </c>
      <c r="AF662" s="47">
        <f t="shared" si="442"/>
        <v>0</v>
      </c>
    </row>
    <row r="663" spans="2:32">
      <c r="B663" s="37" t="str">
        <f t="shared" si="435"/>
        <v>Asset 109</v>
      </c>
      <c r="F663" s="37" t="str">
        <f t="shared" ref="F663:L663" si="491">F167</f>
        <v>06 Utiliteitsgebouwen</v>
      </c>
      <c r="G663" s="37">
        <f t="shared" si="491"/>
        <v>2003</v>
      </c>
      <c r="H663" s="42">
        <f t="shared" si="491"/>
        <v>206366.74</v>
      </c>
      <c r="I663" s="37">
        <f t="shared" si="491"/>
        <v>2021</v>
      </c>
      <c r="J663" s="37">
        <f t="shared" si="491"/>
        <v>30</v>
      </c>
      <c r="K663" s="37">
        <f t="shared" si="491"/>
        <v>0</v>
      </c>
      <c r="L663" s="42">
        <f t="shared" si="491"/>
        <v>105414.90479883776</v>
      </c>
      <c r="N663" s="38">
        <f t="shared" si="437"/>
        <v>11.5</v>
      </c>
      <c r="P663" s="43">
        <f t="shared" si="446"/>
        <v>9166.5134607685013</v>
      </c>
      <c r="Q663" s="43">
        <f t="shared" si="446"/>
        <v>9166.5134607685013</v>
      </c>
      <c r="R663" s="43">
        <f t="shared" si="446"/>
        <v>9166.5134607685013</v>
      </c>
      <c r="S663" s="43">
        <f t="shared" si="446"/>
        <v>9166.5134607685013</v>
      </c>
      <c r="T663" s="43">
        <f t="shared" si="446"/>
        <v>9166.5134607685013</v>
      </c>
      <c r="V663" s="47">
        <f t="shared" si="447"/>
        <v>96248.391338069254</v>
      </c>
      <c r="W663" s="47">
        <f t="shared" si="448"/>
        <v>87081.877877300751</v>
      </c>
      <c r="X663" s="47">
        <f t="shared" si="449"/>
        <v>77915.364416532248</v>
      </c>
      <c r="Y663" s="47">
        <f t="shared" si="450"/>
        <v>68748.850955763744</v>
      </c>
      <c r="Z663" s="47">
        <f t="shared" si="451"/>
        <v>59582.337494995241</v>
      </c>
      <c r="AB663" s="47">
        <f t="shared" si="438"/>
        <v>12438.958766262856</v>
      </c>
      <c r="AC663" s="47">
        <f t="shared" si="439"/>
        <v>12040.215430719427</v>
      </c>
      <c r="AD663" s="47">
        <f t="shared" si="440"/>
        <v>12127.297308596726</v>
      </c>
      <c r="AE663" s="47">
        <f t="shared" si="441"/>
        <v>11778.969797087524</v>
      </c>
      <c r="AF663" s="47">
        <f t="shared" si="442"/>
        <v>11430.64228557832</v>
      </c>
    </row>
    <row r="664" spans="2:32">
      <c r="B664" s="37" t="str">
        <f t="shared" si="435"/>
        <v>Asset 110</v>
      </c>
      <c r="F664" s="37" t="str">
        <f t="shared" ref="F664:L664" si="492">F168</f>
        <v>13 Aanhangwagens</v>
      </c>
      <c r="G664" s="37">
        <f t="shared" si="492"/>
        <v>2003</v>
      </c>
      <c r="H664" s="42">
        <f t="shared" si="492"/>
        <v>1830.54</v>
      </c>
      <c r="I664" s="37">
        <f t="shared" si="492"/>
        <v>2021</v>
      </c>
      <c r="J664" s="37">
        <f t="shared" si="492"/>
        <v>10</v>
      </c>
      <c r="K664" s="37">
        <f t="shared" si="492"/>
        <v>1</v>
      </c>
      <c r="L664" s="42">
        <f t="shared" si="492"/>
        <v>0</v>
      </c>
      <c r="N664" s="38">
        <f t="shared" si="437"/>
        <v>0</v>
      </c>
      <c r="P664" s="43">
        <f t="shared" si="446"/>
        <v>0</v>
      </c>
      <c r="Q664" s="43">
        <f t="shared" si="446"/>
        <v>0</v>
      </c>
      <c r="R664" s="43">
        <f t="shared" si="446"/>
        <v>0</v>
      </c>
      <c r="S664" s="43">
        <f t="shared" si="446"/>
        <v>0</v>
      </c>
      <c r="T664" s="43">
        <f t="shared" si="446"/>
        <v>0</v>
      </c>
      <c r="V664" s="47">
        <f t="shared" si="447"/>
        <v>0</v>
      </c>
      <c r="W664" s="47">
        <f t="shared" si="448"/>
        <v>0</v>
      </c>
      <c r="X664" s="47">
        <f t="shared" si="449"/>
        <v>0</v>
      </c>
      <c r="Y664" s="47">
        <f t="shared" si="450"/>
        <v>0</v>
      </c>
      <c r="Z664" s="47">
        <f t="shared" si="451"/>
        <v>0</v>
      </c>
      <c r="AB664" s="47">
        <f t="shared" si="438"/>
        <v>0</v>
      </c>
      <c r="AC664" s="47">
        <f t="shared" si="439"/>
        <v>0</v>
      </c>
      <c r="AD664" s="47">
        <f t="shared" si="440"/>
        <v>0</v>
      </c>
      <c r="AE664" s="47">
        <f t="shared" si="441"/>
        <v>0</v>
      </c>
      <c r="AF664" s="47">
        <f t="shared" si="442"/>
        <v>0</v>
      </c>
    </row>
    <row r="665" spans="2:32">
      <c r="B665" s="37" t="str">
        <f t="shared" si="435"/>
        <v>Asset 111</v>
      </c>
      <c r="F665" s="37" t="str">
        <f t="shared" ref="F665:L665" si="493">F169</f>
        <v>37 ICT middelen 1</v>
      </c>
      <c r="G665" s="37">
        <f t="shared" si="493"/>
        <v>2004</v>
      </c>
      <c r="H665" s="42">
        <f t="shared" si="493"/>
        <v>2583848.4300000002</v>
      </c>
      <c r="I665" s="37">
        <f t="shared" si="493"/>
        <v>2021</v>
      </c>
      <c r="J665" s="37">
        <f t="shared" si="493"/>
        <v>5</v>
      </c>
      <c r="K665" s="37">
        <f t="shared" si="493"/>
        <v>1</v>
      </c>
      <c r="L665" s="42">
        <f t="shared" si="493"/>
        <v>0</v>
      </c>
      <c r="N665" s="38">
        <f t="shared" si="437"/>
        <v>0</v>
      </c>
      <c r="P665" s="43">
        <f t="shared" si="446"/>
        <v>0</v>
      </c>
      <c r="Q665" s="43">
        <f t="shared" si="446"/>
        <v>0</v>
      </c>
      <c r="R665" s="43">
        <f t="shared" si="446"/>
        <v>0</v>
      </c>
      <c r="S665" s="43">
        <f t="shared" si="446"/>
        <v>0</v>
      </c>
      <c r="T665" s="43">
        <f t="shared" si="446"/>
        <v>0</v>
      </c>
      <c r="V665" s="47">
        <f t="shared" si="447"/>
        <v>0</v>
      </c>
      <c r="W665" s="47">
        <f t="shared" si="448"/>
        <v>0</v>
      </c>
      <c r="X665" s="47">
        <f t="shared" si="449"/>
        <v>0</v>
      </c>
      <c r="Y665" s="47">
        <f t="shared" si="450"/>
        <v>0</v>
      </c>
      <c r="Z665" s="47">
        <f t="shared" si="451"/>
        <v>0</v>
      </c>
      <c r="AB665" s="47">
        <f t="shared" si="438"/>
        <v>0</v>
      </c>
      <c r="AC665" s="47">
        <f t="shared" si="439"/>
        <v>0</v>
      </c>
      <c r="AD665" s="47">
        <f t="shared" si="440"/>
        <v>0</v>
      </c>
      <c r="AE665" s="47">
        <f t="shared" si="441"/>
        <v>0</v>
      </c>
      <c r="AF665" s="47">
        <f t="shared" si="442"/>
        <v>0</v>
      </c>
    </row>
    <row r="666" spans="2:32">
      <c r="B666" s="37" t="str">
        <f t="shared" si="435"/>
        <v>Asset 112</v>
      </c>
      <c r="F666" s="37" t="str">
        <f t="shared" ref="F666:L666" si="494">F170</f>
        <v>37 ICT middelen 1 (gaschromatografen en comptabele meting)</v>
      </c>
      <c r="G666" s="37">
        <f t="shared" si="494"/>
        <v>2004</v>
      </c>
      <c r="H666" s="42">
        <f t="shared" si="494"/>
        <v>263122.5</v>
      </c>
      <c r="I666" s="37">
        <f t="shared" si="494"/>
        <v>2021</v>
      </c>
      <c r="J666" s="37">
        <f t="shared" si="494"/>
        <v>5</v>
      </c>
      <c r="K666" s="37">
        <f t="shared" si="494"/>
        <v>0</v>
      </c>
      <c r="L666" s="42">
        <f t="shared" si="494"/>
        <v>0</v>
      </c>
      <c r="N666" s="38">
        <f t="shared" si="437"/>
        <v>0</v>
      </c>
      <c r="P666" s="43">
        <f t="shared" si="446"/>
        <v>0</v>
      </c>
      <c r="Q666" s="43">
        <f t="shared" si="446"/>
        <v>0</v>
      </c>
      <c r="R666" s="43">
        <f t="shared" si="446"/>
        <v>0</v>
      </c>
      <c r="S666" s="43">
        <f t="shared" si="446"/>
        <v>0</v>
      </c>
      <c r="T666" s="43">
        <f t="shared" si="446"/>
        <v>0</v>
      </c>
      <c r="V666" s="47">
        <f t="shared" si="447"/>
        <v>0</v>
      </c>
      <c r="W666" s="47">
        <f t="shared" si="448"/>
        <v>0</v>
      </c>
      <c r="X666" s="47">
        <f t="shared" si="449"/>
        <v>0</v>
      </c>
      <c r="Y666" s="47">
        <f t="shared" si="450"/>
        <v>0</v>
      </c>
      <c r="Z666" s="47">
        <f t="shared" si="451"/>
        <v>0</v>
      </c>
      <c r="AB666" s="47">
        <f t="shared" si="438"/>
        <v>0</v>
      </c>
      <c r="AC666" s="47">
        <f t="shared" si="439"/>
        <v>0</v>
      </c>
      <c r="AD666" s="47">
        <f t="shared" si="440"/>
        <v>0</v>
      </c>
      <c r="AE666" s="47">
        <f t="shared" si="441"/>
        <v>0</v>
      </c>
      <c r="AF666" s="47">
        <f t="shared" si="442"/>
        <v>0</v>
      </c>
    </row>
    <row r="667" spans="2:32">
      <c r="B667" s="37" t="str">
        <f t="shared" si="435"/>
        <v>Asset 113</v>
      </c>
      <c r="F667" s="37" t="str">
        <f t="shared" ref="F667:L667" si="495">F171</f>
        <v>09 Bedrijfsinventaris</v>
      </c>
      <c r="G667" s="37">
        <f t="shared" si="495"/>
        <v>2004</v>
      </c>
      <c r="H667" s="42">
        <f t="shared" si="495"/>
        <v>142655</v>
      </c>
      <c r="I667" s="37">
        <f t="shared" si="495"/>
        <v>2021</v>
      </c>
      <c r="J667" s="37">
        <f t="shared" si="495"/>
        <v>10</v>
      </c>
      <c r="K667" s="37">
        <f t="shared" si="495"/>
        <v>1</v>
      </c>
      <c r="L667" s="42">
        <f t="shared" si="495"/>
        <v>0</v>
      </c>
      <c r="N667" s="38">
        <f t="shared" si="437"/>
        <v>0</v>
      </c>
      <c r="P667" s="43">
        <f t="shared" si="446"/>
        <v>0</v>
      </c>
      <c r="Q667" s="43">
        <f t="shared" si="446"/>
        <v>0</v>
      </c>
      <c r="R667" s="43">
        <f t="shared" si="446"/>
        <v>0</v>
      </c>
      <c r="S667" s="43">
        <f t="shared" si="446"/>
        <v>0</v>
      </c>
      <c r="T667" s="43">
        <f t="shared" si="446"/>
        <v>0</v>
      </c>
      <c r="V667" s="47">
        <f t="shared" si="447"/>
        <v>0</v>
      </c>
      <c r="W667" s="47">
        <f t="shared" si="448"/>
        <v>0</v>
      </c>
      <c r="X667" s="47">
        <f t="shared" si="449"/>
        <v>0</v>
      </c>
      <c r="Y667" s="47">
        <f t="shared" si="450"/>
        <v>0</v>
      </c>
      <c r="Z667" s="47">
        <f t="shared" si="451"/>
        <v>0</v>
      </c>
      <c r="AB667" s="47">
        <f t="shared" si="438"/>
        <v>0</v>
      </c>
      <c r="AC667" s="47">
        <f t="shared" si="439"/>
        <v>0</v>
      </c>
      <c r="AD667" s="47">
        <f t="shared" si="440"/>
        <v>0</v>
      </c>
      <c r="AE667" s="47">
        <f t="shared" si="441"/>
        <v>0</v>
      </c>
      <c r="AF667" s="47">
        <f t="shared" si="442"/>
        <v>0</v>
      </c>
    </row>
    <row r="668" spans="2:32">
      <c r="B668" s="37" t="str">
        <f t="shared" si="435"/>
        <v>Asset 114</v>
      </c>
      <c r="F668" s="37" t="str">
        <f t="shared" ref="F668:L668" si="496">F172</f>
        <v>11 Werktuigen</v>
      </c>
      <c r="G668" s="37">
        <f t="shared" si="496"/>
        <v>2004</v>
      </c>
      <c r="H668" s="42">
        <f t="shared" si="496"/>
        <v>77020.09</v>
      </c>
      <c r="I668" s="37">
        <f t="shared" si="496"/>
        <v>2021</v>
      </c>
      <c r="J668" s="37">
        <f t="shared" si="496"/>
        <v>10</v>
      </c>
      <c r="K668" s="37">
        <f t="shared" si="496"/>
        <v>1</v>
      </c>
      <c r="L668" s="42">
        <f t="shared" si="496"/>
        <v>0</v>
      </c>
      <c r="N668" s="38">
        <f t="shared" si="437"/>
        <v>0</v>
      </c>
      <c r="P668" s="43">
        <f t="shared" si="446"/>
        <v>0</v>
      </c>
      <c r="Q668" s="43">
        <f t="shared" si="446"/>
        <v>0</v>
      </c>
      <c r="R668" s="43">
        <f t="shared" si="446"/>
        <v>0</v>
      </c>
      <c r="S668" s="43">
        <f t="shared" si="446"/>
        <v>0</v>
      </c>
      <c r="T668" s="43">
        <f t="shared" si="446"/>
        <v>0</v>
      </c>
      <c r="V668" s="47">
        <f t="shared" si="447"/>
        <v>0</v>
      </c>
      <c r="W668" s="47">
        <f t="shared" si="448"/>
        <v>0</v>
      </c>
      <c r="X668" s="47">
        <f t="shared" si="449"/>
        <v>0</v>
      </c>
      <c r="Y668" s="47">
        <f t="shared" si="450"/>
        <v>0</v>
      </c>
      <c r="Z668" s="47">
        <f t="shared" si="451"/>
        <v>0</v>
      </c>
      <c r="AB668" s="47">
        <f t="shared" si="438"/>
        <v>0</v>
      </c>
      <c r="AC668" s="47">
        <f t="shared" si="439"/>
        <v>0</v>
      </c>
      <c r="AD668" s="47">
        <f t="shared" si="440"/>
        <v>0</v>
      </c>
      <c r="AE668" s="47">
        <f t="shared" si="441"/>
        <v>0</v>
      </c>
      <c r="AF668" s="47">
        <f t="shared" si="442"/>
        <v>0</v>
      </c>
    </row>
    <row r="669" spans="2:32">
      <c r="B669" s="37" t="str">
        <f t="shared" si="435"/>
        <v>Asset 115</v>
      </c>
      <c r="F669" s="37" t="str">
        <f t="shared" ref="F669:L669" si="497">F173</f>
        <v>14 Overig rollend materieel</v>
      </c>
      <c r="G669" s="37">
        <f t="shared" si="497"/>
        <v>2004</v>
      </c>
      <c r="H669" s="42">
        <f t="shared" si="497"/>
        <v>195332.07</v>
      </c>
      <c r="I669" s="37">
        <f t="shared" si="497"/>
        <v>2021</v>
      </c>
      <c r="J669" s="37">
        <f t="shared" si="497"/>
        <v>10</v>
      </c>
      <c r="K669" s="37">
        <f t="shared" si="497"/>
        <v>1</v>
      </c>
      <c r="L669" s="42">
        <f t="shared" si="497"/>
        <v>0</v>
      </c>
      <c r="N669" s="38">
        <f t="shared" si="437"/>
        <v>0</v>
      </c>
      <c r="P669" s="43">
        <f t="shared" si="446"/>
        <v>0</v>
      </c>
      <c r="Q669" s="43">
        <f t="shared" si="446"/>
        <v>0</v>
      </c>
      <c r="R669" s="43">
        <f t="shared" si="446"/>
        <v>0</v>
      </c>
      <c r="S669" s="43">
        <f t="shared" si="446"/>
        <v>0</v>
      </c>
      <c r="T669" s="43">
        <f t="shared" si="446"/>
        <v>0</v>
      </c>
      <c r="V669" s="47">
        <f t="shared" si="447"/>
        <v>0</v>
      </c>
      <c r="W669" s="47">
        <f t="shared" si="448"/>
        <v>0</v>
      </c>
      <c r="X669" s="47">
        <f t="shared" si="449"/>
        <v>0</v>
      </c>
      <c r="Y669" s="47">
        <f t="shared" si="450"/>
        <v>0</v>
      </c>
      <c r="Z669" s="47">
        <f t="shared" si="451"/>
        <v>0</v>
      </c>
      <c r="AB669" s="47">
        <f t="shared" si="438"/>
        <v>0</v>
      </c>
      <c r="AC669" s="47">
        <f t="shared" si="439"/>
        <v>0</v>
      </c>
      <c r="AD669" s="47">
        <f t="shared" si="440"/>
        <v>0</v>
      </c>
      <c r="AE669" s="47">
        <f t="shared" si="441"/>
        <v>0</v>
      </c>
      <c r="AF669" s="47">
        <f t="shared" si="442"/>
        <v>0</v>
      </c>
    </row>
    <row r="670" spans="2:32">
      <c r="B670" s="37" t="str">
        <f t="shared" si="435"/>
        <v>Asset 116</v>
      </c>
      <c r="F670" s="37" t="str">
        <f t="shared" ref="F670:L670" si="498">F174</f>
        <v>13 Aanhangwagens</v>
      </c>
      <c r="G670" s="37">
        <f t="shared" si="498"/>
        <v>2004</v>
      </c>
      <c r="H670" s="42">
        <f t="shared" si="498"/>
        <v>1265</v>
      </c>
      <c r="I670" s="37">
        <f t="shared" si="498"/>
        <v>2021</v>
      </c>
      <c r="J670" s="37">
        <f t="shared" si="498"/>
        <v>10</v>
      </c>
      <c r="K670" s="37">
        <f t="shared" si="498"/>
        <v>1</v>
      </c>
      <c r="L670" s="42">
        <f t="shared" si="498"/>
        <v>0</v>
      </c>
      <c r="N670" s="38">
        <f t="shared" si="437"/>
        <v>0</v>
      </c>
      <c r="P670" s="43">
        <f t="shared" si="446"/>
        <v>0</v>
      </c>
      <c r="Q670" s="43">
        <f t="shared" si="446"/>
        <v>0</v>
      </c>
      <c r="R670" s="43">
        <f t="shared" si="446"/>
        <v>0</v>
      </c>
      <c r="S670" s="43">
        <f t="shared" si="446"/>
        <v>0</v>
      </c>
      <c r="T670" s="43">
        <f t="shared" si="446"/>
        <v>0</v>
      </c>
      <c r="V670" s="47">
        <f t="shared" si="447"/>
        <v>0</v>
      </c>
      <c r="W670" s="47">
        <f t="shared" si="448"/>
        <v>0</v>
      </c>
      <c r="X670" s="47">
        <f t="shared" si="449"/>
        <v>0</v>
      </c>
      <c r="Y670" s="47">
        <f t="shared" si="450"/>
        <v>0</v>
      </c>
      <c r="Z670" s="47">
        <f t="shared" si="451"/>
        <v>0</v>
      </c>
      <c r="AB670" s="47">
        <f t="shared" si="438"/>
        <v>0</v>
      </c>
      <c r="AC670" s="47">
        <f t="shared" si="439"/>
        <v>0</v>
      </c>
      <c r="AD670" s="47">
        <f t="shared" si="440"/>
        <v>0</v>
      </c>
      <c r="AE670" s="47">
        <f t="shared" si="441"/>
        <v>0</v>
      </c>
      <c r="AF670" s="47">
        <f t="shared" si="442"/>
        <v>0</v>
      </c>
    </row>
    <row r="671" spans="2:32">
      <c r="B671" s="37" t="str">
        <f t="shared" si="435"/>
        <v>Asset 117</v>
      </c>
      <c r="F671" s="37" t="str">
        <f t="shared" ref="F671:L671" si="499">F175</f>
        <v>08 Inrichting gebouwen</v>
      </c>
      <c r="G671" s="37">
        <f t="shared" si="499"/>
        <v>2004</v>
      </c>
      <c r="H671" s="42">
        <f t="shared" si="499"/>
        <v>62865.23</v>
      </c>
      <c r="I671" s="37">
        <f t="shared" si="499"/>
        <v>2021</v>
      </c>
      <c r="J671" s="37">
        <f t="shared" si="499"/>
        <v>10</v>
      </c>
      <c r="K671" s="37">
        <f t="shared" si="499"/>
        <v>0</v>
      </c>
      <c r="L671" s="42">
        <f t="shared" si="499"/>
        <v>0</v>
      </c>
      <c r="N671" s="38">
        <f t="shared" si="437"/>
        <v>0</v>
      </c>
      <c r="P671" s="43">
        <f t="shared" si="446"/>
        <v>0</v>
      </c>
      <c r="Q671" s="43">
        <f t="shared" si="446"/>
        <v>0</v>
      </c>
      <c r="R671" s="43">
        <f t="shared" si="446"/>
        <v>0</v>
      </c>
      <c r="S671" s="43">
        <f t="shared" si="446"/>
        <v>0</v>
      </c>
      <c r="T671" s="43">
        <f t="shared" si="446"/>
        <v>0</v>
      </c>
      <c r="V671" s="47">
        <f t="shared" si="447"/>
        <v>0</v>
      </c>
      <c r="W671" s="47">
        <f t="shared" si="448"/>
        <v>0</v>
      </c>
      <c r="X671" s="47">
        <f t="shared" si="449"/>
        <v>0</v>
      </c>
      <c r="Y671" s="47">
        <f t="shared" si="450"/>
        <v>0</v>
      </c>
      <c r="Z671" s="47">
        <f t="shared" si="451"/>
        <v>0</v>
      </c>
      <c r="AB671" s="47">
        <f t="shared" si="438"/>
        <v>0</v>
      </c>
      <c r="AC671" s="47">
        <f t="shared" si="439"/>
        <v>0</v>
      </c>
      <c r="AD671" s="47">
        <f t="shared" si="440"/>
        <v>0</v>
      </c>
      <c r="AE671" s="47">
        <f t="shared" si="441"/>
        <v>0</v>
      </c>
      <c r="AF671" s="47">
        <f t="shared" si="442"/>
        <v>0</v>
      </c>
    </row>
    <row r="672" spans="2:32">
      <c r="B672" s="37" t="str">
        <f t="shared" si="435"/>
        <v>Asset 118</v>
      </c>
      <c r="F672" s="37" t="str">
        <f t="shared" ref="F672:L672" si="500">F176</f>
        <v>12 Motorvoertuigen</v>
      </c>
      <c r="G672" s="37">
        <f t="shared" si="500"/>
        <v>2004</v>
      </c>
      <c r="H672" s="42">
        <f t="shared" si="500"/>
        <v>47369.03</v>
      </c>
      <c r="I672" s="37">
        <f t="shared" si="500"/>
        <v>2021</v>
      </c>
      <c r="J672" s="37">
        <f t="shared" si="500"/>
        <v>10</v>
      </c>
      <c r="K672" s="37">
        <f t="shared" si="500"/>
        <v>1</v>
      </c>
      <c r="L672" s="42">
        <f t="shared" si="500"/>
        <v>0</v>
      </c>
      <c r="N672" s="38">
        <f t="shared" si="437"/>
        <v>0</v>
      </c>
      <c r="P672" s="43">
        <f t="shared" si="446"/>
        <v>0</v>
      </c>
      <c r="Q672" s="43">
        <f t="shared" si="446"/>
        <v>0</v>
      </c>
      <c r="R672" s="43">
        <f t="shared" si="446"/>
        <v>0</v>
      </c>
      <c r="S672" s="43">
        <f t="shared" si="446"/>
        <v>0</v>
      </c>
      <c r="T672" s="43">
        <f t="shared" si="446"/>
        <v>0</v>
      </c>
      <c r="V672" s="47">
        <f t="shared" si="447"/>
        <v>0</v>
      </c>
      <c r="W672" s="47">
        <f t="shared" si="448"/>
        <v>0</v>
      </c>
      <c r="X672" s="47">
        <f t="shared" si="449"/>
        <v>0</v>
      </c>
      <c r="Y672" s="47">
        <f t="shared" si="450"/>
        <v>0</v>
      </c>
      <c r="Z672" s="47">
        <f t="shared" si="451"/>
        <v>0</v>
      </c>
      <c r="AB672" s="47">
        <f t="shared" si="438"/>
        <v>0</v>
      </c>
      <c r="AC672" s="47">
        <f t="shared" si="439"/>
        <v>0</v>
      </c>
      <c r="AD672" s="47">
        <f t="shared" si="440"/>
        <v>0</v>
      </c>
      <c r="AE672" s="47">
        <f t="shared" si="441"/>
        <v>0</v>
      </c>
      <c r="AF672" s="47">
        <f t="shared" si="442"/>
        <v>0</v>
      </c>
    </row>
    <row r="673" spans="2:32">
      <c r="B673" s="37" t="str">
        <f t="shared" si="435"/>
        <v>Asset 119</v>
      </c>
      <c r="F673" s="37" t="str">
        <f t="shared" ref="F673:L673" si="501">F177</f>
        <v>06 Utiliteitsgebouwen</v>
      </c>
      <c r="G673" s="37">
        <f t="shared" si="501"/>
        <v>2005</v>
      </c>
      <c r="H673" s="42">
        <f t="shared" si="501"/>
        <v>13716.41</v>
      </c>
      <c r="I673" s="37">
        <f t="shared" si="501"/>
        <v>2021</v>
      </c>
      <c r="J673" s="37">
        <f t="shared" si="501"/>
        <v>30</v>
      </c>
      <c r="K673" s="37">
        <f t="shared" si="501"/>
        <v>0</v>
      </c>
      <c r="L673" s="42">
        <f t="shared" si="501"/>
        <v>7968.2289834864932</v>
      </c>
      <c r="N673" s="38">
        <f t="shared" si="437"/>
        <v>13.5</v>
      </c>
      <c r="P673" s="43">
        <f t="shared" si="446"/>
        <v>590.23918396196245</v>
      </c>
      <c r="Q673" s="43">
        <f t="shared" si="446"/>
        <v>590.23918396196245</v>
      </c>
      <c r="R673" s="43">
        <f t="shared" si="446"/>
        <v>590.23918396196245</v>
      </c>
      <c r="S673" s="43">
        <f t="shared" si="446"/>
        <v>590.23918396196245</v>
      </c>
      <c r="T673" s="43">
        <f t="shared" si="446"/>
        <v>590.23918396196245</v>
      </c>
      <c r="V673" s="47">
        <f t="shared" si="447"/>
        <v>7377.989799524531</v>
      </c>
      <c r="W673" s="47">
        <f t="shared" si="448"/>
        <v>6787.7506155625688</v>
      </c>
      <c r="X673" s="47">
        <f t="shared" si="449"/>
        <v>6197.5114316006066</v>
      </c>
      <c r="Y673" s="47">
        <f t="shared" si="450"/>
        <v>5607.2722476386443</v>
      </c>
      <c r="Z673" s="47">
        <f t="shared" si="451"/>
        <v>5017.0330636766821</v>
      </c>
      <c r="AB673" s="47">
        <f t="shared" si="438"/>
        <v>841.09083714579651</v>
      </c>
      <c r="AC673" s="47">
        <f t="shared" si="439"/>
        <v>814.23495427552723</v>
      </c>
      <c r="AD673" s="47">
        <f t="shared" si="440"/>
        <v>825.74461836278556</v>
      </c>
      <c r="AE673" s="47">
        <f t="shared" si="441"/>
        <v>803.31552937223091</v>
      </c>
      <c r="AF673" s="47">
        <f t="shared" si="442"/>
        <v>780.88644038167638</v>
      </c>
    </row>
    <row r="674" spans="2:32">
      <c r="B674" s="37" t="str">
        <f t="shared" si="435"/>
        <v>Asset 120</v>
      </c>
      <c r="F674" s="37" t="str">
        <f t="shared" ref="F674:L674" si="502">F178</f>
        <v>13 Aanhangwagens</v>
      </c>
      <c r="G674" s="37">
        <f t="shared" si="502"/>
        <v>2005</v>
      </c>
      <c r="H674" s="42">
        <f t="shared" si="502"/>
        <v>5690.5</v>
      </c>
      <c r="I674" s="37">
        <f t="shared" si="502"/>
        <v>2021</v>
      </c>
      <c r="J674" s="37">
        <f t="shared" si="502"/>
        <v>10</v>
      </c>
      <c r="K674" s="37">
        <f t="shared" si="502"/>
        <v>1</v>
      </c>
      <c r="L674" s="42">
        <f t="shared" si="502"/>
        <v>0</v>
      </c>
      <c r="N674" s="38">
        <f t="shared" si="437"/>
        <v>0</v>
      </c>
      <c r="P674" s="43">
        <f t="shared" ref="P674:T724" si="503">IF(P$553&lt;=$G674+$J674,VDB($L674,0,$N674,P$553-2022,MIN(P$553-2021,$N674),1),0)</f>
        <v>0</v>
      </c>
      <c r="Q674" s="43">
        <f t="shared" si="503"/>
        <v>0</v>
      </c>
      <c r="R674" s="43">
        <f t="shared" si="503"/>
        <v>0</v>
      </c>
      <c r="S674" s="43">
        <f t="shared" si="503"/>
        <v>0</v>
      </c>
      <c r="T674" s="43">
        <f t="shared" si="503"/>
        <v>0</v>
      </c>
      <c r="V674" s="47">
        <f t="shared" si="447"/>
        <v>0</v>
      </c>
      <c r="W674" s="47">
        <f t="shared" si="448"/>
        <v>0</v>
      </c>
      <c r="X674" s="47">
        <f t="shared" si="449"/>
        <v>0</v>
      </c>
      <c r="Y674" s="47">
        <f t="shared" si="450"/>
        <v>0</v>
      </c>
      <c r="Z674" s="47">
        <f t="shared" si="451"/>
        <v>0</v>
      </c>
      <c r="AB674" s="47">
        <f t="shared" si="438"/>
        <v>0</v>
      </c>
      <c r="AC674" s="47">
        <f t="shared" si="439"/>
        <v>0</v>
      </c>
      <c r="AD674" s="47">
        <f t="shared" si="440"/>
        <v>0</v>
      </c>
      <c r="AE674" s="47">
        <f t="shared" si="441"/>
        <v>0</v>
      </c>
      <c r="AF674" s="47">
        <f t="shared" si="442"/>
        <v>0</v>
      </c>
    </row>
    <row r="675" spans="2:32">
      <c r="B675" s="37" t="str">
        <f t="shared" si="435"/>
        <v>Asset 121</v>
      </c>
      <c r="F675" s="37" t="str">
        <f t="shared" ref="F675:L675" si="504">F179</f>
        <v>08 Inrichting gebouwen</v>
      </c>
      <c r="G675" s="37">
        <f t="shared" si="504"/>
        <v>2005</v>
      </c>
      <c r="H675" s="42">
        <f t="shared" si="504"/>
        <v>149702.98000000001</v>
      </c>
      <c r="I675" s="37">
        <f t="shared" si="504"/>
        <v>2021</v>
      </c>
      <c r="J675" s="37">
        <f t="shared" si="504"/>
        <v>10</v>
      </c>
      <c r="K675" s="37">
        <f t="shared" si="504"/>
        <v>0</v>
      </c>
      <c r="L675" s="42">
        <f t="shared" si="504"/>
        <v>0</v>
      </c>
      <c r="N675" s="38">
        <f t="shared" si="437"/>
        <v>0</v>
      </c>
      <c r="P675" s="43">
        <f t="shared" si="503"/>
        <v>0</v>
      </c>
      <c r="Q675" s="43">
        <f t="shared" si="503"/>
        <v>0</v>
      </c>
      <c r="R675" s="43">
        <f t="shared" si="503"/>
        <v>0</v>
      </c>
      <c r="S675" s="43">
        <f t="shared" si="503"/>
        <v>0</v>
      </c>
      <c r="T675" s="43">
        <f t="shared" si="503"/>
        <v>0</v>
      </c>
      <c r="V675" s="47">
        <f t="shared" si="447"/>
        <v>0</v>
      </c>
      <c r="W675" s="47">
        <f t="shared" si="448"/>
        <v>0</v>
      </c>
      <c r="X675" s="47">
        <f t="shared" si="449"/>
        <v>0</v>
      </c>
      <c r="Y675" s="47">
        <f t="shared" si="450"/>
        <v>0</v>
      </c>
      <c r="Z675" s="47">
        <f t="shared" si="451"/>
        <v>0</v>
      </c>
      <c r="AB675" s="47">
        <f t="shared" si="438"/>
        <v>0</v>
      </c>
      <c r="AC675" s="47">
        <f t="shared" si="439"/>
        <v>0</v>
      </c>
      <c r="AD675" s="47">
        <f t="shared" si="440"/>
        <v>0</v>
      </c>
      <c r="AE675" s="47">
        <f t="shared" si="441"/>
        <v>0</v>
      </c>
      <c r="AF675" s="47">
        <f t="shared" si="442"/>
        <v>0</v>
      </c>
    </row>
    <row r="676" spans="2:32">
      <c r="B676" s="37" t="str">
        <f t="shared" si="435"/>
        <v>Asset 122</v>
      </c>
      <c r="F676" s="37" t="str">
        <f t="shared" ref="F676:L676" si="505">F180</f>
        <v>12 Motorvoertuigen</v>
      </c>
      <c r="G676" s="37">
        <f t="shared" si="505"/>
        <v>2005</v>
      </c>
      <c r="H676" s="42">
        <f t="shared" si="505"/>
        <v>144500</v>
      </c>
      <c r="I676" s="37">
        <f t="shared" si="505"/>
        <v>2021</v>
      </c>
      <c r="J676" s="37">
        <f t="shared" si="505"/>
        <v>10</v>
      </c>
      <c r="K676" s="37">
        <f t="shared" si="505"/>
        <v>1</v>
      </c>
      <c r="L676" s="42">
        <f t="shared" si="505"/>
        <v>0</v>
      </c>
      <c r="N676" s="38">
        <f t="shared" si="437"/>
        <v>0</v>
      </c>
      <c r="P676" s="43">
        <f t="shared" si="503"/>
        <v>0</v>
      </c>
      <c r="Q676" s="43">
        <f t="shared" si="503"/>
        <v>0</v>
      </c>
      <c r="R676" s="43">
        <f t="shared" si="503"/>
        <v>0</v>
      </c>
      <c r="S676" s="43">
        <f t="shared" si="503"/>
        <v>0</v>
      </c>
      <c r="T676" s="43">
        <f t="shared" si="503"/>
        <v>0</v>
      </c>
      <c r="V676" s="47">
        <f t="shared" si="447"/>
        <v>0</v>
      </c>
      <c r="W676" s="47">
        <f t="shared" si="448"/>
        <v>0</v>
      </c>
      <c r="X676" s="47">
        <f t="shared" si="449"/>
        <v>0</v>
      </c>
      <c r="Y676" s="47">
        <f t="shared" si="450"/>
        <v>0</v>
      </c>
      <c r="Z676" s="47">
        <f t="shared" si="451"/>
        <v>0</v>
      </c>
      <c r="AB676" s="47">
        <f t="shared" si="438"/>
        <v>0</v>
      </c>
      <c r="AC676" s="47">
        <f t="shared" si="439"/>
        <v>0</v>
      </c>
      <c r="AD676" s="47">
        <f t="shared" si="440"/>
        <v>0</v>
      </c>
      <c r="AE676" s="47">
        <f t="shared" si="441"/>
        <v>0</v>
      </c>
      <c r="AF676" s="47">
        <f t="shared" si="442"/>
        <v>0</v>
      </c>
    </row>
    <row r="677" spans="2:32">
      <c r="B677" s="37" t="str">
        <f t="shared" si="435"/>
        <v>Asset 123</v>
      </c>
      <c r="F677" s="37" t="str">
        <f t="shared" ref="F677:L677" si="506">F181</f>
        <v>09 Bedrijfsinventaris</v>
      </c>
      <c r="G677" s="37">
        <f t="shared" si="506"/>
        <v>2005</v>
      </c>
      <c r="H677" s="42">
        <f t="shared" si="506"/>
        <v>22500</v>
      </c>
      <c r="I677" s="37">
        <f t="shared" si="506"/>
        <v>2021</v>
      </c>
      <c r="J677" s="37">
        <f t="shared" si="506"/>
        <v>10</v>
      </c>
      <c r="K677" s="37">
        <f t="shared" si="506"/>
        <v>1</v>
      </c>
      <c r="L677" s="42">
        <f t="shared" si="506"/>
        <v>0</v>
      </c>
      <c r="N677" s="38">
        <f t="shared" si="437"/>
        <v>0</v>
      </c>
      <c r="P677" s="43">
        <f t="shared" si="503"/>
        <v>0</v>
      </c>
      <c r="Q677" s="43">
        <f t="shared" si="503"/>
        <v>0</v>
      </c>
      <c r="R677" s="43">
        <f t="shared" si="503"/>
        <v>0</v>
      </c>
      <c r="S677" s="43">
        <f t="shared" si="503"/>
        <v>0</v>
      </c>
      <c r="T677" s="43">
        <f t="shared" si="503"/>
        <v>0</v>
      </c>
      <c r="V677" s="47">
        <f t="shared" si="447"/>
        <v>0</v>
      </c>
      <c r="W677" s="47">
        <f t="shared" si="448"/>
        <v>0</v>
      </c>
      <c r="X677" s="47">
        <f t="shared" si="449"/>
        <v>0</v>
      </c>
      <c r="Y677" s="47">
        <f t="shared" si="450"/>
        <v>0</v>
      </c>
      <c r="Z677" s="47">
        <f t="shared" si="451"/>
        <v>0</v>
      </c>
      <c r="AB677" s="47">
        <f t="shared" si="438"/>
        <v>0</v>
      </c>
      <c r="AC677" s="47">
        <f t="shared" si="439"/>
        <v>0</v>
      </c>
      <c r="AD677" s="47">
        <f t="shared" si="440"/>
        <v>0</v>
      </c>
      <c r="AE677" s="47">
        <f t="shared" si="441"/>
        <v>0</v>
      </c>
      <c r="AF677" s="47">
        <f t="shared" si="442"/>
        <v>0</v>
      </c>
    </row>
    <row r="678" spans="2:32">
      <c r="B678" s="37" t="str">
        <f t="shared" si="435"/>
        <v>Asset 124</v>
      </c>
      <c r="F678" s="37" t="str">
        <f t="shared" ref="F678:L678" si="507">F182</f>
        <v>14 Overig rollend materieel</v>
      </c>
      <c r="G678" s="37">
        <f t="shared" si="507"/>
        <v>2006</v>
      </c>
      <c r="H678" s="42">
        <f t="shared" si="507"/>
        <v>23374</v>
      </c>
      <c r="I678" s="37">
        <f t="shared" si="507"/>
        <v>2021</v>
      </c>
      <c r="J678" s="37">
        <f t="shared" si="507"/>
        <v>10</v>
      </c>
      <c r="K678" s="37">
        <f t="shared" si="507"/>
        <v>1</v>
      </c>
      <c r="L678" s="42">
        <f t="shared" si="507"/>
        <v>0</v>
      </c>
      <c r="N678" s="38">
        <f t="shared" si="437"/>
        <v>0</v>
      </c>
      <c r="P678" s="43">
        <f t="shared" si="503"/>
        <v>0</v>
      </c>
      <c r="Q678" s="43">
        <f t="shared" si="503"/>
        <v>0</v>
      </c>
      <c r="R678" s="43">
        <f t="shared" si="503"/>
        <v>0</v>
      </c>
      <c r="S678" s="43">
        <f t="shared" si="503"/>
        <v>0</v>
      </c>
      <c r="T678" s="43">
        <f t="shared" si="503"/>
        <v>0</v>
      </c>
      <c r="V678" s="47">
        <f t="shared" si="447"/>
        <v>0</v>
      </c>
      <c r="W678" s="47">
        <f t="shared" si="448"/>
        <v>0</v>
      </c>
      <c r="X678" s="47">
        <f t="shared" si="449"/>
        <v>0</v>
      </c>
      <c r="Y678" s="47">
        <f t="shared" si="450"/>
        <v>0</v>
      </c>
      <c r="Z678" s="47">
        <f t="shared" si="451"/>
        <v>0</v>
      </c>
      <c r="AB678" s="47">
        <f t="shared" si="438"/>
        <v>0</v>
      </c>
      <c r="AC678" s="47">
        <f t="shared" si="439"/>
        <v>0</v>
      </c>
      <c r="AD678" s="47">
        <f t="shared" si="440"/>
        <v>0</v>
      </c>
      <c r="AE678" s="47">
        <f t="shared" si="441"/>
        <v>0</v>
      </c>
      <c r="AF678" s="47">
        <f t="shared" si="442"/>
        <v>0</v>
      </c>
    </row>
    <row r="679" spans="2:32">
      <c r="B679" s="37" t="str">
        <f t="shared" si="435"/>
        <v>Asset 125</v>
      </c>
      <c r="F679" s="37" t="str">
        <f t="shared" ref="F679:L679" si="508">F183</f>
        <v>06 Utiliteitsgebouwen</v>
      </c>
      <c r="G679" s="37">
        <f t="shared" si="508"/>
        <v>2006</v>
      </c>
      <c r="H679" s="42">
        <f t="shared" si="508"/>
        <v>216791.4</v>
      </c>
      <c r="I679" s="37">
        <f t="shared" si="508"/>
        <v>2021</v>
      </c>
      <c r="J679" s="37">
        <f t="shared" si="508"/>
        <v>30</v>
      </c>
      <c r="K679" s="37">
        <f t="shared" si="508"/>
        <v>0</v>
      </c>
      <c r="L679" s="42">
        <f t="shared" si="508"/>
        <v>132877.0119526372</v>
      </c>
      <c r="N679" s="38">
        <f t="shared" si="437"/>
        <v>14.5</v>
      </c>
      <c r="P679" s="43">
        <f t="shared" si="503"/>
        <v>9163.9318588025653</v>
      </c>
      <c r="Q679" s="43">
        <f t="shared" si="503"/>
        <v>9163.9318588025653</v>
      </c>
      <c r="R679" s="43">
        <f t="shared" si="503"/>
        <v>9163.9318588025653</v>
      </c>
      <c r="S679" s="43">
        <f t="shared" si="503"/>
        <v>9163.9318588025653</v>
      </c>
      <c r="T679" s="43">
        <f t="shared" si="503"/>
        <v>9163.9318588025653</v>
      </c>
      <c r="V679" s="47">
        <f t="shared" si="447"/>
        <v>123713.08009383464</v>
      </c>
      <c r="W679" s="47">
        <f t="shared" si="448"/>
        <v>114549.14823503207</v>
      </c>
      <c r="X679" s="47">
        <f t="shared" si="449"/>
        <v>105385.21637622951</v>
      </c>
      <c r="Y679" s="47">
        <f t="shared" si="450"/>
        <v>96221.284517426946</v>
      </c>
      <c r="Z679" s="47">
        <f t="shared" si="451"/>
        <v>87057.352658624382</v>
      </c>
      <c r="AB679" s="47">
        <f t="shared" si="438"/>
        <v>13370.176581992942</v>
      </c>
      <c r="AC679" s="47">
        <f t="shared" si="439"/>
        <v>12944.053750558624</v>
      </c>
      <c r="AD679" s="47">
        <f t="shared" si="440"/>
        <v>13168.570081099286</v>
      </c>
      <c r="AE679" s="47">
        <f t="shared" si="441"/>
        <v>12820.34067046479</v>
      </c>
      <c r="AF679" s="47">
        <f t="shared" si="442"/>
        <v>12472.111259830292</v>
      </c>
    </row>
    <row r="680" spans="2:32">
      <c r="B680" s="37" t="str">
        <f t="shared" si="435"/>
        <v>Asset 126</v>
      </c>
      <c r="F680" s="37" t="str">
        <f t="shared" ref="F680:L680" si="509">F184</f>
        <v>11 Werktuigen</v>
      </c>
      <c r="G680" s="37">
        <f t="shared" si="509"/>
        <v>2006</v>
      </c>
      <c r="H680" s="42">
        <f t="shared" si="509"/>
        <v>39984.959999999999</v>
      </c>
      <c r="I680" s="37">
        <f t="shared" si="509"/>
        <v>2021</v>
      </c>
      <c r="J680" s="37">
        <f t="shared" si="509"/>
        <v>10</v>
      </c>
      <c r="K680" s="37">
        <f t="shared" si="509"/>
        <v>1</v>
      </c>
      <c r="L680" s="42">
        <f t="shared" si="509"/>
        <v>0</v>
      </c>
      <c r="N680" s="38">
        <f t="shared" si="437"/>
        <v>0</v>
      </c>
      <c r="P680" s="43">
        <f t="shared" si="503"/>
        <v>0</v>
      </c>
      <c r="Q680" s="43">
        <f t="shared" si="503"/>
        <v>0</v>
      </c>
      <c r="R680" s="43">
        <f t="shared" si="503"/>
        <v>0</v>
      </c>
      <c r="S680" s="43">
        <f t="shared" si="503"/>
        <v>0</v>
      </c>
      <c r="T680" s="43">
        <f t="shared" si="503"/>
        <v>0</v>
      </c>
      <c r="V680" s="47">
        <f t="shared" si="447"/>
        <v>0</v>
      </c>
      <c r="W680" s="47">
        <f t="shared" si="448"/>
        <v>0</v>
      </c>
      <c r="X680" s="47">
        <f t="shared" si="449"/>
        <v>0</v>
      </c>
      <c r="Y680" s="47">
        <f t="shared" si="450"/>
        <v>0</v>
      </c>
      <c r="Z680" s="47">
        <f t="shared" si="451"/>
        <v>0</v>
      </c>
      <c r="AB680" s="47">
        <f t="shared" si="438"/>
        <v>0</v>
      </c>
      <c r="AC680" s="47">
        <f t="shared" si="439"/>
        <v>0</v>
      </c>
      <c r="AD680" s="47">
        <f t="shared" si="440"/>
        <v>0</v>
      </c>
      <c r="AE680" s="47">
        <f t="shared" si="441"/>
        <v>0</v>
      </c>
      <c r="AF680" s="47">
        <f t="shared" si="442"/>
        <v>0</v>
      </c>
    </row>
    <row r="681" spans="2:32">
      <c r="B681" s="37" t="str">
        <f t="shared" si="435"/>
        <v>Asset 127</v>
      </c>
      <c r="F681" s="37" t="str">
        <f t="shared" ref="F681:L681" si="510">F185</f>
        <v>06 Utiliteitsgebouwen</v>
      </c>
      <c r="G681" s="37">
        <f t="shared" si="510"/>
        <v>2007</v>
      </c>
      <c r="H681" s="42">
        <f t="shared" si="510"/>
        <v>25858.771191949236</v>
      </c>
      <c r="I681" s="37">
        <f t="shared" si="510"/>
        <v>2021</v>
      </c>
      <c r="J681" s="37">
        <f t="shared" si="510"/>
        <v>30</v>
      </c>
      <c r="K681" s="37">
        <f t="shared" si="510"/>
        <v>0</v>
      </c>
      <c r="L681" s="42">
        <f t="shared" si="510"/>
        <v>16708.652536273155</v>
      </c>
      <c r="N681" s="38">
        <f t="shared" si="437"/>
        <v>15.5</v>
      </c>
      <c r="P681" s="43">
        <f t="shared" si="503"/>
        <v>1077.977582985365</v>
      </c>
      <c r="Q681" s="43">
        <f t="shared" si="503"/>
        <v>1077.977582985365</v>
      </c>
      <c r="R681" s="43">
        <f t="shared" si="503"/>
        <v>1077.977582985365</v>
      </c>
      <c r="S681" s="43">
        <f t="shared" si="503"/>
        <v>1077.977582985365</v>
      </c>
      <c r="T681" s="43">
        <f t="shared" si="503"/>
        <v>1077.977582985365</v>
      </c>
      <c r="V681" s="47">
        <f t="shared" si="447"/>
        <v>15630.674953287791</v>
      </c>
      <c r="W681" s="47">
        <f t="shared" si="448"/>
        <v>14552.697370302427</v>
      </c>
      <c r="X681" s="47">
        <f t="shared" si="449"/>
        <v>13474.719787317063</v>
      </c>
      <c r="Y681" s="47">
        <f t="shared" si="450"/>
        <v>12396.742204331698</v>
      </c>
      <c r="Z681" s="47">
        <f t="shared" si="451"/>
        <v>11318.764621346334</v>
      </c>
      <c r="AB681" s="47">
        <f t="shared" si="438"/>
        <v>1609.4205313971499</v>
      </c>
      <c r="AC681" s="47">
        <f t="shared" si="439"/>
        <v>1558.216596205345</v>
      </c>
      <c r="AD681" s="47">
        <f t="shared" si="440"/>
        <v>1590.0169349034134</v>
      </c>
      <c r="AE681" s="47">
        <f t="shared" si="441"/>
        <v>1549.0537867499695</v>
      </c>
      <c r="AF681" s="47">
        <f t="shared" si="442"/>
        <v>1508.0906385965257</v>
      </c>
    </row>
    <row r="682" spans="2:32">
      <c r="B682" s="37" t="str">
        <f t="shared" si="435"/>
        <v>Asset 128</v>
      </c>
      <c r="F682" s="37" t="str">
        <f t="shared" ref="F682:L682" si="511">F186</f>
        <v>11 Werktuigen</v>
      </c>
      <c r="G682" s="37">
        <f t="shared" si="511"/>
        <v>2007</v>
      </c>
      <c r="H682" s="42">
        <f t="shared" si="511"/>
        <v>1088351.8199999998</v>
      </c>
      <c r="I682" s="37">
        <f t="shared" si="511"/>
        <v>2021</v>
      </c>
      <c r="J682" s="37">
        <f t="shared" si="511"/>
        <v>10</v>
      </c>
      <c r="K682" s="37">
        <f t="shared" si="511"/>
        <v>1</v>
      </c>
      <c r="L682" s="42">
        <f t="shared" si="511"/>
        <v>0</v>
      </c>
      <c r="N682" s="38">
        <f t="shared" si="437"/>
        <v>0</v>
      </c>
      <c r="P682" s="43">
        <f t="shared" si="503"/>
        <v>0</v>
      </c>
      <c r="Q682" s="43">
        <f t="shared" si="503"/>
        <v>0</v>
      </c>
      <c r="R682" s="43">
        <f t="shared" si="503"/>
        <v>0</v>
      </c>
      <c r="S682" s="43">
        <f t="shared" si="503"/>
        <v>0</v>
      </c>
      <c r="T682" s="43">
        <f t="shared" si="503"/>
        <v>0</v>
      </c>
      <c r="V682" s="47">
        <f t="shared" si="447"/>
        <v>0</v>
      </c>
      <c r="W682" s="47">
        <f t="shared" si="448"/>
        <v>0</v>
      </c>
      <c r="X682" s="47">
        <f t="shared" si="449"/>
        <v>0</v>
      </c>
      <c r="Y682" s="47">
        <f t="shared" si="450"/>
        <v>0</v>
      </c>
      <c r="Z682" s="47">
        <f t="shared" si="451"/>
        <v>0</v>
      </c>
      <c r="AB682" s="47">
        <f t="shared" si="438"/>
        <v>0</v>
      </c>
      <c r="AC682" s="47">
        <f t="shared" si="439"/>
        <v>0</v>
      </c>
      <c r="AD682" s="47">
        <f t="shared" si="440"/>
        <v>0</v>
      </c>
      <c r="AE682" s="47">
        <f t="shared" si="441"/>
        <v>0</v>
      </c>
      <c r="AF682" s="47">
        <f t="shared" si="442"/>
        <v>0</v>
      </c>
    </row>
    <row r="683" spans="2:32">
      <c r="B683" s="37" t="str">
        <f t="shared" si="435"/>
        <v>Asset 129</v>
      </c>
      <c r="F683" s="37" t="str">
        <f t="shared" ref="F683:L683" si="512">F187</f>
        <v>14 Overig rollend materieel</v>
      </c>
      <c r="G683" s="37">
        <f t="shared" si="512"/>
        <v>2007</v>
      </c>
      <c r="H683" s="42">
        <f t="shared" si="512"/>
        <v>661943.85</v>
      </c>
      <c r="I683" s="37">
        <f t="shared" si="512"/>
        <v>2021</v>
      </c>
      <c r="J683" s="37">
        <f t="shared" si="512"/>
        <v>10</v>
      </c>
      <c r="K683" s="37">
        <f t="shared" si="512"/>
        <v>1</v>
      </c>
      <c r="L683" s="42">
        <f t="shared" si="512"/>
        <v>0</v>
      </c>
      <c r="N683" s="38">
        <f t="shared" si="437"/>
        <v>0</v>
      </c>
      <c r="P683" s="43">
        <f t="shared" si="503"/>
        <v>0</v>
      </c>
      <c r="Q683" s="43">
        <f t="shared" si="503"/>
        <v>0</v>
      </c>
      <c r="R683" s="43">
        <f t="shared" si="503"/>
        <v>0</v>
      </c>
      <c r="S683" s="43">
        <f t="shared" si="503"/>
        <v>0</v>
      </c>
      <c r="T683" s="43">
        <f t="shared" si="503"/>
        <v>0</v>
      </c>
      <c r="V683" s="47">
        <f t="shared" si="447"/>
        <v>0</v>
      </c>
      <c r="W683" s="47">
        <f t="shared" si="448"/>
        <v>0</v>
      </c>
      <c r="X683" s="47">
        <f t="shared" si="449"/>
        <v>0</v>
      </c>
      <c r="Y683" s="47">
        <f t="shared" si="450"/>
        <v>0</v>
      </c>
      <c r="Z683" s="47">
        <f t="shared" si="451"/>
        <v>0</v>
      </c>
      <c r="AB683" s="47">
        <f t="shared" si="438"/>
        <v>0</v>
      </c>
      <c r="AC683" s="47">
        <f t="shared" si="439"/>
        <v>0</v>
      </c>
      <c r="AD683" s="47">
        <f t="shared" si="440"/>
        <v>0</v>
      </c>
      <c r="AE683" s="47">
        <f t="shared" si="441"/>
        <v>0</v>
      </c>
      <c r="AF683" s="47">
        <f t="shared" si="442"/>
        <v>0</v>
      </c>
    </row>
    <row r="684" spans="2:32">
      <c r="B684" s="37" t="str">
        <f t="shared" ref="B684:B747" si="513">B188</f>
        <v>Asset 130</v>
      </c>
      <c r="F684" s="37" t="str">
        <f t="shared" ref="F684:L684" si="514">F188</f>
        <v>12 Motorvoertuigen</v>
      </c>
      <c r="G684" s="37">
        <f t="shared" si="514"/>
        <v>2007</v>
      </c>
      <c r="H684" s="42">
        <f t="shared" si="514"/>
        <v>154091.65000000002</v>
      </c>
      <c r="I684" s="37">
        <f t="shared" si="514"/>
        <v>2021</v>
      </c>
      <c r="J684" s="37">
        <f t="shared" si="514"/>
        <v>10</v>
      </c>
      <c r="K684" s="37">
        <f t="shared" si="514"/>
        <v>1</v>
      </c>
      <c r="L684" s="42">
        <f t="shared" si="514"/>
        <v>0</v>
      </c>
      <c r="N684" s="38">
        <f t="shared" ref="N684:N747" si="515">MAX(0,IF(G684&lt;=2021, J684-2021+G684-0.5,J684))</f>
        <v>0</v>
      </c>
      <c r="P684" s="43">
        <f t="shared" si="503"/>
        <v>0</v>
      </c>
      <c r="Q684" s="43">
        <f t="shared" si="503"/>
        <v>0</v>
      </c>
      <c r="R684" s="43">
        <f t="shared" si="503"/>
        <v>0</v>
      </c>
      <c r="S684" s="43">
        <f t="shared" si="503"/>
        <v>0</v>
      </c>
      <c r="T684" s="43">
        <f t="shared" si="503"/>
        <v>0</v>
      </c>
      <c r="V684" s="47">
        <f t="shared" si="447"/>
        <v>0</v>
      </c>
      <c r="W684" s="47">
        <f t="shared" si="448"/>
        <v>0</v>
      </c>
      <c r="X684" s="47">
        <f t="shared" si="449"/>
        <v>0</v>
      </c>
      <c r="Y684" s="47">
        <f t="shared" si="450"/>
        <v>0</v>
      </c>
      <c r="Z684" s="47">
        <f t="shared" si="451"/>
        <v>0</v>
      </c>
      <c r="AB684" s="47">
        <f t="shared" ref="AB684:AB747" si="516">(P684+V684*I$16)*IF($K684=1,$F$19,1)</f>
        <v>0</v>
      </c>
      <c r="AC684" s="47">
        <f t="shared" ref="AC684:AC747" si="517">(Q684+W684*J$16)*IF($K684=1,$F$19,1)</f>
        <v>0</v>
      </c>
      <c r="AD684" s="47">
        <f t="shared" ref="AD684:AD747" si="518">(R684+X684*K$16)*IF($K684=1,$F$19,1)</f>
        <v>0</v>
      </c>
      <c r="AE684" s="47">
        <f t="shared" ref="AE684:AE747" si="519">(S684+Y684*L$16)*IF($K684=1,$F$19,1)</f>
        <v>0</v>
      </c>
      <c r="AF684" s="47">
        <f t="shared" ref="AF684:AF747" si="520">(T684+Z684*M$16)*IF($K684=1,$F$19,1)</f>
        <v>0</v>
      </c>
    </row>
    <row r="685" spans="2:32">
      <c r="B685" s="37" t="str">
        <f t="shared" si="513"/>
        <v>Asset 131</v>
      </c>
      <c r="F685" s="37" t="str">
        <f t="shared" ref="F685:L685" si="521">F189</f>
        <v>05 Wegen en terreinvoorzieningen</v>
      </c>
      <c r="G685" s="37">
        <f t="shared" si="521"/>
        <v>2007</v>
      </c>
      <c r="H685" s="42">
        <f t="shared" si="521"/>
        <v>79744.08</v>
      </c>
      <c r="I685" s="37">
        <f t="shared" si="521"/>
        <v>2021</v>
      </c>
      <c r="J685" s="37">
        <f t="shared" si="521"/>
        <v>10</v>
      </c>
      <c r="K685" s="37">
        <f t="shared" si="521"/>
        <v>0</v>
      </c>
      <c r="L685" s="42">
        <f t="shared" si="521"/>
        <v>0</v>
      </c>
      <c r="N685" s="38">
        <f t="shared" si="515"/>
        <v>0</v>
      </c>
      <c r="P685" s="43">
        <f t="shared" si="503"/>
        <v>0</v>
      </c>
      <c r="Q685" s="43">
        <f t="shared" si="503"/>
        <v>0</v>
      </c>
      <c r="R685" s="43">
        <f t="shared" si="503"/>
        <v>0</v>
      </c>
      <c r="S685" s="43">
        <f t="shared" si="503"/>
        <v>0</v>
      </c>
      <c r="T685" s="43">
        <f t="shared" si="503"/>
        <v>0</v>
      </c>
      <c r="V685" s="47">
        <f t="shared" si="447"/>
        <v>0</v>
      </c>
      <c r="W685" s="47">
        <f t="shared" si="448"/>
        <v>0</v>
      </c>
      <c r="X685" s="47">
        <f t="shared" si="449"/>
        <v>0</v>
      </c>
      <c r="Y685" s="47">
        <f t="shared" si="450"/>
        <v>0</v>
      </c>
      <c r="Z685" s="47">
        <f t="shared" si="451"/>
        <v>0</v>
      </c>
      <c r="AB685" s="47">
        <f t="shared" si="516"/>
        <v>0</v>
      </c>
      <c r="AC685" s="47">
        <f t="shared" si="517"/>
        <v>0</v>
      </c>
      <c r="AD685" s="47">
        <f t="shared" si="518"/>
        <v>0</v>
      </c>
      <c r="AE685" s="47">
        <f t="shared" si="519"/>
        <v>0</v>
      </c>
      <c r="AF685" s="47">
        <f t="shared" si="520"/>
        <v>0</v>
      </c>
    </row>
    <row r="686" spans="2:32">
      <c r="B686" s="37" t="str">
        <f t="shared" si="513"/>
        <v>Asset 132</v>
      </c>
      <c r="F686" s="37" t="str">
        <f t="shared" ref="F686:L686" si="522">F190</f>
        <v>20 Kantoorgebouwen</v>
      </c>
      <c r="G686" s="37">
        <f t="shared" si="522"/>
        <v>2008</v>
      </c>
      <c r="H686" s="42">
        <f t="shared" si="522"/>
        <v>4978200.5000000009</v>
      </c>
      <c r="I686" s="37">
        <f t="shared" si="522"/>
        <v>2021</v>
      </c>
      <c r="J686" s="37">
        <f t="shared" si="522"/>
        <v>30</v>
      </c>
      <c r="K686" s="37">
        <f t="shared" si="522"/>
        <v>0</v>
      </c>
      <c r="L686" s="42">
        <f t="shared" si="522"/>
        <v>3386936.2239016104</v>
      </c>
      <c r="N686" s="38">
        <f t="shared" si="515"/>
        <v>16.5</v>
      </c>
      <c r="P686" s="43">
        <f t="shared" si="503"/>
        <v>205268.86205464305</v>
      </c>
      <c r="Q686" s="43">
        <f t="shared" si="503"/>
        <v>205268.86205464305</v>
      </c>
      <c r="R686" s="43">
        <f t="shared" si="503"/>
        <v>205268.86205464305</v>
      </c>
      <c r="S686" s="43">
        <f t="shared" si="503"/>
        <v>205268.86205464305</v>
      </c>
      <c r="T686" s="43">
        <f t="shared" si="503"/>
        <v>205268.86205464305</v>
      </c>
      <c r="V686" s="47">
        <f t="shared" si="447"/>
        <v>3181667.3618469671</v>
      </c>
      <c r="W686" s="47">
        <f t="shared" si="448"/>
        <v>2976398.4997923239</v>
      </c>
      <c r="X686" s="47">
        <f t="shared" si="449"/>
        <v>2771129.6377376807</v>
      </c>
      <c r="Y686" s="47">
        <f t="shared" si="450"/>
        <v>2565860.7756830375</v>
      </c>
      <c r="Z686" s="47">
        <f t="shared" si="451"/>
        <v>2360591.9136283942</v>
      </c>
      <c r="AB686" s="47">
        <f t="shared" si="516"/>
        <v>313445.55235743994</v>
      </c>
      <c r="AC686" s="47">
        <f t="shared" si="517"/>
        <v>303490.01254778972</v>
      </c>
      <c r="AD686" s="47">
        <f t="shared" si="518"/>
        <v>310571.7882886749</v>
      </c>
      <c r="AE686" s="47">
        <f t="shared" si="519"/>
        <v>302771.57153059845</v>
      </c>
      <c r="AF686" s="47">
        <f t="shared" si="520"/>
        <v>294971.354772522</v>
      </c>
    </row>
    <row r="687" spans="2:32">
      <c r="B687" s="37" t="str">
        <f t="shared" si="513"/>
        <v>Asset 133</v>
      </c>
      <c r="F687" s="37" t="str">
        <f t="shared" ref="F687:L687" si="523">F191</f>
        <v>06 Utiliteitsgebouwen</v>
      </c>
      <c r="G687" s="37">
        <f t="shared" si="523"/>
        <v>2008</v>
      </c>
      <c r="H687" s="42">
        <f t="shared" si="523"/>
        <v>233293.04544821067</v>
      </c>
      <c r="I687" s="37">
        <f t="shared" si="523"/>
        <v>2021</v>
      </c>
      <c r="J687" s="37">
        <f t="shared" si="523"/>
        <v>30</v>
      </c>
      <c r="K687" s="37">
        <f t="shared" si="523"/>
        <v>0</v>
      </c>
      <c r="L687" s="42">
        <f t="shared" si="523"/>
        <v>158721.74421517763</v>
      </c>
      <c r="N687" s="38">
        <f t="shared" si="515"/>
        <v>16.5</v>
      </c>
      <c r="P687" s="43">
        <f t="shared" si="503"/>
        <v>9619.4996494047045</v>
      </c>
      <c r="Q687" s="43">
        <f t="shared" si="503"/>
        <v>9619.4996494047064</v>
      </c>
      <c r="R687" s="43">
        <f t="shared" si="503"/>
        <v>9619.4996494047064</v>
      </c>
      <c r="S687" s="43">
        <f t="shared" si="503"/>
        <v>9619.4996494047064</v>
      </c>
      <c r="T687" s="43">
        <f t="shared" si="503"/>
        <v>9619.4996494047064</v>
      </c>
      <c r="V687" s="47">
        <f t="shared" ref="V687:V750" si="524">IF(OR(V$553&lt;=$G687+$J687,$J687=0),IF(U687=0,$L687,U687)-P687,0)</f>
        <v>149102.24456577294</v>
      </c>
      <c r="W687" s="47">
        <f t="shared" ref="W687:W750" si="525">IF(OR(W$553&lt;=$G687+$J687,$J687=0),IF(V687=0,$L687,V687)-Q687,0)</f>
        <v>139482.74491636825</v>
      </c>
      <c r="X687" s="47">
        <f t="shared" ref="X687:X750" si="526">IF(OR(X$553&lt;=$G687+$J687,$J687=0),IF(W687=0,$L687,W687)-R687,0)</f>
        <v>129863.24526696354</v>
      </c>
      <c r="Y687" s="47">
        <f t="shared" ref="Y687:Y750" si="527">IF(OR(Y$553&lt;=$G687+$J687,$J687=0),IF(X687=0,$L687,X687)-S687,0)</f>
        <v>120243.74561755883</v>
      </c>
      <c r="Z687" s="47">
        <f t="shared" ref="Z687:Z750" si="528">IF(OR(Z$553&lt;=$G687+$J687,$J687=0),IF(Y687=0,$L687,Y687)-T687,0)</f>
        <v>110624.24596815412</v>
      </c>
      <c r="AB687" s="47">
        <f>(P687+V687*I$16)*IF($K687=1,$F$19,1)</f>
        <v>14688.975964640984</v>
      </c>
      <c r="AC687" s="47">
        <f t="shared" si="517"/>
        <v>14222.430231644859</v>
      </c>
      <c r="AD687" s="47">
        <f t="shared" si="518"/>
        <v>14554.302969549321</v>
      </c>
      <c r="AE687" s="47">
        <f t="shared" si="519"/>
        <v>14188.761982871942</v>
      </c>
      <c r="AF687" s="47">
        <f t="shared" si="520"/>
        <v>13823.220996194563</v>
      </c>
    </row>
    <row r="688" spans="2:32">
      <c r="B688" s="37" t="str">
        <f t="shared" si="513"/>
        <v>Asset 134</v>
      </c>
      <c r="F688" s="37" t="str">
        <f t="shared" ref="F688:L688" si="529">F192</f>
        <v>10 Gereedschap</v>
      </c>
      <c r="G688" s="37">
        <f t="shared" si="529"/>
        <v>2008</v>
      </c>
      <c r="H688" s="42">
        <f t="shared" si="529"/>
        <v>178157.88</v>
      </c>
      <c r="I688" s="37">
        <f t="shared" si="529"/>
        <v>2021</v>
      </c>
      <c r="J688" s="37">
        <f t="shared" si="529"/>
        <v>10</v>
      </c>
      <c r="K688" s="37">
        <f t="shared" si="529"/>
        <v>1</v>
      </c>
      <c r="L688" s="42">
        <f t="shared" si="529"/>
        <v>0</v>
      </c>
      <c r="N688" s="38">
        <f t="shared" si="515"/>
        <v>0</v>
      </c>
      <c r="P688" s="43">
        <f t="shared" si="503"/>
        <v>0</v>
      </c>
      <c r="Q688" s="43">
        <f t="shared" si="503"/>
        <v>0</v>
      </c>
      <c r="R688" s="43">
        <f t="shared" si="503"/>
        <v>0</v>
      </c>
      <c r="S688" s="43">
        <f t="shared" si="503"/>
        <v>0</v>
      </c>
      <c r="T688" s="43">
        <f t="shared" si="503"/>
        <v>0</v>
      </c>
      <c r="V688" s="47">
        <f t="shared" si="524"/>
        <v>0</v>
      </c>
      <c r="W688" s="47">
        <f t="shared" si="525"/>
        <v>0</v>
      </c>
      <c r="X688" s="47">
        <f t="shared" si="526"/>
        <v>0</v>
      </c>
      <c r="Y688" s="47">
        <f t="shared" si="527"/>
        <v>0</v>
      </c>
      <c r="Z688" s="47">
        <f t="shared" si="528"/>
        <v>0</v>
      </c>
      <c r="AB688" s="47">
        <f t="shared" si="516"/>
        <v>0</v>
      </c>
      <c r="AC688" s="47">
        <f t="shared" si="517"/>
        <v>0</v>
      </c>
      <c r="AD688" s="47">
        <f t="shared" si="518"/>
        <v>0</v>
      </c>
      <c r="AE688" s="47">
        <f t="shared" si="519"/>
        <v>0</v>
      </c>
      <c r="AF688" s="47">
        <f t="shared" si="520"/>
        <v>0</v>
      </c>
    </row>
    <row r="689" spans="2:32">
      <c r="B689" s="37" t="str">
        <f t="shared" si="513"/>
        <v>Asset 135</v>
      </c>
      <c r="F689" s="37" t="str">
        <f t="shared" ref="F689:L689" si="530">F193</f>
        <v>14 Overig rollend materieel</v>
      </c>
      <c r="G689" s="37">
        <f t="shared" si="530"/>
        <v>2008</v>
      </c>
      <c r="H689" s="42">
        <f t="shared" si="530"/>
        <v>1299449.8500000001</v>
      </c>
      <c r="I689" s="37">
        <f t="shared" si="530"/>
        <v>2021</v>
      </c>
      <c r="J689" s="37">
        <f t="shared" si="530"/>
        <v>10</v>
      </c>
      <c r="K689" s="37">
        <f t="shared" si="530"/>
        <v>1</v>
      </c>
      <c r="L689" s="42">
        <f t="shared" si="530"/>
        <v>0</v>
      </c>
      <c r="N689" s="38">
        <f t="shared" si="515"/>
        <v>0</v>
      </c>
      <c r="P689" s="43">
        <f t="shared" si="503"/>
        <v>0</v>
      </c>
      <c r="Q689" s="43">
        <f t="shared" si="503"/>
        <v>0</v>
      </c>
      <c r="R689" s="43">
        <f t="shared" si="503"/>
        <v>0</v>
      </c>
      <c r="S689" s="43">
        <f t="shared" si="503"/>
        <v>0</v>
      </c>
      <c r="T689" s="43">
        <f t="shared" si="503"/>
        <v>0</v>
      </c>
      <c r="V689" s="47">
        <f t="shared" si="524"/>
        <v>0</v>
      </c>
      <c r="W689" s="47">
        <f t="shared" si="525"/>
        <v>0</v>
      </c>
      <c r="X689" s="47">
        <f t="shared" si="526"/>
        <v>0</v>
      </c>
      <c r="Y689" s="47">
        <f t="shared" si="527"/>
        <v>0</v>
      </c>
      <c r="Z689" s="47">
        <f t="shared" si="528"/>
        <v>0</v>
      </c>
      <c r="AB689" s="47">
        <f t="shared" si="516"/>
        <v>0</v>
      </c>
      <c r="AC689" s="47">
        <f t="shared" si="517"/>
        <v>0</v>
      </c>
      <c r="AD689" s="47">
        <f t="shared" si="518"/>
        <v>0</v>
      </c>
      <c r="AE689" s="47">
        <f t="shared" si="519"/>
        <v>0</v>
      </c>
      <c r="AF689" s="47">
        <f t="shared" si="520"/>
        <v>0</v>
      </c>
    </row>
    <row r="690" spans="2:32">
      <c r="B690" s="37" t="str">
        <f t="shared" si="513"/>
        <v>Asset 136</v>
      </c>
      <c r="F690" s="37" t="str">
        <f t="shared" ref="F690:L690" si="531">F194</f>
        <v>37 ICT middelen 1 (gaschromatografen en comptabele meting)</v>
      </c>
      <c r="G690" s="37">
        <f t="shared" si="531"/>
        <v>2008</v>
      </c>
      <c r="H690" s="42">
        <f t="shared" si="531"/>
        <v>8310.1200000000008</v>
      </c>
      <c r="I690" s="37">
        <f t="shared" si="531"/>
        <v>2021</v>
      </c>
      <c r="J690" s="37">
        <f t="shared" si="531"/>
        <v>5</v>
      </c>
      <c r="K690" s="37">
        <f t="shared" si="531"/>
        <v>0</v>
      </c>
      <c r="L690" s="42">
        <f t="shared" si="531"/>
        <v>0</v>
      </c>
      <c r="N690" s="38">
        <f t="shared" si="515"/>
        <v>0</v>
      </c>
      <c r="P690" s="43">
        <f t="shared" si="503"/>
        <v>0</v>
      </c>
      <c r="Q690" s="43">
        <f t="shared" si="503"/>
        <v>0</v>
      </c>
      <c r="R690" s="43">
        <f t="shared" si="503"/>
        <v>0</v>
      </c>
      <c r="S690" s="43">
        <f t="shared" si="503"/>
        <v>0</v>
      </c>
      <c r="T690" s="43">
        <f t="shared" si="503"/>
        <v>0</v>
      </c>
      <c r="V690" s="47">
        <f t="shared" si="524"/>
        <v>0</v>
      </c>
      <c r="W690" s="47">
        <f t="shared" si="525"/>
        <v>0</v>
      </c>
      <c r="X690" s="47">
        <f t="shared" si="526"/>
        <v>0</v>
      </c>
      <c r="Y690" s="47">
        <f t="shared" si="527"/>
        <v>0</v>
      </c>
      <c r="Z690" s="47">
        <f t="shared" si="528"/>
        <v>0</v>
      </c>
      <c r="AB690" s="47">
        <f t="shared" si="516"/>
        <v>0</v>
      </c>
      <c r="AC690" s="47">
        <f t="shared" si="517"/>
        <v>0</v>
      </c>
      <c r="AD690" s="47">
        <f t="shared" si="518"/>
        <v>0</v>
      </c>
      <c r="AE690" s="47">
        <f t="shared" si="519"/>
        <v>0</v>
      </c>
      <c r="AF690" s="47">
        <f t="shared" si="520"/>
        <v>0</v>
      </c>
    </row>
    <row r="691" spans="2:32">
      <c r="B691" s="37" t="str">
        <f t="shared" si="513"/>
        <v>Asset 137</v>
      </c>
      <c r="F691" s="37" t="str">
        <f t="shared" ref="F691:L691" si="532">F195</f>
        <v>11 Werktuigen</v>
      </c>
      <c r="G691" s="37">
        <f t="shared" si="532"/>
        <v>2008</v>
      </c>
      <c r="H691" s="42">
        <f t="shared" si="532"/>
        <v>427546.18</v>
      </c>
      <c r="I691" s="37">
        <f t="shared" si="532"/>
        <v>2021</v>
      </c>
      <c r="J691" s="37">
        <f t="shared" si="532"/>
        <v>10</v>
      </c>
      <c r="K691" s="37">
        <f t="shared" si="532"/>
        <v>1</v>
      </c>
      <c r="L691" s="42">
        <f t="shared" si="532"/>
        <v>0</v>
      </c>
      <c r="N691" s="38">
        <f t="shared" si="515"/>
        <v>0</v>
      </c>
      <c r="P691" s="43">
        <f t="shared" si="503"/>
        <v>0</v>
      </c>
      <c r="Q691" s="43">
        <f t="shared" si="503"/>
        <v>0</v>
      </c>
      <c r="R691" s="43">
        <f t="shared" si="503"/>
        <v>0</v>
      </c>
      <c r="S691" s="43">
        <f t="shared" si="503"/>
        <v>0</v>
      </c>
      <c r="T691" s="43">
        <f t="shared" si="503"/>
        <v>0</v>
      </c>
      <c r="V691" s="47">
        <f t="shared" si="524"/>
        <v>0</v>
      </c>
      <c r="W691" s="47">
        <f t="shared" si="525"/>
        <v>0</v>
      </c>
      <c r="X691" s="47">
        <f t="shared" si="526"/>
        <v>0</v>
      </c>
      <c r="Y691" s="47">
        <f t="shared" si="527"/>
        <v>0</v>
      </c>
      <c r="Z691" s="47">
        <f t="shared" si="528"/>
        <v>0</v>
      </c>
      <c r="AB691" s="47">
        <f t="shared" si="516"/>
        <v>0</v>
      </c>
      <c r="AC691" s="47">
        <f t="shared" si="517"/>
        <v>0</v>
      </c>
      <c r="AD691" s="47">
        <f t="shared" si="518"/>
        <v>0</v>
      </c>
      <c r="AE691" s="47">
        <f t="shared" si="519"/>
        <v>0</v>
      </c>
      <c r="AF691" s="47">
        <f t="shared" si="520"/>
        <v>0</v>
      </c>
    </row>
    <row r="692" spans="2:32">
      <c r="B692" s="37" t="str">
        <f t="shared" si="513"/>
        <v>Asset 138</v>
      </c>
      <c r="F692" s="37" t="str">
        <f t="shared" ref="F692:L692" si="533">F196</f>
        <v>08 Inrichting gebouwen</v>
      </c>
      <c r="G692" s="37">
        <f t="shared" si="533"/>
        <v>2008</v>
      </c>
      <c r="H692" s="42">
        <f t="shared" si="533"/>
        <v>1194171.3899999999</v>
      </c>
      <c r="I692" s="37">
        <f t="shared" si="533"/>
        <v>2021</v>
      </c>
      <c r="J692" s="37">
        <f t="shared" si="533"/>
        <v>10</v>
      </c>
      <c r="K692" s="37">
        <f t="shared" si="533"/>
        <v>0</v>
      </c>
      <c r="L692" s="42">
        <f t="shared" si="533"/>
        <v>0</v>
      </c>
      <c r="N692" s="38">
        <f t="shared" si="515"/>
        <v>0</v>
      </c>
      <c r="P692" s="43">
        <f t="shared" si="503"/>
        <v>0</v>
      </c>
      <c r="Q692" s="43">
        <f t="shared" si="503"/>
        <v>0</v>
      </c>
      <c r="R692" s="43">
        <f t="shared" si="503"/>
        <v>0</v>
      </c>
      <c r="S692" s="43">
        <f t="shared" si="503"/>
        <v>0</v>
      </c>
      <c r="T692" s="43">
        <f t="shared" si="503"/>
        <v>0</v>
      </c>
      <c r="V692" s="47">
        <f t="shared" si="524"/>
        <v>0</v>
      </c>
      <c r="W692" s="47">
        <f t="shared" si="525"/>
        <v>0</v>
      </c>
      <c r="X692" s="47">
        <f t="shared" si="526"/>
        <v>0</v>
      </c>
      <c r="Y692" s="47">
        <f t="shared" si="527"/>
        <v>0</v>
      </c>
      <c r="Z692" s="47">
        <f t="shared" si="528"/>
        <v>0</v>
      </c>
      <c r="AB692" s="47">
        <f t="shared" si="516"/>
        <v>0</v>
      </c>
      <c r="AC692" s="47">
        <f t="shared" si="517"/>
        <v>0</v>
      </c>
      <c r="AD692" s="47">
        <f t="shared" si="518"/>
        <v>0</v>
      </c>
      <c r="AE692" s="47">
        <f t="shared" si="519"/>
        <v>0</v>
      </c>
      <c r="AF692" s="47">
        <f t="shared" si="520"/>
        <v>0</v>
      </c>
    </row>
    <row r="693" spans="2:32">
      <c r="B693" s="37" t="str">
        <f t="shared" si="513"/>
        <v>Asset 139</v>
      </c>
      <c r="F693" s="37" t="str">
        <f t="shared" ref="F693:L693" si="534">F197</f>
        <v>08 Inrichting gebouwen</v>
      </c>
      <c r="G693" s="37">
        <f t="shared" si="534"/>
        <v>2009</v>
      </c>
      <c r="H693" s="42">
        <f t="shared" si="534"/>
        <v>124506.82</v>
      </c>
      <c r="I693" s="37">
        <f t="shared" si="534"/>
        <v>2021</v>
      </c>
      <c r="J693" s="37">
        <f t="shared" si="534"/>
        <v>10</v>
      </c>
      <c r="K693" s="37">
        <f t="shared" si="534"/>
        <v>0</v>
      </c>
      <c r="L693" s="42">
        <f t="shared" si="534"/>
        <v>0</v>
      </c>
      <c r="N693" s="38">
        <f t="shared" si="515"/>
        <v>0</v>
      </c>
      <c r="P693" s="43">
        <f t="shared" si="503"/>
        <v>0</v>
      </c>
      <c r="Q693" s="43">
        <f t="shared" si="503"/>
        <v>0</v>
      </c>
      <c r="R693" s="43">
        <f t="shared" si="503"/>
        <v>0</v>
      </c>
      <c r="S693" s="43">
        <f t="shared" si="503"/>
        <v>0</v>
      </c>
      <c r="T693" s="43">
        <f t="shared" si="503"/>
        <v>0</v>
      </c>
      <c r="V693" s="47">
        <f t="shared" si="524"/>
        <v>0</v>
      </c>
      <c r="W693" s="47">
        <f t="shared" si="525"/>
        <v>0</v>
      </c>
      <c r="X693" s="47">
        <f t="shared" si="526"/>
        <v>0</v>
      </c>
      <c r="Y693" s="47">
        <f t="shared" si="527"/>
        <v>0</v>
      </c>
      <c r="Z693" s="47">
        <f t="shared" si="528"/>
        <v>0</v>
      </c>
      <c r="AB693" s="47">
        <f t="shared" si="516"/>
        <v>0</v>
      </c>
      <c r="AC693" s="47">
        <f t="shared" si="517"/>
        <v>0</v>
      </c>
      <c r="AD693" s="47">
        <f t="shared" si="518"/>
        <v>0</v>
      </c>
      <c r="AE693" s="47">
        <f t="shared" si="519"/>
        <v>0</v>
      </c>
      <c r="AF693" s="47">
        <f t="shared" si="520"/>
        <v>0</v>
      </c>
    </row>
    <row r="694" spans="2:32">
      <c r="B694" s="37" t="str">
        <f t="shared" si="513"/>
        <v>Asset 140</v>
      </c>
      <c r="F694" s="37" t="str">
        <f t="shared" ref="F694:L694" si="535">F198</f>
        <v>14 Overig rollend materieel</v>
      </c>
      <c r="G694" s="37">
        <f t="shared" si="535"/>
        <v>2009</v>
      </c>
      <c r="H694" s="42">
        <f t="shared" si="535"/>
        <v>285378.59999999998</v>
      </c>
      <c r="I694" s="37">
        <f t="shared" si="535"/>
        <v>2021</v>
      </c>
      <c r="J694" s="37">
        <f t="shared" si="535"/>
        <v>10</v>
      </c>
      <c r="K694" s="37">
        <f t="shared" si="535"/>
        <v>1</v>
      </c>
      <c r="L694" s="42">
        <f t="shared" si="535"/>
        <v>0</v>
      </c>
      <c r="N694" s="38">
        <f t="shared" si="515"/>
        <v>0</v>
      </c>
      <c r="P694" s="43">
        <f t="shared" si="503"/>
        <v>0</v>
      </c>
      <c r="Q694" s="43">
        <f t="shared" si="503"/>
        <v>0</v>
      </c>
      <c r="R694" s="43">
        <f t="shared" si="503"/>
        <v>0</v>
      </c>
      <c r="S694" s="43">
        <f t="shared" si="503"/>
        <v>0</v>
      </c>
      <c r="T694" s="43">
        <f t="shared" si="503"/>
        <v>0</v>
      </c>
      <c r="V694" s="47">
        <f t="shared" si="524"/>
        <v>0</v>
      </c>
      <c r="W694" s="47">
        <f t="shared" si="525"/>
        <v>0</v>
      </c>
      <c r="X694" s="47">
        <f t="shared" si="526"/>
        <v>0</v>
      </c>
      <c r="Y694" s="47">
        <f t="shared" si="527"/>
        <v>0</v>
      </c>
      <c r="Z694" s="47">
        <f t="shared" si="528"/>
        <v>0</v>
      </c>
      <c r="AB694" s="47">
        <f t="shared" si="516"/>
        <v>0</v>
      </c>
      <c r="AC694" s="47">
        <f t="shared" si="517"/>
        <v>0</v>
      </c>
      <c r="AD694" s="47">
        <f t="shared" si="518"/>
        <v>0</v>
      </c>
      <c r="AE694" s="47">
        <f t="shared" si="519"/>
        <v>0</v>
      </c>
      <c r="AF694" s="47">
        <f t="shared" si="520"/>
        <v>0</v>
      </c>
    </row>
    <row r="695" spans="2:32">
      <c r="B695" s="37" t="str">
        <f t="shared" si="513"/>
        <v>Asset 141</v>
      </c>
      <c r="F695" s="37" t="str">
        <f t="shared" ref="F695:L695" si="536">F199</f>
        <v>06 Utiliteitsgebouwen</v>
      </c>
      <c r="G695" s="37">
        <f t="shared" si="536"/>
        <v>2009</v>
      </c>
      <c r="H695" s="42">
        <f t="shared" si="536"/>
        <v>35389.120000000003</v>
      </c>
      <c r="I695" s="37">
        <f t="shared" si="536"/>
        <v>2021</v>
      </c>
      <c r="J695" s="37">
        <f t="shared" si="536"/>
        <v>30</v>
      </c>
      <c r="K695" s="37">
        <f t="shared" si="536"/>
        <v>0</v>
      </c>
      <c r="L695" s="42">
        <f t="shared" si="536"/>
        <v>24744.506996892218</v>
      </c>
      <c r="N695" s="38">
        <f t="shared" si="515"/>
        <v>17.5</v>
      </c>
      <c r="P695" s="43">
        <f t="shared" si="503"/>
        <v>1413.971828393841</v>
      </c>
      <c r="Q695" s="43">
        <f t="shared" si="503"/>
        <v>1413.971828393841</v>
      </c>
      <c r="R695" s="43">
        <f t="shared" si="503"/>
        <v>1413.971828393841</v>
      </c>
      <c r="S695" s="43">
        <f t="shared" si="503"/>
        <v>1413.971828393841</v>
      </c>
      <c r="T695" s="43">
        <f t="shared" si="503"/>
        <v>1413.971828393841</v>
      </c>
      <c r="V695" s="47">
        <f t="shared" si="524"/>
        <v>23330.535168498376</v>
      </c>
      <c r="W695" s="47">
        <f t="shared" si="525"/>
        <v>21916.563340104534</v>
      </c>
      <c r="X695" s="47">
        <f t="shared" si="526"/>
        <v>20502.591511710692</v>
      </c>
      <c r="Y695" s="47">
        <f t="shared" si="527"/>
        <v>19088.619683316851</v>
      </c>
      <c r="Z695" s="47">
        <f t="shared" si="528"/>
        <v>17674.647854923009</v>
      </c>
      <c r="AB695" s="47">
        <f t="shared" si="516"/>
        <v>2207.2100241227859</v>
      </c>
      <c r="AC695" s="47">
        <f t="shared" si="517"/>
        <v>2137.2184186172908</v>
      </c>
      <c r="AD695" s="47">
        <f t="shared" si="518"/>
        <v>2193.0703058388472</v>
      </c>
      <c r="AE695" s="47">
        <f t="shared" si="519"/>
        <v>2139.3393763598815</v>
      </c>
      <c r="AF695" s="47">
        <f t="shared" si="520"/>
        <v>2085.6084468809154</v>
      </c>
    </row>
    <row r="696" spans="2:32">
      <c r="B696" s="37" t="str">
        <f t="shared" si="513"/>
        <v>Asset 142</v>
      </c>
      <c r="F696" s="37" t="str">
        <f t="shared" ref="F696:L696" si="537">F200</f>
        <v>09 Bedrijfsinventaris</v>
      </c>
      <c r="G696" s="37">
        <f t="shared" si="537"/>
        <v>2009</v>
      </c>
      <c r="H696" s="42">
        <f t="shared" si="537"/>
        <v>537011.27</v>
      </c>
      <c r="I696" s="37">
        <f t="shared" si="537"/>
        <v>2021</v>
      </c>
      <c r="J696" s="37">
        <f t="shared" si="537"/>
        <v>10</v>
      </c>
      <c r="K696" s="37">
        <f t="shared" si="537"/>
        <v>1</v>
      </c>
      <c r="L696" s="42">
        <f t="shared" si="537"/>
        <v>0</v>
      </c>
      <c r="N696" s="38">
        <f t="shared" si="515"/>
        <v>0</v>
      </c>
      <c r="P696" s="43">
        <f t="shared" si="503"/>
        <v>0</v>
      </c>
      <c r="Q696" s="43">
        <f t="shared" si="503"/>
        <v>0</v>
      </c>
      <c r="R696" s="43">
        <f t="shared" si="503"/>
        <v>0</v>
      </c>
      <c r="S696" s="43">
        <f t="shared" si="503"/>
        <v>0</v>
      </c>
      <c r="T696" s="43">
        <f t="shared" si="503"/>
        <v>0</v>
      </c>
      <c r="V696" s="47">
        <f t="shared" si="524"/>
        <v>0</v>
      </c>
      <c r="W696" s="47">
        <f t="shared" si="525"/>
        <v>0</v>
      </c>
      <c r="X696" s="47">
        <f t="shared" si="526"/>
        <v>0</v>
      </c>
      <c r="Y696" s="47">
        <f t="shared" si="527"/>
        <v>0</v>
      </c>
      <c r="Z696" s="47">
        <f t="shared" si="528"/>
        <v>0</v>
      </c>
      <c r="AB696" s="47">
        <f t="shared" si="516"/>
        <v>0</v>
      </c>
      <c r="AC696" s="47">
        <f t="shared" si="517"/>
        <v>0</v>
      </c>
      <c r="AD696" s="47">
        <f t="shared" si="518"/>
        <v>0</v>
      </c>
      <c r="AE696" s="47">
        <f t="shared" si="519"/>
        <v>0</v>
      </c>
      <c r="AF696" s="47">
        <f t="shared" si="520"/>
        <v>0</v>
      </c>
    </row>
    <row r="697" spans="2:32">
      <c r="B697" s="37" t="str">
        <f t="shared" si="513"/>
        <v>Asset 143</v>
      </c>
      <c r="F697" s="37" t="str">
        <f t="shared" ref="F697:L697" si="538">F201</f>
        <v>20 Kantoorgebouwen</v>
      </c>
      <c r="G697" s="37">
        <f t="shared" si="538"/>
        <v>2009</v>
      </c>
      <c r="H697" s="42">
        <f t="shared" si="538"/>
        <v>2416053.9300000006</v>
      </c>
      <c r="I697" s="37">
        <f t="shared" si="538"/>
        <v>2021</v>
      </c>
      <c r="J697" s="37">
        <f t="shared" si="538"/>
        <v>30</v>
      </c>
      <c r="K697" s="37">
        <f t="shared" si="538"/>
        <v>0</v>
      </c>
      <c r="L697" s="42">
        <f t="shared" si="538"/>
        <v>1689334.5575067692</v>
      </c>
      <c r="N697" s="38">
        <f t="shared" si="515"/>
        <v>17.5</v>
      </c>
      <c r="P697" s="43">
        <f t="shared" si="503"/>
        <v>96533.403286101093</v>
      </c>
      <c r="Q697" s="43">
        <f t="shared" si="503"/>
        <v>96533.403286101093</v>
      </c>
      <c r="R697" s="43">
        <f t="shared" si="503"/>
        <v>96533.403286101093</v>
      </c>
      <c r="S697" s="43">
        <f t="shared" si="503"/>
        <v>96533.403286101093</v>
      </c>
      <c r="T697" s="43">
        <f t="shared" si="503"/>
        <v>96533.403286101093</v>
      </c>
      <c r="V697" s="47">
        <f t="shared" si="524"/>
        <v>1592801.1542206681</v>
      </c>
      <c r="W697" s="47">
        <f t="shared" si="525"/>
        <v>1496267.7509345671</v>
      </c>
      <c r="X697" s="47">
        <f t="shared" si="526"/>
        <v>1399734.347648466</v>
      </c>
      <c r="Y697" s="47">
        <f t="shared" si="527"/>
        <v>1303200.9443623649</v>
      </c>
      <c r="Z697" s="47">
        <f t="shared" si="528"/>
        <v>1206667.5410762639</v>
      </c>
      <c r="AB697" s="47">
        <f t="shared" si="516"/>
        <v>150688.64252960382</v>
      </c>
      <c r="AC697" s="47">
        <f t="shared" si="517"/>
        <v>145910.23906694181</v>
      </c>
      <c r="AD697" s="47">
        <f t="shared" si="518"/>
        <v>149723.3084967428</v>
      </c>
      <c r="AE697" s="47">
        <f t="shared" si="519"/>
        <v>146055.03917187097</v>
      </c>
      <c r="AF697" s="47">
        <f t="shared" si="520"/>
        <v>142386.76984699912</v>
      </c>
    </row>
    <row r="698" spans="2:32">
      <c r="B698" s="37" t="str">
        <f t="shared" si="513"/>
        <v>Asset 144</v>
      </c>
      <c r="F698" s="37" t="str">
        <f t="shared" ref="F698:L698" si="539">F202</f>
        <v>05 Wegen en terreinvoorzieningen</v>
      </c>
      <c r="G698" s="37">
        <f t="shared" si="539"/>
        <v>2009</v>
      </c>
      <c r="H698" s="42">
        <f t="shared" si="539"/>
        <v>97690.9</v>
      </c>
      <c r="I698" s="37">
        <f t="shared" si="539"/>
        <v>2021</v>
      </c>
      <c r="J698" s="37">
        <f t="shared" si="539"/>
        <v>10</v>
      </c>
      <c r="K698" s="37">
        <f t="shared" si="539"/>
        <v>0</v>
      </c>
      <c r="L698" s="42">
        <f t="shared" si="539"/>
        <v>0</v>
      </c>
      <c r="N698" s="38">
        <f t="shared" si="515"/>
        <v>0</v>
      </c>
      <c r="P698" s="43">
        <f t="shared" si="503"/>
        <v>0</v>
      </c>
      <c r="Q698" s="43">
        <f t="shared" si="503"/>
        <v>0</v>
      </c>
      <c r="R698" s="43">
        <f t="shared" si="503"/>
        <v>0</v>
      </c>
      <c r="S698" s="43">
        <f t="shared" si="503"/>
        <v>0</v>
      </c>
      <c r="T698" s="43">
        <f t="shared" si="503"/>
        <v>0</v>
      </c>
      <c r="V698" s="47">
        <f t="shared" si="524"/>
        <v>0</v>
      </c>
      <c r="W698" s="47">
        <f t="shared" si="525"/>
        <v>0</v>
      </c>
      <c r="X698" s="47">
        <f t="shared" si="526"/>
        <v>0</v>
      </c>
      <c r="Y698" s="47">
        <f t="shared" si="527"/>
        <v>0</v>
      </c>
      <c r="Z698" s="47">
        <f t="shared" si="528"/>
        <v>0</v>
      </c>
      <c r="AB698" s="47">
        <f t="shared" si="516"/>
        <v>0</v>
      </c>
      <c r="AC698" s="47">
        <f t="shared" si="517"/>
        <v>0</v>
      </c>
      <c r="AD698" s="47">
        <f t="shared" si="518"/>
        <v>0</v>
      </c>
      <c r="AE698" s="47">
        <f t="shared" si="519"/>
        <v>0</v>
      </c>
      <c r="AF698" s="47">
        <f t="shared" si="520"/>
        <v>0</v>
      </c>
    </row>
    <row r="699" spans="2:32">
      <c r="B699" s="37" t="str">
        <f t="shared" si="513"/>
        <v>Asset 145</v>
      </c>
      <c r="F699" s="37" t="str">
        <f t="shared" ref="F699:L699" si="540">F203</f>
        <v>13 Aanhangwagens</v>
      </c>
      <c r="G699" s="37">
        <f t="shared" si="540"/>
        <v>2009</v>
      </c>
      <c r="H699" s="42">
        <f t="shared" si="540"/>
        <v>655669.05999999994</v>
      </c>
      <c r="I699" s="37">
        <f t="shared" si="540"/>
        <v>2021</v>
      </c>
      <c r="J699" s="37">
        <f t="shared" si="540"/>
        <v>10</v>
      </c>
      <c r="K699" s="37">
        <f t="shared" si="540"/>
        <v>1</v>
      </c>
      <c r="L699" s="42">
        <f t="shared" si="540"/>
        <v>0</v>
      </c>
      <c r="N699" s="38">
        <f t="shared" si="515"/>
        <v>0</v>
      </c>
      <c r="P699" s="43">
        <f t="shared" si="503"/>
        <v>0</v>
      </c>
      <c r="Q699" s="43">
        <f t="shared" si="503"/>
        <v>0</v>
      </c>
      <c r="R699" s="43">
        <f t="shared" si="503"/>
        <v>0</v>
      </c>
      <c r="S699" s="43">
        <f t="shared" si="503"/>
        <v>0</v>
      </c>
      <c r="T699" s="43">
        <f t="shared" si="503"/>
        <v>0</v>
      </c>
      <c r="V699" s="47">
        <f t="shared" si="524"/>
        <v>0</v>
      </c>
      <c r="W699" s="47">
        <f t="shared" si="525"/>
        <v>0</v>
      </c>
      <c r="X699" s="47">
        <f t="shared" si="526"/>
        <v>0</v>
      </c>
      <c r="Y699" s="47">
        <f t="shared" si="527"/>
        <v>0</v>
      </c>
      <c r="Z699" s="47">
        <f t="shared" si="528"/>
        <v>0</v>
      </c>
      <c r="AB699" s="47">
        <f t="shared" si="516"/>
        <v>0</v>
      </c>
      <c r="AC699" s="47">
        <f t="shared" si="517"/>
        <v>0</v>
      </c>
      <c r="AD699" s="47">
        <f t="shared" si="518"/>
        <v>0</v>
      </c>
      <c r="AE699" s="47">
        <f t="shared" si="519"/>
        <v>0</v>
      </c>
      <c r="AF699" s="47">
        <f t="shared" si="520"/>
        <v>0</v>
      </c>
    </row>
    <row r="700" spans="2:32">
      <c r="B700" s="37" t="str">
        <f t="shared" si="513"/>
        <v>Asset 146</v>
      </c>
      <c r="F700" s="37" t="str">
        <f t="shared" ref="F700:L700" si="541">F204</f>
        <v>11 Werktuigen</v>
      </c>
      <c r="G700" s="37">
        <f t="shared" si="541"/>
        <v>2010</v>
      </c>
      <c r="H700" s="42">
        <f t="shared" si="541"/>
        <v>453194.78213502961</v>
      </c>
      <c r="I700" s="37">
        <f t="shared" si="541"/>
        <v>2021</v>
      </c>
      <c r="J700" s="37">
        <f t="shared" si="541"/>
        <v>10</v>
      </c>
      <c r="K700" s="37">
        <f t="shared" si="541"/>
        <v>1</v>
      </c>
      <c r="L700" s="42">
        <f t="shared" si="541"/>
        <v>0</v>
      </c>
      <c r="N700" s="38">
        <f t="shared" si="515"/>
        <v>0</v>
      </c>
      <c r="P700" s="43">
        <f t="shared" si="503"/>
        <v>0</v>
      </c>
      <c r="Q700" s="43">
        <f t="shared" si="503"/>
        <v>0</v>
      </c>
      <c r="R700" s="43">
        <f t="shared" si="503"/>
        <v>0</v>
      </c>
      <c r="S700" s="43">
        <f t="shared" si="503"/>
        <v>0</v>
      </c>
      <c r="T700" s="43">
        <f t="shared" si="503"/>
        <v>0</v>
      </c>
      <c r="V700" s="47">
        <f t="shared" si="524"/>
        <v>0</v>
      </c>
      <c r="W700" s="47">
        <f t="shared" si="525"/>
        <v>0</v>
      </c>
      <c r="X700" s="47">
        <f t="shared" si="526"/>
        <v>0</v>
      </c>
      <c r="Y700" s="47">
        <f t="shared" si="527"/>
        <v>0</v>
      </c>
      <c r="Z700" s="47">
        <f t="shared" si="528"/>
        <v>0</v>
      </c>
      <c r="AB700" s="47">
        <f t="shared" si="516"/>
        <v>0</v>
      </c>
      <c r="AC700" s="47">
        <f t="shared" si="517"/>
        <v>0</v>
      </c>
      <c r="AD700" s="47">
        <f t="shared" si="518"/>
        <v>0</v>
      </c>
      <c r="AE700" s="47">
        <f t="shared" si="519"/>
        <v>0</v>
      </c>
      <c r="AF700" s="47">
        <f t="shared" si="520"/>
        <v>0</v>
      </c>
    </row>
    <row r="701" spans="2:32">
      <c r="B701" s="37" t="str">
        <f t="shared" si="513"/>
        <v>Asset 147</v>
      </c>
      <c r="F701" s="37" t="str">
        <f t="shared" ref="F701:L701" si="542">F205</f>
        <v>14 Overig rollend materieel</v>
      </c>
      <c r="G701" s="37">
        <f t="shared" si="542"/>
        <v>2010</v>
      </c>
      <c r="H701" s="42">
        <f t="shared" si="542"/>
        <v>179634.02000000002</v>
      </c>
      <c r="I701" s="37">
        <f t="shared" si="542"/>
        <v>2021</v>
      </c>
      <c r="J701" s="37">
        <f t="shared" si="542"/>
        <v>10</v>
      </c>
      <c r="K701" s="37">
        <f t="shared" si="542"/>
        <v>1</v>
      </c>
      <c r="L701" s="42">
        <f t="shared" si="542"/>
        <v>0</v>
      </c>
      <c r="N701" s="38">
        <f t="shared" si="515"/>
        <v>0</v>
      </c>
      <c r="P701" s="43">
        <f t="shared" si="503"/>
        <v>0</v>
      </c>
      <c r="Q701" s="43">
        <f t="shared" si="503"/>
        <v>0</v>
      </c>
      <c r="R701" s="43">
        <f t="shared" si="503"/>
        <v>0</v>
      </c>
      <c r="S701" s="43">
        <f t="shared" si="503"/>
        <v>0</v>
      </c>
      <c r="T701" s="43">
        <f t="shared" si="503"/>
        <v>0</v>
      </c>
      <c r="V701" s="47">
        <f t="shared" si="524"/>
        <v>0</v>
      </c>
      <c r="W701" s="47">
        <f t="shared" si="525"/>
        <v>0</v>
      </c>
      <c r="X701" s="47">
        <f t="shared" si="526"/>
        <v>0</v>
      </c>
      <c r="Y701" s="47">
        <f t="shared" si="527"/>
        <v>0</v>
      </c>
      <c r="Z701" s="47">
        <f t="shared" si="528"/>
        <v>0</v>
      </c>
      <c r="AB701" s="47">
        <f t="shared" si="516"/>
        <v>0</v>
      </c>
      <c r="AC701" s="47">
        <f t="shared" si="517"/>
        <v>0</v>
      </c>
      <c r="AD701" s="47">
        <f t="shared" si="518"/>
        <v>0</v>
      </c>
      <c r="AE701" s="47">
        <f t="shared" si="519"/>
        <v>0</v>
      </c>
      <c r="AF701" s="47">
        <f t="shared" si="520"/>
        <v>0</v>
      </c>
    </row>
    <row r="702" spans="2:32">
      <c r="B702" s="37" t="str">
        <f t="shared" si="513"/>
        <v>Asset 148</v>
      </c>
      <c r="F702" s="37" t="str">
        <f t="shared" ref="F702:L702" si="543">F206</f>
        <v>12 Motorvoertuigen</v>
      </c>
      <c r="G702" s="37">
        <f t="shared" si="543"/>
        <v>2011</v>
      </c>
      <c r="H702" s="42">
        <f t="shared" si="543"/>
        <v>293470.62269139342</v>
      </c>
      <c r="I702" s="37">
        <f t="shared" si="543"/>
        <v>2021</v>
      </c>
      <c r="J702" s="37">
        <f t="shared" si="543"/>
        <v>10</v>
      </c>
      <c r="K702" s="37">
        <f t="shared" si="543"/>
        <v>1</v>
      </c>
      <c r="L702" s="42">
        <f t="shared" si="543"/>
        <v>0</v>
      </c>
      <c r="N702" s="38">
        <f t="shared" si="515"/>
        <v>0</v>
      </c>
      <c r="P702" s="43">
        <f t="shared" si="503"/>
        <v>0</v>
      </c>
      <c r="Q702" s="43">
        <f t="shared" si="503"/>
        <v>0</v>
      </c>
      <c r="R702" s="43">
        <f t="shared" si="503"/>
        <v>0</v>
      </c>
      <c r="S702" s="43">
        <f t="shared" si="503"/>
        <v>0</v>
      </c>
      <c r="T702" s="43">
        <f t="shared" si="503"/>
        <v>0</v>
      </c>
      <c r="V702" s="47">
        <f t="shared" si="524"/>
        <v>0</v>
      </c>
      <c r="W702" s="47">
        <f t="shared" si="525"/>
        <v>0</v>
      </c>
      <c r="X702" s="47">
        <f t="shared" si="526"/>
        <v>0</v>
      </c>
      <c r="Y702" s="47">
        <f t="shared" si="527"/>
        <v>0</v>
      </c>
      <c r="Z702" s="47">
        <f t="shared" si="528"/>
        <v>0</v>
      </c>
      <c r="AB702" s="47">
        <f t="shared" si="516"/>
        <v>0</v>
      </c>
      <c r="AC702" s="47">
        <f t="shared" si="517"/>
        <v>0</v>
      </c>
      <c r="AD702" s="47">
        <f t="shared" si="518"/>
        <v>0</v>
      </c>
      <c r="AE702" s="47">
        <f t="shared" si="519"/>
        <v>0</v>
      </c>
      <c r="AF702" s="47">
        <f t="shared" si="520"/>
        <v>0</v>
      </c>
    </row>
    <row r="703" spans="2:32">
      <c r="B703" s="37" t="str">
        <f t="shared" si="513"/>
        <v>Asset 149</v>
      </c>
      <c r="F703" s="37" t="str">
        <f t="shared" ref="F703:L703" si="544">F207</f>
        <v>08 Inrichting gebouwen</v>
      </c>
      <c r="G703" s="37">
        <f t="shared" si="544"/>
        <v>2011</v>
      </c>
      <c r="H703" s="42">
        <f t="shared" si="544"/>
        <v>309147.61872011481</v>
      </c>
      <c r="I703" s="37">
        <f t="shared" si="544"/>
        <v>2021</v>
      </c>
      <c r="J703" s="37">
        <f t="shared" si="544"/>
        <v>10</v>
      </c>
      <c r="K703" s="37">
        <f t="shared" si="544"/>
        <v>0</v>
      </c>
      <c r="L703" s="42">
        <f t="shared" si="544"/>
        <v>0</v>
      </c>
      <c r="N703" s="38">
        <f t="shared" si="515"/>
        <v>0</v>
      </c>
      <c r="P703" s="43">
        <f t="shared" si="503"/>
        <v>0</v>
      </c>
      <c r="Q703" s="43">
        <f t="shared" si="503"/>
        <v>0</v>
      </c>
      <c r="R703" s="43">
        <f t="shared" si="503"/>
        <v>0</v>
      </c>
      <c r="S703" s="43">
        <f t="shared" si="503"/>
        <v>0</v>
      </c>
      <c r="T703" s="43">
        <f t="shared" si="503"/>
        <v>0</v>
      </c>
      <c r="V703" s="47">
        <f t="shared" si="524"/>
        <v>0</v>
      </c>
      <c r="W703" s="47">
        <f t="shared" si="525"/>
        <v>0</v>
      </c>
      <c r="X703" s="47">
        <f t="shared" si="526"/>
        <v>0</v>
      </c>
      <c r="Y703" s="47">
        <f t="shared" si="527"/>
        <v>0</v>
      </c>
      <c r="Z703" s="47">
        <f t="shared" si="528"/>
        <v>0</v>
      </c>
      <c r="AB703" s="47">
        <f t="shared" si="516"/>
        <v>0</v>
      </c>
      <c r="AC703" s="47">
        <f t="shared" si="517"/>
        <v>0</v>
      </c>
      <c r="AD703" s="47">
        <f t="shared" si="518"/>
        <v>0</v>
      </c>
      <c r="AE703" s="47">
        <f t="shared" si="519"/>
        <v>0</v>
      </c>
      <c r="AF703" s="47">
        <f t="shared" si="520"/>
        <v>0</v>
      </c>
    </row>
    <row r="704" spans="2:32">
      <c r="B704" s="37" t="str">
        <f t="shared" si="513"/>
        <v>Asset 150</v>
      </c>
      <c r="F704" s="37" t="str">
        <f t="shared" ref="F704:L704" si="545">F208</f>
        <v>38 ICT middelen 2</v>
      </c>
      <c r="G704" s="37">
        <f t="shared" si="545"/>
        <v>2011</v>
      </c>
      <c r="H704" s="42">
        <f t="shared" si="545"/>
        <v>24343500.983545668</v>
      </c>
      <c r="I704" s="37">
        <f t="shared" si="545"/>
        <v>2021</v>
      </c>
      <c r="J704" s="37">
        <f t="shared" si="545"/>
        <v>10</v>
      </c>
      <c r="K704" s="37">
        <f t="shared" si="545"/>
        <v>1</v>
      </c>
      <c r="L704" s="42">
        <f t="shared" si="545"/>
        <v>0</v>
      </c>
      <c r="N704" s="38">
        <f t="shared" si="515"/>
        <v>0</v>
      </c>
      <c r="P704" s="43">
        <f t="shared" si="503"/>
        <v>0</v>
      </c>
      <c r="Q704" s="43">
        <f t="shared" si="503"/>
        <v>0</v>
      </c>
      <c r="R704" s="43">
        <f t="shared" si="503"/>
        <v>0</v>
      </c>
      <c r="S704" s="43">
        <f t="shared" si="503"/>
        <v>0</v>
      </c>
      <c r="T704" s="43">
        <f t="shared" si="503"/>
        <v>0</v>
      </c>
      <c r="V704" s="47">
        <f t="shared" si="524"/>
        <v>0</v>
      </c>
      <c r="W704" s="47">
        <f t="shared" si="525"/>
        <v>0</v>
      </c>
      <c r="X704" s="47">
        <f t="shared" si="526"/>
        <v>0</v>
      </c>
      <c r="Y704" s="47">
        <f t="shared" si="527"/>
        <v>0</v>
      </c>
      <c r="Z704" s="47">
        <f t="shared" si="528"/>
        <v>0</v>
      </c>
      <c r="AB704" s="47">
        <f t="shared" si="516"/>
        <v>0</v>
      </c>
      <c r="AC704" s="47">
        <f t="shared" si="517"/>
        <v>0</v>
      </c>
      <c r="AD704" s="47">
        <f t="shared" si="518"/>
        <v>0</v>
      </c>
      <c r="AE704" s="47">
        <f t="shared" si="519"/>
        <v>0</v>
      </c>
      <c r="AF704" s="47">
        <f t="shared" si="520"/>
        <v>0</v>
      </c>
    </row>
    <row r="705" spans="2:32">
      <c r="B705" s="37" t="str">
        <f t="shared" si="513"/>
        <v>Asset 151</v>
      </c>
      <c r="F705" s="37" t="str">
        <f t="shared" ref="F705:L705" si="546">F209</f>
        <v>11 Werktuigen</v>
      </c>
      <c r="G705" s="37">
        <f t="shared" si="546"/>
        <v>2011</v>
      </c>
      <c r="H705" s="42">
        <f t="shared" si="546"/>
        <v>345005.47060998465</v>
      </c>
      <c r="I705" s="37">
        <f t="shared" si="546"/>
        <v>2021</v>
      </c>
      <c r="J705" s="37">
        <f t="shared" si="546"/>
        <v>10</v>
      </c>
      <c r="K705" s="37">
        <f t="shared" si="546"/>
        <v>1</v>
      </c>
      <c r="L705" s="42">
        <f t="shared" si="546"/>
        <v>0</v>
      </c>
      <c r="N705" s="38">
        <f t="shared" si="515"/>
        <v>0</v>
      </c>
      <c r="P705" s="43">
        <f t="shared" si="503"/>
        <v>0</v>
      </c>
      <c r="Q705" s="43">
        <f t="shared" si="503"/>
        <v>0</v>
      </c>
      <c r="R705" s="43">
        <f t="shared" si="503"/>
        <v>0</v>
      </c>
      <c r="S705" s="43">
        <f t="shared" si="503"/>
        <v>0</v>
      </c>
      <c r="T705" s="43">
        <f t="shared" si="503"/>
        <v>0</v>
      </c>
      <c r="V705" s="47">
        <f t="shared" si="524"/>
        <v>0</v>
      </c>
      <c r="W705" s="47">
        <f t="shared" si="525"/>
        <v>0</v>
      </c>
      <c r="X705" s="47">
        <f t="shared" si="526"/>
        <v>0</v>
      </c>
      <c r="Y705" s="47">
        <f t="shared" si="527"/>
        <v>0</v>
      </c>
      <c r="Z705" s="47">
        <f t="shared" si="528"/>
        <v>0</v>
      </c>
      <c r="AB705" s="47">
        <f t="shared" si="516"/>
        <v>0</v>
      </c>
      <c r="AC705" s="47">
        <f t="shared" si="517"/>
        <v>0</v>
      </c>
      <c r="AD705" s="47">
        <f t="shared" si="518"/>
        <v>0</v>
      </c>
      <c r="AE705" s="47">
        <f t="shared" si="519"/>
        <v>0</v>
      </c>
      <c r="AF705" s="47">
        <f t="shared" si="520"/>
        <v>0</v>
      </c>
    </row>
    <row r="706" spans="2:32">
      <c r="B706" s="37" t="str">
        <f t="shared" si="513"/>
        <v>Asset 152</v>
      </c>
      <c r="F706" s="37" t="str">
        <f t="shared" ref="F706:L706" si="547">F210</f>
        <v>13 Aanhangwagens</v>
      </c>
      <c r="G706" s="37">
        <f t="shared" si="547"/>
        <v>2011</v>
      </c>
      <c r="H706" s="42">
        <f t="shared" si="547"/>
        <v>10931.96</v>
      </c>
      <c r="I706" s="37">
        <f t="shared" si="547"/>
        <v>2021</v>
      </c>
      <c r="J706" s="37">
        <f t="shared" si="547"/>
        <v>10</v>
      </c>
      <c r="K706" s="37">
        <f t="shared" si="547"/>
        <v>1</v>
      </c>
      <c r="L706" s="42">
        <f t="shared" si="547"/>
        <v>0</v>
      </c>
      <c r="N706" s="38">
        <f t="shared" si="515"/>
        <v>0</v>
      </c>
      <c r="P706" s="43">
        <f t="shared" si="503"/>
        <v>0</v>
      </c>
      <c r="Q706" s="43">
        <f t="shared" si="503"/>
        <v>0</v>
      </c>
      <c r="R706" s="43">
        <f t="shared" si="503"/>
        <v>0</v>
      </c>
      <c r="S706" s="43">
        <f t="shared" si="503"/>
        <v>0</v>
      </c>
      <c r="T706" s="43">
        <f t="shared" si="503"/>
        <v>0</v>
      </c>
      <c r="V706" s="47">
        <f t="shared" si="524"/>
        <v>0</v>
      </c>
      <c r="W706" s="47">
        <f t="shared" si="525"/>
        <v>0</v>
      </c>
      <c r="X706" s="47">
        <f t="shared" si="526"/>
        <v>0</v>
      </c>
      <c r="Y706" s="47">
        <f t="shared" si="527"/>
        <v>0</v>
      </c>
      <c r="Z706" s="47">
        <f t="shared" si="528"/>
        <v>0</v>
      </c>
      <c r="AB706" s="47">
        <f t="shared" si="516"/>
        <v>0</v>
      </c>
      <c r="AC706" s="47">
        <f t="shared" si="517"/>
        <v>0</v>
      </c>
      <c r="AD706" s="47">
        <f t="shared" si="518"/>
        <v>0</v>
      </c>
      <c r="AE706" s="47">
        <f t="shared" si="519"/>
        <v>0</v>
      </c>
      <c r="AF706" s="47">
        <f t="shared" si="520"/>
        <v>0</v>
      </c>
    </row>
    <row r="707" spans="2:32">
      <c r="B707" s="37" t="str">
        <f t="shared" si="513"/>
        <v>Asset 153</v>
      </c>
      <c r="F707" s="37" t="str">
        <f t="shared" ref="F707:L707" si="548">F211</f>
        <v>37 ICT middelen 1 (transparency)</v>
      </c>
      <c r="G707" s="37">
        <f t="shared" si="548"/>
        <v>2012</v>
      </c>
      <c r="H707" s="42">
        <f t="shared" si="548"/>
        <v>817297.73457401327</v>
      </c>
      <c r="I707" s="37">
        <f t="shared" si="548"/>
        <v>2021</v>
      </c>
      <c r="J707" s="37">
        <f t="shared" si="548"/>
        <v>5</v>
      </c>
      <c r="K707" s="37">
        <f t="shared" si="548"/>
        <v>0</v>
      </c>
      <c r="L707" s="42">
        <f t="shared" si="548"/>
        <v>0</v>
      </c>
      <c r="N707" s="38">
        <f t="shared" si="515"/>
        <v>0</v>
      </c>
      <c r="P707" s="43">
        <f t="shared" si="503"/>
        <v>0</v>
      </c>
      <c r="Q707" s="43">
        <f t="shared" si="503"/>
        <v>0</v>
      </c>
      <c r="R707" s="43">
        <f t="shared" si="503"/>
        <v>0</v>
      </c>
      <c r="S707" s="43">
        <f t="shared" si="503"/>
        <v>0</v>
      </c>
      <c r="T707" s="43">
        <f t="shared" si="503"/>
        <v>0</v>
      </c>
      <c r="V707" s="47">
        <f t="shared" si="524"/>
        <v>0</v>
      </c>
      <c r="W707" s="47">
        <f t="shared" si="525"/>
        <v>0</v>
      </c>
      <c r="X707" s="47">
        <f t="shared" si="526"/>
        <v>0</v>
      </c>
      <c r="Y707" s="47">
        <f t="shared" si="527"/>
        <v>0</v>
      </c>
      <c r="Z707" s="47">
        <f t="shared" si="528"/>
        <v>0</v>
      </c>
      <c r="AB707" s="47">
        <f t="shared" si="516"/>
        <v>0</v>
      </c>
      <c r="AC707" s="47">
        <f t="shared" si="517"/>
        <v>0</v>
      </c>
      <c r="AD707" s="47">
        <f t="shared" si="518"/>
        <v>0</v>
      </c>
      <c r="AE707" s="47">
        <f t="shared" si="519"/>
        <v>0</v>
      </c>
      <c r="AF707" s="47">
        <f t="shared" si="520"/>
        <v>0</v>
      </c>
    </row>
    <row r="708" spans="2:32">
      <c r="B708" s="37" t="str">
        <f t="shared" si="513"/>
        <v>Asset 154</v>
      </c>
      <c r="F708" s="37" t="str">
        <f t="shared" ref="F708:L708" si="549">F212</f>
        <v>11 Werktuigen</v>
      </c>
      <c r="G708" s="37">
        <f t="shared" si="549"/>
        <v>2012</v>
      </c>
      <c r="H708" s="42">
        <f t="shared" si="549"/>
        <v>237528.30775638262</v>
      </c>
      <c r="I708" s="37">
        <f t="shared" si="549"/>
        <v>2021</v>
      </c>
      <c r="J708" s="37">
        <f t="shared" si="549"/>
        <v>10</v>
      </c>
      <c r="K708" s="37">
        <f t="shared" si="549"/>
        <v>1</v>
      </c>
      <c r="L708" s="42">
        <f t="shared" si="549"/>
        <v>13628.978016883706</v>
      </c>
      <c r="N708" s="38">
        <f t="shared" si="515"/>
        <v>0.5</v>
      </c>
      <c r="P708" s="43">
        <f t="shared" si="503"/>
        <v>13628.978016883706</v>
      </c>
      <c r="Q708" s="43">
        <f t="shared" si="503"/>
        <v>0</v>
      </c>
      <c r="R708" s="43">
        <f t="shared" si="503"/>
        <v>0</v>
      </c>
      <c r="S708" s="43">
        <f t="shared" si="503"/>
        <v>0</v>
      </c>
      <c r="T708" s="43">
        <f t="shared" si="503"/>
        <v>0</v>
      </c>
      <c r="V708" s="47">
        <f t="shared" si="524"/>
        <v>0</v>
      </c>
      <c r="W708" s="47">
        <f t="shared" si="525"/>
        <v>0</v>
      </c>
      <c r="X708" s="47">
        <f t="shared" si="526"/>
        <v>0</v>
      </c>
      <c r="Y708" s="47">
        <f t="shared" si="527"/>
        <v>0</v>
      </c>
      <c r="Z708" s="47">
        <f t="shared" si="528"/>
        <v>0</v>
      </c>
      <c r="AB708" s="47">
        <f t="shared" si="516"/>
        <v>13628.978016883706</v>
      </c>
      <c r="AC708" s="47">
        <f t="shared" si="517"/>
        <v>0</v>
      </c>
      <c r="AD708" s="47">
        <f t="shared" si="518"/>
        <v>0</v>
      </c>
      <c r="AE708" s="47">
        <f t="shared" si="519"/>
        <v>0</v>
      </c>
      <c r="AF708" s="47">
        <f t="shared" si="520"/>
        <v>0</v>
      </c>
    </row>
    <row r="709" spans="2:32">
      <c r="B709" s="37" t="str">
        <f t="shared" si="513"/>
        <v>Asset 155</v>
      </c>
      <c r="F709" s="37" t="str">
        <f t="shared" ref="F709:L709" si="550">F213</f>
        <v>13 Aanhangwagens</v>
      </c>
      <c r="G709" s="37">
        <f t="shared" si="550"/>
        <v>2012</v>
      </c>
      <c r="H709" s="42">
        <f t="shared" si="550"/>
        <v>20000</v>
      </c>
      <c r="I709" s="37">
        <f t="shared" si="550"/>
        <v>2021</v>
      </c>
      <c r="J709" s="37">
        <f t="shared" si="550"/>
        <v>10</v>
      </c>
      <c r="K709" s="37">
        <f t="shared" si="550"/>
        <v>1</v>
      </c>
      <c r="L709" s="42">
        <f t="shared" si="550"/>
        <v>1147.5666328463135</v>
      </c>
      <c r="N709" s="38">
        <f t="shared" si="515"/>
        <v>0.5</v>
      </c>
      <c r="P709" s="43">
        <f t="shared" si="503"/>
        <v>1147.5666328463135</v>
      </c>
      <c r="Q709" s="43">
        <f t="shared" si="503"/>
        <v>0</v>
      </c>
      <c r="R709" s="43">
        <f t="shared" si="503"/>
        <v>0</v>
      </c>
      <c r="S709" s="43">
        <f t="shared" si="503"/>
        <v>0</v>
      </c>
      <c r="T709" s="43">
        <f t="shared" si="503"/>
        <v>0</v>
      </c>
      <c r="V709" s="47">
        <f t="shared" si="524"/>
        <v>0</v>
      </c>
      <c r="W709" s="47">
        <f t="shared" si="525"/>
        <v>0</v>
      </c>
      <c r="X709" s="47">
        <f t="shared" si="526"/>
        <v>0</v>
      </c>
      <c r="Y709" s="47">
        <f t="shared" si="527"/>
        <v>0</v>
      </c>
      <c r="Z709" s="47">
        <f t="shared" si="528"/>
        <v>0</v>
      </c>
      <c r="AB709" s="47">
        <f t="shared" si="516"/>
        <v>1147.5666328463135</v>
      </c>
      <c r="AC709" s="47">
        <f t="shared" si="517"/>
        <v>0</v>
      </c>
      <c r="AD709" s="47">
        <f t="shared" si="518"/>
        <v>0</v>
      </c>
      <c r="AE709" s="47">
        <f t="shared" si="519"/>
        <v>0</v>
      </c>
      <c r="AF709" s="47">
        <f t="shared" si="520"/>
        <v>0</v>
      </c>
    </row>
    <row r="710" spans="2:32">
      <c r="B710" s="37" t="str">
        <f t="shared" si="513"/>
        <v>Asset 156</v>
      </c>
      <c r="F710" s="37" t="str">
        <f t="shared" ref="F710:L710" si="551">F214</f>
        <v>20 Kantoorgebouwen</v>
      </c>
      <c r="G710" s="37">
        <f t="shared" si="551"/>
        <v>2012</v>
      </c>
      <c r="H710" s="42">
        <f t="shared" si="551"/>
        <v>701380.67501665035</v>
      </c>
      <c r="I710" s="37">
        <f t="shared" si="551"/>
        <v>2021</v>
      </c>
      <c r="J710" s="37">
        <f t="shared" si="551"/>
        <v>30</v>
      </c>
      <c r="K710" s="37">
        <f t="shared" si="551"/>
        <v>0</v>
      </c>
      <c r="L710" s="42">
        <f t="shared" si="551"/>
        <v>550002.05737442558</v>
      </c>
      <c r="N710" s="38">
        <f t="shared" si="515"/>
        <v>20.5</v>
      </c>
      <c r="P710" s="43">
        <f t="shared" si="503"/>
        <v>26829.368652411005</v>
      </c>
      <c r="Q710" s="43">
        <f t="shared" si="503"/>
        <v>26829.368652411005</v>
      </c>
      <c r="R710" s="43">
        <f t="shared" si="503"/>
        <v>26829.368652411005</v>
      </c>
      <c r="S710" s="43">
        <f t="shared" si="503"/>
        <v>26829.368652411005</v>
      </c>
      <c r="T710" s="43">
        <f t="shared" si="503"/>
        <v>26829.368652411005</v>
      </c>
      <c r="V710" s="47">
        <f t="shared" si="524"/>
        <v>523172.6887220146</v>
      </c>
      <c r="W710" s="47">
        <f t="shared" si="525"/>
        <v>496343.32006960362</v>
      </c>
      <c r="X710" s="47">
        <f t="shared" si="526"/>
        <v>469513.95141719264</v>
      </c>
      <c r="Y710" s="47">
        <f t="shared" si="527"/>
        <v>442684.58276478166</v>
      </c>
      <c r="Z710" s="47">
        <f t="shared" si="528"/>
        <v>415855.21411237068</v>
      </c>
      <c r="AB710" s="47">
        <f t="shared" si="516"/>
        <v>44617.240068959502</v>
      </c>
      <c r="AC710" s="47">
        <f t="shared" si="517"/>
        <v>43208.698214707925</v>
      </c>
      <c r="AD710" s="47">
        <f t="shared" si="518"/>
        <v>44670.898806264326</v>
      </c>
      <c r="AE710" s="47">
        <f t="shared" si="519"/>
        <v>43651.382797472703</v>
      </c>
      <c r="AF710" s="47">
        <f t="shared" si="520"/>
        <v>42631.866788681087</v>
      </c>
    </row>
    <row r="711" spans="2:32">
      <c r="B711" s="37" t="str">
        <f t="shared" si="513"/>
        <v>Asset 157</v>
      </c>
      <c r="F711" s="37" t="str">
        <f t="shared" ref="F711:L711" si="552">F215</f>
        <v>10 Gereedschap</v>
      </c>
      <c r="G711" s="37">
        <f t="shared" si="552"/>
        <v>2012</v>
      </c>
      <c r="H711" s="42">
        <f t="shared" si="552"/>
        <v>102288.01000000001</v>
      </c>
      <c r="I711" s="37">
        <f t="shared" si="552"/>
        <v>2021</v>
      </c>
      <c r="J711" s="37">
        <f t="shared" si="552"/>
        <v>10</v>
      </c>
      <c r="K711" s="37">
        <f t="shared" si="552"/>
        <v>1</v>
      </c>
      <c r="L711" s="42">
        <f t="shared" si="552"/>
        <v>5869.1153608124732</v>
      </c>
      <c r="N711" s="38">
        <f t="shared" si="515"/>
        <v>0.5</v>
      </c>
      <c r="P711" s="43">
        <f t="shared" si="503"/>
        <v>5869.1153608124732</v>
      </c>
      <c r="Q711" s="43">
        <f t="shared" si="503"/>
        <v>0</v>
      </c>
      <c r="R711" s="43">
        <f t="shared" si="503"/>
        <v>0</v>
      </c>
      <c r="S711" s="43">
        <f t="shared" si="503"/>
        <v>0</v>
      </c>
      <c r="T711" s="43">
        <f t="shared" si="503"/>
        <v>0</v>
      </c>
      <c r="V711" s="47">
        <f t="shared" si="524"/>
        <v>0</v>
      </c>
      <c r="W711" s="47">
        <f t="shared" si="525"/>
        <v>0</v>
      </c>
      <c r="X711" s="47">
        <f t="shared" si="526"/>
        <v>0</v>
      </c>
      <c r="Y711" s="47">
        <f t="shared" si="527"/>
        <v>0</v>
      </c>
      <c r="Z711" s="47">
        <f t="shared" si="528"/>
        <v>0</v>
      </c>
      <c r="AB711" s="47">
        <f t="shared" si="516"/>
        <v>5869.1153608124732</v>
      </c>
      <c r="AC711" s="47">
        <f t="shared" si="517"/>
        <v>0</v>
      </c>
      <c r="AD711" s="47">
        <f t="shared" si="518"/>
        <v>0</v>
      </c>
      <c r="AE711" s="47">
        <f t="shared" si="519"/>
        <v>0</v>
      </c>
      <c r="AF711" s="47">
        <f t="shared" si="520"/>
        <v>0</v>
      </c>
    </row>
    <row r="712" spans="2:32">
      <c r="B712" s="37" t="str">
        <f t="shared" si="513"/>
        <v>Asset 158</v>
      </c>
      <c r="F712" s="37" t="str">
        <f t="shared" ref="F712:L712" si="553">F216</f>
        <v>09 Bedrijfsinventaris</v>
      </c>
      <c r="G712" s="37">
        <f t="shared" si="553"/>
        <v>2012</v>
      </c>
      <c r="H712" s="42">
        <f t="shared" si="553"/>
        <v>321753.96830222307</v>
      </c>
      <c r="I712" s="37">
        <f t="shared" si="553"/>
        <v>2021</v>
      </c>
      <c r="J712" s="37">
        <f t="shared" si="553"/>
        <v>10</v>
      </c>
      <c r="K712" s="37">
        <f t="shared" si="553"/>
        <v>1</v>
      </c>
      <c r="L712" s="42">
        <f t="shared" si="553"/>
        <v>18461.705900476001</v>
      </c>
      <c r="N712" s="38">
        <f t="shared" si="515"/>
        <v>0.5</v>
      </c>
      <c r="P712" s="43">
        <f t="shared" si="503"/>
        <v>18461.705900476001</v>
      </c>
      <c r="Q712" s="43">
        <f t="shared" si="503"/>
        <v>0</v>
      </c>
      <c r="R712" s="43">
        <f t="shared" si="503"/>
        <v>0</v>
      </c>
      <c r="S712" s="43">
        <f t="shared" si="503"/>
        <v>0</v>
      </c>
      <c r="T712" s="43">
        <f t="shared" si="503"/>
        <v>0</v>
      </c>
      <c r="V712" s="47">
        <f t="shared" si="524"/>
        <v>0</v>
      </c>
      <c r="W712" s="47">
        <f t="shared" si="525"/>
        <v>0</v>
      </c>
      <c r="X712" s="47">
        <f t="shared" si="526"/>
        <v>0</v>
      </c>
      <c r="Y712" s="47">
        <f t="shared" si="527"/>
        <v>0</v>
      </c>
      <c r="Z712" s="47">
        <f t="shared" si="528"/>
        <v>0</v>
      </c>
      <c r="AB712" s="47">
        <f t="shared" si="516"/>
        <v>18461.705900476001</v>
      </c>
      <c r="AC712" s="47">
        <f t="shared" si="517"/>
        <v>0</v>
      </c>
      <c r="AD712" s="47">
        <f t="shared" si="518"/>
        <v>0</v>
      </c>
      <c r="AE712" s="47">
        <f t="shared" si="519"/>
        <v>0</v>
      </c>
      <c r="AF712" s="47">
        <f t="shared" si="520"/>
        <v>0</v>
      </c>
    </row>
    <row r="713" spans="2:32">
      <c r="B713" s="37" t="str">
        <f t="shared" si="513"/>
        <v>Asset 159</v>
      </c>
      <c r="F713" s="37" t="str">
        <f t="shared" ref="F713:L713" si="554">F217</f>
        <v>14 Overig rollend materieel</v>
      </c>
      <c r="G713" s="37">
        <f t="shared" si="554"/>
        <v>2012</v>
      </c>
      <c r="H713" s="42">
        <f t="shared" si="554"/>
        <v>341738.83030935976</v>
      </c>
      <c r="I713" s="37">
        <f t="shared" si="554"/>
        <v>2021</v>
      </c>
      <c r="J713" s="37">
        <f t="shared" si="554"/>
        <v>10</v>
      </c>
      <c r="K713" s="37">
        <f t="shared" si="554"/>
        <v>1</v>
      </c>
      <c r="L713" s="42">
        <f t="shared" si="554"/>
        <v>19608.403940547396</v>
      </c>
      <c r="N713" s="38">
        <f t="shared" si="515"/>
        <v>0.5</v>
      </c>
      <c r="P713" s="43">
        <f t="shared" si="503"/>
        <v>19608.403940547396</v>
      </c>
      <c r="Q713" s="43">
        <f t="shared" si="503"/>
        <v>0</v>
      </c>
      <c r="R713" s="43">
        <f t="shared" si="503"/>
        <v>0</v>
      </c>
      <c r="S713" s="43">
        <f t="shared" si="503"/>
        <v>0</v>
      </c>
      <c r="T713" s="43">
        <f t="shared" si="503"/>
        <v>0</v>
      </c>
      <c r="V713" s="47">
        <f t="shared" si="524"/>
        <v>0</v>
      </c>
      <c r="W713" s="47">
        <f t="shared" si="525"/>
        <v>0</v>
      </c>
      <c r="X713" s="47">
        <f t="shared" si="526"/>
        <v>0</v>
      </c>
      <c r="Y713" s="47">
        <f t="shared" si="527"/>
        <v>0</v>
      </c>
      <c r="Z713" s="47">
        <f t="shared" si="528"/>
        <v>0</v>
      </c>
      <c r="AB713" s="47">
        <f t="shared" si="516"/>
        <v>19608.403940547396</v>
      </c>
      <c r="AC713" s="47">
        <f t="shared" si="517"/>
        <v>0</v>
      </c>
      <c r="AD713" s="47">
        <f t="shared" si="518"/>
        <v>0</v>
      </c>
      <c r="AE713" s="47">
        <f t="shared" si="519"/>
        <v>0</v>
      </c>
      <c r="AF713" s="47">
        <f t="shared" si="520"/>
        <v>0</v>
      </c>
    </row>
    <row r="714" spans="2:32">
      <c r="B714" s="37" t="str">
        <f t="shared" si="513"/>
        <v>Asset 160</v>
      </c>
      <c r="F714" s="37" t="str">
        <f t="shared" ref="F714:L714" si="555">F218</f>
        <v>08 Inrichting gebouwen</v>
      </c>
      <c r="G714" s="37">
        <f t="shared" si="555"/>
        <v>2012</v>
      </c>
      <c r="H714" s="42">
        <f t="shared" si="555"/>
        <v>737114.28212566266</v>
      </c>
      <c r="I714" s="37">
        <f t="shared" si="555"/>
        <v>2021</v>
      </c>
      <c r="J714" s="37">
        <f t="shared" si="555"/>
        <v>10</v>
      </c>
      <c r="K714" s="37">
        <f t="shared" si="555"/>
        <v>0</v>
      </c>
      <c r="L714" s="42">
        <f t="shared" si="555"/>
        <v>42294.387738093574</v>
      </c>
      <c r="N714" s="38">
        <f t="shared" si="515"/>
        <v>0.5</v>
      </c>
      <c r="P714" s="43">
        <f t="shared" si="503"/>
        <v>42294.387738093574</v>
      </c>
      <c r="Q714" s="43">
        <f t="shared" si="503"/>
        <v>0</v>
      </c>
      <c r="R714" s="43">
        <f t="shared" si="503"/>
        <v>0</v>
      </c>
      <c r="S714" s="43">
        <f t="shared" si="503"/>
        <v>0</v>
      </c>
      <c r="T714" s="43">
        <f t="shared" si="503"/>
        <v>0</v>
      </c>
      <c r="V714" s="47">
        <f t="shared" si="524"/>
        <v>0</v>
      </c>
      <c r="W714" s="47">
        <f t="shared" si="525"/>
        <v>0</v>
      </c>
      <c r="X714" s="47">
        <f t="shared" si="526"/>
        <v>0</v>
      </c>
      <c r="Y714" s="47">
        <f t="shared" si="527"/>
        <v>0</v>
      </c>
      <c r="Z714" s="47">
        <f t="shared" si="528"/>
        <v>0</v>
      </c>
      <c r="AB714" s="47">
        <f t="shared" si="516"/>
        <v>42294.387738093574</v>
      </c>
      <c r="AC714" s="47">
        <f t="shared" si="517"/>
        <v>0</v>
      </c>
      <c r="AD714" s="47">
        <f t="shared" si="518"/>
        <v>0</v>
      </c>
      <c r="AE714" s="47">
        <f t="shared" si="519"/>
        <v>0</v>
      </c>
      <c r="AF714" s="47">
        <f t="shared" si="520"/>
        <v>0</v>
      </c>
    </row>
    <row r="715" spans="2:32">
      <c r="B715" s="37" t="str">
        <f t="shared" si="513"/>
        <v>Asset 161</v>
      </c>
      <c r="F715" s="37" t="str">
        <f t="shared" ref="F715:L715" si="556">F219</f>
        <v>11 Werktuigen</v>
      </c>
      <c r="G715" s="37">
        <f t="shared" si="556"/>
        <v>2013</v>
      </c>
      <c r="H715" s="42">
        <f t="shared" si="556"/>
        <v>5005059.40396435</v>
      </c>
      <c r="I715" s="37">
        <f t="shared" si="556"/>
        <v>2021</v>
      </c>
      <c r="J715" s="37">
        <f t="shared" si="556"/>
        <v>10</v>
      </c>
      <c r="K715" s="37">
        <f t="shared" si="556"/>
        <v>1</v>
      </c>
      <c r="L715" s="42">
        <f t="shared" si="556"/>
        <v>842175.83099752699</v>
      </c>
      <c r="N715" s="38">
        <f t="shared" si="515"/>
        <v>1.5</v>
      </c>
      <c r="P715" s="43">
        <f t="shared" si="503"/>
        <v>561450.55399835133</v>
      </c>
      <c r="Q715" s="43">
        <f t="shared" si="503"/>
        <v>280725.27699917566</v>
      </c>
      <c r="R715" s="43">
        <f t="shared" si="503"/>
        <v>0</v>
      </c>
      <c r="S715" s="43">
        <f t="shared" si="503"/>
        <v>0</v>
      </c>
      <c r="T715" s="43">
        <f t="shared" si="503"/>
        <v>0</v>
      </c>
      <c r="V715" s="47">
        <f t="shared" si="524"/>
        <v>280725.27699917566</v>
      </c>
      <c r="W715" s="47">
        <f t="shared" si="525"/>
        <v>0</v>
      </c>
      <c r="X715" s="47">
        <f t="shared" si="526"/>
        <v>0</v>
      </c>
      <c r="Y715" s="47">
        <f t="shared" si="527"/>
        <v>0</v>
      </c>
      <c r="Z715" s="47">
        <f t="shared" si="528"/>
        <v>0</v>
      </c>
      <c r="AB715" s="47">
        <f t="shared" si="516"/>
        <v>570995.2134163233</v>
      </c>
      <c r="AC715" s="47">
        <f t="shared" si="517"/>
        <v>280725.27699917566</v>
      </c>
      <c r="AD715" s="47">
        <f t="shared" si="518"/>
        <v>0</v>
      </c>
      <c r="AE715" s="47">
        <f t="shared" si="519"/>
        <v>0</v>
      </c>
      <c r="AF715" s="47">
        <f t="shared" si="520"/>
        <v>0</v>
      </c>
    </row>
    <row r="716" spans="2:32">
      <c r="B716" s="37" t="str">
        <f t="shared" si="513"/>
        <v>Asset 162</v>
      </c>
      <c r="F716" s="37" t="str">
        <f t="shared" ref="F716:L716" si="557">F220</f>
        <v>20 Kantoorgebouwen</v>
      </c>
      <c r="G716" s="37">
        <f t="shared" si="557"/>
        <v>2013</v>
      </c>
      <c r="H716" s="42">
        <f t="shared" si="557"/>
        <v>1237826.9064472313</v>
      </c>
      <c r="I716" s="37">
        <f t="shared" si="557"/>
        <v>2021</v>
      </c>
      <c r="J716" s="37">
        <f t="shared" si="557"/>
        <v>30</v>
      </c>
      <c r="K716" s="37">
        <f t="shared" si="557"/>
        <v>0</v>
      </c>
      <c r="L716" s="42">
        <f t="shared" si="557"/>
        <v>995129.04477620148</v>
      </c>
      <c r="N716" s="38">
        <f t="shared" si="515"/>
        <v>21.5</v>
      </c>
      <c r="P716" s="43">
        <f t="shared" si="503"/>
        <v>46285.07185005588</v>
      </c>
      <c r="Q716" s="43">
        <f t="shared" si="503"/>
        <v>46285.071850055887</v>
      </c>
      <c r="R716" s="43">
        <f t="shared" si="503"/>
        <v>46285.071850055887</v>
      </c>
      <c r="S716" s="43">
        <f t="shared" si="503"/>
        <v>46285.071850055887</v>
      </c>
      <c r="T716" s="43">
        <f t="shared" si="503"/>
        <v>46285.071850055887</v>
      </c>
      <c r="V716" s="47">
        <f t="shared" si="524"/>
        <v>948843.97292614565</v>
      </c>
      <c r="W716" s="47">
        <f t="shared" si="525"/>
        <v>902558.90107608982</v>
      </c>
      <c r="X716" s="47">
        <f t="shared" si="526"/>
        <v>856273.82922603399</v>
      </c>
      <c r="Y716" s="47">
        <f t="shared" si="527"/>
        <v>809988.75737597817</v>
      </c>
      <c r="Z716" s="47">
        <f t="shared" si="528"/>
        <v>763703.68552592234</v>
      </c>
      <c r="AB716" s="47">
        <f t="shared" si="516"/>
        <v>78545.766929544829</v>
      </c>
      <c r="AC716" s="47">
        <f t="shared" si="517"/>
        <v>76069.515585566856</v>
      </c>
      <c r="AD716" s="47">
        <f t="shared" si="518"/>
        <v>78823.477360645178</v>
      </c>
      <c r="AE716" s="47">
        <f t="shared" si="519"/>
        <v>77064.644630343057</v>
      </c>
      <c r="AF716" s="47">
        <f t="shared" si="520"/>
        <v>75305.811900040935</v>
      </c>
    </row>
    <row r="717" spans="2:32">
      <c r="B717" s="37" t="str">
        <f t="shared" si="513"/>
        <v>Asset 163</v>
      </c>
      <c r="F717" s="37" t="str">
        <f t="shared" ref="F717:L717" si="558">F221</f>
        <v>09 Bedrijfsinventaris</v>
      </c>
      <c r="G717" s="37">
        <f t="shared" si="558"/>
        <v>2013</v>
      </c>
      <c r="H717" s="42">
        <f t="shared" si="558"/>
        <v>292655.61609467439</v>
      </c>
      <c r="I717" s="37">
        <f t="shared" si="558"/>
        <v>2021</v>
      </c>
      <c r="J717" s="37">
        <f t="shared" si="558"/>
        <v>10</v>
      </c>
      <c r="K717" s="37">
        <f t="shared" si="558"/>
        <v>1</v>
      </c>
      <c r="L717" s="42">
        <f t="shared" si="558"/>
        <v>49243.668613684422</v>
      </c>
      <c r="N717" s="38">
        <f t="shared" si="515"/>
        <v>1.5</v>
      </c>
      <c r="P717" s="43">
        <f t="shared" si="503"/>
        <v>32829.11240912295</v>
      </c>
      <c r="Q717" s="43">
        <f t="shared" si="503"/>
        <v>16414.556204561475</v>
      </c>
      <c r="R717" s="43">
        <f t="shared" si="503"/>
        <v>0</v>
      </c>
      <c r="S717" s="43">
        <f t="shared" si="503"/>
        <v>0</v>
      </c>
      <c r="T717" s="43">
        <f t="shared" si="503"/>
        <v>0</v>
      </c>
      <c r="V717" s="47">
        <f t="shared" si="524"/>
        <v>16414.556204561472</v>
      </c>
      <c r="W717" s="47">
        <f t="shared" si="525"/>
        <v>-3.637978807091713E-12</v>
      </c>
      <c r="X717" s="47">
        <f t="shared" si="526"/>
        <v>0</v>
      </c>
      <c r="Y717" s="47">
        <f t="shared" si="527"/>
        <v>0</v>
      </c>
      <c r="Z717" s="47">
        <f t="shared" si="528"/>
        <v>0</v>
      </c>
      <c r="AB717" s="47">
        <f t="shared" si="516"/>
        <v>33387.207320078043</v>
      </c>
      <c r="AC717" s="47">
        <f t="shared" si="517"/>
        <v>16414.556204561475</v>
      </c>
      <c r="AD717" s="47">
        <f t="shared" si="518"/>
        <v>0</v>
      </c>
      <c r="AE717" s="47">
        <f t="shared" si="519"/>
        <v>0</v>
      </c>
      <c r="AF717" s="47">
        <f t="shared" si="520"/>
        <v>0</v>
      </c>
    </row>
    <row r="718" spans="2:32">
      <c r="B718" s="37" t="str">
        <f t="shared" si="513"/>
        <v>Asset 164</v>
      </c>
      <c r="F718" s="37" t="str">
        <f t="shared" ref="F718:L718" si="559">F222</f>
        <v>20 Kantoorgebouwen</v>
      </c>
      <c r="G718" s="37">
        <f t="shared" si="559"/>
        <v>2014</v>
      </c>
      <c r="H718" s="42">
        <f t="shared" si="559"/>
        <v>4973944.9463818558</v>
      </c>
      <c r="I718" s="37">
        <f t="shared" si="559"/>
        <v>2021</v>
      </c>
      <c r="J718" s="37">
        <f t="shared" si="559"/>
        <v>30</v>
      </c>
      <c r="K718" s="37">
        <f t="shared" si="559"/>
        <v>0</v>
      </c>
      <c r="L718" s="42">
        <f t="shared" si="559"/>
        <v>4070721.5945336674</v>
      </c>
      <c r="N718" s="38">
        <f t="shared" si="515"/>
        <v>22.5</v>
      </c>
      <c r="P718" s="43">
        <f t="shared" si="503"/>
        <v>180920.9597570519</v>
      </c>
      <c r="Q718" s="43">
        <f t="shared" si="503"/>
        <v>180920.9597570519</v>
      </c>
      <c r="R718" s="43">
        <f t="shared" si="503"/>
        <v>180920.9597570519</v>
      </c>
      <c r="S718" s="43">
        <f t="shared" si="503"/>
        <v>180920.9597570519</v>
      </c>
      <c r="T718" s="43">
        <f t="shared" si="503"/>
        <v>180920.9597570519</v>
      </c>
      <c r="V718" s="47">
        <f t="shared" si="524"/>
        <v>3889800.6347766155</v>
      </c>
      <c r="W718" s="47">
        <f t="shared" si="525"/>
        <v>3708879.6750195636</v>
      </c>
      <c r="X718" s="47">
        <f t="shared" si="526"/>
        <v>3527958.7152625117</v>
      </c>
      <c r="Y718" s="47">
        <f t="shared" si="527"/>
        <v>3347037.7555054598</v>
      </c>
      <c r="Z718" s="47">
        <f t="shared" si="528"/>
        <v>3166116.795748408</v>
      </c>
      <c r="AB718" s="47">
        <f t="shared" si="516"/>
        <v>313174.18133945682</v>
      </c>
      <c r="AC718" s="47">
        <f t="shared" si="517"/>
        <v>303313.98903269751</v>
      </c>
      <c r="AD718" s="47">
        <f t="shared" si="518"/>
        <v>314983.39093702735</v>
      </c>
      <c r="AE718" s="47">
        <f t="shared" si="519"/>
        <v>308108.3944662594</v>
      </c>
      <c r="AF718" s="47">
        <f t="shared" si="520"/>
        <v>301233.3979954914</v>
      </c>
    </row>
    <row r="719" spans="2:32">
      <c r="B719" s="37" t="str">
        <f t="shared" si="513"/>
        <v>Asset 165</v>
      </c>
      <c r="F719" s="37" t="str">
        <f t="shared" ref="F719:L719" si="560">F223</f>
        <v>09 Bedrijfsinventaris</v>
      </c>
      <c r="G719" s="37">
        <f t="shared" si="560"/>
        <v>2014</v>
      </c>
      <c r="H719" s="42">
        <f t="shared" si="560"/>
        <v>332895.6529706032</v>
      </c>
      <c r="I719" s="37">
        <f t="shared" si="560"/>
        <v>2021</v>
      </c>
      <c r="J719" s="37">
        <f t="shared" si="560"/>
        <v>10</v>
      </c>
      <c r="K719" s="37">
        <f t="shared" si="560"/>
        <v>1</v>
      </c>
      <c r="L719" s="42">
        <f t="shared" si="560"/>
        <v>90814.939173486709</v>
      </c>
      <c r="N719" s="38">
        <f t="shared" si="515"/>
        <v>2.5</v>
      </c>
      <c r="P719" s="43">
        <f t="shared" si="503"/>
        <v>36325.975669394684</v>
      </c>
      <c r="Q719" s="43">
        <f t="shared" si="503"/>
        <v>36325.975669394684</v>
      </c>
      <c r="R719" s="43">
        <f t="shared" si="503"/>
        <v>18162.987834697342</v>
      </c>
      <c r="S719" s="43">
        <f t="shared" si="503"/>
        <v>0</v>
      </c>
      <c r="T719" s="43">
        <f t="shared" si="503"/>
        <v>0</v>
      </c>
      <c r="V719" s="47">
        <f t="shared" si="524"/>
        <v>54488.963504092026</v>
      </c>
      <c r="W719" s="47">
        <f t="shared" si="525"/>
        <v>18162.987834697342</v>
      </c>
      <c r="X719" s="47">
        <f t="shared" si="526"/>
        <v>0</v>
      </c>
      <c r="Y719" s="47">
        <f t="shared" si="527"/>
        <v>0</v>
      </c>
      <c r="Z719" s="47">
        <f t="shared" si="528"/>
        <v>0</v>
      </c>
      <c r="AB719" s="47">
        <f t="shared" si="516"/>
        <v>38178.600428533813</v>
      </c>
      <c r="AC719" s="47">
        <f t="shared" si="517"/>
        <v>36925.3542679397</v>
      </c>
      <c r="AD719" s="47">
        <f t="shared" si="518"/>
        <v>18162.987834697342</v>
      </c>
      <c r="AE719" s="47">
        <f t="shared" si="519"/>
        <v>0</v>
      </c>
      <c r="AF719" s="47">
        <f t="shared" si="520"/>
        <v>0</v>
      </c>
    </row>
    <row r="720" spans="2:32">
      <c r="B720" s="37" t="str">
        <f t="shared" si="513"/>
        <v>Asset 166</v>
      </c>
      <c r="F720" s="37" t="str">
        <f t="shared" ref="F720:L720" si="561">F224</f>
        <v>10 Gereedschap</v>
      </c>
      <c r="G720" s="37">
        <f t="shared" si="561"/>
        <v>2014</v>
      </c>
      <c r="H720" s="42">
        <f t="shared" si="561"/>
        <v>294123.8734031191</v>
      </c>
      <c r="I720" s="37">
        <f t="shared" si="561"/>
        <v>2021</v>
      </c>
      <c r="J720" s="37">
        <f t="shared" si="561"/>
        <v>10</v>
      </c>
      <c r="K720" s="37">
        <f t="shared" si="561"/>
        <v>1</v>
      </c>
      <c r="L720" s="42">
        <f t="shared" si="561"/>
        <v>80237.880651848885</v>
      </c>
      <c r="N720" s="38">
        <f t="shared" si="515"/>
        <v>2.5</v>
      </c>
      <c r="P720" s="43">
        <f t="shared" si="503"/>
        <v>32095.152260739556</v>
      </c>
      <c r="Q720" s="43">
        <f t="shared" si="503"/>
        <v>32095.152260739549</v>
      </c>
      <c r="R720" s="43">
        <f t="shared" si="503"/>
        <v>16047.576130369775</v>
      </c>
      <c r="S720" s="43">
        <f t="shared" si="503"/>
        <v>0</v>
      </c>
      <c r="T720" s="43">
        <f t="shared" si="503"/>
        <v>0</v>
      </c>
      <c r="V720" s="47">
        <f t="shared" si="524"/>
        <v>48142.728391109325</v>
      </c>
      <c r="W720" s="47">
        <f t="shared" si="525"/>
        <v>16047.576130369776</v>
      </c>
      <c r="X720" s="47">
        <f t="shared" si="526"/>
        <v>1.8189894035458565E-12</v>
      </c>
      <c r="Y720" s="47">
        <f t="shared" si="527"/>
        <v>0</v>
      </c>
      <c r="Z720" s="47">
        <f t="shared" si="528"/>
        <v>0</v>
      </c>
      <c r="AB720" s="47">
        <f t="shared" si="516"/>
        <v>33732.005026037274</v>
      </c>
      <c r="AC720" s="47">
        <f t="shared" si="517"/>
        <v>32624.722273041752</v>
      </c>
      <c r="AD720" s="47">
        <f t="shared" si="518"/>
        <v>16047.576130369775</v>
      </c>
      <c r="AE720" s="47">
        <f t="shared" si="519"/>
        <v>0</v>
      </c>
      <c r="AF720" s="47">
        <f t="shared" si="520"/>
        <v>0</v>
      </c>
    </row>
    <row r="721" spans="2:32">
      <c r="B721" s="37" t="str">
        <f t="shared" si="513"/>
        <v>Asset 167</v>
      </c>
      <c r="F721" s="37" t="str">
        <f t="shared" ref="F721:L721" si="562">F225</f>
        <v>13 Aanhangwagens</v>
      </c>
      <c r="G721" s="37">
        <f t="shared" si="562"/>
        <v>2014</v>
      </c>
      <c r="H721" s="42">
        <f t="shared" si="562"/>
        <v>24919.261718386999</v>
      </c>
      <c r="I721" s="37">
        <f t="shared" si="562"/>
        <v>2021</v>
      </c>
      <c r="J721" s="37">
        <f t="shared" si="562"/>
        <v>10</v>
      </c>
      <c r="K721" s="37">
        <f t="shared" si="562"/>
        <v>1</v>
      </c>
      <c r="L721" s="42">
        <f t="shared" si="562"/>
        <v>6798.0498303573586</v>
      </c>
      <c r="N721" s="38">
        <f t="shared" si="515"/>
        <v>2.5</v>
      </c>
      <c r="P721" s="43">
        <f t="shared" si="503"/>
        <v>2719.2199321429434</v>
      </c>
      <c r="Q721" s="43">
        <f t="shared" si="503"/>
        <v>2719.2199321429434</v>
      </c>
      <c r="R721" s="43">
        <f t="shared" si="503"/>
        <v>1359.6099660714717</v>
      </c>
      <c r="S721" s="43">
        <f t="shared" si="503"/>
        <v>0</v>
      </c>
      <c r="T721" s="43">
        <f t="shared" si="503"/>
        <v>0</v>
      </c>
      <c r="V721" s="47">
        <f t="shared" si="524"/>
        <v>4078.8298982144152</v>
      </c>
      <c r="W721" s="47">
        <f t="shared" si="525"/>
        <v>1359.6099660714717</v>
      </c>
      <c r="X721" s="47">
        <f t="shared" si="526"/>
        <v>0</v>
      </c>
      <c r="Y721" s="47">
        <f t="shared" si="527"/>
        <v>0</v>
      </c>
      <c r="Z721" s="47">
        <f t="shared" si="528"/>
        <v>0</v>
      </c>
      <c r="AB721" s="47">
        <f t="shared" si="516"/>
        <v>2857.9001486822335</v>
      </c>
      <c r="AC721" s="47">
        <f t="shared" si="517"/>
        <v>2764.0870610233019</v>
      </c>
      <c r="AD721" s="47">
        <f t="shared" si="518"/>
        <v>1359.6099660714717</v>
      </c>
      <c r="AE721" s="47">
        <f t="shared" si="519"/>
        <v>0</v>
      </c>
      <c r="AF721" s="47">
        <f t="shared" si="520"/>
        <v>0</v>
      </c>
    </row>
    <row r="722" spans="2:32">
      <c r="B722" s="37" t="str">
        <f t="shared" si="513"/>
        <v>Asset 168</v>
      </c>
      <c r="F722" s="37" t="str">
        <f t="shared" ref="F722:L722" si="563">F226</f>
        <v>11 Werktuigen</v>
      </c>
      <c r="G722" s="37">
        <f t="shared" si="563"/>
        <v>2014</v>
      </c>
      <c r="H722" s="42">
        <f t="shared" si="563"/>
        <v>264974.99557180319</v>
      </c>
      <c r="I722" s="37">
        <f t="shared" si="563"/>
        <v>2021</v>
      </c>
      <c r="J722" s="37">
        <f t="shared" si="563"/>
        <v>10</v>
      </c>
      <c r="K722" s="37">
        <f t="shared" si="563"/>
        <v>1</v>
      </c>
      <c r="L722" s="42">
        <f t="shared" si="563"/>
        <v>72285.978776277945</v>
      </c>
      <c r="N722" s="38">
        <f t="shared" si="515"/>
        <v>2.5</v>
      </c>
      <c r="P722" s="43">
        <f t="shared" si="503"/>
        <v>28914.391510511181</v>
      </c>
      <c r="Q722" s="43">
        <f t="shared" si="503"/>
        <v>28914.391510511177</v>
      </c>
      <c r="R722" s="43">
        <f t="shared" si="503"/>
        <v>14457.195755255589</v>
      </c>
      <c r="S722" s="43">
        <f t="shared" si="503"/>
        <v>0</v>
      </c>
      <c r="T722" s="43">
        <f t="shared" si="503"/>
        <v>0</v>
      </c>
      <c r="V722" s="47">
        <f t="shared" si="524"/>
        <v>43371.587265766764</v>
      </c>
      <c r="W722" s="47">
        <f t="shared" si="525"/>
        <v>14457.195755255587</v>
      </c>
      <c r="X722" s="47">
        <f t="shared" si="526"/>
        <v>-1.8189894035458565E-12</v>
      </c>
      <c r="Y722" s="47">
        <f t="shared" si="527"/>
        <v>0</v>
      </c>
      <c r="Z722" s="47">
        <f t="shared" si="528"/>
        <v>0</v>
      </c>
      <c r="AB722" s="47">
        <f t="shared" si="516"/>
        <v>30389.025477547249</v>
      </c>
      <c r="AC722" s="47">
        <f t="shared" si="517"/>
        <v>29391.478970434611</v>
      </c>
      <c r="AD722" s="47">
        <f t="shared" si="518"/>
        <v>14457.195755255589</v>
      </c>
      <c r="AE722" s="47">
        <f t="shared" si="519"/>
        <v>0</v>
      </c>
      <c r="AF722" s="47">
        <f t="shared" si="520"/>
        <v>0</v>
      </c>
    </row>
    <row r="723" spans="2:32">
      <c r="B723" s="37" t="str">
        <f t="shared" si="513"/>
        <v>Asset 169</v>
      </c>
      <c r="F723" s="37" t="str">
        <f t="shared" ref="F723:L723" si="564">F227</f>
        <v>08 Inrichting gebouwen</v>
      </c>
      <c r="G723" s="37">
        <f t="shared" si="564"/>
        <v>2014</v>
      </c>
      <c r="H723" s="42">
        <f t="shared" si="564"/>
        <v>724167.86511950963</v>
      </c>
      <c r="I723" s="37">
        <f t="shared" si="564"/>
        <v>2021</v>
      </c>
      <c r="J723" s="37">
        <f t="shared" si="564"/>
        <v>10</v>
      </c>
      <c r="K723" s="37">
        <f t="shared" si="564"/>
        <v>0</v>
      </c>
      <c r="L723" s="42">
        <f t="shared" si="564"/>
        <v>197555.1799351057</v>
      </c>
      <c r="N723" s="38">
        <f t="shared" si="515"/>
        <v>2.5</v>
      </c>
      <c r="P723" s="43">
        <f t="shared" si="503"/>
        <v>79022.071974042279</v>
      </c>
      <c r="Q723" s="43">
        <f t="shared" si="503"/>
        <v>79022.071974042279</v>
      </c>
      <c r="R723" s="43">
        <f t="shared" si="503"/>
        <v>39511.03598702114</v>
      </c>
      <c r="S723" s="43">
        <f t="shared" si="503"/>
        <v>0</v>
      </c>
      <c r="T723" s="43">
        <f t="shared" si="503"/>
        <v>0</v>
      </c>
      <c r="V723" s="47">
        <f t="shared" si="524"/>
        <v>118533.10796106342</v>
      </c>
      <c r="W723" s="47">
        <f t="shared" si="525"/>
        <v>39511.03598702114</v>
      </c>
      <c r="X723" s="47">
        <f t="shared" si="526"/>
        <v>0</v>
      </c>
      <c r="Y723" s="47">
        <f t="shared" si="527"/>
        <v>0</v>
      </c>
      <c r="Z723" s="47">
        <f t="shared" si="528"/>
        <v>0</v>
      </c>
      <c r="AB723" s="47">
        <f t="shared" si="516"/>
        <v>83052.197644718442</v>
      </c>
      <c r="AC723" s="47">
        <f t="shared" si="517"/>
        <v>80325.936161613979</v>
      </c>
      <c r="AD723" s="47">
        <f t="shared" si="518"/>
        <v>39511.03598702114</v>
      </c>
      <c r="AE723" s="47">
        <f t="shared" si="519"/>
        <v>0</v>
      </c>
      <c r="AF723" s="47">
        <f t="shared" si="520"/>
        <v>0</v>
      </c>
    </row>
    <row r="724" spans="2:32">
      <c r="B724" s="37" t="str">
        <f t="shared" si="513"/>
        <v>Asset 170</v>
      </c>
      <c r="F724" s="37" t="str">
        <f t="shared" ref="F724:L724" si="565">F228</f>
        <v>14 Overig rollend materieel (odorisatie)</v>
      </c>
      <c r="G724" s="37">
        <f t="shared" si="565"/>
        <v>2014</v>
      </c>
      <c r="H724" s="42">
        <f t="shared" si="565"/>
        <v>1415.9999999999968</v>
      </c>
      <c r="I724" s="37">
        <f t="shared" si="565"/>
        <v>2021</v>
      </c>
      <c r="J724" s="37">
        <f t="shared" si="565"/>
        <v>10</v>
      </c>
      <c r="K724" s="37">
        <f t="shared" si="565"/>
        <v>0</v>
      </c>
      <c r="L724" s="42">
        <f t="shared" si="565"/>
        <v>386.28907503641284</v>
      </c>
      <c r="N724" s="38">
        <f t="shared" si="515"/>
        <v>2.5</v>
      </c>
      <c r="P724" s="43">
        <f t="shared" si="503"/>
        <v>154.51563001456515</v>
      </c>
      <c r="Q724" s="43">
        <f t="shared" si="503"/>
        <v>154.51563001456512</v>
      </c>
      <c r="R724" s="43">
        <f t="shared" si="503"/>
        <v>77.257815007282559</v>
      </c>
      <c r="S724" s="43">
        <f t="shared" si="503"/>
        <v>0</v>
      </c>
      <c r="T724" s="43">
        <f t="shared" si="503"/>
        <v>0</v>
      </c>
      <c r="V724" s="47">
        <f t="shared" si="524"/>
        <v>231.77344502184769</v>
      </c>
      <c r="W724" s="47">
        <f t="shared" si="525"/>
        <v>77.257815007282574</v>
      </c>
      <c r="X724" s="47">
        <f t="shared" si="526"/>
        <v>1.4210854715202004E-14</v>
      </c>
      <c r="Y724" s="47">
        <f t="shared" si="527"/>
        <v>0</v>
      </c>
      <c r="Z724" s="47">
        <f t="shared" si="528"/>
        <v>0</v>
      </c>
      <c r="AB724" s="47">
        <f t="shared" si="516"/>
        <v>162.39592714530798</v>
      </c>
      <c r="AC724" s="47">
        <f t="shared" si="517"/>
        <v>157.06513790980546</v>
      </c>
      <c r="AD724" s="47">
        <f t="shared" si="518"/>
        <v>77.257815007282559</v>
      </c>
      <c r="AE724" s="47">
        <f t="shared" si="519"/>
        <v>0</v>
      </c>
      <c r="AF724" s="47">
        <f t="shared" si="520"/>
        <v>0</v>
      </c>
    </row>
    <row r="725" spans="2:32">
      <c r="B725" s="37" t="str">
        <f t="shared" si="513"/>
        <v>Asset 171</v>
      </c>
      <c r="F725" s="37" t="str">
        <f t="shared" ref="F725:L725" si="566">F229</f>
        <v>14 Overig rollend materieel (odorisatie)</v>
      </c>
      <c r="G725" s="37">
        <f t="shared" si="566"/>
        <v>2015</v>
      </c>
      <c r="H725" s="42">
        <f t="shared" si="566"/>
        <v>43315.304046858677</v>
      </c>
      <c r="I725" s="37">
        <f t="shared" si="566"/>
        <v>2021</v>
      </c>
      <c r="J725" s="37">
        <f t="shared" si="566"/>
        <v>10</v>
      </c>
      <c r="K725" s="37">
        <f t="shared" si="566"/>
        <v>0</v>
      </c>
      <c r="L725" s="42">
        <f t="shared" si="566"/>
        <v>16379.370300704035</v>
      </c>
      <c r="N725" s="38">
        <f t="shared" si="515"/>
        <v>3.5</v>
      </c>
      <c r="P725" s="43">
        <f t="shared" ref="P725:T758" si="567">IF(P$553&lt;=$G725+$J725,VDB($L725,0,$N725,P$553-2022,MIN(P$553-2021,$N725),1),0)</f>
        <v>4679.8200859154385</v>
      </c>
      <c r="Q725" s="43">
        <f t="shared" si="567"/>
        <v>4679.8200859154385</v>
      </c>
      <c r="R725" s="43">
        <f t="shared" si="567"/>
        <v>4679.8200859154385</v>
      </c>
      <c r="S725" s="43">
        <f t="shared" si="567"/>
        <v>2339.9100429577193</v>
      </c>
      <c r="T725" s="43">
        <f t="shared" si="567"/>
        <v>0</v>
      </c>
      <c r="V725" s="47">
        <f t="shared" si="524"/>
        <v>11699.550214788596</v>
      </c>
      <c r="W725" s="47">
        <f t="shared" si="525"/>
        <v>7019.7301288731578</v>
      </c>
      <c r="X725" s="47">
        <f t="shared" si="526"/>
        <v>2339.9100429577193</v>
      </c>
      <c r="Y725" s="47">
        <f t="shared" si="527"/>
        <v>0</v>
      </c>
      <c r="Z725" s="47">
        <f t="shared" si="528"/>
        <v>0</v>
      </c>
      <c r="AB725" s="47">
        <f t="shared" si="516"/>
        <v>5077.604793218251</v>
      </c>
      <c r="AC725" s="47">
        <f t="shared" si="517"/>
        <v>4911.4711801682524</v>
      </c>
      <c r="AD725" s="47">
        <f t="shared" si="518"/>
        <v>4768.7366675478315</v>
      </c>
      <c r="AE725" s="47">
        <f t="shared" si="519"/>
        <v>2339.9100429577193</v>
      </c>
      <c r="AF725" s="47">
        <f t="shared" si="520"/>
        <v>0</v>
      </c>
    </row>
    <row r="726" spans="2:32">
      <c r="B726" s="37" t="str">
        <f t="shared" si="513"/>
        <v>Asset 172</v>
      </c>
      <c r="F726" s="37" t="str">
        <f t="shared" ref="F726:L726" si="568">F230</f>
        <v>13 Aanhangwagens</v>
      </c>
      <c r="G726" s="37">
        <f t="shared" si="568"/>
        <v>2015</v>
      </c>
      <c r="H726" s="42">
        <f t="shared" si="568"/>
        <v>78424.550748692549</v>
      </c>
      <c r="I726" s="37">
        <f t="shared" si="568"/>
        <v>2021</v>
      </c>
      <c r="J726" s="37">
        <f t="shared" si="568"/>
        <v>10</v>
      </c>
      <c r="K726" s="37">
        <f t="shared" si="568"/>
        <v>1</v>
      </c>
      <c r="L726" s="42">
        <f t="shared" si="568"/>
        <v>29655.679110310892</v>
      </c>
      <c r="N726" s="38">
        <f t="shared" si="515"/>
        <v>3.5</v>
      </c>
      <c r="P726" s="43">
        <f t="shared" si="567"/>
        <v>8473.051174374541</v>
      </c>
      <c r="Q726" s="43">
        <f t="shared" si="567"/>
        <v>8473.051174374541</v>
      </c>
      <c r="R726" s="43">
        <f t="shared" si="567"/>
        <v>8473.051174374541</v>
      </c>
      <c r="S726" s="43">
        <f t="shared" si="567"/>
        <v>4236.5255871872705</v>
      </c>
      <c r="T726" s="43">
        <f t="shared" si="567"/>
        <v>0</v>
      </c>
      <c r="V726" s="47">
        <f t="shared" si="524"/>
        <v>21182.627935936351</v>
      </c>
      <c r="W726" s="47">
        <f t="shared" si="525"/>
        <v>12709.57676156181</v>
      </c>
      <c r="X726" s="47">
        <f t="shared" si="526"/>
        <v>4236.5255871872687</v>
      </c>
      <c r="Y726" s="47">
        <f t="shared" si="527"/>
        <v>-1.8189894035458565E-12</v>
      </c>
      <c r="Z726" s="47">
        <f t="shared" si="528"/>
        <v>0</v>
      </c>
      <c r="AB726" s="47">
        <f t="shared" si="516"/>
        <v>9193.2605241963774</v>
      </c>
      <c r="AC726" s="47">
        <f t="shared" si="517"/>
        <v>8892.4672075060807</v>
      </c>
      <c r="AD726" s="47">
        <f t="shared" si="518"/>
        <v>8634.0391466876572</v>
      </c>
      <c r="AE726" s="47">
        <f t="shared" si="519"/>
        <v>4236.5255871872705</v>
      </c>
      <c r="AF726" s="47">
        <f t="shared" si="520"/>
        <v>0</v>
      </c>
    </row>
    <row r="727" spans="2:32">
      <c r="B727" s="37" t="str">
        <f t="shared" si="513"/>
        <v>Asset 173</v>
      </c>
      <c r="F727" s="37" t="str">
        <f t="shared" ref="F727:L727" si="569">F231</f>
        <v>11 Werktuigen</v>
      </c>
      <c r="G727" s="37">
        <f t="shared" si="569"/>
        <v>2015</v>
      </c>
      <c r="H727" s="42">
        <f t="shared" si="569"/>
        <v>481116.61247078225</v>
      </c>
      <c r="I727" s="37">
        <f t="shared" si="569"/>
        <v>2021</v>
      </c>
      <c r="J727" s="37">
        <f t="shared" si="569"/>
        <v>10</v>
      </c>
      <c r="K727" s="37">
        <f t="shared" si="569"/>
        <v>1</v>
      </c>
      <c r="L727" s="42">
        <f t="shared" si="569"/>
        <v>181930.78236168518</v>
      </c>
      <c r="N727" s="38">
        <f t="shared" si="515"/>
        <v>3.5</v>
      </c>
      <c r="P727" s="43">
        <f t="shared" si="567"/>
        <v>51980.223531910051</v>
      </c>
      <c r="Q727" s="43">
        <f t="shared" si="567"/>
        <v>51980.223531910058</v>
      </c>
      <c r="R727" s="43">
        <f t="shared" si="567"/>
        <v>51980.223531910058</v>
      </c>
      <c r="S727" s="43">
        <f t="shared" si="567"/>
        <v>25990.111765955029</v>
      </c>
      <c r="T727" s="43">
        <f t="shared" si="567"/>
        <v>0</v>
      </c>
      <c r="V727" s="47">
        <f t="shared" si="524"/>
        <v>129950.55882977514</v>
      </c>
      <c r="W727" s="47">
        <f t="shared" si="525"/>
        <v>77970.33529786508</v>
      </c>
      <c r="X727" s="47">
        <f t="shared" si="526"/>
        <v>25990.111765955022</v>
      </c>
      <c r="Y727" s="47">
        <f t="shared" si="527"/>
        <v>-7.2759576141834259E-12</v>
      </c>
      <c r="Z727" s="47">
        <f t="shared" si="528"/>
        <v>0</v>
      </c>
      <c r="AB727" s="47">
        <f t="shared" si="516"/>
        <v>56398.542532122403</v>
      </c>
      <c r="AC727" s="47">
        <f t="shared" si="517"/>
        <v>54553.244596739605</v>
      </c>
      <c r="AD727" s="47">
        <f t="shared" si="518"/>
        <v>52967.847779016352</v>
      </c>
      <c r="AE727" s="47">
        <f t="shared" si="519"/>
        <v>25990.111765955029</v>
      </c>
      <c r="AF727" s="47">
        <f t="shared" si="520"/>
        <v>0</v>
      </c>
    </row>
    <row r="728" spans="2:32">
      <c r="B728" s="37" t="str">
        <f t="shared" si="513"/>
        <v>Asset 174</v>
      </c>
      <c r="F728" s="37" t="str">
        <f t="shared" ref="F728:L728" si="570">F232</f>
        <v>39 ICT middelen 3</v>
      </c>
      <c r="G728" s="37">
        <f t="shared" si="570"/>
        <v>2015</v>
      </c>
      <c r="H728" s="42">
        <f t="shared" si="570"/>
        <v>13785822.782425826</v>
      </c>
      <c r="I728" s="37">
        <f t="shared" si="570"/>
        <v>2021</v>
      </c>
      <c r="J728" s="37">
        <f t="shared" si="570"/>
        <v>15</v>
      </c>
      <c r="K728" s="37">
        <f t="shared" si="570"/>
        <v>1</v>
      </c>
      <c r="L728" s="42">
        <f t="shared" si="570"/>
        <v>8440110.7970265597</v>
      </c>
      <c r="N728" s="38">
        <f t="shared" si="515"/>
        <v>8.5</v>
      </c>
      <c r="P728" s="43">
        <f t="shared" si="567"/>
        <v>992954.21141488943</v>
      </c>
      <c r="Q728" s="43">
        <f t="shared" si="567"/>
        <v>992954.21141488943</v>
      </c>
      <c r="R728" s="43">
        <f t="shared" si="567"/>
        <v>992954.21141488943</v>
      </c>
      <c r="S728" s="43">
        <f t="shared" si="567"/>
        <v>992954.21141488943</v>
      </c>
      <c r="T728" s="43">
        <f t="shared" si="567"/>
        <v>992954.21141488943</v>
      </c>
      <c r="V728" s="47">
        <f t="shared" si="524"/>
        <v>7447156.5856116703</v>
      </c>
      <c r="W728" s="47">
        <f t="shared" si="525"/>
        <v>6454202.3741967808</v>
      </c>
      <c r="X728" s="47">
        <f t="shared" si="526"/>
        <v>5461248.1627818914</v>
      </c>
      <c r="Y728" s="47">
        <f t="shared" si="527"/>
        <v>4468293.951367002</v>
      </c>
      <c r="Z728" s="47">
        <f t="shared" si="528"/>
        <v>3475339.7399521125</v>
      </c>
      <c r="AB728" s="47">
        <f t="shared" si="516"/>
        <v>1246157.5353256862</v>
      </c>
      <c r="AC728" s="47">
        <f t="shared" si="517"/>
        <v>1205942.8897633832</v>
      </c>
      <c r="AD728" s="47">
        <f t="shared" si="518"/>
        <v>1200481.6416006014</v>
      </c>
      <c r="AE728" s="47">
        <f t="shared" si="519"/>
        <v>1162749.3815668356</v>
      </c>
      <c r="AF728" s="47">
        <f t="shared" si="520"/>
        <v>1125017.1215330698</v>
      </c>
    </row>
    <row r="729" spans="2:32">
      <c r="B729" s="37" t="str">
        <f t="shared" si="513"/>
        <v>Asset 175</v>
      </c>
      <c r="F729" s="37" t="str">
        <f t="shared" ref="F729:L729" si="571">F233</f>
        <v>12 Motorvoertuigen</v>
      </c>
      <c r="G729" s="37">
        <f t="shared" si="571"/>
        <v>2015</v>
      </c>
      <c r="H729" s="42">
        <f t="shared" si="571"/>
        <v>43877.173224174046</v>
      </c>
      <c r="I729" s="37">
        <f t="shared" si="571"/>
        <v>2021</v>
      </c>
      <c r="J729" s="37">
        <f t="shared" si="571"/>
        <v>10</v>
      </c>
      <c r="K729" s="37">
        <f t="shared" si="571"/>
        <v>1</v>
      </c>
      <c r="L729" s="42">
        <f t="shared" si="571"/>
        <v>16591.837083941773</v>
      </c>
      <c r="N729" s="38">
        <f t="shared" si="515"/>
        <v>3.5</v>
      </c>
      <c r="P729" s="43">
        <f t="shared" si="567"/>
        <v>4740.5248811262209</v>
      </c>
      <c r="Q729" s="43">
        <f t="shared" si="567"/>
        <v>4740.5248811262209</v>
      </c>
      <c r="R729" s="43">
        <f t="shared" si="567"/>
        <v>4740.5248811262209</v>
      </c>
      <c r="S729" s="43">
        <f t="shared" si="567"/>
        <v>2370.2624405631104</v>
      </c>
      <c r="T729" s="43">
        <f t="shared" si="567"/>
        <v>0</v>
      </c>
      <c r="V729" s="47">
        <f t="shared" si="524"/>
        <v>11851.312202815552</v>
      </c>
      <c r="W729" s="47">
        <f t="shared" si="525"/>
        <v>7110.7873216893313</v>
      </c>
      <c r="X729" s="47">
        <f t="shared" si="526"/>
        <v>2370.2624405631104</v>
      </c>
      <c r="Y729" s="47">
        <f t="shared" si="527"/>
        <v>0</v>
      </c>
      <c r="Z729" s="47">
        <f t="shared" si="528"/>
        <v>0</v>
      </c>
      <c r="AB729" s="47">
        <f t="shared" si="516"/>
        <v>5143.4694960219495</v>
      </c>
      <c r="AC729" s="47">
        <f t="shared" si="517"/>
        <v>4975.1808627419687</v>
      </c>
      <c r="AD729" s="47">
        <f t="shared" si="518"/>
        <v>4830.5948538676193</v>
      </c>
      <c r="AE729" s="47">
        <f t="shared" si="519"/>
        <v>2370.2624405631104</v>
      </c>
      <c r="AF729" s="47">
        <f t="shared" si="520"/>
        <v>0</v>
      </c>
    </row>
    <row r="730" spans="2:32">
      <c r="B730" s="37" t="str">
        <f t="shared" si="513"/>
        <v>Asset 176</v>
      </c>
      <c r="F730" s="37" t="str">
        <f t="shared" ref="F730:L730" si="572">F234</f>
        <v>09 Bedrijfsinventaris</v>
      </c>
      <c r="G730" s="37">
        <f t="shared" si="572"/>
        <v>2015</v>
      </c>
      <c r="H730" s="42">
        <f t="shared" si="572"/>
        <v>153470.91831934603</v>
      </c>
      <c r="I730" s="37">
        <f t="shared" si="572"/>
        <v>2021</v>
      </c>
      <c r="J730" s="37">
        <f t="shared" si="572"/>
        <v>10</v>
      </c>
      <c r="K730" s="37">
        <f t="shared" si="572"/>
        <v>1</v>
      </c>
      <c r="L730" s="42">
        <f t="shared" si="572"/>
        <v>58033.922579009974</v>
      </c>
      <c r="N730" s="38">
        <f t="shared" si="515"/>
        <v>3.5</v>
      </c>
      <c r="P730" s="43">
        <f t="shared" si="567"/>
        <v>16581.120736859993</v>
      </c>
      <c r="Q730" s="43">
        <f t="shared" si="567"/>
        <v>16581.120736859993</v>
      </c>
      <c r="R730" s="43">
        <f t="shared" si="567"/>
        <v>16581.120736859993</v>
      </c>
      <c r="S730" s="43">
        <f t="shared" si="567"/>
        <v>8290.5603684299967</v>
      </c>
      <c r="T730" s="43">
        <f t="shared" si="567"/>
        <v>0</v>
      </c>
      <c r="V730" s="47">
        <f t="shared" si="524"/>
        <v>41452.80184214998</v>
      </c>
      <c r="W730" s="47">
        <f t="shared" si="525"/>
        <v>24871.681105289987</v>
      </c>
      <c r="X730" s="47">
        <f t="shared" si="526"/>
        <v>8290.5603684299931</v>
      </c>
      <c r="Y730" s="47">
        <f t="shared" si="527"/>
        <v>-3.637978807091713E-12</v>
      </c>
      <c r="Z730" s="47">
        <f t="shared" si="528"/>
        <v>0</v>
      </c>
      <c r="AB730" s="47">
        <f t="shared" si="516"/>
        <v>17990.515999493095</v>
      </c>
      <c r="AC730" s="47">
        <f t="shared" si="517"/>
        <v>17401.886213334565</v>
      </c>
      <c r="AD730" s="47">
        <f t="shared" si="518"/>
        <v>16896.162030860334</v>
      </c>
      <c r="AE730" s="47">
        <f t="shared" si="519"/>
        <v>8290.5603684299967</v>
      </c>
      <c r="AF730" s="47">
        <f t="shared" si="520"/>
        <v>0</v>
      </c>
    </row>
    <row r="731" spans="2:32">
      <c r="B731" s="37" t="str">
        <f t="shared" si="513"/>
        <v>Asset 177</v>
      </c>
      <c r="F731" s="37" t="str">
        <f t="shared" ref="F731:L731" si="573">F235</f>
        <v>20 Kantoorgebouwen</v>
      </c>
      <c r="G731" s="37">
        <f t="shared" si="573"/>
        <v>2015</v>
      </c>
      <c r="H731" s="42">
        <f t="shared" si="573"/>
        <v>2375369.7957282378</v>
      </c>
      <c r="I731" s="37">
        <f t="shared" si="573"/>
        <v>2021</v>
      </c>
      <c r="J731" s="37">
        <f t="shared" si="573"/>
        <v>30</v>
      </c>
      <c r="K731" s="37">
        <f t="shared" si="573"/>
        <v>0</v>
      </c>
      <c r="L731" s="42">
        <f t="shared" si="573"/>
        <v>2010322.0086927759</v>
      </c>
      <c r="N731" s="38">
        <f t="shared" si="515"/>
        <v>23.5</v>
      </c>
      <c r="P731" s="43">
        <f t="shared" si="567"/>
        <v>85545.61739118195</v>
      </c>
      <c r="Q731" s="43">
        <f t="shared" si="567"/>
        <v>85545.61739118195</v>
      </c>
      <c r="R731" s="43">
        <f t="shared" si="567"/>
        <v>85545.61739118195</v>
      </c>
      <c r="S731" s="43">
        <f t="shared" si="567"/>
        <v>85545.61739118195</v>
      </c>
      <c r="T731" s="43">
        <f t="shared" si="567"/>
        <v>85545.61739118195</v>
      </c>
      <c r="V731" s="47">
        <f t="shared" si="524"/>
        <v>1924776.391301594</v>
      </c>
      <c r="W731" s="47">
        <f t="shared" si="525"/>
        <v>1839230.7739104121</v>
      </c>
      <c r="X731" s="47">
        <f t="shared" si="526"/>
        <v>1753685.1565192302</v>
      </c>
      <c r="Y731" s="47">
        <f t="shared" si="527"/>
        <v>1668139.5391280483</v>
      </c>
      <c r="Z731" s="47">
        <f t="shared" si="528"/>
        <v>1582593.9217368665</v>
      </c>
      <c r="AB731" s="47">
        <f t="shared" si="516"/>
        <v>150988.01469543614</v>
      </c>
      <c r="AC731" s="47">
        <f t="shared" si="517"/>
        <v>146240.23293022555</v>
      </c>
      <c r="AD731" s="47">
        <f t="shared" si="518"/>
        <v>152185.6533389127</v>
      </c>
      <c r="AE731" s="47">
        <f t="shared" si="519"/>
        <v>148934.91987804777</v>
      </c>
      <c r="AF731" s="47">
        <f t="shared" si="520"/>
        <v>145684.18641718288</v>
      </c>
    </row>
    <row r="732" spans="2:32">
      <c r="B732" s="37" t="str">
        <f t="shared" si="513"/>
        <v>Asset 178</v>
      </c>
      <c r="F732" s="37" t="str">
        <f t="shared" ref="F732:L732" si="574">F236</f>
        <v>06 Utiliteitsgebouwen</v>
      </c>
      <c r="G732" s="37">
        <f t="shared" si="574"/>
        <v>2015</v>
      </c>
      <c r="H732" s="42">
        <f t="shared" si="574"/>
        <v>516544.29057147249</v>
      </c>
      <c r="I732" s="37">
        <f t="shared" si="574"/>
        <v>2021</v>
      </c>
      <c r="J732" s="37">
        <f t="shared" si="574"/>
        <v>30</v>
      </c>
      <c r="K732" s="37">
        <f t="shared" si="574"/>
        <v>0</v>
      </c>
      <c r="L732" s="42">
        <f t="shared" si="574"/>
        <v>437161.55592610373</v>
      </c>
      <c r="N732" s="38">
        <f t="shared" si="515"/>
        <v>23.5</v>
      </c>
      <c r="P732" s="43">
        <f t="shared" si="567"/>
        <v>18602.619401110798</v>
      </c>
      <c r="Q732" s="43">
        <f t="shared" si="567"/>
        <v>18602.619401110798</v>
      </c>
      <c r="R732" s="43">
        <f t="shared" si="567"/>
        <v>18602.619401110798</v>
      </c>
      <c r="S732" s="43">
        <f t="shared" si="567"/>
        <v>18602.619401110798</v>
      </c>
      <c r="T732" s="43">
        <f t="shared" si="567"/>
        <v>18602.619401110798</v>
      </c>
      <c r="V732" s="47">
        <f t="shared" si="524"/>
        <v>418558.93652499293</v>
      </c>
      <c r="W732" s="47">
        <f t="shared" si="525"/>
        <v>399956.31712388212</v>
      </c>
      <c r="X732" s="47">
        <f t="shared" si="526"/>
        <v>381353.69772277132</v>
      </c>
      <c r="Y732" s="47">
        <f t="shared" si="527"/>
        <v>362751.07832166052</v>
      </c>
      <c r="Z732" s="47">
        <f t="shared" si="528"/>
        <v>344148.45892054972</v>
      </c>
      <c r="AB732" s="47">
        <f t="shared" si="516"/>
        <v>32833.623242960559</v>
      </c>
      <c r="AC732" s="47">
        <f t="shared" si="517"/>
        <v>31801.177866198908</v>
      </c>
      <c r="AD732" s="47">
        <f t="shared" si="518"/>
        <v>33094.059914576108</v>
      </c>
      <c r="AE732" s="47">
        <f t="shared" si="519"/>
        <v>32387.160377333897</v>
      </c>
      <c r="AF732" s="47">
        <f t="shared" si="520"/>
        <v>31680.260840091687</v>
      </c>
    </row>
    <row r="733" spans="2:32">
      <c r="B733" s="37" t="str">
        <f t="shared" si="513"/>
        <v>Asset 179</v>
      </c>
      <c r="F733" s="37" t="str">
        <f t="shared" ref="F733:L733" si="575">F237</f>
        <v>08 Inrichting gebouwen</v>
      </c>
      <c r="G733" s="37">
        <f t="shared" si="575"/>
        <v>2015</v>
      </c>
      <c r="H733" s="42">
        <f t="shared" si="575"/>
        <v>406758.82739129546</v>
      </c>
      <c r="I733" s="37">
        <f t="shared" si="575"/>
        <v>2021</v>
      </c>
      <c r="J733" s="37">
        <f t="shared" si="575"/>
        <v>10</v>
      </c>
      <c r="K733" s="37">
        <f t="shared" si="575"/>
        <v>0</v>
      </c>
      <c r="L733" s="42">
        <f t="shared" si="575"/>
        <v>153812.9214033616</v>
      </c>
      <c r="N733" s="38">
        <f t="shared" si="515"/>
        <v>3.5</v>
      </c>
      <c r="P733" s="43">
        <f t="shared" si="567"/>
        <v>43946.548972389028</v>
      </c>
      <c r="Q733" s="43">
        <f t="shared" si="567"/>
        <v>43946.548972389035</v>
      </c>
      <c r="R733" s="43">
        <f t="shared" si="567"/>
        <v>43946.548972389035</v>
      </c>
      <c r="S733" s="43">
        <f t="shared" si="567"/>
        <v>21973.274486194518</v>
      </c>
      <c r="T733" s="43">
        <f t="shared" si="567"/>
        <v>0</v>
      </c>
      <c r="V733" s="47">
        <f t="shared" si="524"/>
        <v>109866.37243097258</v>
      </c>
      <c r="W733" s="47">
        <f t="shared" si="525"/>
        <v>65919.823458583545</v>
      </c>
      <c r="X733" s="47">
        <f t="shared" si="526"/>
        <v>21973.27448619451</v>
      </c>
      <c r="Y733" s="47">
        <f t="shared" si="527"/>
        <v>-7.2759576141834259E-12</v>
      </c>
      <c r="Z733" s="47">
        <f t="shared" si="528"/>
        <v>0</v>
      </c>
      <c r="AB733" s="47">
        <f t="shared" si="516"/>
        <v>47682.005635042093</v>
      </c>
      <c r="AC733" s="47">
        <f t="shared" si="517"/>
        <v>46121.903146522294</v>
      </c>
      <c r="AD733" s="47">
        <f t="shared" si="518"/>
        <v>44781.533402864428</v>
      </c>
      <c r="AE733" s="47">
        <f t="shared" si="519"/>
        <v>21973.274486194518</v>
      </c>
      <c r="AF733" s="47">
        <f t="shared" si="520"/>
        <v>0</v>
      </c>
    </row>
    <row r="734" spans="2:32">
      <c r="B734" s="37" t="str">
        <f t="shared" si="513"/>
        <v>Asset 180</v>
      </c>
      <c r="F734" s="37" t="str">
        <f t="shared" ref="F734:L734" si="576">F238</f>
        <v>20 Kantoorgebouwen</v>
      </c>
      <c r="G734" s="37">
        <f t="shared" si="576"/>
        <v>2016</v>
      </c>
      <c r="H734" s="42">
        <f t="shared" si="576"/>
        <v>229380.26938547671</v>
      </c>
      <c r="I734" s="37">
        <f t="shared" si="576"/>
        <v>2021</v>
      </c>
      <c r="J734" s="37">
        <f t="shared" si="576"/>
        <v>30</v>
      </c>
      <c r="K734" s="37">
        <f t="shared" si="576"/>
        <v>0</v>
      </c>
      <c r="L734" s="42">
        <f t="shared" si="576"/>
        <v>200783.5579674957</v>
      </c>
      <c r="N734" s="38">
        <f t="shared" si="515"/>
        <v>24.5</v>
      </c>
      <c r="P734" s="43">
        <f t="shared" si="567"/>
        <v>8195.2472639794159</v>
      </c>
      <c r="Q734" s="43">
        <f t="shared" si="567"/>
        <v>8195.2472639794159</v>
      </c>
      <c r="R734" s="43">
        <f t="shared" si="567"/>
        <v>8195.2472639794159</v>
      </c>
      <c r="S734" s="43">
        <f t="shared" si="567"/>
        <v>8195.2472639794159</v>
      </c>
      <c r="T734" s="43">
        <f t="shared" si="567"/>
        <v>8195.2472639794159</v>
      </c>
      <c r="V734" s="47">
        <f t="shared" si="524"/>
        <v>192588.31070351627</v>
      </c>
      <c r="W734" s="47">
        <f t="shared" si="525"/>
        <v>184393.06343953684</v>
      </c>
      <c r="X734" s="47">
        <f t="shared" si="526"/>
        <v>176197.81617555741</v>
      </c>
      <c r="Y734" s="47">
        <f t="shared" si="527"/>
        <v>168002.56891157798</v>
      </c>
      <c r="Z734" s="47">
        <f t="shared" si="528"/>
        <v>159807.32164759855</v>
      </c>
      <c r="AB734" s="47">
        <f t="shared" si="516"/>
        <v>14743.24982789897</v>
      </c>
      <c r="AC734" s="47">
        <f t="shared" si="517"/>
        <v>14280.218357484133</v>
      </c>
      <c r="AD734" s="47">
        <f t="shared" si="518"/>
        <v>14890.764278650597</v>
      </c>
      <c r="AE734" s="47">
        <f t="shared" si="519"/>
        <v>14579.344882619378</v>
      </c>
      <c r="AF734" s="47">
        <f t="shared" si="520"/>
        <v>14267.925486588161</v>
      </c>
    </row>
    <row r="735" spans="2:32">
      <c r="B735" s="37" t="str">
        <f t="shared" si="513"/>
        <v>Asset 181</v>
      </c>
      <c r="F735" s="37" t="str">
        <f t="shared" ref="F735:L735" si="577">F239</f>
        <v>39 ICT middelen 3</v>
      </c>
      <c r="G735" s="37">
        <f t="shared" si="577"/>
        <v>2016</v>
      </c>
      <c r="H735" s="42">
        <f t="shared" si="577"/>
        <v>529286.5107518764</v>
      </c>
      <c r="I735" s="37">
        <f t="shared" si="577"/>
        <v>2021</v>
      </c>
      <c r="J735" s="37">
        <f t="shared" si="577"/>
        <v>15</v>
      </c>
      <c r="K735" s="37">
        <f t="shared" si="577"/>
        <v>1</v>
      </c>
      <c r="L735" s="42">
        <f t="shared" si="577"/>
        <v>359294.38470756344</v>
      </c>
      <c r="N735" s="38">
        <f t="shared" si="515"/>
        <v>9.5</v>
      </c>
      <c r="P735" s="43">
        <f t="shared" si="567"/>
        <v>37820.461548164574</v>
      </c>
      <c r="Q735" s="43">
        <f t="shared" si="567"/>
        <v>37820.461548164567</v>
      </c>
      <c r="R735" s="43">
        <f t="shared" si="567"/>
        <v>37820.461548164567</v>
      </c>
      <c r="S735" s="43">
        <f t="shared" si="567"/>
        <v>37820.461548164567</v>
      </c>
      <c r="T735" s="43">
        <f t="shared" si="567"/>
        <v>37820.461548164567</v>
      </c>
      <c r="V735" s="47">
        <f t="shared" si="524"/>
        <v>321473.92315939884</v>
      </c>
      <c r="W735" s="47">
        <f t="shared" si="525"/>
        <v>283653.46161123429</v>
      </c>
      <c r="X735" s="47">
        <f t="shared" si="526"/>
        <v>245833.00006306972</v>
      </c>
      <c r="Y735" s="47">
        <f t="shared" si="527"/>
        <v>208012.53851490514</v>
      </c>
      <c r="Z735" s="47">
        <f t="shared" si="528"/>
        <v>170192.07696674057</v>
      </c>
      <c r="AB735" s="47">
        <f t="shared" si="516"/>
        <v>48750.57493558414</v>
      </c>
      <c r="AC735" s="47">
        <f t="shared" si="517"/>
        <v>47181.025781335295</v>
      </c>
      <c r="AD735" s="47">
        <f t="shared" si="518"/>
        <v>47162.115550561211</v>
      </c>
      <c r="AE735" s="47">
        <f t="shared" si="519"/>
        <v>45724.938011730963</v>
      </c>
      <c r="AF735" s="47">
        <f t="shared" si="520"/>
        <v>44287.760472900707</v>
      </c>
    </row>
    <row r="736" spans="2:32">
      <c r="B736" s="37" t="str">
        <f t="shared" si="513"/>
        <v>Asset 182</v>
      </c>
      <c r="F736" s="37" t="str">
        <f t="shared" ref="F736:L736" si="578">F240</f>
        <v>12 Motorvoertuigen</v>
      </c>
      <c r="G736" s="37">
        <f t="shared" si="578"/>
        <v>2016</v>
      </c>
      <c r="H736" s="42">
        <f t="shared" si="578"/>
        <v>28567.827468907908</v>
      </c>
      <c r="I736" s="37">
        <f t="shared" si="578"/>
        <v>2021</v>
      </c>
      <c r="J736" s="37">
        <f t="shared" si="578"/>
        <v>10</v>
      </c>
      <c r="K736" s="37">
        <f t="shared" si="578"/>
        <v>1</v>
      </c>
      <c r="L736" s="42">
        <f t="shared" si="578"/>
        <v>13778.977338155324</v>
      </c>
      <c r="N736" s="38">
        <f t="shared" si="515"/>
        <v>4.5</v>
      </c>
      <c r="P736" s="43">
        <f t="shared" si="567"/>
        <v>3061.9949640345167</v>
      </c>
      <c r="Q736" s="43">
        <f t="shared" si="567"/>
        <v>3061.9949640345167</v>
      </c>
      <c r="R736" s="43">
        <f t="shared" si="567"/>
        <v>3061.9949640345167</v>
      </c>
      <c r="S736" s="43">
        <f t="shared" si="567"/>
        <v>3061.9949640345167</v>
      </c>
      <c r="T736" s="43">
        <f t="shared" si="567"/>
        <v>1530.9974820172583</v>
      </c>
      <c r="V736" s="47">
        <f t="shared" si="524"/>
        <v>10716.982374120807</v>
      </c>
      <c r="W736" s="47">
        <f t="shared" si="525"/>
        <v>7654.9874100862908</v>
      </c>
      <c r="X736" s="47">
        <f t="shared" si="526"/>
        <v>4592.9924460517741</v>
      </c>
      <c r="Y736" s="47">
        <f t="shared" si="527"/>
        <v>1530.9974820172574</v>
      </c>
      <c r="Z736" s="47">
        <f t="shared" si="528"/>
        <v>-9.0949470177292824E-13</v>
      </c>
      <c r="AB736" s="47">
        <f t="shared" si="516"/>
        <v>3426.372364754624</v>
      </c>
      <c r="AC736" s="47">
        <f t="shared" si="517"/>
        <v>3314.6095485673641</v>
      </c>
      <c r="AD736" s="47">
        <f t="shared" si="518"/>
        <v>3236.5286769844843</v>
      </c>
      <c r="AE736" s="47">
        <f t="shared" si="519"/>
        <v>3120.1728683511724</v>
      </c>
      <c r="AF736" s="47">
        <f t="shared" si="520"/>
        <v>1530.9974820172583</v>
      </c>
    </row>
    <row r="737" spans="2:32">
      <c r="B737" s="37" t="str">
        <f t="shared" si="513"/>
        <v>Asset 183</v>
      </c>
      <c r="F737" s="37" t="str">
        <f t="shared" ref="F737:L737" si="579">F241</f>
        <v>06 Utiliteitsgebouwen</v>
      </c>
      <c r="G737" s="37">
        <f t="shared" si="579"/>
        <v>2016</v>
      </c>
      <c r="H737" s="42">
        <f t="shared" si="579"/>
        <v>69569.550579382194</v>
      </c>
      <c r="I737" s="37">
        <f t="shared" si="579"/>
        <v>2021</v>
      </c>
      <c r="J737" s="37">
        <f t="shared" si="579"/>
        <v>30</v>
      </c>
      <c r="K737" s="37">
        <f t="shared" si="579"/>
        <v>0</v>
      </c>
      <c r="L737" s="42">
        <f t="shared" si="579"/>
        <v>60896.353156050573</v>
      </c>
      <c r="N737" s="38">
        <f t="shared" si="515"/>
        <v>24.5</v>
      </c>
      <c r="P737" s="43">
        <f t="shared" si="567"/>
        <v>2485.5654349408396</v>
      </c>
      <c r="Q737" s="43">
        <f t="shared" si="567"/>
        <v>2485.5654349408401</v>
      </c>
      <c r="R737" s="43">
        <f t="shared" si="567"/>
        <v>2485.5654349408401</v>
      </c>
      <c r="S737" s="43">
        <f t="shared" si="567"/>
        <v>2485.5654349408401</v>
      </c>
      <c r="T737" s="43">
        <f t="shared" si="567"/>
        <v>2485.5654349408401</v>
      </c>
      <c r="V737" s="47">
        <f t="shared" si="524"/>
        <v>58410.787721109737</v>
      </c>
      <c r="W737" s="47">
        <f t="shared" si="525"/>
        <v>55925.222286168893</v>
      </c>
      <c r="X737" s="47">
        <f t="shared" si="526"/>
        <v>53439.65685122805</v>
      </c>
      <c r="Y737" s="47">
        <f t="shared" si="527"/>
        <v>50954.091416287207</v>
      </c>
      <c r="Z737" s="47">
        <f t="shared" si="528"/>
        <v>48468.525981346364</v>
      </c>
      <c r="AB737" s="47">
        <f t="shared" si="516"/>
        <v>4471.5322174585708</v>
      </c>
      <c r="AC737" s="47">
        <f t="shared" si="517"/>
        <v>4331.0977703844137</v>
      </c>
      <c r="AD737" s="47">
        <f t="shared" si="518"/>
        <v>4516.2723952875058</v>
      </c>
      <c r="AE737" s="47">
        <f t="shared" si="519"/>
        <v>4421.8209087597534</v>
      </c>
      <c r="AF737" s="47">
        <f t="shared" si="520"/>
        <v>4327.3694222320019</v>
      </c>
    </row>
    <row r="738" spans="2:32">
      <c r="B738" s="37" t="str">
        <f t="shared" si="513"/>
        <v>Asset 184</v>
      </c>
      <c r="F738" s="37" t="str">
        <f t="shared" ref="F738:L738" si="580">F242</f>
        <v>09 Bedrijfsinventaris</v>
      </c>
      <c r="G738" s="37">
        <f t="shared" si="580"/>
        <v>2016</v>
      </c>
      <c r="H738" s="42">
        <f t="shared" si="580"/>
        <v>285684.31746031862</v>
      </c>
      <c r="I738" s="37">
        <f t="shared" si="580"/>
        <v>2021</v>
      </c>
      <c r="J738" s="37">
        <f t="shared" si="580"/>
        <v>10</v>
      </c>
      <c r="K738" s="37">
        <f t="shared" si="580"/>
        <v>1</v>
      </c>
      <c r="L738" s="42">
        <f t="shared" si="580"/>
        <v>137792.68796118168</v>
      </c>
      <c r="N738" s="38">
        <f t="shared" si="515"/>
        <v>4.5</v>
      </c>
      <c r="P738" s="43">
        <f t="shared" si="567"/>
        <v>30620.59732470704</v>
      </c>
      <c r="Q738" s="43">
        <f t="shared" si="567"/>
        <v>30620.597324707043</v>
      </c>
      <c r="R738" s="43">
        <f t="shared" si="567"/>
        <v>30620.597324707043</v>
      </c>
      <c r="S738" s="43">
        <f t="shared" si="567"/>
        <v>30620.597324707043</v>
      </c>
      <c r="T738" s="43">
        <f t="shared" si="567"/>
        <v>15310.298662353522</v>
      </c>
      <c r="V738" s="47">
        <f t="shared" si="524"/>
        <v>107172.09063647465</v>
      </c>
      <c r="W738" s="47">
        <f t="shared" si="525"/>
        <v>76551.493311767612</v>
      </c>
      <c r="X738" s="47">
        <f t="shared" si="526"/>
        <v>45930.895987060569</v>
      </c>
      <c r="Y738" s="47">
        <f t="shared" si="527"/>
        <v>15310.298662353525</v>
      </c>
      <c r="Z738" s="47">
        <f t="shared" si="528"/>
        <v>3.637978807091713E-12</v>
      </c>
      <c r="AB738" s="47">
        <f t="shared" si="516"/>
        <v>34264.448406347175</v>
      </c>
      <c r="AC738" s="47">
        <f t="shared" si="517"/>
        <v>33146.796603995375</v>
      </c>
      <c r="AD738" s="47">
        <f t="shared" si="518"/>
        <v>32365.971372215346</v>
      </c>
      <c r="AE738" s="47">
        <f t="shared" si="519"/>
        <v>31202.388673876478</v>
      </c>
      <c r="AF738" s="47">
        <f t="shared" si="520"/>
        <v>15310.298662353522</v>
      </c>
    </row>
    <row r="739" spans="2:32">
      <c r="B739" s="37" t="str">
        <f t="shared" si="513"/>
        <v>Asset 185</v>
      </c>
      <c r="F739" s="37" t="str">
        <f t="shared" ref="F739:L739" si="581">F243</f>
        <v>08 Inrichting gebouwen</v>
      </c>
      <c r="G739" s="37">
        <f t="shared" si="581"/>
        <v>2016</v>
      </c>
      <c r="H739" s="42">
        <f t="shared" si="581"/>
        <v>23169.006741347624</v>
      </c>
      <c r="I739" s="37">
        <f t="shared" si="581"/>
        <v>2021</v>
      </c>
      <c r="J739" s="37">
        <f t="shared" si="581"/>
        <v>10</v>
      </c>
      <c r="K739" s="37">
        <f t="shared" si="581"/>
        <v>0</v>
      </c>
      <c r="L739" s="42">
        <f t="shared" si="581"/>
        <v>11174.991139387506</v>
      </c>
      <c r="N739" s="38">
        <f t="shared" si="515"/>
        <v>4.5</v>
      </c>
      <c r="P739" s="43">
        <f t="shared" si="567"/>
        <v>2483.3313643083347</v>
      </c>
      <c r="Q739" s="43">
        <f t="shared" si="567"/>
        <v>2483.3313643083347</v>
      </c>
      <c r="R739" s="43">
        <f t="shared" si="567"/>
        <v>2483.3313643083347</v>
      </c>
      <c r="S739" s="43">
        <f t="shared" si="567"/>
        <v>2483.3313643083347</v>
      </c>
      <c r="T739" s="43">
        <f t="shared" si="567"/>
        <v>1241.6656821541674</v>
      </c>
      <c r="V739" s="47">
        <f t="shared" si="524"/>
        <v>8691.6597750791716</v>
      </c>
      <c r="W739" s="47">
        <f t="shared" si="525"/>
        <v>6208.3284107708369</v>
      </c>
      <c r="X739" s="47">
        <f t="shared" si="526"/>
        <v>3724.9970464625021</v>
      </c>
      <c r="Y739" s="47">
        <f t="shared" si="527"/>
        <v>1241.6656821541674</v>
      </c>
      <c r="Z739" s="47">
        <f t="shared" si="528"/>
        <v>0</v>
      </c>
      <c r="AB739" s="47">
        <f t="shared" si="516"/>
        <v>2778.8477966610267</v>
      </c>
      <c r="AC739" s="47">
        <f t="shared" si="517"/>
        <v>2688.2062018637725</v>
      </c>
      <c r="AD739" s="47">
        <f t="shared" si="518"/>
        <v>2624.8812520739098</v>
      </c>
      <c r="AE739" s="47">
        <f t="shared" si="519"/>
        <v>2530.5146602301929</v>
      </c>
      <c r="AF739" s="47">
        <f t="shared" si="520"/>
        <v>1241.6656821541674</v>
      </c>
    </row>
    <row r="740" spans="2:32">
      <c r="B740" s="37" t="str">
        <f t="shared" si="513"/>
        <v>Asset 186</v>
      </c>
      <c r="F740" s="37" t="str">
        <f t="shared" ref="F740:L740" si="582">F244</f>
        <v>11 Werktuigen (KC)</v>
      </c>
      <c r="G740" s="37">
        <f t="shared" si="582"/>
        <v>2017</v>
      </c>
      <c r="H740" s="42">
        <f t="shared" si="582"/>
        <v>42505.139899436123</v>
      </c>
      <c r="I740" s="37">
        <f t="shared" si="582"/>
        <v>2021</v>
      </c>
      <c r="J740" s="37">
        <f t="shared" si="582"/>
        <v>10</v>
      </c>
      <c r="K740" s="37">
        <f t="shared" si="582"/>
        <v>0</v>
      </c>
      <c r="L740" s="42">
        <f t="shared" si="582"/>
        <v>25007.119857240814</v>
      </c>
      <c r="N740" s="38">
        <f t="shared" si="515"/>
        <v>5.5</v>
      </c>
      <c r="P740" s="43">
        <f t="shared" si="567"/>
        <v>4546.7490649528754</v>
      </c>
      <c r="Q740" s="43">
        <f t="shared" si="567"/>
        <v>4546.7490649528754</v>
      </c>
      <c r="R740" s="43">
        <f t="shared" si="567"/>
        <v>4546.7490649528754</v>
      </c>
      <c r="S740" s="43">
        <f t="shared" si="567"/>
        <v>4546.7490649528754</v>
      </c>
      <c r="T740" s="43">
        <f t="shared" si="567"/>
        <v>4546.7490649528754</v>
      </c>
      <c r="V740" s="47">
        <f t="shared" si="524"/>
        <v>20460.37079228794</v>
      </c>
      <c r="W740" s="47">
        <f t="shared" si="525"/>
        <v>15913.621727335065</v>
      </c>
      <c r="X740" s="47">
        <f t="shared" si="526"/>
        <v>11366.872662382189</v>
      </c>
      <c r="Y740" s="47">
        <f t="shared" si="527"/>
        <v>6820.123597429314</v>
      </c>
      <c r="Z740" s="47">
        <f t="shared" si="528"/>
        <v>2273.3745324764386</v>
      </c>
      <c r="AB740" s="47">
        <f t="shared" si="516"/>
        <v>5242.4016718906651</v>
      </c>
      <c r="AC740" s="47">
        <f t="shared" si="517"/>
        <v>5071.8985819549325</v>
      </c>
      <c r="AD740" s="47">
        <f t="shared" si="518"/>
        <v>4978.690226123399</v>
      </c>
      <c r="AE740" s="47">
        <f t="shared" si="519"/>
        <v>4805.9137616551889</v>
      </c>
      <c r="AF740" s="47">
        <f t="shared" si="520"/>
        <v>4633.1372971869805</v>
      </c>
    </row>
    <row r="741" spans="2:32">
      <c r="B741" s="37" t="str">
        <f t="shared" si="513"/>
        <v>Asset 187</v>
      </c>
      <c r="F741" s="37" t="str">
        <f t="shared" ref="F741:L741" si="583">F245</f>
        <v>10 Gereedschap</v>
      </c>
      <c r="G741" s="37">
        <f t="shared" si="583"/>
        <v>2017</v>
      </c>
      <c r="H741" s="42">
        <f t="shared" si="583"/>
        <v>283180.78041617683</v>
      </c>
      <c r="I741" s="37">
        <f t="shared" si="583"/>
        <v>2021</v>
      </c>
      <c r="J741" s="37">
        <f t="shared" si="583"/>
        <v>10</v>
      </c>
      <c r="K741" s="37">
        <f t="shared" si="583"/>
        <v>1</v>
      </c>
      <c r="L741" s="42">
        <f t="shared" si="583"/>
        <v>166604.2208986652</v>
      </c>
      <c r="N741" s="38">
        <f t="shared" si="515"/>
        <v>5.5</v>
      </c>
      <c r="P741" s="43">
        <f t="shared" si="567"/>
        <v>30291.676527030038</v>
      </c>
      <c r="Q741" s="43">
        <f t="shared" si="567"/>
        <v>30291.676527030035</v>
      </c>
      <c r="R741" s="43">
        <f t="shared" si="567"/>
        <v>30291.676527030035</v>
      </c>
      <c r="S741" s="43">
        <f t="shared" si="567"/>
        <v>30291.676527030035</v>
      </c>
      <c r="T741" s="43">
        <f t="shared" si="567"/>
        <v>30291.676527030035</v>
      </c>
      <c r="V741" s="47">
        <f t="shared" si="524"/>
        <v>136312.54437163516</v>
      </c>
      <c r="W741" s="47">
        <f t="shared" si="525"/>
        <v>106020.86784460512</v>
      </c>
      <c r="X741" s="47">
        <f t="shared" si="526"/>
        <v>75729.191317575081</v>
      </c>
      <c r="Y741" s="47">
        <f t="shared" si="527"/>
        <v>45437.514790545043</v>
      </c>
      <c r="Z741" s="47">
        <f t="shared" si="528"/>
        <v>15145.838263515008</v>
      </c>
      <c r="AB741" s="47">
        <f t="shared" si="516"/>
        <v>34926.303035665638</v>
      </c>
      <c r="AC741" s="47">
        <f t="shared" si="517"/>
        <v>33790.365165902003</v>
      </c>
      <c r="AD741" s="47">
        <f t="shared" si="518"/>
        <v>33169.385797097886</v>
      </c>
      <c r="AE741" s="47">
        <f t="shared" si="519"/>
        <v>32018.302089070745</v>
      </c>
      <c r="AF741" s="47">
        <f t="shared" si="520"/>
        <v>30867.218381043604</v>
      </c>
    </row>
    <row r="742" spans="2:32">
      <c r="B742" s="37" t="str">
        <f t="shared" si="513"/>
        <v>Asset 188</v>
      </c>
      <c r="F742" s="37" t="str">
        <f t="shared" ref="F742:L742" si="584">F246</f>
        <v>10 Gereedschap</v>
      </c>
      <c r="G742" s="37">
        <f t="shared" si="584"/>
        <v>2016</v>
      </c>
      <c r="H742" s="42">
        <f t="shared" si="584"/>
        <v>59355.750635093973</v>
      </c>
      <c r="I742" s="37">
        <f t="shared" si="584"/>
        <v>2021</v>
      </c>
      <c r="J742" s="37">
        <f t="shared" si="584"/>
        <v>10</v>
      </c>
      <c r="K742" s="37">
        <f t="shared" si="584"/>
        <v>1</v>
      </c>
      <c r="L742" s="42">
        <f t="shared" si="584"/>
        <v>28628.76232994219</v>
      </c>
      <c r="N742" s="38">
        <f t="shared" si="515"/>
        <v>4.5</v>
      </c>
      <c r="P742" s="43">
        <f t="shared" si="567"/>
        <v>6361.9471844315976</v>
      </c>
      <c r="Q742" s="43">
        <f t="shared" si="567"/>
        <v>6361.9471844315976</v>
      </c>
      <c r="R742" s="43">
        <f t="shared" si="567"/>
        <v>6361.9471844315976</v>
      </c>
      <c r="S742" s="43">
        <f t="shared" si="567"/>
        <v>6361.9471844315976</v>
      </c>
      <c r="T742" s="43">
        <f t="shared" si="567"/>
        <v>3180.9735922157988</v>
      </c>
      <c r="V742" s="47">
        <f t="shared" si="524"/>
        <v>22266.815145510591</v>
      </c>
      <c r="W742" s="47">
        <f t="shared" si="525"/>
        <v>15904.867961078993</v>
      </c>
      <c r="X742" s="47">
        <f t="shared" si="526"/>
        <v>9542.9207766473955</v>
      </c>
      <c r="Y742" s="47">
        <f t="shared" si="527"/>
        <v>3180.9735922157979</v>
      </c>
      <c r="Z742" s="47">
        <f t="shared" si="528"/>
        <v>-9.0949470177292824E-13</v>
      </c>
      <c r="AB742" s="47">
        <f t="shared" si="516"/>
        <v>7119.0188993789579</v>
      </c>
      <c r="AC742" s="47">
        <f t="shared" si="517"/>
        <v>6886.8078271472041</v>
      </c>
      <c r="AD742" s="47">
        <f t="shared" si="518"/>
        <v>6724.5781739441991</v>
      </c>
      <c r="AE742" s="47">
        <f t="shared" si="519"/>
        <v>6482.8241809357978</v>
      </c>
      <c r="AF742" s="47">
        <f t="shared" si="520"/>
        <v>3180.9735922157988</v>
      </c>
    </row>
    <row r="743" spans="2:32">
      <c r="B743" s="37" t="str">
        <f t="shared" si="513"/>
        <v>Asset 189</v>
      </c>
      <c r="F743" s="37" t="str">
        <f t="shared" ref="F743:L743" si="585">F247</f>
        <v>20 Kantoorgebouwen</v>
      </c>
      <c r="G743" s="37">
        <f t="shared" si="585"/>
        <v>2017</v>
      </c>
      <c r="H743" s="42">
        <f t="shared" si="585"/>
        <v>1235103.6006231268</v>
      </c>
      <c r="I743" s="37">
        <f t="shared" si="585"/>
        <v>2021</v>
      </c>
      <c r="J743" s="37">
        <f t="shared" si="585"/>
        <v>30</v>
      </c>
      <c r="K743" s="37">
        <f t="shared" si="585"/>
        <v>0</v>
      </c>
      <c r="L743" s="42">
        <f t="shared" si="585"/>
        <v>1123005.4133120223</v>
      </c>
      <c r="N743" s="38">
        <f t="shared" si="515"/>
        <v>25.5</v>
      </c>
      <c r="P743" s="43">
        <f t="shared" si="567"/>
        <v>44039.427973020487</v>
      </c>
      <c r="Q743" s="43">
        <f t="shared" si="567"/>
        <v>44039.427973020487</v>
      </c>
      <c r="R743" s="43">
        <f t="shared" si="567"/>
        <v>44039.427973020487</v>
      </c>
      <c r="S743" s="43">
        <f t="shared" si="567"/>
        <v>44039.427973020487</v>
      </c>
      <c r="T743" s="43">
        <f t="shared" si="567"/>
        <v>44039.427973020487</v>
      </c>
      <c r="V743" s="47">
        <f t="shared" si="524"/>
        <v>1078965.9853390018</v>
      </c>
      <c r="W743" s="47">
        <f t="shared" si="525"/>
        <v>1034926.5573659813</v>
      </c>
      <c r="X743" s="47">
        <f t="shared" si="526"/>
        <v>990887.12939296081</v>
      </c>
      <c r="Y743" s="47">
        <f t="shared" si="527"/>
        <v>946847.70141994033</v>
      </c>
      <c r="Z743" s="47">
        <f t="shared" si="528"/>
        <v>902808.27344691986</v>
      </c>
      <c r="AB743" s="47">
        <f t="shared" si="516"/>
        <v>80724.271474546549</v>
      </c>
      <c r="AC743" s="47">
        <f t="shared" si="517"/>
        <v>78192.00436609787</v>
      </c>
      <c r="AD743" s="47">
        <f t="shared" si="518"/>
        <v>81693.138889952999</v>
      </c>
      <c r="AE743" s="47">
        <f t="shared" si="519"/>
        <v>80019.640626978216</v>
      </c>
      <c r="AF743" s="47">
        <f t="shared" si="520"/>
        <v>78346.142364003434</v>
      </c>
    </row>
    <row r="744" spans="2:32">
      <c r="B744" s="37" t="str">
        <f t="shared" si="513"/>
        <v>Asset 190</v>
      </c>
      <c r="F744" s="37" t="str">
        <f t="shared" ref="F744:L744" si="586">F248</f>
        <v>13 Aanhangwagens</v>
      </c>
      <c r="G744" s="37">
        <f t="shared" si="586"/>
        <v>2017</v>
      </c>
      <c r="H744" s="42">
        <f t="shared" si="586"/>
        <v>251242.94461834809</v>
      </c>
      <c r="I744" s="37">
        <f t="shared" si="586"/>
        <v>2021</v>
      </c>
      <c r="J744" s="37">
        <f t="shared" si="586"/>
        <v>10</v>
      </c>
      <c r="K744" s="37">
        <f t="shared" si="586"/>
        <v>1</v>
      </c>
      <c r="L744" s="42">
        <f t="shared" si="586"/>
        <v>147814.18069019204</v>
      </c>
      <c r="N744" s="38">
        <f t="shared" si="515"/>
        <v>5.5</v>
      </c>
      <c r="P744" s="43">
        <f t="shared" si="567"/>
        <v>26875.305580034918</v>
      </c>
      <c r="Q744" s="43">
        <f t="shared" si="567"/>
        <v>26875.305580034918</v>
      </c>
      <c r="R744" s="43">
        <f t="shared" si="567"/>
        <v>26875.305580034918</v>
      </c>
      <c r="S744" s="43">
        <f t="shared" si="567"/>
        <v>26875.305580034918</v>
      </c>
      <c r="T744" s="43">
        <f t="shared" si="567"/>
        <v>26875.305580034918</v>
      </c>
      <c r="V744" s="47">
        <f t="shared" si="524"/>
        <v>120938.87511015713</v>
      </c>
      <c r="W744" s="47">
        <f t="shared" si="525"/>
        <v>94063.569530122215</v>
      </c>
      <c r="X744" s="47">
        <f t="shared" si="526"/>
        <v>67188.263950087305</v>
      </c>
      <c r="Y744" s="47">
        <f t="shared" si="527"/>
        <v>40312.958370052387</v>
      </c>
      <c r="Z744" s="47">
        <f t="shared" si="528"/>
        <v>13437.65279001747</v>
      </c>
      <c r="AB744" s="47">
        <f t="shared" si="516"/>
        <v>30987.227333780262</v>
      </c>
      <c r="AC744" s="47">
        <f t="shared" si="517"/>
        <v>29979.403374528949</v>
      </c>
      <c r="AD744" s="47">
        <f t="shared" si="518"/>
        <v>29428.459610138234</v>
      </c>
      <c r="AE744" s="47">
        <f t="shared" si="519"/>
        <v>28407.197998096908</v>
      </c>
      <c r="AF744" s="47">
        <f t="shared" si="520"/>
        <v>27385.936386055582</v>
      </c>
    </row>
    <row r="745" spans="2:32">
      <c r="B745" s="37" t="str">
        <f t="shared" si="513"/>
        <v>Asset 191</v>
      </c>
      <c r="F745" s="37" t="str">
        <f t="shared" ref="F745:L745" si="587">F249</f>
        <v>12 Motorvoertuigen</v>
      </c>
      <c r="G745" s="37">
        <f t="shared" si="587"/>
        <v>2017</v>
      </c>
      <c r="H745" s="42">
        <f t="shared" si="587"/>
        <v>342149.84909853589</v>
      </c>
      <c r="I745" s="37">
        <f t="shared" si="587"/>
        <v>2021</v>
      </c>
      <c r="J745" s="37">
        <f t="shared" si="587"/>
        <v>10</v>
      </c>
      <c r="K745" s="37">
        <f t="shared" si="587"/>
        <v>1</v>
      </c>
      <c r="L745" s="42">
        <f t="shared" si="587"/>
        <v>201297.59143922853</v>
      </c>
      <c r="N745" s="38">
        <f t="shared" si="515"/>
        <v>5.5</v>
      </c>
      <c r="P745" s="43">
        <f t="shared" si="567"/>
        <v>36599.562079859737</v>
      </c>
      <c r="Q745" s="43">
        <f t="shared" si="567"/>
        <v>36599.56207985973</v>
      </c>
      <c r="R745" s="43">
        <f t="shared" si="567"/>
        <v>36599.56207985973</v>
      </c>
      <c r="S745" s="43">
        <f t="shared" si="567"/>
        <v>36599.56207985973</v>
      </c>
      <c r="T745" s="43">
        <f t="shared" si="567"/>
        <v>36599.56207985973</v>
      </c>
      <c r="V745" s="47">
        <f t="shared" si="524"/>
        <v>164698.02935936878</v>
      </c>
      <c r="W745" s="47">
        <f t="shared" si="525"/>
        <v>128098.46727950906</v>
      </c>
      <c r="X745" s="47">
        <f t="shared" si="526"/>
        <v>91498.905199649336</v>
      </c>
      <c r="Y745" s="47">
        <f t="shared" si="527"/>
        <v>54899.343119789606</v>
      </c>
      <c r="Z745" s="47">
        <f t="shared" si="528"/>
        <v>18299.781039929876</v>
      </c>
      <c r="AB745" s="47">
        <f t="shared" si="516"/>
        <v>42199.295078078278</v>
      </c>
      <c r="AC745" s="47">
        <f t="shared" si="517"/>
        <v>40826.811500083531</v>
      </c>
      <c r="AD745" s="47">
        <f t="shared" si="518"/>
        <v>40076.520477446407</v>
      </c>
      <c r="AE745" s="47">
        <f t="shared" si="519"/>
        <v>38685.737118411736</v>
      </c>
      <c r="AF745" s="47">
        <f t="shared" si="520"/>
        <v>37294.953759377066</v>
      </c>
    </row>
    <row r="746" spans="2:32">
      <c r="B746" s="37" t="str">
        <f t="shared" si="513"/>
        <v>Asset 192</v>
      </c>
      <c r="F746" s="37" t="str">
        <f t="shared" ref="F746:L746" si="588">F250</f>
        <v>10 Gereedschap (gaschromatografen en comptabele meters)</v>
      </c>
      <c r="G746" s="37">
        <f t="shared" si="588"/>
        <v>2017</v>
      </c>
      <c r="H746" s="42">
        <f t="shared" si="588"/>
        <v>492613.45921199484</v>
      </c>
      <c r="I746" s="37">
        <f t="shared" si="588"/>
        <v>2021</v>
      </c>
      <c r="J746" s="37">
        <f t="shared" si="588"/>
        <v>10</v>
      </c>
      <c r="K746" s="37">
        <f t="shared" si="588"/>
        <v>0</v>
      </c>
      <c r="L746" s="42">
        <f t="shared" si="588"/>
        <v>289820.09815635922</v>
      </c>
      <c r="N746" s="38">
        <f t="shared" si="515"/>
        <v>5.5</v>
      </c>
      <c r="P746" s="43">
        <f t="shared" si="567"/>
        <v>52694.563301156224</v>
      </c>
      <c r="Q746" s="43">
        <f t="shared" si="567"/>
        <v>52694.563301156224</v>
      </c>
      <c r="R746" s="43">
        <f t="shared" si="567"/>
        <v>52694.563301156224</v>
      </c>
      <c r="S746" s="43">
        <f t="shared" si="567"/>
        <v>52694.563301156224</v>
      </c>
      <c r="T746" s="43">
        <f t="shared" si="567"/>
        <v>52694.563301156224</v>
      </c>
      <c r="V746" s="47">
        <f t="shared" si="524"/>
        <v>237125.534855203</v>
      </c>
      <c r="W746" s="47">
        <f t="shared" si="525"/>
        <v>184430.97155404679</v>
      </c>
      <c r="X746" s="47">
        <f t="shared" si="526"/>
        <v>131736.40825289057</v>
      </c>
      <c r="Y746" s="47">
        <f t="shared" si="527"/>
        <v>79041.844951734354</v>
      </c>
      <c r="Z746" s="47">
        <f t="shared" si="528"/>
        <v>26347.28165057813</v>
      </c>
      <c r="AB746" s="47">
        <f t="shared" si="516"/>
        <v>60756.831486233124</v>
      </c>
      <c r="AC746" s="47">
        <f t="shared" si="517"/>
        <v>58780.785362439769</v>
      </c>
      <c r="AD746" s="47">
        <f t="shared" si="518"/>
        <v>57700.546814766065</v>
      </c>
      <c r="AE746" s="47">
        <f t="shared" si="519"/>
        <v>55698.153409322127</v>
      </c>
      <c r="AF746" s="47">
        <f t="shared" si="520"/>
        <v>53695.760003878197</v>
      </c>
    </row>
    <row r="747" spans="2:32">
      <c r="B747" s="37" t="str">
        <f t="shared" si="513"/>
        <v>Asset 193</v>
      </c>
      <c r="F747" s="37" t="str">
        <f t="shared" ref="F747:L747" si="589">F251</f>
        <v>11 Werktuigen</v>
      </c>
      <c r="G747" s="37">
        <f t="shared" si="589"/>
        <v>2017</v>
      </c>
      <c r="H747" s="42">
        <f t="shared" si="589"/>
        <v>2185364.6124668787</v>
      </c>
      <c r="I747" s="37">
        <f t="shared" si="589"/>
        <v>2021</v>
      </c>
      <c r="J747" s="37">
        <f t="shared" si="589"/>
        <v>10</v>
      </c>
      <c r="K747" s="37">
        <f t="shared" si="589"/>
        <v>1</v>
      </c>
      <c r="L747" s="42">
        <f t="shared" si="589"/>
        <v>1285719.20772473</v>
      </c>
      <c r="N747" s="38">
        <f t="shared" si="515"/>
        <v>5.5</v>
      </c>
      <c r="P747" s="43">
        <f t="shared" si="567"/>
        <v>233767.12867722363</v>
      </c>
      <c r="Q747" s="43">
        <f t="shared" si="567"/>
        <v>233767.12867722366</v>
      </c>
      <c r="R747" s="43">
        <f t="shared" si="567"/>
        <v>233767.12867722366</v>
      </c>
      <c r="S747" s="43">
        <f t="shared" si="567"/>
        <v>233767.12867722366</v>
      </c>
      <c r="T747" s="43">
        <f t="shared" si="567"/>
        <v>233767.12867722366</v>
      </c>
      <c r="V747" s="47">
        <f t="shared" si="524"/>
        <v>1051952.0790475064</v>
      </c>
      <c r="W747" s="47">
        <f t="shared" si="525"/>
        <v>818184.95037028275</v>
      </c>
      <c r="X747" s="47">
        <f t="shared" si="526"/>
        <v>584417.82169305906</v>
      </c>
      <c r="Y747" s="47">
        <f t="shared" si="527"/>
        <v>350650.69301583536</v>
      </c>
      <c r="Z747" s="47">
        <f t="shared" si="528"/>
        <v>116883.5643386117</v>
      </c>
      <c r="AB747" s="47">
        <f t="shared" si="516"/>
        <v>269533.49936483888</v>
      </c>
      <c r="AC747" s="47">
        <f t="shared" si="517"/>
        <v>260767.23203944298</v>
      </c>
      <c r="AD747" s="47">
        <f t="shared" si="518"/>
        <v>255975.0059015599</v>
      </c>
      <c r="AE747" s="47">
        <f t="shared" si="519"/>
        <v>247091.85501182542</v>
      </c>
      <c r="AF747" s="47">
        <f t="shared" si="520"/>
        <v>238208.70412209092</v>
      </c>
    </row>
    <row r="748" spans="2:32">
      <c r="B748" s="37" t="str">
        <f t="shared" ref="B748:B796" si="590">B252</f>
        <v>Asset 194</v>
      </c>
      <c r="F748" s="37" t="str">
        <f t="shared" ref="F748:L748" si="591">F252</f>
        <v>14 Overig rollend materieel</v>
      </c>
      <c r="G748" s="37">
        <f t="shared" si="591"/>
        <v>2017</v>
      </c>
      <c r="H748" s="42">
        <f t="shared" si="591"/>
        <v>68624.022512808762</v>
      </c>
      <c r="I748" s="37">
        <f t="shared" si="591"/>
        <v>2021</v>
      </c>
      <c r="J748" s="37">
        <f t="shared" si="591"/>
        <v>10</v>
      </c>
      <c r="K748" s="37">
        <f t="shared" si="591"/>
        <v>1</v>
      </c>
      <c r="L748" s="42">
        <f t="shared" si="591"/>
        <v>40373.685632465487</v>
      </c>
      <c r="N748" s="38">
        <f t="shared" ref="N748:N797" si="592">MAX(0,IF(G748&lt;=2021, J748-2021+G748-0.5,J748))</f>
        <v>5.5</v>
      </c>
      <c r="P748" s="43">
        <f t="shared" si="567"/>
        <v>7340.6701149937253</v>
      </c>
      <c r="Q748" s="43">
        <f t="shared" si="567"/>
        <v>7340.6701149937253</v>
      </c>
      <c r="R748" s="43">
        <f t="shared" si="567"/>
        <v>7340.6701149937253</v>
      </c>
      <c r="S748" s="43">
        <f t="shared" si="567"/>
        <v>7340.6701149937253</v>
      </c>
      <c r="T748" s="43">
        <f t="shared" si="567"/>
        <v>7340.6701149937253</v>
      </c>
      <c r="V748" s="47">
        <f t="shared" si="524"/>
        <v>33033.015517471766</v>
      </c>
      <c r="W748" s="47">
        <f t="shared" si="525"/>
        <v>25692.34540247804</v>
      </c>
      <c r="X748" s="47">
        <f t="shared" si="526"/>
        <v>18351.675287484315</v>
      </c>
      <c r="Y748" s="47">
        <f t="shared" si="527"/>
        <v>11011.00517249059</v>
      </c>
      <c r="Z748" s="47">
        <f t="shared" si="528"/>
        <v>3670.3350574968645</v>
      </c>
      <c r="AB748" s="47">
        <f t="shared" ref="AB748:AB797" si="593">(P748+V748*I$16)*IF($K748=1,$F$19,1)</f>
        <v>8463.7926425877649</v>
      </c>
      <c r="AC748" s="47">
        <f t="shared" ref="AC748:AC797" si="594">(Q748+W748*J$16)*IF($K748=1,$F$19,1)</f>
        <v>8188.5175132755003</v>
      </c>
      <c r="AD748" s="47">
        <f t="shared" ref="AD748:AD797" si="595">(R748+X748*K$16)*IF($K748=1,$F$19,1)</f>
        <v>8038.0337759181293</v>
      </c>
      <c r="AE748" s="47">
        <f t="shared" ref="AE748:AE797" si="596">(S748+Y748*L$16)*IF($K748=1,$F$19,1)</f>
        <v>7759.0883115483675</v>
      </c>
      <c r="AF748" s="47">
        <f t="shared" ref="AF748:AF797" si="597">(T748+Z748*M$16)*IF($K748=1,$F$19,1)</f>
        <v>7480.1428471786057</v>
      </c>
    </row>
    <row r="749" spans="2:32">
      <c r="B749" s="37" t="str">
        <f t="shared" si="590"/>
        <v>Asset 195</v>
      </c>
      <c r="F749" s="37" t="str">
        <f t="shared" ref="F749:L749" si="598">F253</f>
        <v>09 Bedrijfsinventaris</v>
      </c>
      <c r="G749" s="37">
        <f t="shared" si="598"/>
        <v>2017</v>
      </c>
      <c r="H749" s="42">
        <f t="shared" si="598"/>
        <v>75086.588886849713</v>
      </c>
      <c r="I749" s="37">
        <f t="shared" si="598"/>
        <v>2021</v>
      </c>
      <c r="J749" s="37">
        <f t="shared" si="598"/>
        <v>10</v>
      </c>
      <c r="K749" s="37">
        <f t="shared" si="598"/>
        <v>1</v>
      </c>
      <c r="L749" s="42">
        <f t="shared" si="598"/>
        <v>44175.81808711389</v>
      </c>
      <c r="N749" s="38">
        <f t="shared" si="592"/>
        <v>5.5</v>
      </c>
      <c r="P749" s="43">
        <f t="shared" si="567"/>
        <v>8031.9669249297986</v>
      </c>
      <c r="Q749" s="43">
        <f t="shared" si="567"/>
        <v>8031.9669249297976</v>
      </c>
      <c r="R749" s="43">
        <f t="shared" si="567"/>
        <v>8031.9669249297976</v>
      </c>
      <c r="S749" s="43">
        <f t="shared" si="567"/>
        <v>8031.9669249297976</v>
      </c>
      <c r="T749" s="43">
        <f t="shared" si="567"/>
        <v>8031.9669249297976</v>
      </c>
      <c r="V749" s="47">
        <f t="shared" si="524"/>
        <v>36143.851162184088</v>
      </c>
      <c r="W749" s="47">
        <f t="shared" si="525"/>
        <v>28111.884237254289</v>
      </c>
      <c r="X749" s="47">
        <f t="shared" si="526"/>
        <v>20079.917312324491</v>
      </c>
      <c r="Y749" s="47">
        <f t="shared" si="527"/>
        <v>12047.950387394692</v>
      </c>
      <c r="Z749" s="47">
        <f t="shared" si="528"/>
        <v>4015.9834624648947</v>
      </c>
      <c r="AB749" s="47">
        <f t="shared" si="593"/>
        <v>9260.8578644440568</v>
      </c>
      <c r="AC749" s="47">
        <f t="shared" si="594"/>
        <v>8959.6591047591901</v>
      </c>
      <c r="AD749" s="47">
        <f t="shared" si="595"/>
        <v>8795.0037827981287</v>
      </c>
      <c r="AE749" s="47">
        <f t="shared" si="596"/>
        <v>8489.7890396507955</v>
      </c>
      <c r="AF749" s="47">
        <f t="shared" si="597"/>
        <v>8184.5742965034633</v>
      </c>
    </row>
    <row r="750" spans="2:32">
      <c r="B750" s="37" t="str">
        <f t="shared" si="590"/>
        <v>Asset 196</v>
      </c>
      <c r="F750" s="37" t="str">
        <f t="shared" ref="F750:L750" si="599">F254</f>
        <v>08 Inrichting gebouwen</v>
      </c>
      <c r="G750" s="37">
        <f t="shared" si="599"/>
        <v>2017</v>
      </c>
      <c r="H750" s="42">
        <f t="shared" si="599"/>
        <v>894081.48176313401</v>
      </c>
      <c r="I750" s="37">
        <f t="shared" si="599"/>
        <v>2021</v>
      </c>
      <c r="J750" s="37">
        <f t="shared" si="599"/>
        <v>10</v>
      </c>
      <c r="K750" s="37">
        <f t="shared" si="599"/>
        <v>0</v>
      </c>
      <c r="L750" s="42">
        <f t="shared" si="599"/>
        <v>526016.44952794898</v>
      </c>
      <c r="N750" s="38">
        <f t="shared" si="592"/>
        <v>5.5</v>
      </c>
      <c r="P750" s="43">
        <f t="shared" si="567"/>
        <v>95639.354459627095</v>
      </c>
      <c r="Q750" s="43">
        <f t="shared" si="567"/>
        <v>95639.354459627095</v>
      </c>
      <c r="R750" s="43">
        <f t="shared" si="567"/>
        <v>95639.354459627095</v>
      </c>
      <c r="S750" s="43">
        <f t="shared" si="567"/>
        <v>95639.354459627095</v>
      </c>
      <c r="T750" s="43">
        <f t="shared" si="567"/>
        <v>95639.354459627095</v>
      </c>
      <c r="V750" s="47">
        <f t="shared" si="524"/>
        <v>430377.09506832191</v>
      </c>
      <c r="W750" s="47">
        <f t="shared" si="525"/>
        <v>334737.74060869485</v>
      </c>
      <c r="X750" s="47">
        <f t="shared" si="526"/>
        <v>239098.38614906775</v>
      </c>
      <c r="Y750" s="47">
        <f t="shared" si="527"/>
        <v>143459.03168944066</v>
      </c>
      <c r="Z750" s="47">
        <f t="shared" si="528"/>
        <v>47819.677229813562</v>
      </c>
      <c r="AB750" s="47">
        <f t="shared" si="593"/>
        <v>110272.17569195005</v>
      </c>
      <c r="AC750" s="47">
        <f t="shared" si="594"/>
        <v>106685.69989971403</v>
      </c>
      <c r="AD750" s="47">
        <f t="shared" si="595"/>
        <v>104725.09313329167</v>
      </c>
      <c r="AE750" s="47">
        <f t="shared" si="596"/>
        <v>101090.79766382584</v>
      </c>
      <c r="AF750" s="47">
        <f t="shared" si="597"/>
        <v>97456.502194360015</v>
      </c>
    </row>
    <row r="751" spans="2:32">
      <c r="B751" s="37" t="str">
        <f t="shared" si="590"/>
        <v>Asset 197</v>
      </c>
      <c r="F751" s="37" t="str">
        <f t="shared" ref="F751:L751" si="600">F255</f>
        <v>09 Bedrijfsinventaris</v>
      </c>
      <c r="G751" s="37">
        <f t="shared" si="600"/>
        <v>2018</v>
      </c>
      <c r="H751" s="42">
        <f t="shared" si="600"/>
        <v>490885.08786120504</v>
      </c>
      <c r="I751" s="37">
        <f t="shared" si="600"/>
        <v>2021</v>
      </c>
      <c r="J751" s="37">
        <f t="shared" si="600"/>
        <v>10</v>
      </c>
      <c r="K751" s="37">
        <f t="shared" si="600"/>
        <v>1</v>
      </c>
      <c r="L751" s="42">
        <f t="shared" si="600"/>
        <v>336600.51580018562</v>
      </c>
      <c r="N751" s="38">
        <f t="shared" si="592"/>
        <v>6.5</v>
      </c>
      <c r="P751" s="43">
        <f t="shared" si="567"/>
        <v>51784.6947384901</v>
      </c>
      <c r="Q751" s="43">
        <f t="shared" si="567"/>
        <v>51784.694738490092</v>
      </c>
      <c r="R751" s="43">
        <f t="shared" si="567"/>
        <v>51784.694738490092</v>
      </c>
      <c r="S751" s="43">
        <f t="shared" si="567"/>
        <v>51784.694738490092</v>
      </c>
      <c r="T751" s="43">
        <f t="shared" si="567"/>
        <v>51784.694738490092</v>
      </c>
      <c r="V751" s="47">
        <f t="shared" ref="V751:V758" si="601">IF(OR(V$553&lt;=$G751+$J751,$J751=0),IF(U751=0,$L751,U751)-P751,0)</f>
        <v>284815.82106169552</v>
      </c>
      <c r="W751" s="47">
        <f t="shared" ref="W751:W758" si="602">IF(OR(W$553&lt;=$G751+$J751,$J751=0),IF(V751=0,$L751,V751)-Q751,0)</f>
        <v>233031.12632320542</v>
      </c>
      <c r="X751" s="47">
        <f t="shared" ref="X751:X758" si="603">IF(OR(X$553&lt;=$G751+$J751,$J751=0),IF(W751=0,$L751,W751)-R751,0)</f>
        <v>181246.43158471532</v>
      </c>
      <c r="Y751" s="47">
        <f t="shared" ref="Y751:Y758" si="604">IF(OR(Y$553&lt;=$G751+$J751,$J751=0),IF(X751=0,$L751,X751)-S751,0)</f>
        <v>129461.73684622522</v>
      </c>
      <c r="Z751" s="47">
        <f t="shared" ref="Z751:Z758" si="605">IF(OR(Z$553&lt;=$G751+$J751,$J751=0),IF(Y751=0,$L751,Y751)-T751,0)</f>
        <v>77677.04210773512</v>
      </c>
      <c r="AB751" s="47">
        <f t="shared" si="593"/>
        <v>61468.432654587748</v>
      </c>
      <c r="AC751" s="47">
        <f t="shared" si="594"/>
        <v>59474.721907155872</v>
      </c>
      <c r="AD751" s="47">
        <f t="shared" si="595"/>
        <v>58672.059138709272</v>
      </c>
      <c r="AE751" s="47">
        <f t="shared" si="596"/>
        <v>56704.240738646651</v>
      </c>
      <c r="AF751" s="47">
        <f t="shared" si="597"/>
        <v>54736.422338584031</v>
      </c>
    </row>
    <row r="752" spans="2:32">
      <c r="B752" s="37" t="str">
        <f t="shared" si="590"/>
        <v>Asset 198</v>
      </c>
      <c r="F752" s="37" t="str">
        <f t="shared" ref="F752:L752" si="606">F256</f>
        <v>08 Inrichting gebouwen</v>
      </c>
      <c r="G752" s="37">
        <f t="shared" si="606"/>
        <v>2018</v>
      </c>
      <c r="H752" s="42">
        <f t="shared" si="606"/>
        <v>533703.76265516167</v>
      </c>
      <c r="I752" s="37">
        <f t="shared" si="606"/>
        <v>2021</v>
      </c>
      <c r="J752" s="37">
        <f t="shared" si="606"/>
        <v>10</v>
      </c>
      <c r="K752" s="37">
        <f t="shared" si="606"/>
        <v>0</v>
      </c>
      <c r="L752" s="42">
        <f t="shared" si="606"/>
        <v>365961.33440708811</v>
      </c>
      <c r="N752" s="38">
        <f t="shared" si="592"/>
        <v>6.5</v>
      </c>
      <c r="P752" s="43">
        <f t="shared" si="567"/>
        <v>56301.743754936637</v>
      </c>
      <c r="Q752" s="43">
        <f t="shared" si="567"/>
        <v>56301.743754936637</v>
      </c>
      <c r="R752" s="43">
        <f t="shared" si="567"/>
        <v>56301.743754936637</v>
      </c>
      <c r="S752" s="43">
        <f t="shared" si="567"/>
        <v>56301.743754936637</v>
      </c>
      <c r="T752" s="43">
        <f t="shared" si="567"/>
        <v>56301.743754936637</v>
      </c>
      <c r="V752" s="47">
        <f t="shared" si="601"/>
        <v>309659.5906521515</v>
      </c>
      <c r="W752" s="47">
        <f t="shared" si="602"/>
        <v>253357.84689721485</v>
      </c>
      <c r="X752" s="47">
        <f t="shared" si="603"/>
        <v>197056.10314227821</v>
      </c>
      <c r="Y752" s="47">
        <f t="shared" si="604"/>
        <v>140754.35938734157</v>
      </c>
      <c r="Z752" s="47">
        <f t="shared" si="605"/>
        <v>84452.615632404923</v>
      </c>
      <c r="AB752" s="47">
        <f t="shared" si="593"/>
        <v>66830.169837109788</v>
      </c>
      <c r="AC752" s="47">
        <f t="shared" si="594"/>
        <v>64662.55270254473</v>
      </c>
      <c r="AD752" s="47">
        <f t="shared" si="595"/>
        <v>63789.87567434321</v>
      </c>
      <c r="AE752" s="47">
        <f t="shared" si="596"/>
        <v>61650.409411655615</v>
      </c>
      <c r="AF752" s="47">
        <f t="shared" si="597"/>
        <v>59510.943148968021</v>
      </c>
    </row>
    <row r="753" spans="2:32">
      <c r="B753" s="37" t="str">
        <f t="shared" si="590"/>
        <v>Asset 199</v>
      </c>
      <c r="F753" s="37" t="str">
        <f t="shared" ref="F753:L753" si="607">F257</f>
        <v>11 Werktuigen</v>
      </c>
      <c r="G753" s="37">
        <f t="shared" si="607"/>
        <v>2018</v>
      </c>
      <c r="H753" s="42">
        <f t="shared" si="607"/>
        <v>2619455.826851733</v>
      </c>
      <c r="I753" s="37">
        <f t="shared" si="607"/>
        <v>2021</v>
      </c>
      <c r="J753" s="37">
        <f t="shared" si="607"/>
        <v>10</v>
      </c>
      <c r="K753" s="37">
        <f t="shared" si="607"/>
        <v>1</v>
      </c>
      <c r="L753" s="42">
        <f t="shared" si="607"/>
        <v>1796164.1211708463</v>
      </c>
      <c r="N753" s="38">
        <f t="shared" si="592"/>
        <v>6.5</v>
      </c>
      <c r="P753" s="43">
        <f t="shared" si="567"/>
        <v>276332.94171859173</v>
      </c>
      <c r="Q753" s="43">
        <f t="shared" si="567"/>
        <v>276332.94171859173</v>
      </c>
      <c r="R753" s="43">
        <f t="shared" si="567"/>
        <v>276332.94171859173</v>
      </c>
      <c r="S753" s="43">
        <f t="shared" si="567"/>
        <v>276332.94171859173</v>
      </c>
      <c r="T753" s="43">
        <f t="shared" si="567"/>
        <v>276332.94171859173</v>
      </c>
      <c r="V753" s="47">
        <f t="shared" si="601"/>
        <v>1519831.1794522544</v>
      </c>
      <c r="W753" s="47">
        <f t="shared" si="602"/>
        <v>1243498.2377336626</v>
      </c>
      <c r="X753" s="47">
        <f t="shared" si="603"/>
        <v>967165.29601507087</v>
      </c>
      <c r="Y753" s="47">
        <f t="shared" si="604"/>
        <v>690832.35429647914</v>
      </c>
      <c r="Z753" s="47">
        <f t="shared" si="605"/>
        <v>414499.41257788741</v>
      </c>
      <c r="AB753" s="47">
        <f t="shared" si="593"/>
        <v>328007.20181996841</v>
      </c>
      <c r="AC753" s="47">
        <f t="shared" si="594"/>
        <v>317368.38356380258</v>
      </c>
      <c r="AD753" s="47">
        <f t="shared" si="595"/>
        <v>313085.22296716442</v>
      </c>
      <c r="AE753" s="47">
        <f t="shared" si="596"/>
        <v>302584.57118185796</v>
      </c>
      <c r="AF753" s="47">
        <f t="shared" si="597"/>
        <v>292083.91939655144</v>
      </c>
    </row>
    <row r="754" spans="2:32">
      <c r="B754" s="37" t="str">
        <f t="shared" si="590"/>
        <v>Asset 200</v>
      </c>
      <c r="F754" s="37" t="str">
        <f t="shared" ref="F754:L754" si="608">F258</f>
        <v>10 Gereedschap</v>
      </c>
      <c r="G754" s="37">
        <f t="shared" si="608"/>
        <v>2018</v>
      </c>
      <c r="H754" s="42">
        <f t="shared" si="608"/>
        <v>252164.79428194632</v>
      </c>
      <c r="I754" s="37">
        <f t="shared" si="608"/>
        <v>2021</v>
      </c>
      <c r="J754" s="37">
        <f t="shared" si="608"/>
        <v>10</v>
      </c>
      <c r="K754" s="37">
        <f t="shared" si="608"/>
        <v>1</v>
      </c>
      <c r="L754" s="42">
        <f t="shared" si="608"/>
        <v>172909.7133338665</v>
      </c>
      <c r="N754" s="38">
        <f t="shared" si="592"/>
        <v>6.5</v>
      </c>
      <c r="P754" s="43">
        <f t="shared" si="567"/>
        <v>26601.494359056385</v>
      </c>
      <c r="Q754" s="43">
        <f t="shared" si="567"/>
        <v>26601.494359056385</v>
      </c>
      <c r="R754" s="43">
        <f t="shared" si="567"/>
        <v>26601.494359056385</v>
      </c>
      <c r="S754" s="43">
        <f t="shared" si="567"/>
        <v>26601.494359056385</v>
      </c>
      <c r="T754" s="43">
        <f t="shared" si="567"/>
        <v>26601.494359056385</v>
      </c>
      <c r="V754" s="47">
        <f t="shared" si="601"/>
        <v>146308.21897481012</v>
      </c>
      <c r="W754" s="47">
        <f t="shared" si="602"/>
        <v>119706.72461575374</v>
      </c>
      <c r="X754" s="47">
        <f t="shared" si="603"/>
        <v>93105.230256697367</v>
      </c>
      <c r="Y754" s="47">
        <f t="shared" si="604"/>
        <v>66503.735897640989</v>
      </c>
      <c r="Z754" s="47">
        <f t="shared" si="605"/>
        <v>39902.241538584603</v>
      </c>
      <c r="AB754" s="47">
        <f t="shared" si="593"/>
        <v>31575.97380419993</v>
      </c>
      <c r="AC754" s="47">
        <f t="shared" si="594"/>
        <v>30551.816271376258</v>
      </c>
      <c r="AD754" s="47">
        <f t="shared" si="595"/>
        <v>30139.493108810886</v>
      </c>
      <c r="AE754" s="47">
        <f t="shared" si="596"/>
        <v>29128.636323166742</v>
      </c>
      <c r="AF754" s="47">
        <f t="shared" si="597"/>
        <v>28117.779537522601</v>
      </c>
    </row>
    <row r="755" spans="2:32">
      <c r="B755" s="37" t="str">
        <f t="shared" si="590"/>
        <v>Asset 201</v>
      </c>
      <c r="F755" s="37" t="str">
        <f t="shared" ref="F755:L755" si="609">F259</f>
        <v>11 Werktuigen (KC)</v>
      </c>
      <c r="G755" s="37">
        <f t="shared" si="609"/>
        <v>2018</v>
      </c>
      <c r="H755" s="42">
        <f t="shared" si="609"/>
        <v>13021546.318391869</v>
      </c>
      <c r="I755" s="37">
        <f t="shared" si="609"/>
        <v>2021</v>
      </c>
      <c r="J755" s="37">
        <f t="shared" si="609"/>
        <v>10</v>
      </c>
      <c r="K755" s="37">
        <f t="shared" si="609"/>
        <v>0</v>
      </c>
      <c r="L755" s="42">
        <f t="shared" si="609"/>
        <v>8928890.519742161</v>
      </c>
      <c r="N755" s="38">
        <f t="shared" si="592"/>
        <v>6.5</v>
      </c>
      <c r="P755" s="43">
        <f t="shared" si="567"/>
        <v>1373675.4645757172</v>
      </c>
      <c r="Q755" s="43">
        <f t="shared" si="567"/>
        <v>1373675.464575717</v>
      </c>
      <c r="R755" s="43">
        <f t="shared" si="567"/>
        <v>1373675.464575717</v>
      </c>
      <c r="S755" s="43">
        <f t="shared" si="567"/>
        <v>1373675.464575717</v>
      </c>
      <c r="T755" s="43">
        <f t="shared" si="567"/>
        <v>1373675.464575717</v>
      </c>
      <c r="V755" s="47">
        <f t="shared" si="601"/>
        <v>7555215.0551664438</v>
      </c>
      <c r="W755" s="47">
        <f t="shared" si="602"/>
        <v>6181539.5905907266</v>
      </c>
      <c r="X755" s="47">
        <f t="shared" si="603"/>
        <v>4807864.1260150094</v>
      </c>
      <c r="Y755" s="47">
        <f t="shared" si="604"/>
        <v>3434188.6614392921</v>
      </c>
      <c r="Z755" s="47">
        <f t="shared" si="605"/>
        <v>2060513.1968635751</v>
      </c>
      <c r="AB755" s="47">
        <f t="shared" si="593"/>
        <v>1630552.7764513763</v>
      </c>
      <c r="AC755" s="47">
        <f t="shared" si="594"/>
        <v>1577666.2710652109</v>
      </c>
      <c r="AD755" s="47">
        <f t="shared" si="595"/>
        <v>1556374.3013642873</v>
      </c>
      <c r="AE755" s="47">
        <f t="shared" si="596"/>
        <v>1504174.63371041</v>
      </c>
      <c r="AF755" s="47">
        <f t="shared" si="597"/>
        <v>1451974.9660565329</v>
      </c>
    </row>
    <row r="756" spans="2:32">
      <c r="B756" s="37" t="str">
        <f t="shared" si="590"/>
        <v>Asset 202</v>
      </c>
      <c r="F756" s="37" t="str">
        <f t="shared" ref="F756:L756" si="610">F260</f>
        <v>20 Kantoorgebouwen</v>
      </c>
      <c r="G756" s="37">
        <f t="shared" si="610"/>
        <v>2018</v>
      </c>
      <c r="H756" s="42">
        <f t="shared" si="610"/>
        <v>5158473.573657441</v>
      </c>
      <c r="I756" s="37">
        <f t="shared" si="610"/>
        <v>2021</v>
      </c>
      <c r="J756" s="37">
        <f t="shared" si="610"/>
        <v>30</v>
      </c>
      <c r="K756" s="37">
        <f t="shared" si="610"/>
        <v>0</v>
      </c>
      <c r="L756" s="42">
        <f t="shared" si="610"/>
        <v>4806925.7125234623</v>
      </c>
      <c r="N756" s="38">
        <f t="shared" si="592"/>
        <v>26.5</v>
      </c>
      <c r="P756" s="43">
        <f t="shared" si="567"/>
        <v>181393.4231140929</v>
      </c>
      <c r="Q756" s="43">
        <f t="shared" si="567"/>
        <v>181393.4231140929</v>
      </c>
      <c r="R756" s="43">
        <f t="shared" si="567"/>
        <v>181393.4231140929</v>
      </c>
      <c r="S756" s="43">
        <f t="shared" si="567"/>
        <v>181393.4231140929</v>
      </c>
      <c r="T756" s="43">
        <f t="shared" si="567"/>
        <v>181393.4231140929</v>
      </c>
      <c r="V756" s="47">
        <f t="shared" si="601"/>
        <v>4625532.2894093692</v>
      </c>
      <c r="W756" s="47">
        <f t="shared" si="602"/>
        <v>4444138.8662952762</v>
      </c>
      <c r="X756" s="47">
        <f t="shared" si="603"/>
        <v>4262745.4431811832</v>
      </c>
      <c r="Y756" s="47">
        <f t="shared" si="604"/>
        <v>4081352.0200670902</v>
      </c>
      <c r="Z756" s="47">
        <f t="shared" si="605"/>
        <v>3899958.5969529971</v>
      </c>
      <c r="AB756" s="47">
        <f t="shared" si="593"/>
        <v>338661.52095401147</v>
      </c>
      <c r="AC756" s="47">
        <f t="shared" si="594"/>
        <v>328050.00570183701</v>
      </c>
      <c r="AD756" s="47">
        <f t="shared" si="595"/>
        <v>343377.74995497789</v>
      </c>
      <c r="AE756" s="47">
        <f t="shared" si="596"/>
        <v>336484.7998766423</v>
      </c>
      <c r="AF756" s="47">
        <f t="shared" si="597"/>
        <v>329591.84979830682</v>
      </c>
    </row>
    <row r="757" spans="2:32">
      <c r="B757" s="37" t="str">
        <f t="shared" si="590"/>
        <v>Asset 203</v>
      </c>
      <c r="F757" s="37" t="str">
        <f t="shared" ref="F757:L757" si="611">F261</f>
        <v>39 ICT middelen 3 (KC)</v>
      </c>
      <c r="G757" s="37">
        <f t="shared" si="611"/>
        <v>2018</v>
      </c>
      <c r="H757" s="42">
        <f t="shared" si="611"/>
        <v>21147142.000000007</v>
      </c>
      <c r="I757" s="37">
        <f t="shared" si="611"/>
        <v>2021</v>
      </c>
      <c r="J757" s="37">
        <f t="shared" si="611"/>
        <v>15</v>
      </c>
      <c r="K757" s="37">
        <f t="shared" si="611"/>
        <v>0</v>
      </c>
      <c r="L757" s="42">
        <f t="shared" si="611"/>
        <v>17103297.263965867</v>
      </c>
      <c r="N757" s="38">
        <f t="shared" si="592"/>
        <v>11.5</v>
      </c>
      <c r="P757" s="43">
        <f t="shared" si="567"/>
        <v>1487243.240344858</v>
      </c>
      <c r="Q757" s="43">
        <f t="shared" si="567"/>
        <v>1487243.240344858</v>
      </c>
      <c r="R757" s="43">
        <f t="shared" si="567"/>
        <v>1487243.240344858</v>
      </c>
      <c r="S757" s="43">
        <f t="shared" si="567"/>
        <v>1487243.240344858</v>
      </c>
      <c r="T757" s="43">
        <f t="shared" si="567"/>
        <v>1487243.240344858</v>
      </c>
      <c r="V757" s="47">
        <f t="shared" si="601"/>
        <v>15616054.02362101</v>
      </c>
      <c r="W757" s="47">
        <f t="shared" si="602"/>
        <v>14128810.783276152</v>
      </c>
      <c r="X757" s="47">
        <f t="shared" si="603"/>
        <v>12641567.542931294</v>
      </c>
      <c r="Y757" s="47">
        <f t="shared" si="604"/>
        <v>11154324.302586436</v>
      </c>
      <c r="Z757" s="47">
        <f t="shared" si="605"/>
        <v>9667081.0622415785</v>
      </c>
      <c r="AB757" s="47">
        <f t="shared" si="593"/>
        <v>2018189.0771479723</v>
      </c>
      <c r="AC757" s="47">
        <f t="shared" si="594"/>
        <v>1953493.996192971</v>
      </c>
      <c r="AD757" s="47">
        <f t="shared" si="595"/>
        <v>1967622.8069762471</v>
      </c>
      <c r="AE757" s="47">
        <f t="shared" si="596"/>
        <v>1911107.5638431427</v>
      </c>
      <c r="AF757" s="47">
        <f t="shared" si="597"/>
        <v>1854592.3207100381</v>
      </c>
    </row>
    <row r="758" spans="2:32">
      <c r="B758" s="37" t="str">
        <f t="shared" si="590"/>
        <v>Asset 204</v>
      </c>
      <c r="F758" s="37" t="str">
        <f t="shared" ref="F758:L758" si="612">F262</f>
        <v>37 ICT middelen 1 (KC)</v>
      </c>
      <c r="G758" s="37">
        <f t="shared" si="612"/>
        <v>2018</v>
      </c>
      <c r="H758" s="42">
        <f t="shared" si="612"/>
        <v>1669649.9999999995</v>
      </c>
      <c r="I758" s="37">
        <f t="shared" si="612"/>
        <v>2021</v>
      </c>
      <c r="J758" s="37">
        <f t="shared" si="612"/>
        <v>5</v>
      </c>
      <c r="K758" s="37">
        <f t="shared" si="612"/>
        <v>0</v>
      </c>
      <c r="L758" s="42">
        <f t="shared" si="612"/>
        <v>528406.65386783984</v>
      </c>
      <c r="N758" s="38">
        <f t="shared" si="592"/>
        <v>1.5</v>
      </c>
      <c r="P758" s="43">
        <f t="shared" si="567"/>
        <v>352271.10257855989</v>
      </c>
      <c r="Q758" s="43">
        <f t="shared" si="567"/>
        <v>176135.55128927995</v>
      </c>
      <c r="R758" s="43">
        <f t="shared" si="567"/>
        <v>0</v>
      </c>
      <c r="S758" s="43">
        <f t="shared" si="567"/>
        <v>0</v>
      </c>
      <c r="T758" s="43">
        <f t="shared" si="567"/>
        <v>0</v>
      </c>
      <c r="V758" s="47">
        <f t="shared" si="601"/>
        <v>176135.55128927995</v>
      </c>
      <c r="W758" s="47">
        <f t="shared" si="602"/>
        <v>0</v>
      </c>
      <c r="X758" s="47">
        <f t="shared" si="603"/>
        <v>0</v>
      </c>
      <c r="Y758" s="47">
        <f t="shared" si="604"/>
        <v>0</v>
      </c>
      <c r="Z758" s="47">
        <f t="shared" si="605"/>
        <v>0</v>
      </c>
      <c r="AB758" s="47">
        <f t="shared" si="593"/>
        <v>358259.71132239542</v>
      </c>
      <c r="AC758" s="47">
        <f t="shared" si="594"/>
        <v>176135.55128927995</v>
      </c>
      <c r="AD758" s="47">
        <f t="shared" si="595"/>
        <v>0</v>
      </c>
      <c r="AE758" s="47">
        <f t="shared" si="596"/>
        <v>0</v>
      </c>
      <c r="AF758" s="47">
        <f t="shared" si="597"/>
        <v>0</v>
      </c>
    </row>
    <row r="759" spans="2:32">
      <c r="B759" s="37" t="str">
        <f t="shared" si="590"/>
        <v>Asset 205</v>
      </c>
      <c r="F759" s="37" t="str">
        <f t="shared" ref="F759:L759" si="613">F263</f>
        <v>05 Wegen en terreinvoorzieningen</v>
      </c>
      <c r="G759" s="37">
        <f t="shared" si="613"/>
        <v>2017</v>
      </c>
      <c r="H759" s="42">
        <f t="shared" si="613"/>
        <v>41129.587663444909</v>
      </c>
      <c r="I759" s="37">
        <f t="shared" si="613"/>
        <v>2021</v>
      </c>
      <c r="J759" s="37">
        <f t="shared" si="613"/>
        <v>10</v>
      </c>
      <c r="K759" s="37">
        <f t="shared" si="613"/>
        <v>0</v>
      </c>
      <c r="L759" s="42">
        <f t="shared" si="613"/>
        <v>24197.83891576614</v>
      </c>
      <c r="N759" s="38">
        <f t="shared" si="592"/>
        <v>5.5</v>
      </c>
      <c r="P759" s="43">
        <f t="shared" ref="P759:T797" si="614">IF(P$553&lt;=$G759+$J759,VDB($L759,0,$N759,P$553-2022,MIN(P$553-2021,$N759),1),0)</f>
        <v>4399.6070755938435</v>
      </c>
      <c r="Q759" s="43">
        <f t="shared" si="614"/>
        <v>4399.6070755938435</v>
      </c>
      <c r="R759" s="43">
        <f t="shared" si="614"/>
        <v>4399.6070755938435</v>
      </c>
      <c r="S759" s="43">
        <f t="shared" si="614"/>
        <v>4399.6070755938435</v>
      </c>
      <c r="T759" s="43">
        <f t="shared" si="614"/>
        <v>4399.6070755938435</v>
      </c>
      <c r="V759" s="47">
        <f t="shared" ref="V759:V797" si="615">IF(OR(V$553&lt;=$G759+$J759,$J759=0),IF(U759=0,$L759,U759)-P759,0)</f>
        <v>19798.231840172295</v>
      </c>
      <c r="W759" s="47">
        <f t="shared" ref="W759:W797" si="616">IF(OR(W$553&lt;=$G759+$J759,$J759=0),IF(V759=0,$L759,V759)-Q759,0)</f>
        <v>15398.624764578452</v>
      </c>
      <c r="X759" s="47">
        <f t="shared" ref="X759:X797" si="617">IF(OR(X$553&lt;=$G759+$J759,$J759=0),IF(W759=0,$L759,W759)-R759,0)</f>
        <v>10999.017688984608</v>
      </c>
      <c r="Y759" s="47">
        <f t="shared" ref="Y759:Y797" si="618">IF(OR(Y$553&lt;=$G759+$J759,$J759=0),IF(X759=0,$L759,X759)-S759,0)</f>
        <v>6599.4106133907644</v>
      </c>
      <c r="Z759" s="47">
        <f t="shared" ref="Z759:Z797" si="619">IF(OR(Z$553&lt;=$G759+$J759,$J759=0),IF(Y759=0,$L759,Y759)-T759,0)</f>
        <v>2199.8035377969209</v>
      </c>
      <c r="AB759" s="47">
        <f t="shared" si="593"/>
        <v>5072.7469581597015</v>
      </c>
      <c r="AC759" s="47">
        <f t="shared" si="594"/>
        <v>4907.7616928249327</v>
      </c>
      <c r="AD759" s="47">
        <f t="shared" si="595"/>
        <v>4817.5697477752583</v>
      </c>
      <c r="AE759" s="47">
        <f t="shared" si="596"/>
        <v>4650.3846789026929</v>
      </c>
      <c r="AF759" s="47">
        <f t="shared" si="597"/>
        <v>4483.1996100301267</v>
      </c>
    </row>
    <row r="760" spans="2:32">
      <c r="B760" s="37" t="str">
        <f t="shared" si="590"/>
        <v>Asset 206</v>
      </c>
      <c r="F760" s="37" t="str">
        <f t="shared" ref="F760:L760" si="620">F264</f>
        <v>06 Utiliteitsgebouwen</v>
      </c>
      <c r="G760" s="37">
        <f t="shared" si="620"/>
        <v>2018</v>
      </c>
      <c r="H760" s="42">
        <f t="shared" si="620"/>
        <v>1769813.2968497979</v>
      </c>
      <c r="I760" s="37">
        <f t="shared" si="620"/>
        <v>2021</v>
      </c>
      <c r="J760" s="37">
        <f t="shared" si="620"/>
        <v>30</v>
      </c>
      <c r="K760" s="37">
        <f t="shared" si="620"/>
        <v>0</v>
      </c>
      <c r="L760" s="42">
        <f t="shared" si="620"/>
        <v>1649201.2455850111</v>
      </c>
      <c r="N760" s="38">
        <f t="shared" si="592"/>
        <v>26.5</v>
      </c>
      <c r="P760" s="43">
        <f t="shared" si="614"/>
        <v>62234.00926735891</v>
      </c>
      <c r="Q760" s="43">
        <f t="shared" si="614"/>
        <v>62234.00926735891</v>
      </c>
      <c r="R760" s="43">
        <f t="shared" si="614"/>
        <v>62234.00926735891</v>
      </c>
      <c r="S760" s="43">
        <f t="shared" si="614"/>
        <v>62234.00926735891</v>
      </c>
      <c r="T760" s="43">
        <f t="shared" si="614"/>
        <v>62234.00926735891</v>
      </c>
      <c r="V760" s="47">
        <f t="shared" si="615"/>
        <v>1586967.2363176523</v>
      </c>
      <c r="W760" s="47">
        <f t="shared" si="616"/>
        <v>1524733.2270502935</v>
      </c>
      <c r="X760" s="47">
        <f t="shared" si="617"/>
        <v>1462499.2177829347</v>
      </c>
      <c r="Y760" s="47">
        <f t="shared" si="618"/>
        <v>1400265.2085155759</v>
      </c>
      <c r="Z760" s="47">
        <f t="shared" si="619"/>
        <v>1338031.199248217</v>
      </c>
      <c r="AB760" s="47">
        <f t="shared" si="593"/>
        <v>116190.8953021591</v>
      </c>
      <c r="AC760" s="47">
        <f t="shared" si="594"/>
        <v>112550.20576001859</v>
      </c>
      <c r="AD760" s="47">
        <f t="shared" si="595"/>
        <v>117808.97954311043</v>
      </c>
      <c r="AE760" s="47">
        <f t="shared" si="596"/>
        <v>115444.08719095078</v>
      </c>
      <c r="AF760" s="47">
        <f t="shared" si="597"/>
        <v>113079.19483879115</v>
      </c>
    </row>
    <row r="761" spans="2:32">
      <c r="B761" s="37" t="str">
        <f t="shared" si="590"/>
        <v>Asset 207</v>
      </c>
      <c r="F761" s="37" t="str">
        <f t="shared" ref="F761:L761" si="621">F265</f>
        <v>14 Overig rollend materieel</v>
      </c>
      <c r="G761" s="37">
        <f t="shared" si="621"/>
        <v>2018</v>
      </c>
      <c r="H761" s="42">
        <f t="shared" si="621"/>
        <v>20291.448993786991</v>
      </c>
      <c r="I761" s="37">
        <f t="shared" si="621"/>
        <v>2021</v>
      </c>
      <c r="J761" s="37">
        <f t="shared" si="621"/>
        <v>10</v>
      </c>
      <c r="K761" s="37">
        <f t="shared" si="621"/>
        <v>1</v>
      </c>
      <c r="L761" s="42">
        <f t="shared" si="621"/>
        <v>13913.871833835448</v>
      </c>
      <c r="N761" s="38">
        <f t="shared" si="592"/>
        <v>6.5</v>
      </c>
      <c r="P761" s="43">
        <f t="shared" si="614"/>
        <v>2140.5956667439154</v>
      </c>
      <c r="Q761" s="43">
        <f t="shared" si="614"/>
        <v>2140.595666743915</v>
      </c>
      <c r="R761" s="43">
        <f t="shared" si="614"/>
        <v>2140.595666743915</v>
      </c>
      <c r="S761" s="43">
        <f t="shared" si="614"/>
        <v>2140.595666743915</v>
      </c>
      <c r="T761" s="43">
        <f t="shared" si="614"/>
        <v>2140.595666743915</v>
      </c>
      <c r="V761" s="47">
        <f t="shared" si="615"/>
        <v>11773.276167091533</v>
      </c>
      <c r="W761" s="47">
        <f t="shared" si="616"/>
        <v>9632.6805003476184</v>
      </c>
      <c r="X761" s="47">
        <f t="shared" si="617"/>
        <v>7492.0848336037034</v>
      </c>
      <c r="Y761" s="47">
        <f t="shared" si="618"/>
        <v>5351.4891668597884</v>
      </c>
      <c r="Z761" s="47">
        <f t="shared" si="619"/>
        <v>3210.8935001158734</v>
      </c>
      <c r="AB761" s="47">
        <f t="shared" si="593"/>
        <v>2540.8870564250274</v>
      </c>
      <c r="AC761" s="47">
        <f t="shared" si="594"/>
        <v>2458.4741232553865</v>
      </c>
      <c r="AD761" s="47">
        <f t="shared" si="595"/>
        <v>2425.2948904208556</v>
      </c>
      <c r="AE761" s="47">
        <f t="shared" si="596"/>
        <v>2343.9522550845868</v>
      </c>
      <c r="AF761" s="47">
        <f t="shared" si="597"/>
        <v>2262.609619748318</v>
      </c>
    </row>
    <row r="762" spans="2:32">
      <c r="B762" s="37" t="str">
        <f t="shared" si="590"/>
        <v>Asset 208</v>
      </c>
      <c r="F762" s="37" t="str">
        <f t="shared" ref="F762:L762" si="622">F266</f>
        <v>10 Gereedschap (odorisatie)</v>
      </c>
      <c r="G762" s="37">
        <f t="shared" si="622"/>
        <v>2018</v>
      </c>
      <c r="H762" s="42">
        <f t="shared" si="622"/>
        <v>59796.38767845487</v>
      </c>
      <c r="I762" s="37">
        <f t="shared" si="622"/>
        <v>2021</v>
      </c>
      <c r="J762" s="37">
        <f t="shared" si="622"/>
        <v>10</v>
      </c>
      <c r="K762" s="37">
        <f t="shared" si="622"/>
        <v>0</v>
      </c>
      <c r="L762" s="42">
        <f t="shared" si="622"/>
        <v>41002.457465659885</v>
      </c>
      <c r="N762" s="38">
        <f t="shared" si="592"/>
        <v>6.5</v>
      </c>
      <c r="P762" s="43">
        <f t="shared" si="614"/>
        <v>6308.07037933229</v>
      </c>
      <c r="Q762" s="43">
        <f t="shared" si="614"/>
        <v>6308.07037933229</v>
      </c>
      <c r="R762" s="43">
        <f t="shared" si="614"/>
        <v>6308.07037933229</v>
      </c>
      <c r="S762" s="43">
        <f t="shared" si="614"/>
        <v>6308.07037933229</v>
      </c>
      <c r="T762" s="43">
        <f t="shared" si="614"/>
        <v>6308.07037933229</v>
      </c>
      <c r="V762" s="47">
        <f t="shared" si="615"/>
        <v>34694.387086327595</v>
      </c>
      <c r="W762" s="47">
        <f t="shared" si="616"/>
        <v>28386.316706995305</v>
      </c>
      <c r="X762" s="47">
        <f t="shared" si="617"/>
        <v>22078.246327663015</v>
      </c>
      <c r="Y762" s="47">
        <f t="shared" si="618"/>
        <v>15770.175948330725</v>
      </c>
      <c r="Z762" s="47">
        <f t="shared" si="619"/>
        <v>9462.105568998435</v>
      </c>
      <c r="AB762" s="47">
        <f t="shared" si="593"/>
        <v>7487.6795402674288</v>
      </c>
      <c r="AC762" s="47">
        <f t="shared" si="594"/>
        <v>7244.8188306631355</v>
      </c>
      <c r="AD762" s="47">
        <f t="shared" si="595"/>
        <v>7147.0437397834849</v>
      </c>
      <c r="AE762" s="47">
        <f t="shared" si="596"/>
        <v>6907.337065368858</v>
      </c>
      <c r="AF762" s="47">
        <f t="shared" si="597"/>
        <v>6667.6303909542303</v>
      </c>
    </row>
    <row r="763" spans="2:32">
      <c r="B763" s="37" t="str">
        <f t="shared" si="590"/>
        <v>Asset 209</v>
      </c>
      <c r="F763" s="37" t="str">
        <f t="shared" ref="F763:L763" si="623">F267</f>
        <v>05 Wegen en terreinvoorzieningen</v>
      </c>
      <c r="G763" s="37">
        <f t="shared" si="623"/>
        <v>2018</v>
      </c>
      <c r="H763" s="42">
        <f t="shared" si="623"/>
        <v>70537.619152208252</v>
      </c>
      <c r="I763" s="37">
        <f t="shared" si="623"/>
        <v>2021</v>
      </c>
      <c r="J763" s="37">
        <f t="shared" si="623"/>
        <v>10</v>
      </c>
      <c r="K763" s="37">
        <f t="shared" si="623"/>
        <v>0</v>
      </c>
      <c r="L763" s="42">
        <f t="shared" si="623"/>
        <v>48367.733257897518</v>
      </c>
      <c r="N763" s="38">
        <f t="shared" si="592"/>
        <v>6.5</v>
      </c>
      <c r="P763" s="43">
        <f t="shared" si="614"/>
        <v>7441.1897319842337</v>
      </c>
      <c r="Q763" s="43">
        <f t="shared" si="614"/>
        <v>7441.1897319842337</v>
      </c>
      <c r="R763" s="43">
        <f t="shared" si="614"/>
        <v>7441.1897319842337</v>
      </c>
      <c r="S763" s="43">
        <f t="shared" si="614"/>
        <v>7441.1897319842337</v>
      </c>
      <c r="T763" s="43">
        <f t="shared" si="614"/>
        <v>7441.1897319842337</v>
      </c>
      <c r="V763" s="47">
        <f t="shared" si="615"/>
        <v>40926.543525913286</v>
      </c>
      <c r="W763" s="47">
        <f t="shared" si="616"/>
        <v>33485.353793929055</v>
      </c>
      <c r="X763" s="47">
        <f t="shared" si="617"/>
        <v>26044.164061944823</v>
      </c>
      <c r="Y763" s="47">
        <f t="shared" si="618"/>
        <v>18602.974329960591</v>
      </c>
      <c r="Z763" s="47">
        <f t="shared" si="619"/>
        <v>11161.784597976357</v>
      </c>
      <c r="AB763" s="47">
        <f t="shared" si="593"/>
        <v>8832.6922118652856</v>
      </c>
      <c r="AC763" s="47">
        <f t="shared" si="594"/>
        <v>8546.2064071838922</v>
      </c>
      <c r="AD763" s="47">
        <f t="shared" si="595"/>
        <v>8430.8679663381372</v>
      </c>
      <c r="AE763" s="47">
        <f t="shared" si="596"/>
        <v>8148.1027565227359</v>
      </c>
      <c r="AF763" s="47">
        <f t="shared" si="597"/>
        <v>7865.3375467073356</v>
      </c>
    </row>
    <row r="764" spans="2:32">
      <c r="B764" s="37" t="str">
        <f t="shared" si="590"/>
        <v>Asset 210</v>
      </c>
      <c r="F764" s="37" t="str">
        <f t="shared" ref="F764:L764" si="624">F268</f>
        <v>37 ICT middelen 1 (balancering)</v>
      </c>
      <c r="G764" s="37">
        <f t="shared" si="624"/>
        <v>2018</v>
      </c>
      <c r="H764" s="42">
        <f t="shared" si="624"/>
        <v>1033593</v>
      </c>
      <c r="I764" s="37">
        <f t="shared" si="624"/>
        <v>2021</v>
      </c>
      <c r="J764" s="37">
        <f t="shared" si="624"/>
        <v>5</v>
      </c>
      <c r="K764" s="37">
        <f t="shared" si="624"/>
        <v>0</v>
      </c>
      <c r="L764" s="42">
        <f t="shared" si="624"/>
        <v>327108.92617687664</v>
      </c>
      <c r="N764" s="38">
        <f t="shared" si="592"/>
        <v>1.5</v>
      </c>
      <c r="P764" s="43">
        <f t="shared" si="614"/>
        <v>218072.61745125111</v>
      </c>
      <c r="Q764" s="43">
        <f t="shared" si="614"/>
        <v>109036.30872562555</v>
      </c>
      <c r="R764" s="43">
        <f t="shared" si="614"/>
        <v>0</v>
      </c>
      <c r="S764" s="43">
        <f t="shared" si="614"/>
        <v>0</v>
      </c>
      <c r="T764" s="43">
        <f t="shared" si="614"/>
        <v>0</v>
      </c>
      <c r="V764" s="47">
        <f t="shared" si="615"/>
        <v>109036.30872562554</v>
      </c>
      <c r="W764" s="47">
        <f t="shared" si="616"/>
        <v>-1.4551915228366852E-11</v>
      </c>
      <c r="X764" s="47">
        <f t="shared" si="617"/>
        <v>0</v>
      </c>
      <c r="Y764" s="47">
        <f t="shared" si="618"/>
        <v>0</v>
      </c>
      <c r="Z764" s="47">
        <f t="shared" si="619"/>
        <v>0</v>
      </c>
      <c r="AB764" s="47">
        <f t="shared" si="593"/>
        <v>221779.85194792238</v>
      </c>
      <c r="AC764" s="47">
        <f t="shared" si="594"/>
        <v>109036.30872562555</v>
      </c>
      <c r="AD764" s="47">
        <f t="shared" si="595"/>
        <v>0</v>
      </c>
      <c r="AE764" s="47">
        <f t="shared" si="596"/>
        <v>0</v>
      </c>
      <c r="AF764" s="47">
        <f t="shared" si="597"/>
        <v>0</v>
      </c>
    </row>
    <row r="765" spans="2:32">
      <c r="B765" s="37" t="str">
        <f t="shared" si="590"/>
        <v>Asset 211</v>
      </c>
      <c r="F765" s="37" t="str">
        <f t="shared" ref="F765:L765" si="625">F269</f>
        <v>37 ICT middelen 1</v>
      </c>
      <c r="G765" s="37">
        <f t="shared" si="625"/>
        <v>2019</v>
      </c>
      <c r="H765" s="42">
        <f t="shared" si="625"/>
        <v>7023542.7917365544</v>
      </c>
      <c r="I765" s="37">
        <f t="shared" si="625"/>
        <v>2021</v>
      </c>
      <c r="J765" s="37">
        <f t="shared" si="625"/>
        <v>5</v>
      </c>
      <c r="K765" s="37">
        <f t="shared" si="625"/>
        <v>1</v>
      </c>
      <c r="L765" s="42">
        <f t="shared" si="625"/>
        <v>3660726.6913954271</v>
      </c>
      <c r="N765" s="38">
        <f t="shared" si="592"/>
        <v>2.5</v>
      </c>
      <c r="P765" s="43">
        <f t="shared" si="614"/>
        <v>1464290.6765581709</v>
      </c>
      <c r="Q765" s="43">
        <f t="shared" si="614"/>
        <v>1464290.6765581707</v>
      </c>
      <c r="R765" s="43">
        <f t="shared" si="614"/>
        <v>732145.33827908535</v>
      </c>
      <c r="S765" s="43">
        <f t="shared" si="614"/>
        <v>0</v>
      </c>
      <c r="T765" s="43">
        <f t="shared" si="614"/>
        <v>0</v>
      </c>
      <c r="V765" s="47">
        <f t="shared" si="615"/>
        <v>2196436.0148372562</v>
      </c>
      <c r="W765" s="47">
        <f t="shared" si="616"/>
        <v>732145.33827908547</v>
      </c>
      <c r="X765" s="47">
        <f t="shared" si="617"/>
        <v>1.1641532182693481E-10</v>
      </c>
      <c r="Y765" s="47">
        <f t="shared" si="618"/>
        <v>0</v>
      </c>
      <c r="Z765" s="47">
        <f t="shared" si="619"/>
        <v>0</v>
      </c>
      <c r="AB765" s="47">
        <f t="shared" si="593"/>
        <v>1538969.5010626377</v>
      </c>
      <c r="AC765" s="47">
        <f t="shared" si="594"/>
        <v>1488451.4727213804</v>
      </c>
      <c r="AD765" s="47">
        <f t="shared" si="595"/>
        <v>732145.33827908535</v>
      </c>
      <c r="AE765" s="47">
        <f t="shared" si="596"/>
        <v>0</v>
      </c>
      <c r="AF765" s="47">
        <f t="shared" si="597"/>
        <v>0</v>
      </c>
    </row>
    <row r="766" spans="2:32">
      <c r="B766" s="37" t="str">
        <f t="shared" si="590"/>
        <v>Asset 212</v>
      </c>
      <c r="F766" s="37" t="str">
        <f t="shared" ref="F766:L766" si="626">F270</f>
        <v>14 Overig rollend materieel</v>
      </c>
      <c r="G766" s="37">
        <f t="shared" si="626"/>
        <v>2019</v>
      </c>
      <c r="H766" s="42">
        <f t="shared" si="626"/>
        <v>857388.09237261105</v>
      </c>
      <c r="I766" s="37">
        <f t="shared" si="626"/>
        <v>2021</v>
      </c>
      <c r="J766" s="37">
        <f t="shared" si="626"/>
        <v>10</v>
      </c>
      <c r="K766" s="37">
        <f t="shared" si="626"/>
        <v>1</v>
      </c>
      <c r="L766" s="42">
        <f t="shared" si="626"/>
        <v>670316.29927401594</v>
      </c>
      <c r="N766" s="38">
        <f t="shared" si="592"/>
        <v>7.5</v>
      </c>
      <c r="P766" s="43">
        <f t="shared" si="614"/>
        <v>89375.506569868798</v>
      </c>
      <c r="Q766" s="43">
        <f t="shared" si="614"/>
        <v>89375.506569868798</v>
      </c>
      <c r="R766" s="43">
        <f t="shared" si="614"/>
        <v>89375.506569868798</v>
      </c>
      <c r="S766" s="43">
        <f t="shared" si="614"/>
        <v>89375.506569868798</v>
      </c>
      <c r="T766" s="43">
        <f t="shared" si="614"/>
        <v>89375.506569868798</v>
      </c>
      <c r="V766" s="47">
        <f t="shared" si="615"/>
        <v>580940.79270414717</v>
      </c>
      <c r="W766" s="47">
        <f t="shared" si="616"/>
        <v>491565.2861342784</v>
      </c>
      <c r="X766" s="47">
        <f t="shared" si="617"/>
        <v>402189.77956440963</v>
      </c>
      <c r="Y766" s="47">
        <f t="shared" si="618"/>
        <v>312814.27299454086</v>
      </c>
      <c r="Z766" s="47">
        <f t="shared" si="619"/>
        <v>223438.76642467207</v>
      </c>
      <c r="AB766" s="47">
        <f t="shared" si="593"/>
        <v>109127.49352180981</v>
      </c>
      <c r="AC766" s="47">
        <f t="shared" si="594"/>
        <v>105597.16101229998</v>
      </c>
      <c r="AD766" s="47">
        <f t="shared" si="595"/>
        <v>104658.71819331637</v>
      </c>
      <c r="AE766" s="47">
        <f t="shared" si="596"/>
        <v>101262.44894366135</v>
      </c>
      <c r="AF766" s="47">
        <f t="shared" si="597"/>
        <v>97866.179694006336</v>
      </c>
    </row>
    <row r="767" spans="2:32">
      <c r="B767" s="37" t="str">
        <f t="shared" si="590"/>
        <v>Asset 213</v>
      </c>
      <c r="F767" s="37" t="str">
        <f t="shared" ref="F767:L767" si="627">F271</f>
        <v>08 Inrichting gebouwen</v>
      </c>
      <c r="G767" s="37">
        <f t="shared" si="627"/>
        <v>2019</v>
      </c>
      <c r="H767" s="42">
        <f t="shared" si="627"/>
        <v>460067.29247706069</v>
      </c>
      <c r="I767" s="37">
        <f t="shared" si="627"/>
        <v>2021</v>
      </c>
      <c r="J767" s="37">
        <f t="shared" si="627"/>
        <v>10</v>
      </c>
      <c r="K767" s="37">
        <f t="shared" si="627"/>
        <v>0</v>
      </c>
      <c r="L767" s="42">
        <f t="shared" si="627"/>
        <v>359686.13006607577</v>
      </c>
      <c r="N767" s="38">
        <f t="shared" si="592"/>
        <v>7.5</v>
      </c>
      <c r="P767" s="43">
        <f t="shared" si="614"/>
        <v>47958.150675476769</v>
      </c>
      <c r="Q767" s="43">
        <f t="shared" si="614"/>
        <v>47958.150675476769</v>
      </c>
      <c r="R767" s="43">
        <f t="shared" si="614"/>
        <v>47958.150675476769</v>
      </c>
      <c r="S767" s="43">
        <f t="shared" si="614"/>
        <v>47958.150675476769</v>
      </c>
      <c r="T767" s="43">
        <f t="shared" si="614"/>
        <v>47958.150675476769</v>
      </c>
      <c r="V767" s="47">
        <f t="shared" si="615"/>
        <v>311727.97939059901</v>
      </c>
      <c r="W767" s="47">
        <f t="shared" si="616"/>
        <v>263769.82871512225</v>
      </c>
      <c r="X767" s="47">
        <f t="shared" si="617"/>
        <v>215811.67803964549</v>
      </c>
      <c r="Y767" s="47">
        <f t="shared" si="618"/>
        <v>167853.52736416872</v>
      </c>
      <c r="Z767" s="47">
        <f t="shared" si="619"/>
        <v>119895.37668869196</v>
      </c>
      <c r="AB767" s="47">
        <f t="shared" si="593"/>
        <v>58556.901974757136</v>
      </c>
      <c r="AC767" s="47">
        <f t="shared" si="594"/>
        <v>56662.555023075802</v>
      </c>
      <c r="AD767" s="47">
        <f t="shared" si="595"/>
        <v>56158.994440983297</v>
      </c>
      <c r="AE767" s="47">
        <f t="shared" si="596"/>
        <v>54336.584715315177</v>
      </c>
      <c r="AF767" s="47">
        <f t="shared" si="597"/>
        <v>52514.174989647065</v>
      </c>
    </row>
    <row r="768" spans="2:32">
      <c r="B768" s="37" t="str">
        <f t="shared" si="590"/>
        <v>Asset 214</v>
      </c>
      <c r="F768" s="37" t="str">
        <f t="shared" ref="F768:L768" si="628">F272</f>
        <v>37 ICT middelen 1 (KC)</v>
      </c>
      <c r="G768" s="37">
        <f t="shared" si="628"/>
        <v>2019</v>
      </c>
      <c r="H768" s="42">
        <f t="shared" si="628"/>
        <v>119060</v>
      </c>
      <c r="I768" s="37">
        <f t="shared" si="628"/>
        <v>2021</v>
      </c>
      <c r="J768" s="37">
        <f t="shared" si="628"/>
        <v>5</v>
      </c>
      <c r="K768" s="37">
        <f t="shared" si="628"/>
        <v>0</v>
      </c>
      <c r="L768" s="42">
        <f t="shared" si="628"/>
        <v>62055.024479999985</v>
      </c>
      <c r="N768" s="38">
        <f t="shared" si="592"/>
        <v>2.5</v>
      </c>
      <c r="P768" s="43">
        <f t="shared" si="614"/>
        <v>24822.009791999997</v>
      </c>
      <c r="Q768" s="43">
        <f t="shared" si="614"/>
        <v>24822.009791999993</v>
      </c>
      <c r="R768" s="43">
        <f t="shared" si="614"/>
        <v>12411.004895999997</v>
      </c>
      <c r="S768" s="43">
        <f t="shared" si="614"/>
        <v>0</v>
      </c>
      <c r="T768" s="43">
        <f t="shared" si="614"/>
        <v>0</v>
      </c>
      <c r="V768" s="47">
        <f t="shared" si="615"/>
        <v>37233.014687999988</v>
      </c>
      <c r="W768" s="47">
        <f t="shared" si="616"/>
        <v>12411.004895999995</v>
      </c>
      <c r="X768" s="47">
        <f t="shared" si="617"/>
        <v>-1.8189894035458565E-12</v>
      </c>
      <c r="Y768" s="47">
        <f t="shared" si="618"/>
        <v>0</v>
      </c>
      <c r="Z768" s="47">
        <f t="shared" si="619"/>
        <v>0</v>
      </c>
      <c r="AB768" s="47">
        <f t="shared" si="593"/>
        <v>26087.932291391997</v>
      </c>
      <c r="AC768" s="47">
        <f t="shared" si="594"/>
        <v>25231.572953567993</v>
      </c>
      <c r="AD768" s="47">
        <f t="shared" si="595"/>
        <v>12411.004895999997</v>
      </c>
      <c r="AE768" s="47">
        <f t="shared" si="596"/>
        <v>0</v>
      </c>
      <c r="AF768" s="47">
        <f t="shared" si="597"/>
        <v>0</v>
      </c>
    </row>
    <row r="769" spans="2:32">
      <c r="B769" s="37" t="str">
        <f t="shared" si="590"/>
        <v>Asset 215</v>
      </c>
      <c r="F769" s="37" t="str">
        <f t="shared" ref="F769:L769" si="629">F273</f>
        <v>11 Werktuigen</v>
      </c>
      <c r="G769" s="37">
        <f t="shared" si="629"/>
        <v>2019</v>
      </c>
      <c r="H769" s="42">
        <f t="shared" si="629"/>
        <v>288666.6970011855</v>
      </c>
      <c r="I769" s="37">
        <f t="shared" si="629"/>
        <v>2021</v>
      </c>
      <c r="J769" s="37">
        <f t="shared" si="629"/>
        <v>10</v>
      </c>
      <c r="K769" s="37">
        <f t="shared" si="629"/>
        <v>1</v>
      </c>
      <c r="L769" s="42">
        <f t="shared" si="629"/>
        <v>225683.08771589081</v>
      </c>
      <c r="N769" s="38">
        <f t="shared" si="592"/>
        <v>7.5</v>
      </c>
      <c r="P769" s="43">
        <f t="shared" si="614"/>
        <v>30091.078362118777</v>
      </c>
      <c r="Q769" s="43">
        <f t="shared" si="614"/>
        <v>30091.078362118777</v>
      </c>
      <c r="R769" s="43">
        <f t="shared" si="614"/>
        <v>30091.078362118777</v>
      </c>
      <c r="S769" s="43">
        <f t="shared" si="614"/>
        <v>30091.078362118777</v>
      </c>
      <c r="T769" s="43">
        <f t="shared" si="614"/>
        <v>30091.078362118777</v>
      </c>
      <c r="V769" s="47">
        <f t="shared" si="615"/>
        <v>195592.00935377204</v>
      </c>
      <c r="W769" s="47">
        <f t="shared" si="616"/>
        <v>165500.93099165327</v>
      </c>
      <c r="X769" s="47">
        <f t="shared" si="617"/>
        <v>135409.85262953449</v>
      </c>
      <c r="Y769" s="47">
        <f t="shared" si="618"/>
        <v>105318.77426741572</v>
      </c>
      <c r="Z769" s="47">
        <f t="shared" si="619"/>
        <v>75227.695905296947</v>
      </c>
      <c r="AB769" s="47">
        <f t="shared" si="593"/>
        <v>36741.206680147028</v>
      </c>
      <c r="AC769" s="47">
        <f t="shared" si="594"/>
        <v>35552.609084843338</v>
      </c>
      <c r="AD769" s="47">
        <f t="shared" si="595"/>
        <v>35236.652762041085</v>
      </c>
      <c r="AE769" s="47">
        <f t="shared" si="596"/>
        <v>34093.191784280571</v>
      </c>
      <c r="AF769" s="47">
        <f t="shared" si="597"/>
        <v>32949.730806520063</v>
      </c>
    </row>
    <row r="770" spans="2:32">
      <c r="B770" s="37" t="str">
        <f t="shared" si="590"/>
        <v>Asset 216</v>
      </c>
      <c r="F770" s="37" t="str">
        <f t="shared" ref="F770:L770" si="630">F274</f>
        <v>20 Kantoorgebouwen</v>
      </c>
      <c r="G770" s="37">
        <f t="shared" si="630"/>
        <v>2019</v>
      </c>
      <c r="H770" s="42">
        <f t="shared" si="630"/>
        <v>1170372.8470650064</v>
      </c>
      <c r="I770" s="37">
        <f t="shared" si="630"/>
        <v>2021</v>
      </c>
      <c r="J770" s="37">
        <f t="shared" si="630"/>
        <v>30</v>
      </c>
      <c r="K770" s="37">
        <f t="shared" si="630"/>
        <v>0</v>
      </c>
      <c r="L770" s="42">
        <f t="shared" si="630"/>
        <v>1118347.433267273</v>
      </c>
      <c r="N770" s="38">
        <f t="shared" si="592"/>
        <v>27.5</v>
      </c>
      <c r="P770" s="43">
        <f t="shared" si="614"/>
        <v>40667.179391537204</v>
      </c>
      <c r="Q770" s="43">
        <f t="shared" si="614"/>
        <v>40667.179391537204</v>
      </c>
      <c r="R770" s="43">
        <f t="shared" si="614"/>
        <v>40667.179391537204</v>
      </c>
      <c r="S770" s="43">
        <f t="shared" si="614"/>
        <v>40667.179391537204</v>
      </c>
      <c r="T770" s="43">
        <f t="shared" si="614"/>
        <v>40667.179391537204</v>
      </c>
      <c r="V770" s="47">
        <f t="shared" si="615"/>
        <v>1077680.2538757359</v>
      </c>
      <c r="W770" s="47">
        <f t="shared" si="616"/>
        <v>1037013.0744841987</v>
      </c>
      <c r="X770" s="47">
        <f t="shared" si="617"/>
        <v>996345.89509266149</v>
      </c>
      <c r="Y770" s="47">
        <f t="shared" si="618"/>
        <v>955678.71570112428</v>
      </c>
      <c r="Z770" s="47">
        <f t="shared" si="619"/>
        <v>915011.53630958707</v>
      </c>
      <c r="AB770" s="47">
        <f t="shared" si="593"/>
        <v>77308.308023312231</v>
      </c>
      <c r="AC770" s="47">
        <f t="shared" si="594"/>
        <v>74888.610849515768</v>
      </c>
      <c r="AD770" s="47">
        <f t="shared" si="595"/>
        <v>78528.323405058341</v>
      </c>
      <c r="AE770" s="47">
        <f t="shared" si="596"/>
        <v>76982.970588179916</v>
      </c>
      <c r="AF770" s="47">
        <f t="shared" si="597"/>
        <v>75437.617771301506</v>
      </c>
    </row>
    <row r="771" spans="2:32">
      <c r="B771" s="37" t="str">
        <f t="shared" si="590"/>
        <v>Asset 217</v>
      </c>
      <c r="F771" s="37" t="str">
        <f t="shared" ref="F771:L771" si="631">F275</f>
        <v>37 ICT middelen 1 (balancering)</v>
      </c>
      <c r="G771" s="37">
        <f t="shared" si="631"/>
        <v>2019</v>
      </c>
      <c r="H771" s="42">
        <f t="shared" si="631"/>
        <v>73704</v>
      </c>
      <c r="I771" s="37">
        <f t="shared" si="631"/>
        <v>2021</v>
      </c>
      <c r="J771" s="37">
        <f t="shared" si="631"/>
        <v>5</v>
      </c>
      <c r="K771" s="37">
        <f t="shared" si="631"/>
        <v>0</v>
      </c>
      <c r="L771" s="42">
        <f t="shared" si="631"/>
        <v>38415.114431999995</v>
      </c>
      <c r="N771" s="38">
        <f t="shared" si="592"/>
        <v>2.5</v>
      </c>
      <c r="P771" s="43">
        <f t="shared" si="614"/>
        <v>15366.045772799998</v>
      </c>
      <c r="Q771" s="43">
        <f t="shared" si="614"/>
        <v>15366.045772799998</v>
      </c>
      <c r="R771" s="43">
        <f t="shared" si="614"/>
        <v>7683.0228863999992</v>
      </c>
      <c r="S771" s="43">
        <f t="shared" si="614"/>
        <v>0</v>
      </c>
      <c r="T771" s="43">
        <f t="shared" si="614"/>
        <v>0</v>
      </c>
      <c r="V771" s="47">
        <f t="shared" si="615"/>
        <v>23049.068659199998</v>
      </c>
      <c r="W771" s="47">
        <f t="shared" si="616"/>
        <v>7683.0228864000001</v>
      </c>
      <c r="X771" s="47">
        <f t="shared" si="617"/>
        <v>9.0949470177292824E-13</v>
      </c>
      <c r="Y771" s="47">
        <f t="shared" si="618"/>
        <v>0</v>
      </c>
      <c r="Z771" s="47">
        <f t="shared" si="619"/>
        <v>0</v>
      </c>
      <c r="AB771" s="47">
        <f t="shared" si="593"/>
        <v>16149.714107212798</v>
      </c>
      <c r="AC771" s="47">
        <f t="shared" si="594"/>
        <v>15619.585528051199</v>
      </c>
      <c r="AD771" s="47">
        <f t="shared" si="595"/>
        <v>7683.0228863999992</v>
      </c>
      <c r="AE771" s="47">
        <f t="shared" si="596"/>
        <v>0</v>
      </c>
      <c r="AF771" s="47">
        <f t="shared" si="597"/>
        <v>0</v>
      </c>
    </row>
    <row r="772" spans="2:32">
      <c r="B772" s="37" t="str">
        <f t="shared" si="590"/>
        <v>Asset 218</v>
      </c>
      <c r="F772" s="37" t="str">
        <f t="shared" ref="F772:L772" si="632">F276</f>
        <v>37 ICT middelen 1 (gaschromatografen en comptabele meting)</v>
      </c>
      <c r="G772" s="37">
        <f t="shared" si="632"/>
        <v>2019</v>
      </c>
      <c r="H772" s="42">
        <f t="shared" si="632"/>
        <v>138775.45971332947</v>
      </c>
      <c r="I772" s="37">
        <f t="shared" si="632"/>
        <v>2021</v>
      </c>
      <c r="J772" s="37">
        <f t="shared" si="632"/>
        <v>5</v>
      </c>
      <c r="K772" s="37">
        <f t="shared" si="632"/>
        <v>0</v>
      </c>
      <c r="L772" s="42">
        <f t="shared" si="632"/>
        <v>72330.879806265031</v>
      </c>
      <c r="N772" s="38">
        <f t="shared" si="592"/>
        <v>2.5</v>
      </c>
      <c r="P772" s="43">
        <f t="shared" si="614"/>
        <v>28932.351922506015</v>
      </c>
      <c r="Q772" s="43">
        <f t="shared" si="614"/>
        <v>28932.351922506012</v>
      </c>
      <c r="R772" s="43">
        <f t="shared" si="614"/>
        <v>14466.175961253006</v>
      </c>
      <c r="S772" s="43">
        <f t="shared" si="614"/>
        <v>0</v>
      </c>
      <c r="T772" s="43">
        <f t="shared" si="614"/>
        <v>0</v>
      </c>
      <c r="V772" s="47">
        <f t="shared" si="615"/>
        <v>43398.527883759016</v>
      </c>
      <c r="W772" s="47">
        <f t="shared" si="616"/>
        <v>14466.175961253004</v>
      </c>
      <c r="X772" s="47">
        <f t="shared" si="617"/>
        <v>-1.8189894035458565E-12</v>
      </c>
      <c r="Y772" s="47">
        <f t="shared" si="618"/>
        <v>0</v>
      </c>
      <c r="Z772" s="47">
        <f t="shared" si="619"/>
        <v>0</v>
      </c>
      <c r="AB772" s="47">
        <f t="shared" si="593"/>
        <v>30407.901870553822</v>
      </c>
      <c r="AC772" s="47">
        <f t="shared" si="594"/>
        <v>29409.735729227359</v>
      </c>
      <c r="AD772" s="47">
        <f t="shared" si="595"/>
        <v>14466.175961253006</v>
      </c>
      <c r="AE772" s="47">
        <f t="shared" si="596"/>
        <v>0</v>
      </c>
      <c r="AF772" s="47">
        <f t="shared" si="597"/>
        <v>0</v>
      </c>
    </row>
    <row r="773" spans="2:32">
      <c r="B773" s="37" t="str">
        <f t="shared" si="590"/>
        <v>Asset 219</v>
      </c>
      <c r="F773" s="37" t="str">
        <f t="shared" ref="F773:L773" si="633">F277</f>
        <v>10 Gereedschap</v>
      </c>
      <c r="G773" s="37">
        <f t="shared" si="633"/>
        <v>2019</v>
      </c>
      <c r="H773" s="42">
        <f t="shared" si="633"/>
        <v>142771.1801450084</v>
      </c>
      <c r="I773" s="37">
        <f t="shared" si="633"/>
        <v>2021</v>
      </c>
      <c r="J773" s="37">
        <f t="shared" si="633"/>
        <v>10</v>
      </c>
      <c r="K773" s="37">
        <f t="shared" si="633"/>
        <v>1</v>
      </c>
      <c r="L773" s="42">
        <f t="shared" si="633"/>
        <v>111620.22189152931</v>
      </c>
      <c r="N773" s="38">
        <f t="shared" si="592"/>
        <v>7.5</v>
      </c>
      <c r="P773" s="43">
        <f t="shared" si="614"/>
        <v>14882.696252203907</v>
      </c>
      <c r="Q773" s="43">
        <f t="shared" si="614"/>
        <v>14882.696252203907</v>
      </c>
      <c r="R773" s="43">
        <f t="shared" si="614"/>
        <v>14882.696252203907</v>
      </c>
      <c r="S773" s="43">
        <f t="shared" si="614"/>
        <v>14882.696252203907</v>
      </c>
      <c r="T773" s="43">
        <f t="shared" si="614"/>
        <v>14882.696252203907</v>
      </c>
      <c r="V773" s="47">
        <f t="shared" si="615"/>
        <v>96737.525639325395</v>
      </c>
      <c r="W773" s="47">
        <f t="shared" si="616"/>
        <v>81854.829387121485</v>
      </c>
      <c r="X773" s="47">
        <f t="shared" si="617"/>
        <v>66972.133134917574</v>
      </c>
      <c r="Y773" s="47">
        <f t="shared" si="618"/>
        <v>52089.436882713664</v>
      </c>
      <c r="Z773" s="47">
        <f t="shared" si="619"/>
        <v>37206.740630509754</v>
      </c>
      <c r="AB773" s="47">
        <f t="shared" si="593"/>
        <v>18171.772123940969</v>
      </c>
      <c r="AC773" s="47">
        <f t="shared" si="594"/>
        <v>17583.905621978916</v>
      </c>
      <c r="AD773" s="47">
        <f t="shared" si="595"/>
        <v>17427.637311330775</v>
      </c>
      <c r="AE773" s="47">
        <f t="shared" si="596"/>
        <v>16862.094853747025</v>
      </c>
      <c r="AF773" s="47">
        <f t="shared" si="597"/>
        <v>16296.552396163277</v>
      </c>
    </row>
    <row r="774" spans="2:32">
      <c r="B774" s="37" t="str">
        <f t="shared" si="590"/>
        <v>Asset 220</v>
      </c>
      <c r="F774" s="37" t="str">
        <f t="shared" ref="F774:L774" si="634">F278</f>
        <v>39 ICT middelen 3</v>
      </c>
      <c r="G774" s="37">
        <f t="shared" si="634"/>
        <v>2018</v>
      </c>
      <c r="H774" s="42">
        <f t="shared" si="634"/>
        <v>66462443.599999994</v>
      </c>
      <c r="I774" s="37">
        <f t="shared" si="634"/>
        <v>2021</v>
      </c>
      <c r="J774" s="37">
        <f t="shared" si="634"/>
        <v>15</v>
      </c>
      <c r="K774" s="37">
        <f t="shared" si="634"/>
        <v>1</v>
      </c>
      <c r="L774" s="42">
        <f t="shared" si="634"/>
        <v>53753217.800323352</v>
      </c>
      <c r="N774" s="38">
        <f t="shared" si="592"/>
        <v>11.5</v>
      </c>
      <c r="P774" s="43">
        <f t="shared" si="614"/>
        <v>4674192.8522020308</v>
      </c>
      <c r="Q774" s="43">
        <f t="shared" si="614"/>
        <v>4674192.8522020308</v>
      </c>
      <c r="R774" s="43">
        <f t="shared" si="614"/>
        <v>4674192.8522020308</v>
      </c>
      <c r="S774" s="43">
        <f t="shared" si="614"/>
        <v>4674192.8522020308</v>
      </c>
      <c r="T774" s="43">
        <f t="shared" si="614"/>
        <v>4674192.8522020308</v>
      </c>
      <c r="V774" s="47">
        <f t="shared" si="615"/>
        <v>49079024.948121324</v>
      </c>
      <c r="W774" s="47">
        <f t="shared" si="616"/>
        <v>44404832.095919296</v>
      </c>
      <c r="X774" s="47">
        <f t="shared" si="617"/>
        <v>39730639.243717268</v>
      </c>
      <c r="Y774" s="47">
        <f t="shared" si="618"/>
        <v>35056446.39151524</v>
      </c>
      <c r="Z774" s="47">
        <f t="shared" si="619"/>
        <v>30382253.539313208</v>
      </c>
      <c r="AB774" s="47">
        <f t="shared" si="593"/>
        <v>6342879.7004381558</v>
      </c>
      <c r="AC774" s="47">
        <f t="shared" si="594"/>
        <v>6139552.3113673674</v>
      </c>
      <c r="AD774" s="47">
        <f t="shared" si="595"/>
        <v>6183957.1434632875</v>
      </c>
      <c r="AE774" s="47">
        <f t="shared" si="596"/>
        <v>6006337.8150796099</v>
      </c>
      <c r="AF774" s="47">
        <f t="shared" si="597"/>
        <v>5828718.4866959322</v>
      </c>
    </row>
    <row r="775" spans="2:32">
      <c r="B775" s="37" t="str">
        <f t="shared" si="590"/>
        <v>Asset 221</v>
      </c>
      <c r="F775" s="37" t="str">
        <f t="shared" ref="F775:L775" si="635">F279</f>
        <v>39 ICT middelen 3 (balancering)</v>
      </c>
      <c r="G775" s="37">
        <f t="shared" si="635"/>
        <v>2018</v>
      </c>
      <c r="H775" s="42">
        <f t="shared" si="635"/>
        <v>13091088</v>
      </c>
      <c r="I775" s="37">
        <f t="shared" si="635"/>
        <v>2021</v>
      </c>
      <c r="J775" s="37">
        <f t="shared" si="635"/>
        <v>15</v>
      </c>
      <c r="K775" s="37">
        <f t="shared" si="635"/>
        <v>0</v>
      </c>
      <c r="L775" s="42">
        <f t="shared" si="635"/>
        <v>10587755.526147995</v>
      </c>
      <c r="N775" s="38">
        <f t="shared" si="592"/>
        <v>11.5</v>
      </c>
      <c r="P775" s="43">
        <f t="shared" si="614"/>
        <v>920674.39357808651</v>
      </c>
      <c r="Q775" s="43">
        <f t="shared" si="614"/>
        <v>920674.39357808663</v>
      </c>
      <c r="R775" s="43">
        <f t="shared" si="614"/>
        <v>920674.39357808663</v>
      </c>
      <c r="S775" s="43">
        <f t="shared" si="614"/>
        <v>920674.39357808663</v>
      </c>
      <c r="T775" s="43">
        <f t="shared" si="614"/>
        <v>920674.39357808663</v>
      </c>
      <c r="V775" s="47">
        <f t="shared" si="615"/>
        <v>9667081.1325699091</v>
      </c>
      <c r="W775" s="47">
        <f t="shared" si="616"/>
        <v>8746406.738991823</v>
      </c>
      <c r="X775" s="47">
        <f t="shared" si="617"/>
        <v>7825732.3454137361</v>
      </c>
      <c r="Y775" s="47">
        <f t="shared" si="618"/>
        <v>6905057.9518356491</v>
      </c>
      <c r="Z775" s="47">
        <f t="shared" si="619"/>
        <v>5984383.5582575621</v>
      </c>
      <c r="AB775" s="47">
        <f t="shared" si="593"/>
        <v>1249355.1520854635</v>
      </c>
      <c r="AC775" s="47">
        <f t="shared" si="594"/>
        <v>1209305.8159648168</v>
      </c>
      <c r="AD775" s="47">
        <f t="shared" si="595"/>
        <v>1218052.2227038085</v>
      </c>
      <c r="AE775" s="47">
        <f t="shared" si="596"/>
        <v>1183066.5957478413</v>
      </c>
      <c r="AF775" s="47">
        <f t="shared" si="597"/>
        <v>1148080.9687918739</v>
      </c>
    </row>
    <row r="776" spans="2:32">
      <c r="B776" s="37" t="str">
        <f t="shared" si="590"/>
        <v>Asset 222</v>
      </c>
      <c r="F776" s="37" t="str">
        <f t="shared" ref="F776:L776" si="636">F280</f>
        <v>39 ICT middelen 3 (KC)</v>
      </c>
      <c r="G776" s="37">
        <f t="shared" si="636"/>
        <v>2019</v>
      </c>
      <c r="H776" s="42">
        <f t="shared" si="636"/>
        <v>510273.00000000006</v>
      </c>
      <c r="I776" s="37">
        <f t="shared" si="636"/>
        <v>2021</v>
      </c>
      <c r="J776" s="37">
        <f t="shared" si="636"/>
        <v>15</v>
      </c>
      <c r="K776" s="37">
        <f t="shared" si="636"/>
        <v>0</v>
      </c>
      <c r="L776" s="42">
        <f t="shared" si="636"/>
        <v>443263.94964000006</v>
      </c>
      <c r="N776" s="38">
        <f t="shared" si="592"/>
        <v>12.5</v>
      </c>
      <c r="P776" s="43">
        <f t="shared" si="614"/>
        <v>35461.115971200008</v>
      </c>
      <c r="Q776" s="43">
        <f t="shared" si="614"/>
        <v>35461.115971200008</v>
      </c>
      <c r="R776" s="43">
        <f t="shared" si="614"/>
        <v>35461.115971200008</v>
      </c>
      <c r="S776" s="43">
        <f t="shared" si="614"/>
        <v>35461.115971200008</v>
      </c>
      <c r="T776" s="43">
        <f t="shared" si="614"/>
        <v>35461.115971200008</v>
      </c>
      <c r="V776" s="47">
        <f t="shared" si="615"/>
        <v>407802.83366880007</v>
      </c>
      <c r="W776" s="47">
        <f t="shared" si="616"/>
        <v>372341.71769760008</v>
      </c>
      <c r="X776" s="47">
        <f t="shared" si="617"/>
        <v>336880.60172640008</v>
      </c>
      <c r="Y776" s="47">
        <f t="shared" si="618"/>
        <v>301419.48575520009</v>
      </c>
      <c r="Z776" s="47">
        <f t="shared" si="619"/>
        <v>265958.3697840001</v>
      </c>
      <c r="AB776" s="47">
        <f t="shared" si="593"/>
        <v>49326.412315939211</v>
      </c>
      <c r="AC776" s="47">
        <f t="shared" si="594"/>
        <v>47748.392655220814</v>
      </c>
      <c r="AD776" s="47">
        <f t="shared" si="595"/>
        <v>48262.578836803208</v>
      </c>
      <c r="AE776" s="47">
        <f t="shared" si="596"/>
        <v>46915.05642989761</v>
      </c>
      <c r="AF776" s="47">
        <f t="shared" si="597"/>
        <v>45567.534022992011</v>
      </c>
    </row>
    <row r="777" spans="2:32">
      <c r="B777" s="37" t="str">
        <f t="shared" si="590"/>
        <v>Asset 223</v>
      </c>
      <c r="F777" s="37" t="str">
        <f t="shared" ref="F777:L777" si="637">F281</f>
        <v>37 ICT middelen 1</v>
      </c>
      <c r="G777" s="37">
        <f t="shared" si="637"/>
        <v>2020</v>
      </c>
      <c r="H777" s="42">
        <f t="shared" si="637"/>
        <v>4054436.8604233577</v>
      </c>
      <c r="I777" s="37">
        <f t="shared" si="637"/>
        <v>2021</v>
      </c>
      <c r="J777" s="37">
        <f t="shared" si="637"/>
        <v>5</v>
      </c>
      <c r="K777" s="37">
        <f t="shared" si="637"/>
        <v>1</v>
      </c>
      <c r="L777" s="42">
        <f t="shared" si="637"/>
        <v>2883515.4951330922</v>
      </c>
      <c r="N777" s="38">
        <f t="shared" si="592"/>
        <v>3.5</v>
      </c>
      <c r="P777" s="43">
        <f t="shared" si="614"/>
        <v>823861.57003802632</v>
      </c>
      <c r="Q777" s="43">
        <f t="shared" si="614"/>
        <v>823861.57003802643</v>
      </c>
      <c r="R777" s="43">
        <f t="shared" si="614"/>
        <v>823861.57003802643</v>
      </c>
      <c r="S777" s="43">
        <f t="shared" si="614"/>
        <v>411930.78501901322</v>
      </c>
      <c r="T777" s="43">
        <f t="shared" si="614"/>
        <v>0</v>
      </c>
      <c r="V777" s="47">
        <f t="shared" si="615"/>
        <v>2059653.925095066</v>
      </c>
      <c r="W777" s="47">
        <f t="shared" si="616"/>
        <v>1235792.3550570395</v>
      </c>
      <c r="X777" s="47">
        <f t="shared" si="617"/>
        <v>411930.7850190131</v>
      </c>
      <c r="Y777" s="47">
        <f t="shared" si="618"/>
        <v>-1.1641532182693481E-10</v>
      </c>
      <c r="Z777" s="47">
        <f t="shared" si="619"/>
        <v>0</v>
      </c>
      <c r="AB777" s="47">
        <f t="shared" si="593"/>
        <v>893889.80349125853</v>
      </c>
      <c r="AC777" s="47">
        <f t="shared" si="594"/>
        <v>864642.71775490872</v>
      </c>
      <c r="AD777" s="47">
        <f t="shared" si="595"/>
        <v>839514.93986874889</v>
      </c>
      <c r="AE777" s="47">
        <f t="shared" si="596"/>
        <v>411930.78501901322</v>
      </c>
      <c r="AF777" s="47">
        <f t="shared" si="597"/>
        <v>0</v>
      </c>
    </row>
    <row r="778" spans="2:32">
      <c r="B778" s="37" t="str">
        <f t="shared" si="590"/>
        <v>Asset 224</v>
      </c>
      <c r="F778" s="37" t="str">
        <f t="shared" ref="F778:L778" si="638">F282</f>
        <v>11 Werktuigen</v>
      </c>
      <c r="G778" s="37">
        <f t="shared" si="638"/>
        <v>2021</v>
      </c>
      <c r="H778" s="42">
        <f t="shared" si="638"/>
        <v>2667062.5363170211</v>
      </c>
      <c r="I778" s="37">
        <f t="shared" si="638"/>
        <v>2021</v>
      </c>
      <c r="J778" s="37">
        <f t="shared" si="638"/>
        <v>10</v>
      </c>
      <c r="K778" s="37">
        <f t="shared" si="638"/>
        <v>1</v>
      </c>
      <c r="L778" s="42">
        <f t="shared" si="638"/>
        <v>2533709.4095011703</v>
      </c>
      <c r="N778" s="38">
        <f t="shared" si="592"/>
        <v>9.5</v>
      </c>
      <c r="P778" s="43">
        <f t="shared" si="614"/>
        <v>266706.25363170216</v>
      </c>
      <c r="Q778" s="43">
        <f t="shared" si="614"/>
        <v>266706.25363170216</v>
      </c>
      <c r="R778" s="43">
        <f t="shared" si="614"/>
        <v>266706.25363170216</v>
      </c>
      <c r="S778" s="43">
        <f t="shared" si="614"/>
        <v>266706.25363170216</v>
      </c>
      <c r="T778" s="43">
        <f t="shared" si="614"/>
        <v>266706.25363170216</v>
      </c>
      <c r="V778" s="47">
        <f t="shared" si="615"/>
        <v>2267003.1558694681</v>
      </c>
      <c r="W778" s="47">
        <f t="shared" si="616"/>
        <v>2000296.902237766</v>
      </c>
      <c r="X778" s="47">
        <f t="shared" si="617"/>
        <v>1733590.6486060638</v>
      </c>
      <c r="Y778" s="47">
        <f t="shared" si="618"/>
        <v>1466884.3949743616</v>
      </c>
      <c r="Z778" s="47">
        <f t="shared" si="619"/>
        <v>1200178.1413426595</v>
      </c>
      <c r="AB778" s="47">
        <f t="shared" si="593"/>
        <v>343784.36093126406</v>
      </c>
      <c r="AC778" s="47">
        <f t="shared" si="594"/>
        <v>332716.05140554847</v>
      </c>
      <c r="AD778" s="47">
        <f t="shared" si="595"/>
        <v>332582.6982787326</v>
      </c>
      <c r="AE778" s="47">
        <f t="shared" si="596"/>
        <v>322447.86064072791</v>
      </c>
      <c r="AF778" s="47">
        <f t="shared" si="597"/>
        <v>312313.02300272323</v>
      </c>
    </row>
    <row r="779" spans="2:32">
      <c r="B779" s="37" t="str">
        <f t="shared" si="590"/>
        <v>Asset 225</v>
      </c>
      <c r="F779" s="37" t="str">
        <f t="shared" ref="F779:L779" si="639">F283</f>
        <v>10 Gereedschap</v>
      </c>
      <c r="G779" s="37">
        <f t="shared" si="639"/>
        <v>2021</v>
      </c>
      <c r="H779" s="42">
        <f t="shared" si="639"/>
        <v>467492.45719026914</v>
      </c>
      <c r="I779" s="37">
        <f t="shared" si="639"/>
        <v>2021</v>
      </c>
      <c r="J779" s="37">
        <f t="shared" si="639"/>
        <v>10</v>
      </c>
      <c r="K779" s="37">
        <f t="shared" si="639"/>
        <v>1</v>
      </c>
      <c r="L779" s="42">
        <f t="shared" si="639"/>
        <v>444117.83433075569</v>
      </c>
      <c r="N779" s="38">
        <f t="shared" si="592"/>
        <v>9.5</v>
      </c>
      <c r="P779" s="43">
        <f t="shared" si="614"/>
        <v>46749.245719026912</v>
      </c>
      <c r="Q779" s="43">
        <f t="shared" si="614"/>
        <v>46749.24571902692</v>
      </c>
      <c r="R779" s="43">
        <f t="shared" si="614"/>
        <v>46749.24571902692</v>
      </c>
      <c r="S779" s="43">
        <f t="shared" si="614"/>
        <v>46749.24571902692</v>
      </c>
      <c r="T779" s="43">
        <f t="shared" si="614"/>
        <v>46749.24571902692</v>
      </c>
      <c r="V779" s="47">
        <f t="shared" si="615"/>
        <v>397368.5886117288</v>
      </c>
      <c r="W779" s="47">
        <f t="shared" si="616"/>
        <v>350619.34289270185</v>
      </c>
      <c r="X779" s="47">
        <f t="shared" si="617"/>
        <v>303870.09717367496</v>
      </c>
      <c r="Y779" s="47">
        <f t="shared" si="618"/>
        <v>257120.85145464804</v>
      </c>
      <c r="Z779" s="47">
        <f t="shared" si="619"/>
        <v>210371.60573562112</v>
      </c>
      <c r="AB779" s="47">
        <f t="shared" si="593"/>
        <v>60259.777731825692</v>
      </c>
      <c r="AC779" s="47">
        <f t="shared" si="594"/>
        <v>58319.684034486083</v>
      </c>
      <c r="AD779" s="47">
        <f t="shared" si="595"/>
        <v>58296.309411626571</v>
      </c>
      <c r="AE779" s="47">
        <f t="shared" si="596"/>
        <v>56519.838074303545</v>
      </c>
      <c r="AF779" s="47">
        <f t="shared" si="597"/>
        <v>54743.366736980519</v>
      </c>
    </row>
    <row r="780" spans="2:32">
      <c r="B780" s="37" t="str">
        <f t="shared" si="590"/>
        <v>Asset 226</v>
      </c>
      <c r="F780" s="37" t="str">
        <f t="shared" ref="F780:L780" si="640">F284</f>
        <v>38 ICT middelen 2</v>
      </c>
      <c r="G780" s="37">
        <f t="shared" si="640"/>
        <v>2021</v>
      </c>
      <c r="H780" s="42">
        <f t="shared" si="640"/>
        <v>3432262.7310020467</v>
      </c>
      <c r="I780" s="37">
        <f t="shared" si="640"/>
        <v>2021</v>
      </c>
      <c r="J780" s="37">
        <f t="shared" si="640"/>
        <v>10</v>
      </c>
      <c r="K780" s="37">
        <f t="shared" si="640"/>
        <v>1</v>
      </c>
      <c r="L780" s="42">
        <f t="shared" si="640"/>
        <v>3260649.5944519443</v>
      </c>
      <c r="N780" s="38">
        <f t="shared" si="592"/>
        <v>9.5</v>
      </c>
      <c r="P780" s="43">
        <f t="shared" si="614"/>
        <v>343226.27310020465</v>
      </c>
      <c r="Q780" s="43">
        <f t="shared" si="614"/>
        <v>343226.27310020465</v>
      </c>
      <c r="R780" s="43">
        <f t="shared" si="614"/>
        <v>343226.27310020465</v>
      </c>
      <c r="S780" s="43">
        <f t="shared" si="614"/>
        <v>343226.27310020465</v>
      </c>
      <c r="T780" s="43">
        <f t="shared" si="614"/>
        <v>343226.27310020465</v>
      </c>
      <c r="V780" s="47">
        <f t="shared" si="615"/>
        <v>2917423.3213517396</v>
      </c>
      <c r="W780" s="47">
        <f t="shared" si="616"/>
        <v>2574197.0482515348</v>
      </c>
      <c r="X780" s="47">
        <f t="shared" si="617"/>
        <v>2230970.77515133</v>
      </c>
      <c r="Y780" s="47">
        <f t="shared" si="618"/>
        <v>1887744.5020511253</v>
      </c>
      <c r="Z780" s="47">
        <f t="shared" si="619"/>
        <v>1544518.2289509205</v>
      </c>
      <c r="AB780" s="47">
        <f t="shared" si="593"/>
        <v>442418.66602616379</v>
      </c>
      <c r="AC780" s="47">
        <f t="shared" si="594"/>
        <v>428174.7756925053</v>
      </c>
      <c r="AD780" s="47">
        <f t="shared" si="595"/>
        <v>428003.16255595518</v>
      </c>
      <c r="AE780" s="47">
        <f t="shared" si="596"/>
        <v>414960.56417814741</v>
      </c>
      <c r="AF780" s="47">
        <f t="shared" si="597"/>
        <v>401917.96580033965</v>
      </c>
    </row>
    <row r="781" spans="2:32">
      <c r="B781" s="37" t="str">
        <f t="shared" si="590"/>
        <v>Asset 227</v>
      </c>
      <c r="F781" s="37" t="str">
        <f t="shared" ref="F781:L781" si="641">F285</f>
        <v>37 ICT middelen 1</v>
      </c>
      <c r="G781" s="37">
        <f t="shared" si="641"/>
        <v>2021</v>
      </c>
      <c r="H781" s="42">
        <f t="shared" si="641"/>
        <v>8176022.700880779</v>
      </c>
      <c r="I781" s="37">
        <f t="shared" si="641"/>
        <v>2021</v>
      </c>
      <c r="J781" s="37">
        <f t="shared" si="641"/>
        <v>5</v>
      </c>
      <c r="K781" s="37">
        <f t="shared" si="641"/>
        <v>1</v>
      </c>
      <c r="L781" s="42">
        <f t="shared" si="641"/>
        <v>7358420.4307927005</v>
      </c>
      <c r="N781" s="38">
        <f t="shared" si="592"/>
        <v>4.5</v>
      </c>
      <c r="P781" s="43">
        <f t="shared" si="614"/>
        <v>1635204.5401761557</v>
      </c>
      <c r="Q781" s="43">
        <f t="shared" si="614"/>
        <v>1635204.5401761557</v>
      </c>
      <c r="R781" s="43">
        <f t="shared" si="614"/>
        <v>1635204.5401761557</v>
      </c>
      <c r="S781" s="43">
        <f t="shared" si="614"/>
        <v>1635204.5401761557</v>
      </c>
      <c r="T781" s="43">
        <f t="shared" si="614"/>
        <v>817602.27008807787</v>
      </c>
      <c r="V781" s="47">
        <f t="shared" si="615"/>
        <v>5723215.8906165445</v>
      </c>
      <c r="W781" s="47">
        <f t="shared" si="616"/>
        <v>4088011.3504403885</v>
      </c>
      <c r="X781" s="47">
        <f t="shared" si="617"/>
        <v>2452806.8102642326</v>
      </c>
      <c r="Y781" s="47">
        <f t="shared" si="618"/>
        <v>817602.27008807682</v>
      </c>
      <c r="Z781" s="47">
        <f t="shared" si="619"/>
        <v>-1.0477378964424133E-9</v>
      </c>
      <c r="AB781" s="47">
        <f t="shared" si="593"/>
        <v>1829793.8804571182</v>
      </c>
      <c r="AC781" s="47">
        <f t="shared" si="594"/>
        <v>1770108.9147406886</v>
      </c>
      <c r="AD781" s="47">
        <f t="shared" si="595"/>
        <v>1728411.1989661965</v>
      </c>
      <c r="AE781" s="47">
        <f t="shared" si="596"/>
        <v>1666273.4264395027</v>
      </c>
      <c r="AF781" s="47">
        <f t="shared" si="597"/>
        <v>817602.27008807787</v>
      </c>
    </row>
    <row r="782" spans="2:32">
      <c r="B782" s="37" t="str">
        <f t="shared" si="590"/>
        <v>Asset 228</v>
      </c>
      <c r="F782" s="37" t="str">
        <f t="shared" ref="F782:L782" si="642">F286</f>
        <v>39 ICT middelen 3</v>
      </c>
      <c r="G782" s="37">
        <f t="shared" si="642"/>
        <v>2019</v>
      </c>
      <c r="H782" s="42">
        <f t="shared" si="642"/>
        <v>1603714.1720507673</v>
      </c>
      <c r="I782" s="37">
        <f t="shared" si="642"/>
        <v>2021</v>
      </c>
      <c r="J782" s="37">
        <f t="shared" si="642"/>
        <v>15</v>
      </c>
      <c r="K782" s="37">
        <f t="shared" si="642"/>
        <v>1</v>
      </c>
      <c r="L782" s="42">
        <f t="shared" si="642"/>
        <v>1393114.426977061</v>
      </c>
      <c r="N782" s="38">
        <f t="shared" si="592"/>
        <v>12.5</v>
      </c>
      <c r="P782" s="43">
        <f t="shared" si="614"/>
        <v>111449.15415816488</v>
      </c>
      <c r="Q782" s="43">
        <f t="shared" si="614"/>
        <v>111449.15415816486</v>
      </c>
      <c r="R782" s="43">
        <f t="shared" si="614"/>
        <v>111449.15415816486</v>
      </c>
      <c r="S782" s="43">
        <f t="shared" si="614"/>
        <v>111449.15415816486</v>
      </c>
      <c r="T782" s="43">
        <f t="shared" si="614"/>
        <v>111449.15415816486</v>
      </c>
      <c r="V782" s="47">
        <f t="shared" si="615"/>
        <v>1281665.272818896</v>
      </c>
      <c r="W782" s="47">
        <f t="shared" si="616"/>
        <v>1170216.1186607312</v>
      </c>
      <c r="X782" s="47">
        <f t="shared" si="617"/>
        <v>1058766.9645025665</v>
      </c>
      <c r="Y782" s="47">
        <f t="shared" si="618"/>
        <v>947317.81034440163</v>
      </c>
      <c r="Z782" s="47">
        <f t="shared" si="619"/>
        <v>835868.65618623677</v>
      </c>
      <c r="AB782" s="47">
        <f t="shared" si="593"/>
        <v>155025.77343400734</v>
      </c>
      <c r="AC782" s="47">
        <f t="shared" si="594"/>
        <v>150066.28607396898</v>
      </c>
      <c r="AD782" s="47">
        <f t="shared" si="595"/>
        <v>151682.2988092624</v>
      </c>
      <c r="AE782" s="47">
        <f t="shared" si="596"/>
        <v>147447.23095125213</v>
      </c>
      <c r="AF782" s="47">
        <f t="shared" si="597"/>
        <v>143212.16309324186</v>
      </c>
    </row>
    <row r="783" spans="2:32">
      <c r="B783" s="37" t="str">
        <f t="shared" si="590"/>
        <v>Asset 229</v>
      </c>
      <c r="F783" s="37" t="str">
        <f t="shared" ref="F783:L783" si="643">F287</f>
        <v>39 ICT middelen 3 (balancering)</v>
      </c>
      <c r="G783" s="37">
        <f t="shared" si="643"/>
        <v>2019</v>
      </c>
      <c r="H783" s="42">
        <f t="shared" si="643"/>
        <v>315883</v>
      </c>
      <c r="I783" s="37">
        <f t="shared" si="643"/>
        <v>2021</v>
      </c>
      <c r="J783" s="37">
        <f t="shared" si="643"/>
        <v>15</v>
      </c>
      <c r="K783" s="37">
        <f t="shared" si="643"/>
        <v>0</v>
      </c>
      <c r="L783" s="42">
        <f t="shared" si="643"/>
        <v>274401.24443999998</v>
      </c>
      <c r="N783" s="38">
        <f t="shared" si="592"/>
        <v>12.5</v>
      </c>
      <c r="P783" s="43">
        <f t="shared" si="614"/>
        <v>21952.099555199999</v>
      </c>
      <c r="Q783" s="43">
        <f t="shared" si="614"/>
        <v>21952.099555199999</v>
      </c>
      <c r="R783" s="43">
        <f t="shared" si="614"/>
        <v>21952.099555199999</v>
      </c>
      <c r="S783" s="43">
        <f t="shared" si="614"/>
        <v>21952.099555199999</v>
      </c>
      <c r="T783" s="43">
        <f t="shared" si="614"/>
        <v>21952.099555199999</v>
      </c>
      <c r="V783" s="47">
        <f t="shared" si="615"/>
        <v>252449.14488479999</v>
      </c>
      <c r="W783" s="47">
        <f t="shared" si="616"/>
        <v>230497.04532959999</v>
      </c>
      <c r="X783" s="47">
        <f t="shared" si="617"/>
        <v>208544.9457744</v>
      </c>
      <c r="Y783" s="47">
        <f t="shared" si="618"/>
        <v>186592.8462192</v>
      </c>
      <c r="Z783" s="47">
        <f t="shared" si="619"/>
        <v>164640.74666400001</v>
      </c>
      <c r="AB783" s="47">
        <f t="shared" si="593"/>
        <v>30535.3704812832</v>
      </c>
      <c r="AC783" s="47">
        <f t="shared" si="594"/>
        <v>29558.502051076801</v>
      </c>
      <c r="AD783" s="47">
        <f t="shared" si="595"/>
        <v>29876.807494627199</v>
      </c>
      <c r="AE783" s="47">
        <f t="shared" si="596"/>
        <v>29042.6277115296</v>
      </c>
      <c r="AF783" s="47">
        <f t="shared" si="597"/>
        <v>28208.447928431997</v>
      </c>
    </row>
    <row r="784" spans="2:32">
      <c r="B784" s="37" t="str">
        <f t="shared" si="590"/>
        <v>Asset 230</v>
      </c>
      <c r="F784" s="37" t="str">
        <f t="shared" ref="F784:L784" si="644">F288</f>
        <v>39 ICT middelen 3</v>
      </c>
      <c r="G784" s="37">
        <f t="shared" si="644"/>
        <v>2020</v>
      </c>
      <c r="H784" s="42">
        <f t="shared" si="644"/>
        <v>437.7361508808076</v>
      </c>
      <c r="I784" s="37">
        <f t="shared" si="644"/>
        <v>2021</v>
      </c>
      <c r="J784" s="37">
        <f t="shared" si="644"/>
        <v>15</v>
      </c>
      <c r="K784" s="37">
        <f t="shared" si="644"/>
        <v>1</v>
      </c>
      <c r="L784" s="42">
        <f t="shared" si="644"/>
        <v>400.26593636541048</v>
      </c>
      <c r="N784" s="38">
        <f t="shared" si="592"/>
        <v>13.5</v>
      </c>
      <c r="P784" s="43">
        <f t="shared" si="614"/>
        <v>29.649328619660036</v>
      </c>
      <c r="Q784" s="43">
        <f t="shared" si="614"/>
        <v>29.649328619660036</v>
      </c>
      <c r="R784" s="43">
        <f t="shared" si="614"/>
        <v>29.649328619660036</v>
      </c>
      <c r="S784" s="43">
        <f t="shared" si="614"/>
        <v>29.649328619660036</v>
      </c>
      <c r="T784" s="43">
        <f t="shared" si="614"/>
        <v>29.649328619660036</v>
      </c>
      <c r="V784" s="47">
        <f t="shared" si="615"/>
        <v>370.61660774575046</v>
      </c>
      <c r="W784" s="47">
        <f t="shared" si="616"/>
        <v>340.96727912609043</v>
      </c>
      <c r="X784" s="47">
        <f t="shared" si="617"/>
        <v>311.31795050643041</v>
      </c>
      <c r="Y784" s="47">
        <f t="shared" si="618"/>
        <v>281.66862188677038</v>
      </c>
      <c r="Z784" s="47">
        <f t="shared" si="619"/>
        <v>252.01929326711036</v>
      </c>
      <c r="AB784" s="47">
        <f t="shared" si="593"/>
        <v>42.250293283015552</v>
      </c>
      <c r="AC784" s="47">
        <f t="shared" si="594"/>
        <v>40.901248830821018</v>
      </c>
      <c r="AD784" s="47">
        <f t="shared" si="595"/>
        <v>41.479410738904392</v>
      </c>
      <c r="AE784" s="47">
        <f t="shared" si="596"/>
        <v>40.352736251357314</v>
      </c>
      <c r="AF784" s="47">
        <f t="shared" si="597"/>
        <v>39.226061763810229</v>
      </c>
    </row>
    <row r="785" spans="2:35">
      <c r="B785" s="37" t="str">
        <f t="shared" si="590"/>
        <v>Asset 231</v>
      </c>
      <c r="F785" s="37" t="str">
        <f t="shared" ref="F785:L785" si="645">F289</f>
        <v>05 Wegen en terreinvoorzieningen</v>
      </c>
      <c r="G785" s="37">
        <f t="shared" si="645"/>
        <v>2020</v>
      </c>
      <c r="H785" s="42">
        <f t="shared" si="645"/>
        <v>274981.09053004743</v>
      </c>
      <c r="I785" s="37">
        <f t="shared" si="645"/>
        <v>2021</v>
      </c>
      <c r="J785" s="37">
        <f t="shared" si="645"/>
        <v>10</v>
      </c>
      <c r="K785" s="37">
        <f t="shared" si="645"/>
        <v>0</v>
      </c>
      <c r="L785" s="42">
        <f t="shared" si="645"/>
        <v>237473.66978174893</v>
      </c>
      <c r="N785" s="38">
        <f t="shared" si="592"/>
        <v>8.5</v>
      </c>
      <c r="P785" s="43">
        <f t="shared" si="614"/>
        <v>27938.078797852817</v>
      </c>
      <c r="Q785" s="43">
        <f t="shared" si="614"/>
        <v>27938.078797852813</v>
      </c>
      <c r="R785" s="43">
        <f t="shared" si="614"/>
        <v>27938.078797852813</v>
      </c>
      <c r="S785" s="43">
        <f t="shared" si="614"/>
        <v>27938.078797852813</v>
      </c>
      <c r="T785" s="43">
        <f t="shared" si="614"/>
        <v>27938.078797852813</v>
      </c>
      <c r="V785" s="47">
        <f t="shared" si="615"/>
        <v>209535.59098389611</v>
      </c>
      <c r="W785" s="47">
        <f t="shared" si="616"/>
        <v>181597.51218604328</v>
      </c>
      <c r="X785" s="47">
        <f t="shared" si="617"/>
        <v>153659.43338819046</v>
      </c>
      <c r="Y785" s="47">
        <f t="shared" si="618"/>
        <v>125721.35459033765</v>
      </c>
      <c r="Z785" s="47">
        <f t="shared" si="619"/>
        <v>97783.275792484841</v>
      </c>
      <c r="AB785" s="47">
        <f t="shared" si="593"/>
        <v>35062.288891305288</v>
      </c>
      <c r="AC785" s="47">
        <f t="shared" si="594"/>
        <v>33930.796699992243</v>
      </c>
      <c r="AD785" s="47">
        <f t="shared" si="595"/>
        <v>33777.137266604048</v>
      </c>
      <c r="AE785" s="47">
        <f t="shared" si="596"/>
        <v>32715.490272285642</v>
      </c>
      <c r="AF785" s="47">
        <f t="shared" si="597"/>
        <v>31653.843277967237</v>
      </c>
    </row>
    <row r="786" spans="2:35">
      <c r="B786" s="37" t="str">
        <f t="shared" si="590"/>
        <v>Asset 232</v>
      </c>
      <c r="F786" s="37" t="str">
        <f t="shared" ref="F786:L786" si="646">F290</f>
        <v>04 Terreinen</v>
      </c>
      <c r="G786" s="37">
        <f t="shared" si="646"/>
        <v>2020</v>
      </c>
      <c r="H786" s="42">
        <f t="shared" si="646"/>
        <v>1155506.2616599156</v>
      </c>
      <c r="I786" s="37">
        <f t="shared" si="646"/>
        <v>2021</v>
      </c>
      <c r="J786" s="37">
        <f t="shared" si="646"/>
        <v>0</v>
      </c>
      <c r="K786" s="37">
        <f t="shared" si="646"/>
        <v>0</v>
      </c>
      <c r="L786" s="42">
        <f t="shared" si="646"/>
        <v>1173994.3618464742</v>
      </c>
      <c r="N786" s="38">
        <f t="shared" si="592"/>
        <v>0</v>
      </c>
      <c r="P786" s="43">
        <f t="shared" si="614"/>
        <v>0</v>
      </c>
      <c r="Q786" s="43">
        <f t="shared" si="614"/>
        <v>0</v>
      </c>
      <c r="R786" s="43">
        <f t="shared" si="614"/>
        <v>0</v>
      </c>
      <c r="S786" s="43">
        <f t="shared" si="614"/>
        <v>0</v>
      </c>
      <c r="T786" s="43">
        <f t="shared" si="614"/>
        <v>0</v>
      </c>
      <c r="V786" s="47">
        <f t="shared" si="615"/>
        <v>1173994.3618464742</v>
      </c>
      <c r="W786" s="47">
        <f t="shared" si="616"/>
        <v>1173994.3618464742</v>
      </c>
      <c r="X786" s="47">
        <f t="shared" si="617"/>
        <v>1173994.3618464742</v>
      </c>
      <c r="Y786" s="47">
        <f t="shared" si="618"/>
        <v>1173994.3618464742</v>
      </c>
      <c r="Z786" s="47">
        <f t="shared" si="619"/>
        <v>1173994.3618464742</v>
      </c>
      <c r="AB786" s="47">
        <f t="shared" si="593"/>
        <v>39915.808302780126</v>
      </c>
      <c r="AC786" s="47">
        <f t="shared" si="594"/>
        <v>38741.813940933651</v>
      </c>
      <c r="AD786" s="47">
        <f t="shared" si="595"/>
        <v>44611.785750166018</v>
      </c>
      <c r="AE786" s="47">
        <f t="shared" si="596"/>
        <v>44611.785750166018</v>
      </c>
      <c r="AF786" s="47">
        <f t="shared" si="597"/>
        <v>44611.785750166018</v>
      </c>
    </row>
    <row r="787" spans="2:35">
      <c r="B787" s="37" t="str">
        <f t="shared" si="590"/>
        <v>Asset 233</v>
      </c>
      <c r="F787" s="37" t="str">
        <f t="shared" ref="F787:L787" si="647">F291</f>
        <v>08 Inrichting gebouwen</v>
      </c>
      <c r="G787" s="37">
        <f t="shared" si="647"/>
        <v>2020</v>
      </c>
      <c r="H787" s="42">
        <f t="shared" si="647"/>
        <v>227204.18889764068</v>
      </c>
      <c r="I787" s="37">
        <f t="shared" si="647"/>
        <v>2021</v>
      </c>
      <c r="J787" s="37">
        <f t="shared" si="647"/>
        <v>10</v>
      </c>
      <c r="K787" s="37">
        <f t="shared" si="647"/>
        <v>0</v>
      </c>
      <c r="L787" s="42">
        <f t="shared" si="647"/>
        <v>196213.53753200249</v>
      </c>
      <c r="N787" s="38">
        <f t="shared" si="592"/>
        <v>8.5</v>
      </c>
      <c r="P787" s="43">
        <f t="shared" si="614"/>
        <v>23083.945592000295</v>
      </c>
      <c r="Q787" s="43">
        <f t="shared" si="614"/>
        <v>23083.945592000295</v>
      </c>
      <c r="R787" s="43">
        <f t="shared" si="614"/>
        <v>23083.945592000295</v>
      </c>
      <c r="S787" s="43">
        <f t="shared" si="614"/>
        <v>23083.945592000295</v>
      </c>
      <c r="T787" s="43">
        <f t="shared" si="614"/>
        <v>23083.945592000295</v>
      </c>
      <c r="V787" s="47">
        <f t="shared" si="615"/>
        <v>173129.5919400022</v>
      </c>
      <c r="W787" s="47">
        <f t="shared" si="616"/>
        <v>150045.6463480019</v>
      </c>
      <c r="X787" s="47">
        <f t="shared" si="617"/>
        <v>126961.70075600161</v>
      </c>
      <c r="Y787" s="47">
        <f t="shared" si="618"/>
        <v>103877.75516400131</v>
      </c>
      <c r="Z787" s="47">
        <f t="shared" si="619"/>
        <v>80793.809572001017</v>
      </c>
      <c r="AB787" s="47">
        <f t="shared" si="593"/>
        <v>28970.35171796037</v>
      </c>
      <c r="AC787" s="47">
        <f t="shared" si="594"/>
        <v>28035.451921484357</v>
      </c>
      <c r="AD787" s="47">
        <f t="shared" si="595"/>
        <v>27908.490220728356</v>
      </c>
      <c r="AE787" s="47">
        <f t="shared" si="596"/>
        <v>27031.300288232345</v>
      </c>
      <c r="AF787" s="47">
        <f t="shared" si="597"/>
        <v>26154.110355736331</v>
      </c>
    </row>
    <row r="788" spans="2:35">
      <c r="B788" s="37" t="str">
        <f t="shared" si="590"/>
        <v>Asset 234</v>
      </c>
      <c r="F788" s="37" t="str">
        <f t="shared" ref="F788:L788" si="648">F292</f>
        <v>11 Werktuigen</v>
      </c>
      <c r="G788" s="37">
        <f t="shared" si="648"/>
        <v>2020</v>
      </c>
      <c r="H788" s="42">
        <f t="shared" si="648"/>
        <v>880855.41897943604</v>
      </c>
      <c r="I788" s="37">
        <f t="shared" si="648"/>
        <v>2021</v>
      </c>
      <c r="J788" s="37">
        <f t="shared" si="648"/>
        <v>10</v>
      </c>
      <c r="K788" s="37">
        <f t="shared" si="648"/>
        <v>1</v>
      </c>
      <c r="L788" s="42">
        <f t="shared" si="648"/>
        <v>760706.73983064084</v>
      </c>
      <c r="N788" s="38">
        <f t="shared" si="592"/>
        <v>8.5</v>
      </c>
      <c r="P788" s="43">
        <f t="shared" si="614"/>
        <v>89494.91056831069</v>
      </c>
      <c r="Q788" s="43">
        <f t="shared" si="614"/>
        <v>89494.91056831069</v>
      </c>
      <c r="R788" s="43">
        <f t="shared" si="614"/>
        <v>89494.91056831069</v>
      </c>
      <c r="S788" s="43">
        <f t="shared" si="614"/>
        <v>89494.91056831069</v>
      </c>
      <c r="T788" s="43">
        <f t="shared" si="614"/>
        <v>89494.91056831069</v>
      </c>
      <c r="V788" s="47">
        <f t="shared" si="615"/>
        <v>671211.8292623302</v>
      </c>
      <c r="W788" s="47">
        <f t="shared" si="616"/>
        <v>581716.91869401955</v>
      </c>
      <c r="X788" s="47">
        <f t="shared" si="617"/>
        <v>492222.00812570885</v>
      </c>
      <c r="Y788" s="47">
        <f t="shared" si="618"/>
        <v>402727.09755739814</v>
      </c>
      <c r="Z788" s="47">
        <f t="shared" si="619"/>
        <v>313232.18698908744</v>
      </c>
      <c r="AB788" s="47">
        <f t="shared" si="593"/>
        <v>112316.11276322992</v>
      </c>
      <c r="AC788" s="47">
        <f t="shared" si="594"/>
        <v>108691.56888521333</v>
      </c>
      <c r="AD788" s="47">
        <f t="shared" si="595"/>
        <v>108199.34687708762</v>
      </c>
      <c r="AE788" s="47">
        <f t="shared" si="596"/>
        <v>104798.54027549182</v>
      </c>
      <c r="AF788" s="47">
        <f t="shared" si="597"/>
        <v>101397.73367389601</v>
      </c>
    </row>
    <row r="789" spans="2:35">
      <c r="B789" s="37" t="str">
        <f t="shared" si="590"/>
        <v>Asset 235</v>
      </c>
      <c r="F789" s="37" t="str">
        <f t="shared" ref="F789:L789" si="649">F293</f>
        <v>14 Overig rollend materieel</v>
      </c>
      <c r="G789" s="37">
        <f t="shared" si="649"/>
        <v>2020</v>
      </c>
      <c r="H789" s="42">
        <f t="shared" si="649"/>
        <v>111163.8757407683</v>
      </c>
      <c r="I789" s="37">
        <f t="shared" si="649"/>
        <v>2021</v>
      </c>
      <c r="J789" s="37">
        <f t="shared" si="649"/>
        <v>10</v>
      </c>
      <c r="K789" s="37">
        <f t="shared" si="649"/>
        <v>1</v>
      </c>
      <c r="L789" s="42">
        <f t="shared" si="649"/>
        <v>96001.123089727509</v>
      </c>
      <c r="N789" s="38">
        <f t="shared" si="592"/>
        <v>8.5</v>
      </c>
      <c r="P789" s="43">
        <f t="shared" si="614"/>
        <v>11294.24977526206</v>
      </c>
      <c r="Q789" s="43">
        <f t="shared" si="614"/>
        <v>11294.24977526206</v>
      </c>
      <c r="R789" s="43">
        <f t="shared" si="614"/>
        <v>11294.24977526206</v>
      </c>
      <c r="S789" s="43">
        <f t="shared" si="614"/>
        <v>11294.24977526206</v>
      </c>
      <c r="T789" s="43">
        <f t="shared" si="614"/>
        <v>11294.24977526206</v>
      </c>
      <c r="V789" s="47">
        <f t="shared" si="615"/>
        <v>84706.873314465454</v>
      </c>
      <c r="W789" s="47">
        <f t="shared" si="616"/>
        <v>73412.6235392034</v>
      </c>
      <c r="X789" s="47">
        <f t="shared" si="617"/>
        <v>62118.373763941338</v>
      </c>
      <c r="Y789" s="47">
        <f t="shared" si="618"/>
        <v>50824.123988679275</v>
      </c>
      <c r="Z789" s="47">
        <f t="shared" si="619"/>
        <v>39529.874213417213</v>
      </c>
      <c r="AB789" s="47">
        <f t="shared" si="593"/>
        <v>14174.283467953886</v>
      </c>
      <c r="AC789" s="47">
        <f t="shared" si="594"/>
        <v>13716.866352055773</v>
      </c>
      <c r="AD789" s="47">
        <f t="shared" si="595"/>
        <v>13654.747978291831</v>
      </c>
      <c r="AE789" s="47">
        <f t="shared" si="596"/>
        <v>13225.566486831873</v>
      </c>
      <c r="AF789" s="47">
        <f t="shared" si="597"/>
        <v>12796.384995371915</v>
      </c>
    </row>
    <row r="790" spans="2:35">
      <c r="B790" s="37" t="str">
        <f t="shared" si="590"/>
        <v>Asset 236</v>
      </c>
      <c r="F790" s="37" t="str">
        <f t="shared" ref="F790:L790" si="650">F294</f>
        <v>38 ICT middelen 2</v>
      </c>
      <c r="G790" s="37">
        <f t="shared" si="650"/>
        <v>2020</v>
      </c>
      <c r="H790" s="42">
        <f t="shared" si="650"/>
        <v>2253829.6322485749</v>
      </c>
      <c r="I790" s="37">
        <f t="shared" si="650"/>
        <v>2021</v>
      </c>
      <c r="J790" s="37">
        <f t="shared" si="650"/>
        <v>10</v>
      </c>
      <c r="K790" s="37">
        <f t="shared" si="650"/>
        <v>1</v>
      </c>
      <c r="L790" s="42">
        <f t="shared" si="650"/>
        <v>1946407.2704098693</v>
      </c>
      <c r="N790" s="38">
        <f t="shared" si="592"/>
        <v>8.5</v>
      </c>
      <c r="P790" s="43">
        <f t="shared" si="614"/>
        <v>228989.09063645522</v>
      </c>
      <c r="Q790" s="43">
        <f t="shared" si="614"/>
        <v>228989.09063645522</v>
      </c>
      <c r="R790" s="43">
        <f t="shared" si="614"/>
        <v>228989.09063645522</v>
      </c>
      <c r="S790" s="43">
        <f t="shared" si="614"/>
        <v>228989.09063645522</v>
      </c>
      <c r="T790" s="43">
        <f t="shared" si="614"/>
        <v>228989.09063645522</v>
      </c>
      <c r="V790" s="47">
        <f t="shared" si="615"/>
        <v>1717418.179773414</v>
      </c>
      <c r="W790" s="47">
        <f t="shared" si="616"/>
        <v>1488429.0891369588</v>
      </c>
      <c r="X790" s="47">
        <f t="shared" si="617"/>
        <v>1259439.9985005036</v>
      </c>
      <c r="Y790" s="47">
        <f t="shared" si="618"/>
        <v>1030450.9078640484</v>
      </c>
      <c r="Z790" s="47">
        <f t="shared" si="619"/>
        <v>801461.81722759316</v>
      </c>
      <c r="AB790" s="47">
        <f t="shared" si="593"/>
        <v>287381.3087487513</v>
      </c>
      <c r="AC790" s="47">
        <f t="shared" si="594"/>
        <v>278107.25057797489</v>
      </c>
      <c r="AD790" s="47">
        <f t="shared" si="595"/>
        <v>276847.81057947438</v>
      </c>
      <c r="AE790" s="47">
        <f t="shared" si="596"/>
        <v>268146.22513528907</v>
      </c>
      <c r="AF790" s="47">
        <f t="shared" si="597"/>
        <v>259444.63969110377</v>
      </c>
    </row>
    <row r="791" spans="2:35">
      <c r="B791" s="37" t="str">
        <f t="shared" si="590"/>
        <v>Asset 237</v>
      </c>
      <c r="F791" s="37" t="str">
        <f t="shared" ref="F791:L791" si="651">F295</f>
        <v>20 Kantoorgebouwen</v>
      </c>
      <c r="G791" s="37">
        <f t="shared" si="651"/>
        <v>2020</v>
      </c>
      <c r="H791" s="42">
        <f t="shared" si="651"/>
        <v>715175.01653112471</v>
      </c>
      <c r="I791" s="37">
        <f t="shared" si="651"/>
        <v>2021</v>
      </c>
      <c r="J791" s="37">
        <f t="shared" si="651"/>
        <v>30</v>
      </c>
      <c r="K791" s="37">
        <f t="shared" si="651"/>
        <v>0</v>
      </c>
      <c r="L791" s="42">
        <f t="shared" si="651"/>
        <v>690286.92595584155</v>
      </c>
      <c r="N791" s="38">
        <f t="shared" si="592"/>
        <v>28.5</v>
      </c>
      <c r="P791" s="43">
        <f t="shared" si="614"/>
        <v>24220.593893187423</v>
      </c>
      <c r="Q791" s="43">
        <f t="shared" si="614"/>
        <v>24220.593893187423</v>
      </c>
      <c r="R791" s="43">
        <f t="shared" si="614"/>
        <v>24220.593893187423</v>
      </c>
      <c r="S791" s="43">
        <f t="shared" si="614"/>
        <v>24220.593893187423</v>
      </c>
      <c r="T791" s="43">
        <f t="shared" si="614"/>
        <v>24220.593893187423</v>
      </c>
      <c r="V791" s="47">
        <f t="shared" si="615"/>
        <v>666066.33206265408</v>
      </c>
      <c r="W791" s="47">
        <f t="shared" si="616"/>
        <v>641845.73816946661</v>
      </c>
      <c r="X791" s="47">
        <f t="shared" si="617"/>
        <v>617625.14427627914</v>
      </c>
      <c r="Y791" s="47">
        <f t="shared" si="618"/>
        <v>593404.55038309167</v>
      </c>
      <c r="Z791" s="47">
        <f t="shared" si="619"/>
        <v>569183.9564899042</v>
      </c>
      <c r="AB791" s="47">
        <f t="shared" si="593"/>
        <v>46866.849183317667</v>
      </c>
      <c r="AC791" s="47">
        <f t="shared" si="594"/>
        <v>45401.503252779818</v>
      </c>
      <c r="AD791" s="47">
        <f t="shared" si="595"/>
        <v>47690.349375686026</v>
      </c>
      <c r="AE791" s="47">
        <f t="shared" si="596"/>
        <v>46769.966807744902</v>
      </c>
      <c r="AF791" s="47">
        <f t="shared" si="597"/>
        <v>45849.584239803778</v>
      </c>
    </row>
    <row r="792" spans="2:35">
      <c r="B792" s="37" t="str">
        <f t="shared" si="590"/>
        <v>Asset 238</v>
      </c>
      <c r="F792" s="37" t="str">
        <f t="shared" ref="F792:L792" si="652">F296</f>
        <v>06 Utiliteitsgebouwen</v>
      </c>
      <c r="G792" s="37">
        <f t="shared" si="652"/>
        <v>2020</v>
      </c>
      <c r="H792" s="42">
        <f t="shared" si="652"/>
        <v>611310.12783119339</v>
      </c>
      <c r="I792" s="37">
        <f t="shared" si="652"/>
        <v>2021</v>
      </c>
      <c r="J792" s="37">
        <f t="shared" si="652"/>
        <v>30</v>
      </c>
      <c r="K792" s="37">
        <f t="shared" si="652"/>
        <v>0</v>
      </c>
      <c r="L792" s="42">
        <f t="shared" si="652"/>
        <v>590036.53538266791</v>
      </c>
      <c r="N792" s="38">
        <f t="shared" si="592"/>
        <v>28.5</v>
      </c>
      <c r="P792" s="43">
        <f t="shared" si="614"/>
        <v>20703.036329216418</v>
      </c>
      <c r="Q792" s="43">
        <f t="shared" si="614"/>
        <v>20703.036329216418</v>
      </c>
      <c r="R792" s="43">
        <f t="shared" si="614"/>
        <v>20703.036329216418</v>
      </c>
      <c r="S792" s="43">
        <f t="shared" si="614"/>
        <v>20703.036329216418</v>
      </c>
      <c r="T792" s="43">
        <f t="shared" si="614"/>
        <v>20703.036329216418</v>
      </c>
      <c r="V792" s="47">
        <f t="shared" si="615"/>
        <v>569333.49905345147</v>
      </c>
      <c r="W792" s="47">
        <f t="shared" si="616"/>
        <v>548630.46272423503</v>
      </c>
      <c r="X792" s="47">
        <f t="shared" si="617"/>
        <v>527927.42639501859</v>
      </c>
      <c r="Y792" s="47">
        <f t="shared" si="618"/>
        <v>507224.39006580214</v>
      </c>
      <c r="Z792" s="47">
        <f t="shared" si="619"/>
        <v>486521.3537365857</v>
      </c>
      <c r="AB792" s="47">
        <f t="shared" si="593"/>
        <v>40060.375297033766</v>
      </c>
      <c r="AC792" s="47">
        <f t="shared" si="594"/>
        <v>38807.841599116175</v>
      </c>
      <c r="AD792" s="47">
        <f t="shared" si="595"/>
        <v>40764.278532227123</v>
      </c>
      <c r="AE792" s="47">
        <f t="shared" si="596"/>
        <v>39977.563151716895</v>
      </c>
      <c r="AF792" s="47">
        <f t="shared" si="597"/>
        <v>39190.847771206674</v>
      </c>
    </row>
    <row r="793" spans="2:35">
      <c r="B793" s="37" t="str">
        <f t="shared" si="590"/>
        <v>Asset 239</v>
      </c>
      <c r="F793" s="37" t="str">
        <f t="shared" ref="F793:L793" si="653">F297</f>
        <v>08 Inrichting gebouwen</v>
      </c>
      <c r="G793" s="37">
        <f t="shared" si="653"/>
        <v>2021</v>
      </c>
      <c r="H793" s="42">
        <f t="shared" si="653"/>
        <v>384242.51972392667</v>
      </c>
      <c r="I793" s="37">
        <f t="shared" si="653"/>
        <v>2021</v>
      </c>
      <c r="J793" s="37">
        <f t="shared" si="653"/>
        <v>10</v>
      </c>
      <c r="K793" s="37">
        <f t="shared" si="653"/>
        <v>0</v>
      </c>
      <c r="L793" s="42">
        <f t="shared" si="653"/>
        <v>365030.39373773034</v>
      </c>
      <c r="N793" s="38">
        <f t="shared" si="592"/>
        <v>9.5</v>
      </c>
      <c r="P793" s="43">
        <f t="shared" si="614"/>
        <v>38424.251972392667</v>
      </c>
      <c r="Q793" s="43">
        <f t="shared" si="614"/>
        <v>38424.251972392667</v>
      </c>
      <c r="R793" s="43">
        <f t="shared" si="614"/>
        <v>38424.251972392667</v>
      </c>
      <c r="S793" s="43">
        <f t="shared" si="614"/>
        <v>38424.251972392667</v>
      </c>
      <c r="T793" s="43">
        <f t="shared" si="614"/>
        <v>38424.251972392667</v>
      </c>
      <c r="V793" s="47">
        <f t="shared" si="615"/>
        <v>326606.14176533767</v>
      </c>
      <c r="W793" s="47">
        <f t="shared" si="616"/>
        <v>288181.889792945</v>
      </c>
      <c r="X793" s="47">
        <f t="shared" si="617"/>
        <v>249757.63782055234</v>
      </c>
      <c r="Y793" s="47">
        <f t="shared" si="618"/>
        <v>211333.38584815967</v>
      </c>
      <c r="Z793" s="47">
        <f t="shared" si="619"/>
        <v>172909.133875767</v>
      </c>
      <c r="AB793" s="47">
        <f t="shared" si="593"/>
        <v>49528.860792414147</v>
      </c>
      <c r="AC793" s="47">
        <f t="shared" si="594"/>
        <v>47934.254335559854</v>
      </c>
      <c r="AD793" s="47">
        <f t="shared" si="595"/>
        <v>47915.042209573658</v>
      </c>
      <c r="AE793" s="47">
        <f t="shared" si="596"/>
        <v>46454.920634622737</v>
      </c>
      <c r="AF793" s="47">
        <f t="shared" si="597"/>
        <v>44994.799059671815</v>
      </c>
    </row>
    <row r="794" spans="2:35">
      <c r="B794" s="37" t="str">
        <f t="shared" si="590"/>
        <v>Asset 240</v>
      </c>
      <c r="F794" s="37" t="str">
        <f t="shared" ref="F794:L794" si="654">F298</f>
        <v>20 Kantoorgebouwen</v>
      </c>
      <c r="G794" s="37">
        <f t="shared" si="654"/>
        <v>2021</v>
      </c>
      <c r="H794" s="42">
        <f t="shared" si="654"/>
        <v>1098657.1778898467</v>
      </c>
      <c r="I794" s="37">
        <f t="shared" si="654"/>
        <v>2021</v>
      </c>
      <c r="J794" s="37">
        <f t="shared" si="654"/>
        <v>30</v>
      </c>
      <c r="K794" s="37">
        <f t="shared" si="654"/>
        <v>0</v>
      </c>
      <c r="L794" s="42">
        <f t="shared" si="654"/>
        <v>1080346.2249250161</v>
      </c>
      <c r="N794" s="38">
        <f t="shared" si="592"/>
        <v>29.5</v>
      </c>
      <c r="P794" s="43">
        <f t="shared" si="614"/>
        <v>36621.90592966156</v>
      </c>
      <c r="Q794" s="43">
        <f t="shared" si="614"/>
        <v>36621.90592966156</v>
      </c>
      <c r="R794" s="43">
        <f t="shared" si="614"/>
        <v>36621.90592966156</v>
      </c>
      <c r="S794" s="43">
        <f t="shared" si="614"/>
        <v>36621.90592966156</v>
      </c>
      <c r="T794" s="43">
        <f t="shared" si="614"/>
        <v>36621.90592966156</v>
      </c>
      <c r="V794" s="47">
        <f t="shared" si="615"/>
        <v>1043724.3189953545</v>
      </c>
      <c r="W794" s="47">
        <f t="shared" si="616"/>
        <v>1007102.4130656929</v>
      </c>
      <c r="X794" s="47">
        <f t="shared" si="617"/>
        <v>970480.50713603129</v>
      </c>
      <c r="Y794" s="47">
        <f t="shared" si="618"/>
        <v>933858.6012063697</v>
      </c>
      <c r="Z794" s="47">
        <f t="shared" si="619"/>
        <v>897236.69527670811</v>
      </c>
      <c r="AB794" s="47">
        <f t="shared" si="593"/>
        <v>72108.532775503612</v>
      </c>
      <c r="AC794" s="47">
        <f t="shared" si="594"/>
        <v>69856.285560829419</v>
      </c>
      <c r="AD794" s="47">
        <f t="shared" si="595"/>
        <v>73500.165200830757</v>
      </c>
      <c r="AE794" s="47">
        <f t="shared" si="596"/>
        <v>72108.532775503612</v>
      </c>
      <c r="AF794" s="47">
        <f t="shared" si="597"/>
        <v>70716.900350176467</v>
      </c>
    </row>
    <row r="795" spans="2:35">
      <c r="B795" s="37" t="str">
        <f t="shared" si="590"/>
        <v>Asset 241</v>
      </c>
      <c r="F795" s="37" t="str">
        <f t="shared" ref="F795:L795" si="655">F299</f>
        <v>03 Verremeting</v>
      </c>
      <c r="G795" s="37">
        <f t="shared" si="655"/>
        <v>1993</v>
      </c>
      <c r="H795" s="42">
        <f>H299</f>
        <v>27208128.690000001</v>
      </c>
      <c r="I795" s="37">
        <f t="shared" si="655"/>
        <v>2021</v>
      </c>
      <c r="J795" s="37">
        <f t="shared" si="655"/>
        <v>5</v>
      </c>
      <c r="K795" s="37">
        <f t="shared" si="655"/>
        <v>1</v>
      </c>
      <c r="L795" s="42">
        <f t="shared" si="655"/>
        <v>0</v>
      </c>
      <c r="N795" s="38">
        <f t="shared" si="592"/>
        <v>0</v>
      </c>
      <c r="P795" s="43">
        <f t="shared" si="614"/>
        <v>0</v>
      </c>
      <c r="Q795" s="43">
        <f t="shared" si="614"/>
        <v>0</v>
      </c>
      <c r="R795" s="43">
        <f t="shared" si="614"/>
        <v>0</v>
      </c>
      <c r="S795" s="43">
        <f t="shared" si="614"/>
        <v>0</v>
      </c>
      <c r="T795" s="43">
        <f t="shared" si="614"/>
        <v>0</v>
      </c>
      <c r="V795" s="47">
        <f t="shared" si="615"/>
        <v>0</v>
      </c>
      <c r="W795" s="47">
        <f t="shared" si="616"/>
        <v>0</v>
      </c>
      <c r="X795" s="47">
        <f t="shared" si="617"/>
        <v>0</v>
      </c>
      <c r="Y795" s="47">
        <f t="shared" si="618"/>
        <v>0</v>
      </c>
      <c r="Z795" s="47">
        <f t="shared" si="619"/>
        <v>0</v>
      </c>
      <c r="AB795" s="47">
        <f t="shared" si="593"/>
        <v>0</v>
      </c>
      <c r="AC795" s="47">
        <f t="shared" si="594"/>
        <v>0</v>
      </c>
      <c r="AD795" s="47">
        <f t="shared" si="595"/>
        <v>0</v>
      </c>
      <c r="AE795" s="47">
        <f t="shared" si="596"/>
        <v>0</v>
      </c>
      <c r="AF795" s="47">
        <f t="shared" si="597"/>
        <v>0</v>
      </c>
    </row>
    <row r="796" spans="2:35">
      <c r="B796" s="37" t="str">
        <f t="shared" si="590"/>
        <v>Asset 242</v>
      </c>
      <c r="F796" s="37" t="str">
        <f t="shared" ref="F796:L796" si="656">F300</f>
        <v>06 Utiliteitsgebouwen</v>
      </c>
      <c r="G796" s="37">
        <f t="shared" si="656"/>
        <v>2021</v>
      </c>
      <c r="H796" s="42">
        <f t="shared" si="656"/>
        <v>114485.52709029273</v>
      </c>
      <c r="I796" s="37">
        <f t="shared" si="656"/>
        <v>2021</v>
      </c>
      <c r="J796" s="37">
        <f t="shared" si="656"/>
        <v>30</v>
      </c>
      <c r="K796" s="37">
        <f t="shared" si="656"/>
        <v>0</v>
      </c>
      <c r="L796" s="42">
        <f t="shared" si="656"/>
        <v>112577.43497212119</v>
      </c>
      <c r="N796" s="38">
        <f t="shared" si="592"/>
        <v>29.5</v>
      </c>
      <c r="P796" s="43">
        <f t="shared" si="614"/>
        <v>3816.184236343091</v>
      </c>
      <c r="Q796" s="43">
        <f t="shared" si="614"/>
        <v>3816.184236343091</v>
      </c>
      <c r="R796" s="43">
        <f t="shared" si="614"/>
        <v>3816.184236343091</v>
      </c>
      <c r="S796" s="43">
        <f t="shared" si="614"/>
        <v>3816.184236343091</v>
      </c>
      <c r="T796" s="43">
        <f t="shared" si="614"/>
        <v>3816.184236343091</v>
      </c>
      <c r="V796" s="47">
        <f t="shared" si="615"/>
        <v>108761.2507357781</v>
      </c>
      <c r="W796" s="47">
        <f t="shared" si="616"/>
        <v>104945.06649943501</v>
      </c>
      <c r="X796" s="47">
        <f t="shared" si="617"/>
        <v>101128.88226309192</v>
      </c>
      <c r="Y796" s="47">
        <f t="shared" si="618"/>
        <v>97312.698026748825</v>
      </c>
      <c r="Z796" s="47">
        <f t="shared" si="619"/>
        <v>93496.513790405734</v>
      </c>
      <c r="AB796" s="47">
        <f t="shared" si="593"/>
        <v>7514.0667613595469</v>
      </c>
      <c r="AC796" s="47">
        <f t="shared" si="594"/>
        <v>7279.3714308244471</v>
      </c>
      <c r="AD796" s="47">
        <f t="shared" si="595"/>
        <v>7659.0817623405837</v>
      </c>
      <c r="AE796" s="47">
        <f t="shared" si="596"/>
        <v>7514.0667613595469</v>
      </c>
      <c r="AF796" s="47">
        <f t="shared" si="597"/>
        <v>7369.0517603785083</v>
      </c>
    </row>
    <row r="797" spans="2:35">
      <c r="B797" s="37" t="str">
        <f>B301</f>
        <v>Asset 243</v>
      </c>
      <c r="F797" s="37" t="str">
        <f t="shared" ref="F797:L797" si="657">F301</f>
        <v>38 ICT middelen 2</v>
      </c>
      <c r="G797" s="37">
        <f t="shared" si="657"/>
        <v>2019</v>
      </c>
      <c r="H797" s="42">
        <f t="shared" si="657"/>
        <v>5155994.869123158</v>
      </c>
      <c r="I797" s="37">
        <f t="shared" si="657"/>
        <v>2021</v>
      </c>
      <c r="J797" s="37">
        <f t="shared" si="657"/>
        <v>10</v>
      </c>
      <c r="K797" s="37">
        <f t="shared" si="657"/>
        <v>1</v>
      </c>
      <c r="L797" s="42">
        <f t="shared" si="657"/>
        <v>4031018.6606189152</v>
      </c>
      <c r="N797" s="38">
        <f t="shared" si="592"/>
        <v>7.5</v>
      </c>
      <c r="P797" s="43">
        <f t="shared" si="614"/>
        <v>537469.15474918869</v>
      </c>
      <c r="Q797" s="43">
        <f t="shared" si="614"/>
        <v>537469.15474918869</v>
      </c>
      <c r="R797" s="43">
        <f t="shared" si="614"/>
        <v>537469.15474918869</v>
      </c>
      <c r="S797" s="43">
        <f t="shared" si="614"/>
        <v>537469.15474918869</v>
      </c>
      <c r="T797" s="43">
        <f t="shared" si="614"/>
        <v>537469.15474918869</v>
      </c>
      <c r="V797" s="47">
        <f t="shared" si="615"/>
        <v>3493549.5058697267</v>
      </c>
      <c r="W797" s="47">
        <f t="shared" si="616"/>
        <v>2956080.3511205381</v>
      </c>
      <c r="X797" s="47">
        <f t="shared" si="617"/>
        <v>2418611.1963713495</v>
      </c>
      <c r="Y797" s="47">
        <f t="shared" si="618"/>
        <v>1881142.0416221609</v>
      </c>
      <c r="Z797" s="47">
        <f t="shared" si="619"/>
        <v>1343672.8868729724</v>
      </c>
      <c r="AB797" s="47">
        <f t="shared" si="593"/>
        <v>656249.83794875944</v>
      </c>
      <c r="AC797" s="47">
        <f t="shared" si="594"/>
        <v>635019.80633616645</v>
      </c>
      <c r="AD797" s="47">
        <f t="shared" si="595"/>
        <v>629376.38021129998</v>
      </c>
      <c r="AE797" s="47">
        <f t="shared" si="596"/>
        <v>608952.55233083083</v>
      </c>
      <c r="AF797" s="47">
        <f t="shared" si="597"/>
        <v>588528.72445036168</v>
      </c>
    </row>
    <row r="798" spans="2:35">
      <c r="H798" s="168"/>
      <c r="L798" s="168"/>
      <c r="P798" s="168"/>
      <c r="Q798" s="168"/>
      <c r="R798" s="168"/>
      <c r="S798" s="168"/>
      <c r="T798" s="168"/>
      <c r="V798" s="89"/>
      <c r="W798" s="89"/>
      <c r="X798" s="89"/>
      <c r="Y798" s="89"/>
      <c r="Z798" s="89"/>
      <c r="AB798" s="89"/>
      <c r="AC798" s="89"/>
      <c r="AD798" s="89"/>
      <c r="AE798" s="89"/>
      <c r="AF798" s="89"/>
    </row>
    <row r="799" spans="2:35" s="33" customFormat="1">
      <c r="B799" s="33" t="s">
        <v>1054</v>
      </c>
    </row>
    <row r="800" spans="2:35" s="36" customFormat="1">
      <c r="K800" s="36" t="s">
        <v>1053</v>
      </c>
      <c r="Q800" s="36" t="s">
        <v>889</v>
      </c>
      <c r="W800" s="36" t="s">
        <v>890</v>
      </c>
      <c r="AC800" s="36" t="s">
        <v>222</v>
      </c>
      <c r="AI800" s="36" t="s">
        <v>891</v>
      </c>
    </row>
    <row r="801" spans="1:39" s="39" customFormat="1">
      <c r="B801" s="39" t="s">
        <v>1048</v>
      </c>
      <c r="F801" s="39" t="s">
        <v>895</v>
      </c>
      <c r="G801" s="39" t="s">
        <v>802</v>
      </c>
      <c r="H801" s="39" t="s">
        <v>521</v>
      </c>
      <c r="I801" s="39" t="s">
        <v>302</v>
      </c>
      <c r="K801" s="45">
        <v>2022</v>
      </c>
      <c r="L801" s="45">
        <v>2023</v>
      </c>
      <c r="M801" s="45">
        <v>2024</v>
      </c>
      <c r="N801" s="45">
        <v>2025</v>
      </c>
      <c r="O801" s="45">
        <v>2026</v>
      </c>
      <c r="Q801" s="45">
        <v>2022</v>
      </c>
      <c r="R801" s="45">
        <v>2023</v>
      </c>
      <c r="S801" s="45">
        <v>2024</v>
      </c>
      <c r="T801" s="45">
        <v>2025</v>
      </c>
      <c r="U801" s="45">
        <v>2026</v>
      </c>
      <c r="W801" s="45">
        <v>2022</v>
      </c>
      <c r="X801" s="45">
        <v>2023</v>
      </c>
      <c r="Y801" s="45">
        <v>2024</v>
      </c>
      <c r="Z801" s="45">
        <v>2025</v>
      </c>
      <c r="AA801" s="45">
        <v>2026</v>
      </c>
      <c r="AB801" s="45"/>
      <c r="AC801" s="45">
        <v>2022</v>
      </c>
      <c r="AD801" s="45">
        <v>2023</v>
      </c>
      <c r="AE801" s="45">
        <v>2024</v>
      </c>
      <c r="AF801" s="45">
        <v>2025</v>
      </c>
      <c r="AG801" s="45">
        <v>2026</v>
      </c>
      <c r="AI801" s="45">
        <v>2022</v>
      </c>
      <c r="AJ801" s="45">
        <v>2023</v>
      </c>
      <c r="AK801" s="45">
        <v>2024</v>
      </c>
      <c r="AL801" s="45">
        <v>2025</v>
      </c>
      <c r="AM801" s="45">
        <v>2026</v>
      </c>
    </row>
    <row r="802" spans="1:39" s="48" customFormat="1">
      <c r="K802" s="168"/>
      <c r="L802" s="168"/>
      <c r="M802" s="168"/>
      <c r="N802" s="168"/>
      <c r="O802" s="168"/>
      <c r="Q802" s="89"/>
      <c r="R802" s="89"/>
      <c r="S802" s="89"/>
      <c r="T802" s="89"/>
      <c r="U802" s="89"/>
      <c r="W802" s="89"/>
      <c r="X802" s="89"/>
      <c r="Y802" s="89"/>
      <c r="Z802" s="89"/>
      <c r="AA802" s="89"/>
      <c r="AB802" s="313"/>
      <c r="AC802" s="313"/>
      <c r="AD802" s="313"/>
      <c r="AE802" s="313"/>
      <c r="AF802" s="313"/>
      <c r="AG802" s="313"/>
      <c r="AI802" s="313"/>
      <c r="AJ802" s="313"/>
      <c r="AK802" s="313"/>
      <c r="AL802" s="313"/>
      <c r="AM802" s="313"/>
    </row>
    <row r="803" spans="1:39">
      <c r="B803" s="37" t="str">
        <f>'8. Input IC huur Gasunie'!B259</f>
        <v>Asset 1</v>
      </c>
      <c r="F803" s="37" t="str">
        <f>'8. Input IC huur Gasunie'!F259</f>
        <v>02 Gasontvangststations</v>
      </c>
      <c r="G803" s="37">
        <f>'8. Input IC huur Gasunie'!G259</f>
        <v>2022</v>
      </c>
      <c r="H803" s="42">
        <f>'8. Input IC huur Gasunie'!H259</f>
        <v>16559.007294242547</v>
      </c>
      <c r="I803" s="37">
        <f>'8. Input IC huur Gasunie'!I259</f>
        <v>30</v>
      </c>
      <c r="K803" s="43">
        <f>IF($I803=0,0,IF($G803&lt;=K$801,VDB(ABS($H803),0,$I803,MAX(0,K$801-$G803-0.5),MIN(K$801-$G803+0.5),1),0))</f>
        <v>275.98345490404245</v>
      </c>
      <c r="L803" s="43">
        <f t="shared" ref="L803:O818" si="658">IF($I803=0,0,IF($G803&lt;=L$801,VDB(ABS($H803),0,$I803,MAX(0,L$801-$G803-0.5),MIN(L$801-$G803+0.5),1),0))</f>
        <v>551.96690980808489</v>
      </c>
      <c r="M803" s="43">
        <f t="shared" si="658"/>
        <v>551.96690980808489</v>
      </c>
      <c r="N803" s="43">
        <f t="shared" si="658"/>
        <v>551.96690980808489</v>
      </c>
      <c r="O803" s="43">
        <f t="shared" si="658"/>
        <v>551.96690980808489</v>
      </c>
      <c r="Q803" s="47">
        <f>IF($I803=0,$H803,IF(OR($G803&gt;Q$801,$G803+$I803&lt;=Q$801),0,IF($G803=Q$801,$H803-K803,$H803-K803)))</f>
        <v>16283.023839338504</v>
      </c>
      <c r="R803" s="47">
        <f>IF($I803=0,$H803,IF(OR($G803&gt;R$801,$G803+$I803&lt;=R$801),0,IF($G803=R$801,$H803-L803,Q803-L803)))</f>
        <v>15731.056929530419</v>
      </c>
      <c r="S803" s="47">
        <f t="shared" ref="S803:U803" si="659">IF($I803=0,$H803,IF(OR($G803&gt;S$801,$G803+$I803&lt;=S$801),0,IF($G803=S$801,$H803-M803,R803-M803)))</f>
        <v>15179.090019722335</v>
      </c>
      <c r="T803" s="47">
        <f t="shared" si="659"/>
        <v>14627.12310991425</v>
      </c>
      <c r="U803" s="47">
        <f t="shared" si="659"/>
        <v>14075.156200106165</v>
      </c>
      <c r="W803" s="47">
        <f>(K803+Q803*I$16)</f>
        <v>829.60626544155161</v>
      </c>
      <c r="X803" s="47">
        <f t="shared" ref="X803:AA803" si="660">(L803+R803*J$16)</f>
        <v>1071.0917884825888</v>
      </c>
      <c r="Y803" s="47">
        <f t="shared" si="660"/>
        <v>1128.7723305575337</v>
      </c>
      <c r="Z803" s="47">
        <f t="shared" si="660"/>
        <v>1107.7975879848264</v>
      </c>
      <c r="AA803" s="47">
        <f t="shared" si="660"/>
        <v>1086.822845412119</v>
      </c>
      <c r="AC803" s="47">
        <f>IF(AC$801&gt;=$G803,$H803*INDEX($G$40:$M$46,$G803-2019,AC$801-2019)*INDEX($G$49:$M$55,$G803-2019,AC$801-2019)*$F$28,0)</f>
        <v>165.59007294242548</v>
      </c>
      <c r="AD803" s="47">
        <f t="shared" ref="AD803:AG818" si="661">IF(AD$801&gt;=$G803,$H803*INDEX($G$40:$M$46,$G803-2019,AD$801-2019)*INDEX($G$49:$M$55,$G803-2019,AD$801-2019)*$F$28,0)</f>
        <v>175.15323083499644</v>
      </c>
      <c r="AE803" s="47">
        <f t="shared" si="661"/>
        <v>188.40882734458899</v>
      </c>
      <c r="AF803" s="47">
        <f t="shared" si="661"/>
        <v>192.90953741219653</v>
      </c>
      <c r="AG803" s="47">
        <f t="shared" si="661"/>
        <v>195.40424355001102</v>
      </c>
      <c r="AI803" s="47">
        <f>W803+AC803</f>
        <v>995.19633838397704</v>
      </c>
      <c r="AJ803" s="47">
        <f t="shared" ref="AJ803:AM803" si="662">X803+AD803</f>
        <v>1246.2450193175853</v>
      </c>
      <c r="AK803" s="47">
        <f t="shared" si="662"/>
        <v>1317.1811579021228</v>
      </c>
      <c r="AL803" s="47">
        <f t="shared" si="662"/>
        <v>1300.707125397023</v>
      </c>
      <c r="AM803" s="47">
        <f t="shared" si="662"/>
        <v>1282.22708896213</v>
      </c>
    </row>
    <row r="804" spans="1:39">
      <c r="B804" s="37" t="str">
        <f>'8. Input IC huur Gasunie'!B260</f>
        <v>Asset 2</v>
      </c>
      <c r="F804" s="37" t="str">
        <f>'8. Input IC huur Gasunie'!F260</f>
        <v>05 Wegen en terreinvoorzieningen</v>
      </c>
      <c r="G804" s="37">
        <f>'8. Input IC huur Gasunie'!G260</f>
        <v>2022</v>
      </c>
      <c r="H804" s="42">
        <f>'8. Input IC huur Gasunie'!H260</f>
        <v>260373.81710683607</v>
      </c>
      <c r="I804" s="37">
        <f>'8. Input IC huur Gasunie'!I260</f>
        <v>10</v>
      </c>
      <c r="K804" s="43">
        <f t="shared" ref="K804:O819" si="663">IF($I804=0,0,IF($G804&lt;=K$801,VDB(ABS($H804),0,$I804,MAX(0,K$801-$G804-0.5),MIN(K$801-$G804+0.5),1),0))</f>
        <v>13018.690855341803</v>
      </c>
      <c r="L804" s="43">
        <f t="shared" si="658"/>
        <v>26037.381710683607</v>
      </c>
      <c r="M804" s="43">
        <f t="shared" si="658"/>
        <v>26037.381710683607</v>
      </c>
      <c r="N804" s="43">
        <f t="shared" si="658"/>
        <v>26037.381710683607</v>
      </c>
      <c r="O804" s="43">
        <f t="shared" si="658"/>
        <v>26037.381710683607</v>
      </c>
      <c r="Q804" s="47">
        <f t="shared" ref="Q804:Q816" si="664">IF($I804=0,$H804,IF(OR($G804&gt;Q$801,$G804+$I804&lt;=Q$801),0,IF($G804=Q$801,$H804-K804,$H804-K804)))</f>
        <v>247355.12625149428</v>
      </c>
      <c r="R804" s="47">
        <f t="shared" ref="R804:R816" si="665">IF($I804=0,$H804,IF(OR($G804&gt;R$801,$G804+$I804&lt;=R$801),0,IF($G804=R$801,$H804-L804,Q804-L804)))</f>
        <v>221317.74454081067</v>
      </c>
      <c r="S804" s="47">
        <f t="shared" ref="S804:S817" si="666">IF($I804=0,$H804,IF(OR($G804&gt;S$801,$G804+$I804&lt;=S$801),0,IF($G804=S$801,$H804-M804,R804-M804)))</f>
        <v>195280.36283012707</v>
      </c>
      <c r="T804" s="47">
        <f t="shared" ref="T804:T817" si="667">IF($I804=0,$H804,IF(OR($G804&gt;T$801,$G804+$I804&lt;=T$801),0,IF($G804=T$801,$H804-N804,S804-N804)))</f>
        <v>169242.98111944346</v>
      </c>
      <c r="U804" s="47">
        <f t="shared" ref="U804:U817" si="668">IF($I804=0,$H804,IF(OR($G804&gt;U$801,$G804+$I804&lt;=U$801),0,IF($G804=U$801,$H804-O804,T804-O804)))</f>
        <v>143205.59940875985</v>
      </c>
      <c r="W804" s="47">
        <f t="shared" ref="W804:W816" si="669">(K804+Q804*I$16)</f>
        <v>21428.765147892609</v>
      </c>
      <c r="X804" s="47">
        <f t="shared" ref="X804:X817" si="670">(L804+R804*J$16)</f>
        <v>33340.867280530358</v>
      </c>
      <c r="Y804" s="47">
        <f t="shared" ref="Y804:Y817" si="671">(M804+S804*K$16)</f>
        <v>33458.035498228433</v>
      </c>
      <c r="Z804" s="47">
        <f t="shared" ref="Z804:Z817" si="672">(N804+T804*L$16)</f>
        <v>32468.614993222458</v>
      </c>
      <c r="AA804" s="47">
        <f t="shared" ref="AA804:AA817" si="673">(O804+U804*M$16)</f>
        <v>31479.194488216483</v>
      </c>
      <c r="AC804" s="47">
        <f t="shared" ref="AC804:AG819" si="674">IF(AC$801&gt;=$G804,$H804*INDEX($G$40:$M$46,$G804-2019,AC$801-2019)*INDEX($G$49:$M$55,$G804-2019,AC$801-2019)*$F$28,0)</f>
        <v>2603.7381710683608</v>
      </c>
      <c r="AD804" s="47">
        <f t="shared" si="661"/>
        <v>2754.1092579239007</v>
      </c>
      <c r="AE804" s="47">
        <f t="shared" si="661"/>
        <v>2962.5402465635825</v>
      </c>
      <c r="AF804" s="47">
        <f t="shared" si="661"/>
        <v>3033.3094079734929</v>
      </c>
      <c r="AG804" s="47">
        <f t="shared" si="661"/>
        <v>3072.5361652374058</v>
      </c>
      <c r="AI804" s="47">
        <f t="shared" ref="AI804:AI816" si="675">W804+AC804</f>
        <v>24032.503318960971</v>
      </c>
      <c r="AJ804" s="47">
        <f t="shared" ref="AJ804:AJ817" si="676">X804+AD804</f>
        <v>36094.976538454255</v>
      </c>
      <c r="AK804" s="47">
        <f t="shared" ref="AK804:AK817" si="677">Y804+AE804</f>
        <v>36420.575744792019</v>
      </c>
      <c r="AL804" s="47">
        <f t="shared" ref="AL804:AL817" si="678">Z804+AF804</f>
        <v>35501.924401195953</v>
      </c>
      <c r="AM804" s="47">
        <f t="shared" ref="AM804:AM817" si="679">AA804+AG804</f>
        <v>34551.730653453887</v>
      </c>
    </row>
    <row r="805" spans="1:39">
      <c r="B805" s="37" t="str">
        <f>'8. Input IC huur Gasunie'!B261</f>
        <v>Asset 3</v>
      </c>
      <c r="F805" s="37" t="str">
        <f>'8. Input IC huur Gasunie'!F261</f>
        <v>06 Utiliteitsgebouwen</v>
      </c>
      <c r="G805" s="37">
        <f>'8. Input IC huur Gasunie'!G261</f>
        <v>2022</v>
      </c>
      <c r="H805" s="42">
        <f>'8. Input IC huur Gasunie'!H261</f>
        <v>122473.44778654278</v>
      </c>
      <c r="I805" s="37">
        <f>'8. Input IC huur Gasunie'!I261</f>
        <v>30</v>
      </c>
      <c r="K805" s="43">
        <f t="shared" si="663"/>
        <v>2041.224129775713</v>
      </c>
      <c r="L805" s="43">
        <f t="shared" si="658"/>
        <v>4082.448259551426</v>
      </c>
      <c r="M805" s="43">
        <f t="shared" si="658"/>
        <v>4082.448259551426</v>
      </c>
      <c r="N805" s="43">
        <f t="shared" si="658"/>
        <v>4082.448259551426</v>
      </c>
      <c r="O805" s="43">
        <f t="shared" si="658"/>
        <v>4082.448259551426</v>
      </c>
      <c r="Q805" s="47">
        <f t="shared" si="664"/>
        <v>120432.22365676706</v>
      </c>
      <c r="R805" s="47">
        <f t="shared" si="665"/>
        <v>116349.77539721564</v>
      </c>
      <c r="S805" s="47">
        <f t="shared" si="666"/>
        <v>112267.32713766421</v>
      </c>
      <c r="T805" s="47">
        <f t="shared" si="667"/>
        <v>108184.87887811278</v>
      </c>
      <c r="U805" s="47">
        <f t="shared" si="668"/>
        <v>104102.43061856135</v>
      </c>
      <c r="W805" s="47">
        <f t="shared" si="669"/>
        <v>6135.9197341057934</v>
      </c>
      <c r="X805" s="47">
        <f t="shared" si="670"/>
        <v>7921.9908476595419</v>
      </c>
      <c r="Y805" s="47">
        <f t="shared" si="671"/>
        <v>8348.6066907826662</v>
      </c>
      <c r="Z805" s="47">
        <f t="shared" si="672"/>
        <v>8193.4736569197121</v>
      </c>
      <c r="AA805" s="47">
        <f t="shared" si="673"/>
        <v>8038.3406230567571</v>
      </c>
      <c r="AC805" s="47">
        <f t="shared" si="674"/>
        <v>1224.7344778654278</v>
      </c>
      <c r="AD805" s="47">
        <f t="shared" si="661"/>
        <v>1295.4653434311119</v>
      </c>
      <c r="AE805" s="47">
        <f t="shared" si="661"/>
        <v>1393.506160621979</v>
      </c>
      <c r="AF805" s="47">
        <f t="shared" si="661"/>
        <v>1426.7942357869165</v>
      </c>
      <c r="AG805" s="47">
        <f t="shared" si="661"/>
        <v>1445.2455388441128</v>
      </c>
      <c r="AI805" s="47">
        <f t="shared" si="675"/>
        <v>7360.6542119712212</v>
      </c>
      <c r="AJ805" s="47">
        <f t="shared" si="676"/>
        <v>9217.4561910906541</v>
      </c>
      <c r="AK805" s="47">
        <f t="shared" si="677"/>
        <v>9742.112851404645</v>
      </c>
      <c r="AL805" s="47">
        <f t="shared" si="678"/>
        <v>9620.2678927066281</v>
      </c>
      <c r="AM805" s="47">
        <f t="shared" si="679"/>
        <v>9483.5861619008701</v>
      </c>
    </row>
    <row r="806" spans="1:39">
      <c r="A806" s="230"/>
      <c r="B806" s="37" t="str">
        <f>'8. Input IC huur Gasunie'!B262</f>
        <v>Asset 4</v>
      </c>
      <c r="F806" s="37" t="str">
        <f>'8. Input IC huur Gasunie'!F262</f>
        <v>08 Inrichting gebouwen</v>
      </c>
      <c r="G806" s="37">
        <f>'8. Input IC huur Gasunie'!G262</f>
        <v>2022</v>
      </c>
      <c r="H806" s="42">
        <f>'8. Input IC huur Gasunie'!H262</f>
        <v>36759.559841941234</v>
      </c>
      <c r="I806" s="37">
        <f>'8. Input IC huur Gasunie'!I262</f>
        <v>10</v>
      </c>
      <c r="K806" s="43">
        <f t="shared" si="663"/>
        <v>1837.9779920970618</v>
      </c>
      <c r="L806" s="43">
        <f t="shared" si="658"/>
        <v>3675.9559841941236</v>
      </c>
      <c r="M806" s="43">
        <f t="shared" si="658"/>
        <v>3675.9559841941236</v>
      </c>
      <c r="N806" s="43">
        <f t="shared" si="658"/>
        <v>3675.9559841941236</v>
      </c>
      <c r="O806" s="43">
        <f t="shared" si="658"/>
        <v>3675.9559841941236</v>
      </c>
      <c r="Q806" s="47">
        <f t="shared" si="664"/>
        <v>34921.581849844173</v>
      </c>
      <c r="R806" s="47">
        <f t="shared" si="665"/>
        <v>31245.62586565005</v>
      </c>
      <c r="S806" s="47">
        <f t="shared" si="666"/>
        <v>27569.669881455928</v>
      </c>
      <c r="T806" s="47">
        <f t="shared" si="667"/>
        <v>23893.713897261805</v>
      </c>
      <c r="U806" s="47">
        <f t="shared" si="668"/>
        <v>20217.757913067682</v>
      </c>
      <c r="W806" s="47">
        <f t="shared" si="669"/>
        <v>3025.3117749917637</v>
      </c>
      <c r="X806" s="47">
        <f t="shared" si="670"/>
        <v>4707.0616377605756</v>
      </c>
      <c r="Y806" s="47">
        <f t="shared" si="671"/>
        <v>4723.6034396894484</v>
      </c>
      <c r="Z806" s="47">
        <f t="shared" si="672"/>
        <v>4583.9171122900725</v>
      </c>
      <c r="AA806" s="47">
        <f t="shared" si="673"/>
        <v>4444.2307848906958</v>
      </c>
      <c r="AC806" s="47">
        <f t="shared" si="674"/>
        <v>367.59559841941234</v>
      </c>
      <c r="AD806" s="47">
        <f t="shared" si="661"/>
        <v>388.82497941933025</v>
      </c>
      <c r="AE806" s="47">
        <f t="shared" si="661"/>
        <v>418.25125386178524</v>
      </c>
      <c r="AF806" s="47">
        <f t="shared" si="661"/>
        <v>428.24243981403549</v>
      </c>
      <c r="AG806" s="47">
        <f t="shared" si="661"/>
        <v>433.78047104571067</v>
      </c>
      <c r="AI806" s="47">
        <f t="shared" si="675"/>
        <v>3392.9073734111762</v>
      </c>
      <c r="AJ806" s="47">
        <f t="shared" si="676"/>
        <v>5095.8866171799054</v>
      </c>
      <c r="AK806" s="47">
        <f t="shared" si="677"/>
        <v>5141.8546935512331</v>
      </c>
      <c r="AL806" s="47">
        <f t="shared" si="678"/>
        <v>5012.1595521041081</v>
      </c>
      <c r="AM806" s="47">
        <f t="shared" si="679"/>
        <v>4878.0112559364061</v>
      </c>
    </row>
    <row r="807" spans="1:39">
      <c r="A807" s="230"/>
      <c r="B807" s="37" t="str">
        <f>'8. Input IC huur Gasunie'!B263</f>
        <v>Asset 5</v>
      </c>
      <c r="F807" s="37" t="str">
        <f>'8. Input IC huur Gasunie'!F263</f>
        <v>10 Gereedschap</v>
      </c>
      <c r="G807" s="37">
        <f>'8. Input IC huur Gasunie'!G263</f>
        <v>2022</v>
      </c>
      <c r="H807" s="42">
        <f>'8. Input IC huur Gasunie'!H263</f>
        <v>21601.372149086525</v>
      </c>
      <c r="I807" s="37">
        <f>'8. Input IC huur Gasunie'!I263</f>
        <v>10</v>
      </c>
      <c r="K807" s="43">
        <f t="shared" si="663"/>
        <v>1080.0686074543262</v>
      </c>
      <c r="L807" s="43">
        <f t="shared" si="658"/>
        <v>2160.1372149086524</v>
      </c>
      <c r="M807" s="43">
        <f t="shared" si="658"/>
        <v>2160.1372149086524</v>
      </c>
      <c r="N807" s="43">
        <f t="shared" si="658"/>
        <v>2160.1372149086524</v>
      </c>
      <c r="O807" s="43">
        <f t="shared" si="658"/>
        <v>2160.1372149086524</v>
      </c>
      <c r="Q807" s="47">
        <f t="shared" si="664"/>
        <v>20521.303541632198</v>
      </c>
      <c r="R807" s="47">
        <f t="shared" si="665"/>
        <v>18361.166326723545</v>
      </c>
      <c r="S807" s="47">
        <f t="shared" si="666"/>
        <v>16201.029111814893</v>
      </c>
      <c r="T807" s="47">
        <f t="shared" si="667"/>
        <v>14040.89189690624</v>
      </c>
      <c r="U807" s="47">
        <f t="shared" si="668"/>
        <v>11880.754681997587</v>
      </c>
      <c r="W807" s="47">
        <f t="shared" si="669"/>
        <v>1777.7929278698211</v>
      </c>
      <c r="X807" s="47">
        <f t="shared" si="670"/>
        <v>2766.0557036905293</v>
      </c>
      <c r="Y807" s="47">
        <f t="shared" si="671"/>
        <v>2775.7763211576184</v>
      </c>
      <c r="Z807" s="47">
        <f t="shared" si="672"/>
        <v>2693.6911069910893</v>
      </c>
      <c r="AA807" s="47">
        <f t="shared" si="673"/>
        <v>2611.6058928245607</v>
      </c>
      <c r="AC807" s="47">
        <f t="shared" si="674"/>
        <v>216.01372149086524</v>
      </c>
      <c r="AD807" s="47">
        <f t="shared" si="661"/>
        <v>228.48894593440571</v>
      </c>
      <c r="AE807" s="47">
        <f t="shared" si="661"/>
        <v>245.78098936272156</v>
      </c>
      <c r="AF807" s="47">
        <f t="shared" si="661"/>
        <v>251.65220563661825</v>
      </c>
      <c r="AG807" s="47">
        <f t="shared" si="661"/>
        <v>254.90657195991096</v>
      </c>
      <c r="AI807" s="47">
        <f t="shared" si="675"/>
        <v>1993.8066493606864</v>
      </c>
      <c r="AJ807" s="47">
        <f t="shared" si="676"/>
        <v>2994.5446496249351</v>
      </c>
      <c r="AK807" s="47">
        <f t="shared" si="677"/>
        <v>3021.5573105203398</v>
      </c>
      <c r="AL807" s="47">
        <f t="shared" si="678"/>
        <v>2945.3433126277077</v>
      </c>
      <c r="AM807" s="47">
        <f t="shared" si="679"/>
        <v>2866.5124647844718</v>
      </c>
    </row>
    <row r="808" spans="1:39">
      <c r="A808" s="230"/>
      <c r="B808" s="37" t="str">
        <f>'8. Input IC huur Gasunie'!B264</f>
        <v>Asset 6</v>
      </c>
      <c r="F808" s="37" t="str">
        <f>'8. Input IC huur Gasunie'!F264</f>
        <v>11 Werktuigen</v>
      </c>
      <c r="G808" s="37">
        <f>'8. Input IC huur Gasunie'!G264</f>
        <v>2022</v>
      </c>
      <c r="H808" s="42">
        <f>'8. Input IC huur Gasunie'!H264</f>
        <v>27449.908957678137</v>
      </c>
      <c r="I808" s="37">
        <f>'8. Input IC huur Gasunie'!I264</f>
        <v>10</v>
      </c>
      <c r="K808" s="43">
        <f t="shared" si="663"/>
        <v>1372.495447883907</v>
      </c>
      <c r="L808" s="43">
        <f t="shared" si="658"/>
        <v>2744.990895767814</v>
      </c>
      <c r="M808" s="43">
        <f t="shared" si="658"/>
        <v>2744.990895767814</v>
      </c>
      <c r="N808" s="43">
        <f t="shared" si="658"/>
        <v>2744.990895767814</v>
      </c>
      <c r="O808" s="43">
        <f t="shared" si="658"/>
        <v>2744.990895767814</v>
      </c>
      <c r="Q808" s="47">
        <f t="shared" si="664"/>
        <v>26077.413509794231</v>
      </c>
      <c r="R808" s="47">
        <f t="shared" si="665"/>
        <v>23332.422614026418</v>
      </c>
      <c r="S808" s="47">
        <f t="shared" si="666"/>
        <v>20587.431718258606</v>
      </c>
      <c r="T808" s="47">
        <f t="shared" si="667"/>
        <v>17842.440822490793</v>
      </c>
      <c r="U808" s="47">
        <f t="shared" si="668"/>
        <v>15097.449926722978</v>
      </c>
      <c r="W808" s="47">
        <f t="shared" si="669"/>
        <v>2259.127507216911</v>
      </c>
      <c r="X808" s="47">
        <f t="shared" si="670"/>
        <v>3514.9608420306859</v>
      </c>
      <c r="Y808" s="47">
        <f t="shared" si="671"/>
        <v>3527.3133010616411</v>
      </c>
      <c r="Z808" s="47">
        <f t="shared" si="672"/>
        <v>3423.0036470224641</v>
      </c>
      <c r="AA808" s="47">
        <f t="shared" si="673"/>
        <v>3318.693992983287</v>
      </c>
      <c r="AC808" s="47">
        <f t="shared" si="674"/>
        <v>274.49908957678139</v>
      </c>
      <c r="AD808" s="47">
        <f t="shared" si="661"/>
        <v>290.35196099801971</v>
      </c>
      <c r="AE808" s="47">
        <f t="shared" si="661"/>
        <v>312.32579740634986</v>
      </c>
      <c r="AF808" s="47">
        <f t="shared" si="661"/>
        <v>319.78663605479272</v>
      </c>
      <c r="AG808" s="47">
        <f t="shared" si="661"/>
        <v>323.92211683225327</v>
      </c>
      <c r="AI808" s="47">
        <f t="shared" si="675"/>
        <v>2533.6265967936924</v>
      </c>
      <c r="AJ808" s="47">
        <f t="shared" si="676"/>
        <v>3805.3128030287057</v>
      </c>
      <c r="AK808" s="47">
        <f t="shared" si="677"/>
        <v>3839.6390984679911</v>
      </c>
      <c r="AL808" s="47">
        <f t="shared" si="678"/>
        <v>3742.7902830772568</v>
      </c>
      <c r="AM808" s="47">
        <f t="shared" si="679"/>
        <v>3642.6161098155403</v>
      </c>
    </row>
    <row r="809" spans="1:39">
      <c r="A809" s="230"/>
      <c r="B809" s="37" t="str">
        <f>'8. Input IC huur Gasunie'!B265</f>
        <v>Asset 7</v>
      </c>
      <c r="F809" s="37" t="str">
        <f>'8. Input IC huur Gasunie'!F265</f>
        <v>13 Aanhangwagens</v>
      </c>
      <c r="G809" s="37">
        <f>'8. Input IC huur Gasunie'!G265</f>
        <v>2022</v>
      </c>
      <c r="H809" s="42">
        <f>'8. Input IC huur Gasunie'!H265</f>
        <v>5479.9654928677874</v>
      </c>
      <c r="I809" s="37">
        <f>'8. Input IC huur Gasunie'!I265</f>
        <v>10</v>
      </c>
      <c r="K809" s="43">
        <f t="shared" si="663"/>
        <v>273.99827464338938</v>
      </c>
      <c r="L809" s="43">
        <f t="shared" si="658"/>
        <v>547.99654928677865</v>
      </c>
      <c r="M809" s="43">
        <f t="shared" si="658"/>
        <v>547.99654928677865</v>
      </c>
      <c r="N809" s="43">
        <f t="shared" si="658"/>
        <v>547.99654928677865</v>
      </c>
      <c r="O809" s="43">
        <f t="shared" si="658"/>
        <v>547.99654928677865</v>
      </c>
      <c r="Q809" s="47">
        <f t="shared" si="664"/>
        <v>5205.9672182243976</v>
      </c>
      <c r="R809" s="47">
        <f t="shared" si="665"/>
        <v>4657.9706689376189</v>
      </c>
      <c r="S809" s="47">
        <f t="shared" si="666"/>
        <v>4109.9741196508403</v>
      </c>
      <c r="T809" s="47">
        <f t="shared" si="667"/>
        <v>3561.9775703640616</v>
      </c>
      <c r="U809" s="47">
        <f t="shared" si="668"/>
        <v>3013.981021077283</v>
      </c>
      <c r="W809" s="47">
        <f t="shared" si="669"/>
        <v>451.00116006301892</v>
      </c>
      <c r="X809" s="47">
        <f t="shared" si="670"/>
        <v>701.7095813617201</v>
      </c>
      <c r="Y809" s="47">
        <f t="shared" si="671"/>
        <v>704.17556583351052</v>
      </c>
      <c r="Z809" s="47">
        <f t="shared" si="672"/>
        <v>683.35169696061303</v>
      </c>
      <c r="AA809" s="47">
        <f t="shared" si="673"/>
        <v>662.52782808771542</v>
      </c>
      <c r="AC809" s="47">
        <f t="shared" si="674"/>
        <v>54.799654928677874</v>
      </c>
      <c r="AD809" s="47">
        <f t="shared" si="661"/>
        <v>57.964444600118881</v>
      </c>
      <c r="AE809" s="47">
        <f t="shared" si="661"/>
        <v>62.351193767455889</v>
      </c>
      <c r="AF809" s="47">
        <f t="shared" si="661"/>
        <v>63.840639084172864</v>
      </c>
      <c r="AG809" s="47">
        <f t="shared" si="661"/>
        <v>64.666226228809379</v>
      </c>
      <c r="AI809" s="47">
        <f t="shared" si="675"/>
        <v>505.80081499169677</v>
      </c>
      <c r="AJ809" s="47">
        <f t="shared" si="676"/>
        <v>759.67402596183899</v>
      </c>
      <c r="AK809" s="47">
        <f t="shared" si="677"/>
        <v>766.52675960096644</v>
      </c>
      <c r="AL809" s="47">
        <f t="shared" si="678"/>
        <v>747.19233604478586</v>
      </c>
      <c r="AM809" s="47">
        <f t="shared" si="679"/>
        <v>727.19405431652478</v>
      </c>
    </row>
    <row r="810" spans="1:39">
      <c r="A810" s="230"/>
      <c r="B810" s="37" t="str">
        <f>'8. Input IC huur Gasunie'!B266</f>
        <v>Asset 8</v>
      </c>
      <c r="F810" s="37" t="str">
        <f>'8. Input IC huur Gasunie'!F266</f>
        <v>20 Kantoorgebouwen</v>
      </c>
      <c r="G810" s="37">
        <f>'8. Input IC huur Gasunie'!G266</f>
        <v>2022</v>
      </c>
      <c r="H810" s="42">
        <f>'8. Input IC huur Gasunie'!H266</f>
        <v>1725081.9671582393</v>
      </c>
      <c r="I810" s="37">
        <f>'8. Input IC huur Gasunie'!I266</f>
        <v>30</v>
      </c>
      <c r="K810" s="43">
        <f t="shared" si="663"/>
        <v>28751.366119303988</v>
      </c>
      <c r="L810" s="43">
        <f t="shared" si="658"/>
        <v>57502.732238607976</v>
      </c>
      <c r="M810" s="43">
        <f t="shared" si="658"/>
        <v>57502.732238607976</v>
      </c>
      <c r="N810" s="43">
        <f t="shared" si="658"/>
        <v>57502.732238607976</v>
      </c>
      <c r="O810" s="43">
        <f t="shared" si="658"/>
        <v>57502.732238607976</v>
      </c>
      <c r="Q810" s="47">
        <f t="shared" si="664"/>
        <v>1696330.6010389354</v>
      </c>
      <c r="R810" s="47">
        <f t="shared" si="665"/>
        <v>1638827.8688003274</v>
      </c>
      <c r="S810" s="47">
        <f t="shared" si="666"/>
        <v>1581325.1365617195</v>
      </c>
      <c r="T810" s="47">
        <f t="shared" si="667"/>
        <v>1523822.4043231115</v>
      </c>
      <c r="U810" s="47">
        <f t="shared" si="668"/>
        <v>1466319.6720845036</v>
      </c>
      <c r="W810" s="47">
        <f t="shared" si="669"/>
        <v>86426.606554627797</v>
      </c>
      <c r="X810" s="47">
        <f t="shared" si="670"/>
        <v>111584.05190901877</v>
      </c>
      <c r="Y810" s="47">
        <f t="shared" si="671"/>
        <v>117593.08742795332</v>
      </c>
      <c r="Z810" s="47">
        <f t="shared" si="672"/>
        <v>115407.9836028862</v>
      </c>
      <c r="AA810" s="47">
        <f t="shared" si="673"/>
        <v>113222.87977781911</v>
      </c>
      <c r="AC810" s="47">
        <f t="shared" si="674"/>
        <v>17250.819671582394</v>
      </c>
      <c r="AD810" s="47">
        <f t="shared" si="661"/>
        <v>18247.089009255622</v>
      </c>
      <c r="AE810" s="47">
        <f t="shared" si="661"/>
        <v>19628.028705476088</v>
      </c>
      <c r="AF810" s="47">
        <f t="shared" si="661"/>
        <v>20096.903055192499</v>
      </c>
      <c r="AG810" s="47">
        <f t="shared" si="661"/>
        <v>20356.796205502247</v>
      </c>
      <c r="AI810" s="47">
        <f t="shared" si="675"/>
        <v>103677.4262262102</v>
      </c>
      <c r="AJ810" s="47">
        <f t="shared" si="676"/>
        <v>129831.1409182744</v>
      </c>
      <c r="AK810" s="47">
        <f t="shared" si="677"/>
        <v>137221.1161334294</v>
      </c>
      <c r="AL810" s="47">
        <f t="shared" si="678"/>
        <v>135504.8866580787</v>
      </c>
      <c r="AM810" s="47">
        <f t="shared" si="679"/>
        <v>133579.67598332136</v>
      </c>
    </row>
    <row r="811" spans="1:39">
      <c r="A811" s="230"/>
      <c r="B811" s="37" t="str">
        <f>'8. Input IC huur Gasunie'!B267</f>
        <v>Asset 9</v>
      </c>
      <c r="F811" s="37" t="str">
        <f>'8. Input IC huur Gasunie'!F267</f>
        <v>37 ICT middelen 1</v>
      </c>
      <c r="G811" s="37">
        <f>'8. Input IC huur Gasunie'!G267</f>
        <v>2022</v>
      </c>
      <c r="H811" s="42">
        <f>'8. Input IC huur Gasunie'!H267</f>
        <v>4476157.998399551</v>
      </c>
      <c r="I811" s="37">
        <f>'8. Input IC huur Gasunie'!I267</f>
        <v>5</v>
      </c>
      <c r="K811" s="43">
        <f t="shared" si="663"/>
        <v>447615.79983995511</v>
      </c>
      <c r="L811" s="43">
        <f t="shared" si="658"/>
        <v>895231.59967991011</v>
      </c>
      <c r="M811" s="43">
        <f t="shared" si="658"/>
        <v>895231.59967991011</v>
      </c>
      <c r="N811" s="43">
        <f t="shared" si="658"/>
        <v>895231.59967991011</v>
      </c>
      <c r="O811" s="43">
        <f t="shared" si="658"/>
        <v>895231.59967991011</v>
      </c>
      <c r="Q811" s="47">
        <f t="shared" si="664"/>
        <v>4028542.1985595957</v>
      </c>
      <c r="R811" s="47">
        <f t="shared" si="665"/>
        <v>3133310.5988796856</v>
      </c>
      <c r="S811" s="47">
        <f t="shared" si="666"/>
        <v>2238078.9991997755</v>
      </c>
      <c r="T811" s="47">
        <f t="shared" si="667"/>
        <v>1342847.3995198654</v>
      </c>
      <c r="U811" s="47">
        <f t="shared" si="668"/>
        <v>447615.79983995529</v>
      </c>
      <c r="W811" s="47">
        <f t="shared" si="669"/>
        <v>584586.23459098139</v>
      </c>
      <c r="X811" s="47">
        <f t="shared" si="670"/>
        <v>998630.84944293974</v>
      </c>
      <c r="Y811" s="47">
        <f t="shared" si="671"/>
        <v>980278.60164950159</v>
      </c>
      <c r="Z811" s="47">
        <f t="shared" si="672"/>
        <v>946259.80086166505</v>
      </c>
      <c r="AA811" s="47">
        <f t="shared" si="673"/>
        <v>912241.00007382839</v>
      </c>
      <c r="AC811" s="47">
        <f t="shared" si="674"/>
        <v>44761.579983995514</v>
      </c>
      <c r="AD811" s="47">
        <f t="shared" si="661"/>
        <v>47346.650751231224</v>
      </c>
      <c r="AE811" s="47">
        <f t="shared" si="661"/>
        <v>50929.845280084417</v>
      </c>
      <c r="AF811" s="47">
        <f t="shared" si="661"/>
        <v>52146.457424135064</v>
      </c>
      <c r="AG811" s="47">
        <f t="shared" si="661"/>
        <v>52820.815411543976</v>
      </c>
      <c r="AI811" s="47">
        <f t="shared" si="675"/>
        <v>629347.81457497692</v>
      </c>
      <c r="AJ811" s="47">
        <f t="shared" si="676"/>
        <v>1045977.500194171</v>
      </c>
      <c r="AK811" s="47">
        <f t="shared" si="677"/>
        <v>1031208.446929586</v>
      </c>
      <c r="AL811" s="47">
        <f t="shared" si="678"/>
        <v>998406.25828580011</v>
      </c>
      <c r="AM811" s="47">
        <f t="shared" si="679"/>
        <v>965061.81548537232</v>
      </c>
    </row>
    <row r="812" spans="1:39">
      <c r="A812" s="230"/>
      <c r="B812" s="37" t="str">
        <f>'8. Input IC huur Gasunie'!B268</f>
        <v>Asset 10</v>
      </c>
      <c r="F812" s="37" t="str">
        <f>'8. Input IC huur Gasunie'!F268</f>
        <v>38 ICT middelen 2</v>
      </c>
      <c r="G812" s="37">
        <f>'8. Input IC huur Gasunie'!G268</f>
        <v>2022</v>
      </c>
      <c r="H812" s="42">
        <f>'8. Input IC huur Gasunie'!H268</f>
        <v>7088672.5580014829</v>
      </c>
      <c r="I812" s="37">
        <f>'8. Input IC huur Gasunie'!I268</f>
        <v>10</v>
      </c>
      <c r="K812" s="43">
        <f t="shared" si="663"/>
        <v>354433.62790007418</v>
      </c>
      <c r="L812" s="43">
        <f t="shared" si="658"/>
        <v>708867.25580014824</v>
      </c>
      <c r="M812" s="43">
        <f t="shared" si="658"/>
        <v>708867.25580014824</v>
      </c>
      <c r="N812" s="43">
        <f t="shared" si="658"/>
        <v>708867.25580014824</v>
      </c>
      <c r="O812" s="43">
        <f t="shared" si="658"/>
        <v>708867.25580014824</v>
      </c>
      <c r="Q812" s="47">
        <f t="shared" si="664"/>
        <v>6734238.9301014086</v>
      </c>
      <c r="R812" s="47">
        <f t="shared" si="665"/>
        <v>6025371.6743012602</v>
      </c>
      <c r="S812" s="47">
        <f t="shared" si="666"/>
        <v>5316504.4185011117</v>
      </c>
      <c r="T812" s="47">
        <f t="shared" si="667"/>
        <v>4607637.1627009632</v>
      </c>
      <c r="U812" s="47">
        <f t="shared" si="668"/>
        <v>3898769.9069008147</v>
      </c>
      <c r="W812" s="47">
        <f t="shared" si="669"/>
        <v>583397.75152352208</v>
      </c>
      <c r="X812" s="47">
        <f t="shared" si="670"/>
        <v>907704.52105208987</v>
      </c>
      <c r="Y812" s="47">
        <f t="shared" si="671"/>
        <v>910894.42370319052</v>
      </c>
      <c r="Z812" s="47">
        <f t="shared" si="672"/>
        <v>883957.46798278484</v>
      </c>
      <c r="AA812" s="47">
        <f t="shared" si="673"/>
        <v>857020.51226237917</v>
      </c>
      <c r="AC812" s="47">
        <f t="shared" si="674"/>
        <v>70886.725580014827</v>
      </c>
      <c r="AD812" s="47">
        <f t="shared" si="661"/>
        <v>74980.575755711849</v>
      </c>
      <c r="AE812" s="47">
        <f t="shared" si="661"/>
        <v>80655.105728904135</v>
      </c>
      <c r="AF812" s="47">
        <f t="shared" si="661"/>
        <v>82581.794894556195</v>
      </c>
      <c r="AG812" s="47">
        <f t="shared" si="661"/>
        <v>83649.742666132588</v>
      </c>
      <c r="AI812" s="47">
        <f t="shared" si="675"/>
        <v>654284.47710353695</v>
      </c>
      <c r="AJ812" s="47">
        <f t="shared" si="676"/>
        <v>982685.09680780175</v>
      </c>
      <c r="AK812" s="47">
        <f t="shared" si="677"/>
        <v>991549.52943209466</v>
      </c>
      <c r="AL812" s="47">
        <f t="shared" si="678"/>
        <v>966539.26287734101</v>
      </c>
      <c r="AM812" s="47">
        <f t="shared" si="679"/>
        <v>940670.2549285118</v>
      </c>
    </row>
    <row r="813" spans="1:39">
      <c r="A813" s="230"/>
      <c r="B813" s="37" t="str">
        <f>'8. Input IC huur Gasunie'!B269</f>
        <v>Asset 11</v>
      </c>
      <c r="F813" s="37" t="str">
        <f>'8. Input IC huur Gasunie'!F269</f>
        <v>05 Wegen en terreinvoorzieningen</v>
      </c>
      <c r="G813" s="37">
        <f>'8. Input IC huur Gasunie'!G269</f>
        <v>2023</v>
      </c>
      <c r="H813" s="42">
        <f>'8. Input IC huur Gasunie'!H269</f>
        <v>11177.445801540334</v>
      </c>
      <c r="I813" s="37">
        <f>'8. Input IC huur Gasunie'!I269</f>
        <v>10</v>
      </c>
      <c r="K813" s="43">
        <f t="shared" si="663"/>
        <v>0</v>
      </c>
      <c r="L813" s="43">
        <f t="shared" si="658"/>
        <v>558.87229007701671</v>
      </c>
      <c r="M813" s="43">
        <f t="shared" si="658"/>
        <v>1117.7445801540334</v>
      </c>
      <c r="N813" s="43">
        <f t="shared" si="658"/>
        <v>1117.7445801540334</v>
      </c>
      <c r="O813" s="43">
        <f t="shared" si="658"/>
        <v>1117.7445801540334</v>
      </c>
      <c r="Q813" s="47">
        <f t="shared" si="664"/>
        <v>0</v>
      </c>
      <c r="R813" s="47">
        <f t="shared" si="665"/>
        <v>10618.573511463317</v>
      </c>
      <c r="S813" s="47">
        <f t="shared" si="666"/>
        <v>9500.8289313092828</v>
      </c>
      <c r="T813" s="47">
        <f t="shared" si="667"/>
        <v>8383.0843511552484</v>
      </c>
      <c r="U813" s="47">
        <f t="shared" si="668"/>
        <v>7265.339771001215</v>
      </c>
      <c r="W813" s="47">
        <f t="shared" si="669"/>
        <v>0</v>
      </c>
      <c r="X813" s="47">
        <f t="shared" si="670"/>
        <v>909.28521595530617</v>
      </c>
      <c r="Y813" s="47">
        <f t="shared" si="671"/>
        <v>1478.7760795437862</v>
      </c>
      <c r="Z813" s="47">
        <f t="shared" si="672"/>
        <v>1436.301785497933</v>
      </c>
      <c r="AA813" s="47">
        <f t="shared" si="673"/>
        <v>1393.8274914520796</v>
      </c>
      <c r="AC813" s="47">
        <f t="shared" si="674"/>
        <v>0</v>
      </c>
      <c r="AD813" s="47">
        <f t="shared" si="661"/>
        <v>111.77445801540334</v>
      </c>
      <c r="AE813" s="47">
        <f t="shared" si="661"/>
        <v>120.23354899800908</v>
      </c>
      <c r="AF813" s="47">
        <f t="shared" si="661"/>
        <v>123.10568801647352</v>
      </c>
      <c r="AG813" s="47">
        <f t="shared" si="661"/>
        <v>124.69769077390255</v>
      </c>
      <c r="AI813" s="47">
        <f t="shared" si="675"/>
        <v>0</v>
      </c>
      <c r="AJ813" s="47">
        <f t="shared" si="676"/>
        <v>1021.0596739707095</v>
      </c>
      <c r="AK813" s="47">
        <f t="shared" si="677"/>
        <v>1599.0096285417953</v>
      </c>
      <c r="AL813" s="47">
        <f t="shared" si="678"/>
        <v>1559.4074735144065</v>
      </c>
      <c r="AM813" s="47">
        <f t="shared" si="679"/>
        <v>1518.5251822259822</v>
      </c>
    </row>
    <row r="814" spans="1:39">
      <c r="A814" s="230"/>
      <c r="B814" s="37" t="str">
        <f>'8. Input IC huur Gasunie'!B270</f>
        <v>Asset 12</v>
      </c>
      <c r="F814" s="37" t="str">
        <f>'8. Input IC huur Gasunie'!F270</f>
        <v>06 Utiliteitsgebouwen</v>
      </c>
      <c r="G814" s="37">
        <f>'8. Input IC huur Gasunie'!G270</f>
        <v>2023</v>
      </c>
      <c r="H814" s="42">
        <f>'8. Input IC huur Gasunie'!H270</f>
        <v>-4073.7374626236651</v>
      </c>
      <c r="I814" s="37">
        <f>'8. Input IC huur Gasunie'!I270</f>
        <v>30</v>
      </c>
      <c r="K814" s="43">
        <f t="shared" si="663"/>
        <v>0</v>
      </c>
      <c r="L814" s="43">
        <f t="shared" si="658"/>
        <v>67.895624377061083</v>
      </c>
      <c r="M814" s="43">
        <f t="shared" si="658"/>
        <v>135.79124875412217</v>
      </c>
      <c r="N814" s="43">
        <f t="shared" si="658"/>
        <v>135.79124875412217</v>
      </c>
      <c r="O814" s="43">
        <f t="shared" si="658"/>
        <v>135.79124875412217</v>
      </c>
      <c r="Q814" s="47">
        <f t="shared" si="664"/>
        <v>0</v>
      </c>
      <c r="R814" s="47">
        <f t="shared" si="665"/>
        <v>-4141.6330870007259</v>
      </c>
      <c r="S814" s="47">
        <f t="shared" si="666"/>
        <v>-4277.4243357548485</v>
      </c>
      <c r="T814" s="47">
        <f t="shared" si="667"/>
        <v>-4413.215584508971</v>
      </c>
      <c r="U814" s="47">
        <f t="shared" si="668"/>
        <v>-4549.0068332630935</v>
      </c>
      <c r="W814" s="47">
        <f t="shared" si="669"/>
        <v>0</v>
      </c>
      <c r="X814" s="47">
        <f t="shared" si="670"/>
        <v>-68.778267493962872</v>
      </c>
      <c r="Y814" s="47">
        <f t="shared" si="671"/>
        <v>-26.750876004562059</v>
      </c>
      <c r="Z814" s="47">
        <f t="shared" si="672"/>
        <v>-31.910943457218735</v>
      </c>
      <c r="AA814" s="47">
        <f t="shared" si="673"/>
        <v>-37.071010909875383</v>
      </c>
      <c r="AC814" s="47">
        <f t="shared" si="674"/>
        <v>0</v>
      </c>
      <c r="AD814" s="47">
        <f t="shared" si="661"/>
        <v>-40.737374626236651</v>
      </c>
      <c r="AE814" s="47">
        <f t="shared" si="661"/>
        <v>-43.820379137950248</v>
      </c>
      <c r="AF814" s="47">
        <f t="shared" si="661"/>
        <v>-44.867160354797598</v>
      </c>
      <c r="AG814" s="47">
        <f t="shared" si="661"/>
        <v>-45.447382472505836</v>
      </c>
      <c r="AI814" s="47">
        <f t="shared" si="675"/>
        <v>0</v>
      </c>
      <c r="AJ814" s="47">
        <f t="shared" si="676"/>
        <v>-109.51564212019952</v>
      </c>
      <c r="AK814" s="47">
        <f t="shared" si="677"/>
        <v>-70.571255142512314</v>
      </c>
      <c r="AL814" s="47">
        <f t="shared" si="678"/>
        <v>-76.778103812016326</v>
      </c>
      <c r="AM814" s="47">
        <f t="shared" si="679"/>
        <v>-82.51839338238122</v>
      </c>
    </row>
    <row r="815" spans="1:39">
      <c r="A815" s="230"/>
      <c r="B815" s="37" t="str">
        <f>'8. Input IC huur Gasunie'!B271</f>
        <v>Asset 13</v>
      </c>
      <c r="F815" s="37" t="str">
        <f>'8. Input IC huur Gasunie'!F271</f>
        <v>08 Inrichting gebouwen</v>
      </c>
      <c r="G815" s="37">
        <f>'8. Input IC huur Gasunie'!G271</f>
        <v>2023</v>
      </c>
      <c r="H815" s="42">
        <f>'8. Input IC huur Gasunie'!H271</f>
        <v>17573.135050625202</v>
      </c>
      <c r="I815" s="37">
        <f>'8. Input IC huur Gasunie'!I271</f>
        <v>10</v>
      </c>
      <c r="K815" s="43">
        <f t="shared" si="663"/>
        <v>0</v>
      </c>
      <c r="L815" s="43">
        <f t="shared" si="658"/>
        <v>878.65675253126017</v>
      </c>
      <c r="M815" s="43">
        <f t="shared" si="658"/>
        <v>1757.3135050625201</v>
      </c>
      <c r="N815" s="43">
        <f t="shared" si="658"/>
        <v>1757.3135050625201</v>
      </c>
      <c r="O815" s="43">
        <f t="shared" si="658"/>
        <v>1757.3135050625201</v>
      </c>
      <c r="Q815" s="47">
        <f t="shared" si="664"/>
        <v>0</v>
      </c>
      <c r="R815" s="47">
        <f t="shared" si="665"/>
        <v>16694.478298093942</v>
      </c>
      <c r="S815" s="47">
        <f t="shared" si="666"/>
        <v>14937.164793031421</v>
      </c>
      <c r="T815" s="47">
        <f t="shared" si="667"/>
        <v>13179.851287968901</v>
      </c>
      <c r="U815" s="47">
        <f t="shared" si="668"/>
        <v>11422.53778290638</v>
      </c>
      <c r="W815" s="47">
        <f t="shared" si="669"/>
        <v>0</v>
      </c>
      <c r="X815" s="47">
        <f t="shared" si="670"/>
        <v>1429.5745363683602</v>
      </c>
      <c r="Y815" s="47">
        <f t="shared" si="671"/>
        <v>2324.9257671977139</v>
      </c>
      <c r="Z815" s="47">
        <f t="shared" si="672"/>
        <v>2258.1478540053386</v>
      </c>
      <c r="AA815" s="47">
        <f t="shared" si="673"/>
        <v>2191.3699408129623</v>
      </c>
      <c r="AC815" s="47">
        <f t="shared" si="674"/>
        <v>0</v>
      </c>
      <c r="AD815" s="47">
        <f t="shared" si="661"/>
        <v>175.73135050625203</v>
      </c>
      <c r="AE815" s="47">
        <f t="shared" si="661"/>
        <v>189.03069911256517</v>
      </c>
      <c r="AF815" s="47">
        <f t="shared" si="661"/>
        <v>193.54626445296617</v>
      </c>
      <c r="AG815" s="47">
        <f t="shared" si="661"/>
        <v>196.04920474487187</v>
      </c>
      <c r="AI815" s="47">
        <f t="shared" si="675"/>
        <v>0</v>
      </c>
      <c r="AJ815" s="47">
        <f t="shared" si="676"/>
        <v>1605.3058868746123</v>
      </c>
      <c r="AK815" s="47">
        <f t="shared" si="677"/>
        <v>2513.9564663102792</v>
      </c>
      <c r="AL815" s="47">
        <f t="shared" si="678"/>
        <v>2451.6941184583047</v>
      </c>
      <c r="AM815" s="47">
        <f t="shared" si="679"/>
        <v>2387.4191455578343</v>
      </c>
    </row>
    <row r="816" spans="1:39">
      <c r="A816" s="230"/>
      <c r="B816" s="37" t="str">
        <f>'8. Input IC huur Gasunie'!B272</f>
        <v>Asset 14</v>
      </c>
      <c r="F816" s="37" t="str">
        <f>'8. Input IC huur Gasunie'!F272</f>
        <v>10 Gereedschap</v>
      </c>
      <c r="G816" s="37">
        <f>'8. Input IC huur Gasunie'!G272</f>
        <v>2023</v>
      </c>
      <c r="H816" s="42">
        <f>'8. Input IC huur Gasunie'!H272</f>
        <v>67874.603678325308</v>
      </c>
      <c r="I816" s="37">
        <f>'8. Input IC huur Gasunie'!I272</f>
        <v>10</v>
      </c>
      <c r="K816" s="43">
        <f t="shared" si="663"/>
        <v>0</v>
      </c>
      <c r="L816" s="43">
        <f t="shared" si="658"/>
        <v>3393.7301839162656</v>
      </c>
      <c r="M816" s="43">
        <f t="shared" si="658"/>
        <v>6787.4603678325302</v>
      </c>
      <c r="N816" s="43">
        <f t="shared" si="658"/>
        <v>6787.4603678325302</v>
      </c>
      <c r="O816" s="43">
        <f t="shared" si="658"/>
        <v>6787.4603678325302</v>
      </c>
      <c r="Q816" s="47">
        <f t="shared" si="664"/>
        <v>0</v>
      </c>
      <c r="R816" s="47">
        <f t="shared" si="665"/>
        <v>64480.873494409039</v>
      </c>
      <c r="S816" s="47">
        <f t="shared" si="666"/>
        <v>57693.41312657651</v>
      </c>
      <c r="T816" s="47">
        <f t="shared" si="667"/>
        <v>50905.952758743981</v>
      </c>
      <c r="U816" s="47">
        <f t="shared" si="668"/>
        <v>44118.492390911451</v>
      </c>
      <c r="W816" s="47">
        <f t="shared" si="669"/>
        <v>0</v>
      </c>
      <c r="X816" s="47">
        <f t="shared" si="670"/>
        <v>5521.5990092317643</v>
      </c>
      <c r="Y816" s="47">
        <f t="shared" si="671"/>
        <v>8979.810066642438</v>
      </c>
      <c r="Z816" s="47">
        <f t="shared" si="672"/>
        <v>8721.8865726648019</v>
      </c>
      <c r="AA816" s="47">
        <f t="shared" si="673"/>
        <v>8463.9630786871658</v>
      </c>
      <c r="AC816" s="47">
        <f t="shared" si="674"/>
        <v>0</v>
      </c>
      <c r="AD816" s="47">
        <f t="shared" si="661"/>
        <v>678.74603678325309</v>
      </c>
      <c r="AE816" s="47">
        <f t="shared" si="661"/>
        <v>730.11353684700964</v>
      </c>
      <c r="AF816" s="47">
        <f t="shared" si="661"/>
        <v>747.55448901521117</v>
      </c>
      <c r="AG816" s="47">
        <f t="shared" si="661"/>
        <v>757.22186366715573</v>
      </c>
      <c r="AI816" s="47">
        <f t="shared" si="675"/>
        <v>0</v>
      </c>
      <c r="AJ816" s="47">
        <f t="shared" si="676"/>
        <v>6200.345046015017</v>
      </c>
      <c r="AK816" s="47">
        <f t="shared" si="677"/>
        <v>9709.9236034894475</v>
      </c>
      <c r="AL816" s="47">
        <f t="shared" si="678"/>
        <v>9469.4410616800124</v>
      </c>
      <c r="AM816" s="47">
        <f t="shared" si="679"/>
        <v>9221.1849423543208</v>
      </c>
    </row>
    <row r="817" spans="1:39">
      <c r="A817" s="230"/>
      <c r="B817" s="37" t="str">
        <f>'8. Input IC huur Gasunie'!B273</f>
        <v>Asset 15</v>
      </c>
      <c r="F817" s="37" t="str">
        <f>'8. Input IC huur Gasunie'!F273</f>
        <v>11 Werktuigen</v>
      </c>
      <c r="G817" s="37">
        <f>'8. Input IC huur Gasunie'!G273</f>
        <v>2023</v>
      </c>
      <c r="H817" s="42">
        <f>'8. Input IC huur Gasunie'!H273</f>
        <v>855785.56065618468</v>
      </c>
      <c r="I817" s="37">
        <f>'8. Input IC huur Gasunie'!I273</f>
        <v>10</v>
      </c>
      <c r="K817" s="43">
        <f>IF($I817=0,0,IF($G817&lt;=K$801,VDB(ABS($H817),0,$I817,MAX(0,K$801-$G817-0.5),MIN(K$801-$G817+0.5),1),0))</f>
        <v>0</v>
      </c>
      <c r="L817" s="43">
        <f t="shared" si="658"/>
        <v>42789.278032809234</v>
      </c>
      <c r="M817" s="43">
        <f t="shared" si="658"/>
        <v>85578.556065618468</v>
      </c>
      <c r="N817" s="43">
        <f t="shared" si="658"/>
        <v>85578.556065618468</v>
      </c>
      <c r="O817" s="43">
        <f t="shared" si="658"/>
        <v>85578.556065618468</v>
      </c>
      <c r="Q817" s="47">
        <f>IF($I817=0,$H817,IF(OR($G817&gt;Q$801,$G817+$I817&lt;=Q$801),0,IF($G817=Q$801,$H817-K817,$H817-K817)))</f>
        <v>0</v>
      </c>
      <c r="R817" s="47">
        <f>IF($I817=0,$H817,IF(OR($G817&gt;R$801,$G817+$I817&lt;=R$801),0,IF($G817=R$801,$H817-L817,Q817-L817)))</f>
        <v>812996.28262337542</v>
      </c>
      <c r="S817" s="47">
        <f t="shared" si="666"/>
        <v>727417.72655775701</v>
      </c>
      <c r="T817" s="47">
        <f t="shared" si="667"/>
        <v>641839.17049213848</v>
      </c>
      <c r="U817" s="47">
        <f t="shared" si="668"/>
        <v>556260.61442651995</v>
      </c>
      <c r="W817" s="47">
        <f>(K817+Q817*I$16)</f>
        <v>0</v>
      </c>
      <c r="X817" s="47">
        <f t="shared" si="670"/>
        <v>69618.155359380617</v>
      </c>
      <c r="Y817" s="47">
        <f t="shared" si="671"/>
        <v>113220.42967481323</v>
      </c>
      <c r="Z817" s="47">
        <f t="shared" si="672"/>
        <v>109968.44454431973</v>
      </c>
      <c r="AA817" s="47">
        <f t="shared" si="673"/>
        <v>106716.45941382623</v>
      </c>
      <c r="AC817" s="47">
        <f>IF(AC$801&gt;=$G817,$H817*INDEX($G$40:$M$46,$G817-2019,AC$801-2019)*INDEX($G$49:$M$55,$G817-2019,AC$801-2019)*$F$28,0)</f>
        <v>0</v>
      </c>
      <c r="AD817" s="47">
        <f t="shared" si="661"/>
        <v>8557.8556065618468</v>
      </c>
      <c r="AE817" s="47">
        <f t="shared" si="661"/>
        <v>9205.5141188664493</v>
      </c>
      <c r="AF817" s="47">
        <f t="shared" si="661"/>
        <v>9425.415440137931</v>
      </c>
      <c r="AG817" s="47">
        <f t="shared" si="661"/>
        <v>9547.3049126097922</v>
      </c>
      <c r="AI817" s="47">
        <f>W817+AC817</f>
        <v>0</v>
      </c>
      <c r="AJ817" s="47">
        <f t="shared" si="676"/>
        <v>78176.010965942463</v>
      </c>
      <c r="AK817" s="47">
        <f t="shared" si="677"/>
        <v>122425.94379367967</v>
      </c>
      <c r="AL817" s="47">
        <f t="shared" si="678"/>
        <v>119393.85998445767</v>
      </c>
      <c r="AM817" s="47">
        <f t="shared" si="679"/>
        <v>116263.76432643602</v>
      </c>
    </row>
    <row r="818" spans="1:39">
      <c r="A818" s="230"/>
      <c r="B818" s="37" t="str">
        <f>'8. Input IC huur Gasunie'!B274</f>
        <v>Asset 16</v>
      </c>
      <c r="F818" s="37" t="str">
        <f>'8. Input IC huur Gasunie'!F274</f>
        <v>20 Kantoorgebouwen</v>
      </c>
      <c r="G818" s="37">
        <f>'8. Input IC huur Gasunie'!G274</f>
        <v>2023</v>
      </c>
      <c r="H818" s="42">
        <f>'8. Input IC huur Gasunie'!H274</f>
        <v>1174802.9772874359</v>
      </c>
      <c r="I818" s="37">
        <f>'8. Input IC huur Gasunie'!I274</f>
        <v>30</v>
      </c>
      <c r="K818" s="43">
        <f t="shared" si="663"/>
        <v>0</v>
      </c>
      <c r="L818" s="43">
        <f t="shared" si="658"/>
        <v>19580.049621457267</v>
      </c>
      <c r="M818" s="43">
        <f t="shared" si="658"/>
        <v>39160.099242914534</v>
      </c>
      <c r="N818" s="43">
        <f t="shared" si="658"/>
        <v>39160.099242914534</v>
      </c>
      <c r="O818" s="43">
        <f t="shared" si="658"/>
        <v>39160.099242914534</v>
      </c>
      <c r="Q818" s="47">
        <f t="shared" ref="Q818:Q820" si="680">IF($I818=0,$H818,IF(OR($G818&gt;Q$801,$G818+$I818&lt;=Q$801),0,IF($G818=Q$801,$H818-K818,$H818-K818)))</f>
        <v>0</v>
      </c>
      <c r="R818" s="47">
        <f t="shared" ref="R818:R820" si="681">IF($I818=0,$H818,IF(OR($G818&gt;R$801,$G818+$I818&lt;=R$801),0,IF($G818=R$801,$H818-L818,Q818-L818)))</f>
        <v>1155222.9276659787</v>
      </c>
      <c r="S818" s="47">
        <f t="shared" ref="S818:S820" si="682">IF($I818=0,$H818,IF(OR($G818&gt;S$801,$G818+$I818&lt;=S$801),0,IF($G818=S$801,$H818-M818,R818-M818)))</f>
        <v>1116062.8284230642</v>
      </c>
      <c r="T818" s="47">
        <f t="shared" ref="T818:T820" si="683">IF($I818=0,$H818,IF(OR($G818&gt;T$801,$G818+$I818&lt;=T$801),0,IF($G818=T$801,$H818-N818,S818-N818)))</f>
        <v>1076902.7291801497</v>
      </c>
      <c r="U818" s="47">
        <f t="shared" ref="U818:U820" si="684">IF($I818=0,$H818,IF(OR($G818&gt;U$801,$G818+$I818&lt;=U$801),0,IF($G818=U$801,$H818-O818,T818-O818)))</f>
        <v>1037742.6299372351</v>
      </c>
      <c r="W818" s="47">
        <f t="shared" ref="W818:W820" si="685">(K818+Q818*I$16)</f>
        <v>0</v>
      </c>
      <c r="X818" s="47">
        <f t="shared" ref="X818:X819" si="686">(L818+R818*J$16)</f>
        <v>57702.406234434558</v>
      </c>
      <c r="Y818" s="47">
        <f t="shared" ref="Y818:Y820" si="687">(M818+S818*K$16)</f>
        <v>81570.486722990972</v>
      </c>
      <c r="Z818" s="47">
        <f t="shared" ref="Z818:Z819" si="688">(N818+T818*L$16)</f>
        <v>80082.402951760218</v>
      </c>
      <c r="AA818" s="47">
        <f t="shared" ref="AA818:AA820" si="689">(O818+U818*M$16)</f>
        <v>78594.319180529477</v>
      </c>
      <c r="AC818" s="47">
        <f t="shared" si="674"/>
        <v>0</v>
      </c>
      <c r="AD818" s="47">
        <f t="shared" si="661"/>
        <v>11748.029772874359</v>
      </c>
      <c r="AE818" s="47">
        <f t="shared" si="661"/>
        <v>12637.120666085491</v>
      </c>
      <c r="AF818" s="47">
        <f t="shared" si="661"/>
        <v>12938.996204556941</v>
      </c>
      <c r="AG818" s="47">
        <f t="shared" si="661"/>
        <v>13106.32330347427</v>
      </c>
      <c r="AI818" s="47">
        <f t="shared" ref="AI818:AI820" si="690">W818+AC818</f>
        <v>0</v>
      </c>
      <c r="AJ818" s="47">
        <f t="shared" ref="AJ818:AJ820" si="691">X818+AD818</f>
        <v>69450.436007308919</v>
      </c>
      <c r="AK818" s="47">
        <f t="shared" ref="AK818:AK819" si="692">Y818+AE818</f>
        <v>94207.607389076467</v>
      </c>
      <c r="AL818" s="47">
        <f t="shared" ref="AL818:AL820" si="693">Z818+AF818</f>
        <v>93021.399156317158</v>
      </c>
      <c r="AM818" s="47">
        <f t="shared" ref="AM818:AM820" si="694">AA818+AG818</f>
        <v>91700.642484003751</v>
      </c>
    </row>
    <row r="819" spans="1:39">
      <c r="A819" s="230"/>
      <c r="B819" s="37" t="str">
        <f>'8. Input IC huur Gasunie'!B275</f>
        <v>Asset 17</v>
      </c>
      <c r="F819" s="37" t="str">
        <f>'8. Input IC huur Gasunie'!F275</f>
        <v>37 ICT middelen 1</v>
      </c>
      <c r="G819" s="37">
        <f>'8. Input IC huur Gasunie'!G275</f>
        <v>2023</v>
      </c>
      <c r="H819" s="42">
        <f>'8. Input IC huur Gasunie'!H275</f>
        <v>6239530.5600440903</v>
      </c>
      <c r="I819" s="37">
        <f>'8. Input IC huur Gasunie'!I275</f>
        <v>5</v>
      </c>
      <c r="K819" s="43">
        <f t="shared" si="663"/>
        <v>0</v>
      </c>
      <c r="L819" s="43">
        <f t="shared" si="663"/>
        <v>623953.0560044091</v>
      </c>
      <c r="M819" s="43">
        <f t="shared" si="663"/>
        <v>1247906.1120088182</v>
      </c>
      <c r="N819" s="43">
        <f t="shared" si="663"/>
        <v>1247906.1120088182</v>
      </c>
      <c r="O819" s="43">
        <f t="shared" si="663"/>
        <v>1247906.1120088182</v>
      </c>
      <c r="Q819" s="47">
        <f t="shared" si="680"/>
        <v>0</v>
      </c>
      <c r="R819" s="47">
        <f t="shared" si="681"/>
        <v>5615577.5040396815</v>
      </c>
      <c r="S819" s="47">
        <f t="shared" si="682"/>
        <v>4367671.3920308631</v>
      </c>
      <c r="T819" s="47">
        <f t="shared" si="683"/>
        <v>3119765.2800220447</v>
      </c>
      <c r="U819" s="47">
        <f t="shared" si="684"/>
        <v>1871859.1680132265</v>
      </c>
      <c r="W819" s="47">
        <f t="shared" si="685"/>
        <v>0</v>
      </c>
      <c r="X819" s="47">
        <f t="shared" si="686"/>
        <v>809267.1136377186</v>
      </c>
      <c r="Y819" s="47">
        <f t="shared" si="687"/>
        <v>1413877.6249059909</v>
      </c>
      <c r="Z819" s="47">
        <f t="shared" si="688"/>
        <v>1366457.192649656</v>
      </c>
      <c r="AA819" s="47">
        <f t="shared" si="689"/>
        <v>1319036.7603933208</v>
      </c>
      <c r="AC819" s="47">
        <f t="shared" si="674"/>
        <v>0</v>
      </c>
      <c r="AD819" s="47">
        <f>IF(AD$801&gt;=$G819,$H819*INDEX($G$40:$M$46,$G819-2019,AD$801-2019)*INDEX($G$49:$M$55,$G819-2019,AD$801-2019)*$F$28,0)</f>
        <v>62395.305600440901</v>
      </c>
      <c r="AE819" s="47">
        <f t="shared" si="674"/>
        <v>67117.38232828227</v>
      </c>
      <c r="AF819" s="47">
        <f t="shared" si="674"/>
        <v>68720.682357340294</v>
      </c>
      <c r="AG819" s="47">
        <f t="shared" si="674"/>
        <v>69609.378221585386</v>
      </c>
      <c r="AI819" s="47">
        <f t="shared" si="690"/>
        <v>0</v>
      </c>
      <c r="AJ819" s="47">
        <f t="shared" si="691"/>
        <v>871662.41923815955</v>
      </c>
      <c r="AK819" s="47">
        <f t="shared" si="692"/>
        <v>1480995.0072342732</v>
      </c>
      <c r="AL819" s="47">
        <f t="shared" si="693"/>
        <v>1435177.8750069963</v>
      </c>
      <c r="AM819" s="47">
        <f t="shared" si="694"/>
        <v>1388646.1386149062</v>
      </c>
    </row>
    <row r="820" spans="1:39">
      <c r="A820" s="230"/>
      <c r="B820" s="37" t="str">
        <f>'8. Input IC huur Gasunie'!B276</f>
        <v>Asset 18</v>
      </c>
      <c r="F820" s="37" t="str">
        <f>'8. Input IC huur Gasunie'!F276</f>
        <v>38 ICT middelen 2</v>
      </c>
      <c r="G820" s="37">
        <f>'8. Input IC huur Gasunie'!G276</f>
        <v>2023</v>
      </c>
      <c r="H820" s="42">
        <f>'8. Input IC huur Gasunie'!H276</f>
        <v>6222.6743563099471</v>
      </c>
      <c r="I820" s="37">
        <f>'8. Input IC huur Gasunie'!I276</f>
        <v>10</v>
      </c>
      <c r="K820" s="43">
        <f t="shared" ref="K820:O835" si="695">IF($I820=0,0,IF($G820&lt;=K$801,VDB(ABS($H820),0,$I820,MAX(0,K$801-$G820-0.5),MIN(K$801-$G820+0.5),1),0))</f>
        <v>0</v>
      </c>
      <c r="L820" s="43">
        <f t="shared" si="695"/>
        <v>311.13371781549739</v>
      </c>
      <c r="M820" s="43">
        <f t="shared" si="695"/>
        <v>622.26743563099478</v>
      </c>
      <c r="N820" s="43">
        <f t="shared" si="695"/>
        <v>622.26743563099478</v>
      </c>
      <c r="O820" s="43">
        <f t="shared" si="695"/>
        <v>622.26743563099478</v>
      </c>
      <c r="Q820" s="47">
        <f t="shared" si="680"/>
        <v>0</v>
      </c>
      <c r="R820" s="47">
        <f t="shared" si="681"/>
        <v>5911.5406384944499</v>
      </c>
      <c r="S820" s="47">
        <f t="shared" si="682"/>
        <v>5289.2732028634555</v>
      </c>
      <c r="T820" s="47">
        <f t="shared" si="683"/>
        <v>4667.005767232461</v>
      </c>
      <c r="U820" s="47">
        <f t="shared" si="684"/>
        <v>4044.7383316014661</v>
      </c>
      <c r="W820" s="47">
        <f t="shared" si="685"/>
        <v>0</v>
      </c>
      <c r="X820" s="47">
        <f>(L820+R820*J$16)</f>
        <v>506.21455888581426</v>
      </c>
      <c r="Y820" s="47">
        <f t="shared" si="687"/>
        <v>823.25981733980609</v>
      </c>
      <c r="Z820" s="47">
        <f>(N820+T820*L$16)</f>
        <v>799.61365478582832</v>
      </c>
      <c r="AA820" s="47">
        <f t="shared" si="689"/>
        <v>775.96749223185043</v>
      </c>
      <c r="AC820" s="47">
        <f t="shared" ref="AC820:AG835" si="696">IF(AC$801&gt;=$G820,$H820*INDEX($G$40:$M$46,$G820-2019,AC$801-2019)*INDEX($G$49:$M$55,$G820-2019,AC$801-2019)*$F$28,0)</f>
        <v>0</v>
      </c>
      <c r="AD820" s="47">
        <f t="shared" si="696"/>
        <v>62.226743563099475</v>
      </c>
      <c r="AE820" s="47">
        <f t="shared" si="696"/>
        <v>66.936063515954842</v>
      </c>
      <c r="AF820" s="47">
        <f t="shared" si="696"/>
        <v>68.535032201223984</v>
      </c>
      <c r="AG820" s="47">
        <f t="shared" si="696"/>
        <v>69.421327237650189</v>
      </c>
      <c r="AI820" s="47">
        <f t="shared" si="690"/>
        <v>0</v>
      </c>
      <c r="AJ820" s="47">
        <f t="shared" si="691"/>
        <v>568.44130244891369</v>
      </c>
      <c r="AK820" s="47">
        <f>Y820+AE820</f>
        <v>890.19588085576095</v>
      </c>
      <c r="AL820" s="47">
        <f t="shared" si="693"/>
        <v>868.14868698705232</v>
      </c>
      <c r="AM820" s="47">
        <f t="shared" si="694"/>
        <v>845.38881946950062</v>
      </c>
    </row>
    <row r="821" spans="1:39" s="230" customFormat="1">
      <c r="B821" s="37" t="str">
        <f>'8. Input IC huur Gasunie'!B277</f>
        <v>Asset 19</v>
      </c>
      <c r="C821" s="3"/>
      <c r="D821" s="3"/>
      <c r="E821" s="3"/>
      <c r="F821" s="37" t="str">
        <f>'8. Input IC huur Gasunie'!F277</f>
        <v>20 Kantoorgebouwen</v>
      </c>
      <c r="G821" s="37">
        <f>'8. Input IC huur Gasunie'!G277</f>
        <v>2024</v>
      </c>
      <c r="H821" s="42">
        <f>'8. Input IC huur Gasunie'!H277</f>
        <v>34319.620000000003</v>
      </c>
      <c r="I821" s="37">
        <f>'8. Input IC huur Gasunie'!I277</f>
        <v>30</v>
      </c>
      <c r="J821" s="3"/>
      <c r="K821" s="43">
        <f t="shared" si="695"/>
        <v>0</v>
      </c>
      <c r="L821" s="43">
        <f t="shared" si="695"/>
        <v>0</v>
      </c>
      <c r="M821" s="43">
        <f t="shared" si="695"/>
        <v>571.99366666666674</v>
      </c>
      <c r="N821" s="43">
        <f t="shared" si="695"/>
        <v>1143.9873333333333</v>
      </c>
      <c r="O821" s="43">
        <f t="shared" si="695"/>
        <v>1143.9873333333333</v>
      </c>
      <c r="P821" s="3"/>
      <c r="Q821" s="47">
        <f t="shared" ref="Q821:Q835" si="697">IF($I821=0,$H821,IF(OR($G821&gt;Q$801,$G821+$I821&lt;=Q$801),0,IF($G821=Q$801,$H821-K821,$H821-K821)))</f>
        <v>0</v>
      </c>
      <c r="R821" s="47">
        <f t="shared" ref="R821:R835" si="698">IF($I821=0,$H821,IF(OR($G821&gt;R$801,$G821+$I821&lt;=R$801),0,IF($G821=R$801,$H821-L821,Q821-L821)))</f>
        <v>0</v>
      </c>
      <c r="S821" s="47">
        <f t="shared" ref="S821:S835" si="699">IF($I821=0,$H821,IF(OR($G821&gt;S$801,$G821+$I821&lt;=S$801),0,IF($G821=S$801,$H821-M821,R821-M821)))</f>
        <v>33747.626333333334</v>
      </c>
      <c r="T821" s="47">
        <f t="shared" ref="T821:T835" si="700">IF($I821=0,$H821,IF(OR($G821&gt;T$801,$G821+$I821&lt;=T$801),0,IF($G821=T$801,$H821-N821,S821-N821)))</f>
        <v>32603.638999999999</v>
      </c>
      <c r="U821" s="47">
        <f t="shared" ref="U821:U835" si="701">IF($I821=0,$H821,IF(OR($G821&gt;U$801,$G821+$I821&lt;=U$801),0,IF($G821=U$801,$H821-O821,T821-O821)))</f>
        <v>31459.651666666665</v>
      </c>
      <c r="V821" s="3"/>
      <c r="W821" s="47">
        <f t="shared" ref="W821:W835" si="702">(K821+Q821*I$16)</f>
        <v>0</v>
      </c>
      <c r="X821" s="47">
        <f t="shared" ref="X821:X835" si="703">(L821+R821*J$16)</f>
        <v>0</v>
      </c>
      <c r="Y821" s="47">
        <f t="shared" ref="Y821:Y835" si="704">(M821+S821*K$16)</f>
        <v>1854.4034673333333</v>
      </c>
      <c r="Z821" s="47">
        <f t="shared" ref="Z821:Z835" si="705">(N821+T821*L$16)</f>
        <v>2382.9256153333331</v>
      </c>
      <c r="AA821" s="47">
        <f t="shared" ref="AA821:AA835" si="706">(O821+U821*M$16)</f>
        <v>2339.4540966666664</v>
      </c>
      <c r="AB821" s="3"/>
      <c r="AC821" s="47">
        <f t="shared" si="696"/>
        <v>0</v>
      </c>
      <c r="AD821" s="47">
        <f t="shared" si="696"/>
        <v>0</v>
      </c>
      <c r="AE821" s="47">
        <f t="shared" si="696"/>
        <v>343.19620000000003</v>
      </c>
      <c r="AF821" s="47">
        <f t="shared" si="696"/>
        <v>351.39447082560002</v>
      </c>
      <c r="AG821" s="47">
        <f t="shared" si="696"/>
        <v>355.93870412231672</v>
      </c>
      <c r="AH821" s="3"/>
      <c r="AI821" s="47">
        <f t="shared" ref="AI821:AI835" si="707">W821+AC821</f>
        <v>0</v>
      </c>
      <c r="AJ821" s="47">
        <f t="shared" ref="AJ821:AJ835" si="708">X821+AD821</f>
        <v>0</v>
      </c>
      <c r="AK821" s="47">
        <f t="shared" ref="AK821:AK835" si="709">Y821+AE821</f>
        <v>2197.5996673333334</v>
      </c>
      <c r="AL821" s="47">
        <f t="shared" ref="AL821:AL835" si="710">Z821+AF821</f>
        <v>2734.320086158933</v>
      </c>
      <c r="AM821" s="47">
        <f t="shared" ref="AM821:AM835" si="711">AA821+AG821</f>
        <v>2695.3928007889831</v>
      </c>
    </row>
    <row r="822" spans="1:39" s="230" customFormat="1">
      <c r="B822" s="37" t="str">
        <f>'8. Input IC huur Gasunie'!B278</f>
        <v>Asset 20</v>
      </c>
      <c r="C822" s="3"/>
      <c r="D822" s="3"/>
      <c r="E822" s="3"/>
      <c r="F822" s="37" t="str">
        <f>'8. Input IC huur Gasunie'!F278</f>
        <v>20 Kantoorgebouwen</v>
      </c>
      <c r="G822" s="37">
        <f>'8. Input IC huur Gasunie'!G278</f>
        <v>2024</v>
      </c>
      <c r="H822" s="42">
        <f>'8. Input IC huur Gasunie'!H278</f>
        <v>7115.03</v>
      </c>
      <c r="I822" s="37">
        <f>'8. Input IC huur Gasunie'!I278</f>
        <v>30</v>
      </c>
      <c r="J822" s="3"/>
      <c r="K822" s="43">
        <f t="shared" si="695"/>
        <v>0</v>
      </c>
      <c r="L822" s="43">
        <f t="shared" si="695"/>
        <v>0</v>
      </c>
      <c r="M822" s="43">
        <f t="shared" si="695"/>
        <v>118.58383333333333</v>
      </c>
      <c r="N822" s="43">
        <f t="shared" si="695"/>
        <v>237.16766666666666</v>
      </c>
      <c r="O822" s="43">
        <f t="shared" si="695"/>
        <v>237.16766666666666</v>
      </c>
      <c r="P822" s="3"/>
      <c r="Q822" s="47">
        <f t="shared" si="697"/>
        <v>0</v>
      </c>
      <c r="R822" s="47">
        <f t="shared" si="698"/>
        <v>0</v>
      </c>
      <c r="S822" s="47">
        <f t="shared" si="699"/>
        <v>6996.4461666666666</v>
      </c>
      <c r="T822" s="47">
        <f t="shared" si="700"/>
        <v>6759.2785000000003</v>
      </c>
      <c r="U822" s="47">
        <f t="shared" si="701"/>
        <v>6522.1108333333341</v>
      </c>
      <c r="V822" s="3"/>
      <c r="W822" s="47">
        <f t="shared" si="702"/>
        <v>0</v>
      </c>
      <c r="X822" s="47">
        <f t="shared" si="703"/>
        <v>0</v>
      </c>
      <c r="Y822" s="47">
        <f t="shared" si="704"/>
        <v>384.4487876666667</v>
      </c>
      <c r="Z822" s="47">
        <f t="shared" si="705"/>
        <v>494.02024966666664</v>
      </c>
      <c r="AA822" s="47">
        <f t="shared" si="706"/>
        <v>485.00787833333334</v>
      </c>
      <c r="AB822" s="3"/>
      <c r="AC822" s="47">
        <f t="shared" si="696"/>
        <v>0</v>
      </c>
      <c r="AD822" s="47">
        <f t="shared" si="696"/>
        <v>0</v>
      </c>
      <c r="AE822" s="47">
        <f t="shared" si="696"/>
        <v>71.150300000000001</v>
      </c>
      <c r="AF822" s="47">
        <f t="shared" si="696"/>
        <v>72.849938366399996</v>
      </c>
      <c r="AG822" s="47">
        <f t="shared" si="696"/>
        <v>73.792033769354262</v>
      </c>
      <c r="AH822" s="3"/>
      <c r="AI822" s="47">
        <f t="shared" si="707"/>
        <v>0</v>
      </c>
      <c r="AJ822" s="47">
        <f t="shared" si="708"/>
        <v>0</v>
      </c>
      <c r="AK822" s="47">
        <f t="shared" si="709"/>
        <v>455.59908766666672</v>
      </c>
      <c r="AL822" s="47">
        <f t="shared" si="710"/>
        <v>566.8701880330666</v>
      </c>
      <c r="AM822" s="47">
        <f t="shared" si="711"/>
        <v>558.79991210268759</v>
      </c>
    </row>
    <row r="823" spans="1:39" s="230" customFormat="1">
      <c r="B823" s="37" t="str">
        <f>'8. Input IC huur Gasunie'!B279</f>
        <v>Asset 21</v>
      </c>
      <c r="C823" s="3"/>
      <c r="D823" s="3"/>
      <c r="E823" s="3"/>
      <c r="F823" s="37" t="str">
        <f>'8. Input IC huur Gasunie'!F279</f>
        <v>20 Kantoorgebouwen</v>
      </c>
      <c r="G823" s="37">
        <f>'8. Input IC huur Gasunie'!G279</f>
        <v>2024</v>
      </c>
      <c r="H823" s="42">
        <f>'8. Input IC huur Gasunie'!H279</f>
        <v>5441710.2199999997</v>
      </c>
      <c r="I823" s="37">
        <f>'8. Input IC huur Gasunie'!I279</f>
        <v>30</v>
      </c>
      <c r="J823" s="3"/>
      <c r="K823" s="43">
        <f t="shared" si="695"/>
        <v>0</v>
      </c>
      <c r="L823" s="43">
        <f t="shared" si="695"/>
        <v>0</v>
      </c>
      <c r="M823" s="43">
        <f t="shared" si="695"/>
        <v>90695.170333333328</v>
      </c>
      <c r="N823" s="43">
        <f t="shared" si="695"/>
        <v>181390.34066666666</v>
      </c>
      <c r="O823" s="43">
        <f t="shared" si="695"/>
        <v>181390.34066666666</v>
      </c>
      <c r="P823" s="3"/>
      <c r="Q823" s="47">
        <f t="shared" si="697"/>
        <v>0</v>
      </c>
      <c r="R823" s="47">
        <f t="shared" si="698"/>
        <v>0</v>
      </c>
      <c r="S823" s="47">
        <f t="shared" si="699"/>
        <v>5351015.0496666664</v>
      </c>
      <c r="T823" s="47">
        <f t="shared" si="700"/>
        <v>5169624.7089999998</v>
      </c>
      <c r="U823" s="47">
        <f t="shared" si="701"/>
        <v>4988234.3683333332</v>
      </c>
      <c r="V823" s="3"/>
      <c r="W823" s="47">
        <f t="shared" si="702"/>
        <v>0</v>
      </c>
      <c r="X823" s="47">
        <f t="shared" si="703"/>
        <v>0</v>
      </c>
      <c r="Y823" s="47">
        <f t="shared" si="704"/>
        <v>294033.74222066667</v>
      </c>
      <c r="Z823" s="47">
        <f t="shared" si="705"/>
        <v>377836.07960866665</v>
      </c>
      <c r="AA823" s="47">
        <f t="shared" si="706"/>
        <v>370943.24666333332</v>
      </c>
      <c r="AB823" s="3"/>
      <c r="AC823" s="47">
        <f t="shared" si="696"/>
        <v>0</v>
      </c>
      <c r="AD823" s="47">
        <f t="shared" si="696"/>
        <v>0</v>
      </c>
      <c r="AE823" s="47">
        <f t="shared" si="696"/>
        <v>54417.102200000001</v>
      </c>
      <c r="AF823" s="47">
        <f t="shared" si="696"/>
        <v>55717.017937353601</v>
      </c>
      <c r="AG823" s="47">
        <f t="shared" si="696"/>
        <v>56437.550413319448</v>
      </c>
      <c r="AH823" s="3"/>
      <c r="AI823" s="47">
        <f t="shared" si="707"/>
        <v>0</v>
      </c>
      <c r="AJ823" s="47">
        <f t="shared" si="708"/>
        <v>0</v>
      </c>
      <c r="AK823" s="47">
        <f t="shared" si="709"/>
        <v>348450.84442066669</v>
      </c>
      <c r="AL823" s="47">
        <f t="shared" si="710"/>
        <v>433553.09754602023</v>
      </c>
      <c r="AM823" s="47">
        <f t="shared" si="711"/>
        <v>427380.79707665276</v>
      </c>
    </row>
    <row r="824" spans="1:39" s="230" customFormat="1">
      <c r="B824" s="37" t="str">
        <f>'8. Input IC huur Gasunie'!B280</f>
        <v>Asset 22</v>
      </c>
      <c r="C824" s="3"/>
      <c r="D824" s="3"/>
      <c r="E824" s="3"/>
      <c r="F824" s="37" t="str">
        <f>'8. Input IC huur Gasunie'!F280</f>
        <v>20 Kantoorgebouwen</v>
      </c>
      <c r="G824" s="37">
        <f>'8. Input IC huur Gasunie'!G280</f>
        <v>2024</v>
      </c>
      <c r="H824" s="42">
        <f>'8. Input IC huur Gasunie'!H280</f>
        <v>872258.5</v>
      </c>
      <c r="I824" s="37">
        <f>'8. Input IC huur Gasunie'!I280</f>
        <v>30</v>
      </c>
      <c r="J824" s="3"/>
      <c r="K824" s="43">
        <f t="shared" si="695"/>
        <v>0</v>
      </c>
      <c r="L824" s="43">
        <f t="shared" si="695"/>
        <v>0</v>
      </c>
      <c r="M824" s="43">
        <f t="shared" si="695"/>
        <v>14537.641666666666</v>
      </c>
      <c r="N824" s="43">
        <f t="shared" si="695"/>
        <v>29075.283333333333</v>
      </c>
      <c r="O824" s="43">
        <f t="shared" si="695"/>
        <v>29075.283333333333</v>
      </c>
      <c r="P824" s="3"/>
      <c r="Q824" s="47">
        <f t="shared" si="697"/>
        <v>0</v>
      </c>
      <c r="R824" s="47">
        <f t="shared" si="698"/>
        <v>0</v>
      </c>
      <c r="S824" s="47">
        <f t="shared" si="699"/>
        <v>857720.85833333328</v>
      </c>
      <c r="T824" s="47">
        <f t="shared" si="700"/>
        <v>828645.57499999995</v>
      </c>
      <c r="U824" s="47">
        <f t="shared" si="701"/>
        <v>799570.29166666663</v>
      </c>
      <c r="V824" s="3"/>
      <c r="W824" s="47">
        <f t="shared" si="702"/>
        <v>0</v>
      </c>
      <c r="X824" s="47">
        <f t="shared" si="703"/>
        <v>0</v>
      </c>
      <c r="Y824" s="47">
        <f t="shared" si="704"/>
        <v>47131.034283333327</v>
      </c>
      <c r="Z824" s="47">
        <f t="shared" si="705"/>
        <v>60563.815183333325</v>
      </c>
      <c r="AA824" s="47">
        <f t="shared" si="706"/>
        <v>59458.95441666666</v>
      </c>
      <c r="AB824" s="3"/>
      <c r="AC824" s="47">
        <f t="shared" si="696"/>
        <v>0</v>
      </c>
      <c r="AD824" s="47">
        <f t="shared" si="696"/>
        <v>0</v>
      </c>
      <c r="AE824" s="47">
        <f t="shared" si="696"/>
        <v>8722.5850000000009</v>
      </c>
      <c r="AF824" s="47">
        <f t="shared" si="696"/>
        <v>8930.9501104800001</v>
      </c>
      <c r="AG824" s="47">
        <f t="shared" si="696"/>
        <v>9046.4451573087263</v>
      </c>
      <c r="AH824" s="3"/>
      <c r="AI824" s="47">
        <f t="shared" si="707"/>
        <v>0</v>
      </c>
      <c r="AJ824" s="47">
        <f t="shared" si="708"/>
        <v>0</v>
      </c>
      <c r="AK824" s="47">
        <f t="shared" si="709"/>
        <v>55853.619283333326</v>
      </c>
      <c r="AL824" s="47">
        <f t="shared" si="710"/>
        <v>69494.765293813325</v>
      </c>
      <c r="AM824" s="47">
        <f t="shared" si="711"/>
        <v>68505.399573975388</v>
      </c>
    </row>
    <row r="825" spans="1:39" s="230" customFormat="1">
      <c r="B825" s="37" t="str">
        <f>'8. Input IC huur Gasunie'!B281</f>
        <v>Asset 23</v>
      </c>
      <c r="C825" s="3"/>
      <c r="D825" s="3"/>
      <c r="E825" s="3"/>
      <c r="F825" s="37" t="str">
        <f>'8. Input IC huur Gasunie'!F281</f>
        <v>05 Wegen en terreinvoorzieningen</v>
      </c>
      <c r="G825" s="37">
        <f>'8. Input IC huur Gasunie'!G281</f>
        <v>2024</v>
      </c>
      <c r="H825" s="42">
        <f>'8. Input IC huur Gasunie'!H281</f>
        <v>949.25</v>
      </c>
      <c r="I825" s="37">
        <f>'8. Input IC huur Gasunie'!I281</f>
        <v>10</v>
      </c>
      <c r="J825" s="3"/>
      <c r="K825" s="43">
        <f t="shared" si="695"/>
        <v>0</v>
      </c>
      <c r="L825" s="43">
        <f t="shared" si="695"/>
        <v>0</v>
      </c>
      <c r="M825" s="43">
        <f t="shared" si="695"/>
        <v>47.462500000000006</v>
      </c>
      <c r="N825" s="43">
        <f t="shared" si="695"/>
        <v>94.924999999999997</v>
      </c>
      <c r="O825" s="43">
        <f t="shared" si="695"/>
        <v>94.924999999999997</v>
      </c>
      <c r="P825" s="3"/>
      <c r="Q825" s="47">
        <f t="shared" si="697"/>
        <v>0</v>
      </c>
      <c r="R825" s="47">
        <f t="shared" si="698"/>
        <v>0</v>
      </c>
      <c r="S825" s="47">
        <f t="shared" si="699"/>
        <v>901.78750000000002</v>
      </c>
      <c r="T825" s="47">
        <f t="shared" si="700"/>
        <v>806.86250000000007</v>
      </c>
      <c r="U825" s="47">
        <f t="shared" si="701"/>
        <v>711.93750000000011</v>
      </c>
      <c r="V825" s="3"/>
      <c r="W825" s="47">
        <f t="shared" si="702"/>
        <v>0</v>
      </c>
      <c r="X825" s="47">
        <f t="shared" si="703"/>
        <v>0</v>
      </c>
      <c r="Y825" s="47">
        <f t="shared" si="704"/>
        <v>81.730424999999997</v>
      </c>
      <c r="Z825" s="47">
        <f t="shared" si="705"/>
        <v>125.585775</v>
      </c>
      <c r="AA825" s="47">
        <f t="shared" si="706"/>
        <v>121.97862499999999</v>
      </c>
      <c r="AB825" s="3"/>
      <c r="AC825" s="47">
        <f t="shared" si="696"/>
        <v>0</v>
      </c>
      <c r="AD825" s="47">
        <f t="shared" si="696"/>
        <v>0</v>
      </c>
      <c r="AE825" s="47">
        <f t="shared" si="696"/>
        <v>9.4924999999999997</v>
      </c>
      <c r="AF825" s="47">
        <f t="shared" si="696"/>
        <v>9.7192568399999999</v>
      </c>
      <c r="AG825" s="47">
        <f t="shared" si="696"/>
        <v>9.8449462694548782</v>
      </c>
      <c r="AH825" s="3"/>
      <c r="AI825" s="47">
        <f t="shared" si="707"/>
        <v>0</v>
      </c>
      <c r="AJ825" s="47">
        <f t="shared" si="708"/>
        <v>0</v>
      </c>
      <c r="AK825" s="47">
        <f t="shared" si="709"/>
        <v>91.222925000000004</v>
      </c>
      <c r="AL825" s="47">
        <f t="shared" si="710"/>
        <v>135.30503184</v>
      </c>
      <c r="AM825" s="47">
        <f t="shared" si="711"/>
        <v>131.82357126945487</v>
      </c>
    </row>
    <row r="826" spans="1:39" s="230" customFormat="1">
      <c r="B826" s="37" t="str">
        <f>'8. Input IC huur Gasunie'!B282</f>
        <v>Asset 24</v>
      </c>
      <c r="C826" s="3"/>
      <c r="D826" s="3"/>
      <c r="E826" s="3"/>
      <c r="F826" s="37" t="str">
        <f>'8. Input IC huur Gasunie'!F282</f>
        <v>10 Gereedschap</v>
      </c>
      <c r="G826" s="37">
        <f>'8. Input IC huur Gasunie'!G282</f>
        <v>2024</v>
      </c>
      <c r="H826" s="42">
        <f>'8. Input IC huur Gasunie'!H282</f>
        <v>57302.38</v>
      </c>
      <c r="I826" s="37">
        <f>'8. Input IC huur Gasunie'!I282</f>
        <v>10</v>
      </c>
      <c r="J826" s="3"/>
      <c r="K826" s="43">
        <f t="shared" si="695"/>
        <v>0</v>
      </c>
      <c r="L826" s="43">
        <f t="shared" si="695"/>
        <v>0</v>
      </c>
      <c r="M826" s="43">
        <f t="shared" si="695"/>
        <v>2865.1190000000001</v>
      </c>
      <c r="N826" s="43">
        <f t="shared" si="695"/>
        <v>5730.2380000000003</v>
      </c>
      <c r="O826" s="43">
        <f t="shared" si="695"/>
        <v>5730.2380000000003</v>
      </c>
      <c r="P826" s="3"/>
      <c r="Q826" s="47">
        <f t="shared" si="697"/>
        <v>0</v>
      </c>
      <c r="R826" s="47">
        <f t="shared" si="698"/>
        <v>0</v>
      </c>
      <c r="S826" s="47">
        <f t="shared" si="699"/>
        <v>54437.260999999999</v>
      </c>
      <c r="T826" s="47">
        <f t="shared" si="700"/>
        <v>48707.023000000001</v>
      </c>
      <c r="U826" s="47">
        <f t="shared" si="701"/>
        <v>42976.785000000003</v>
      </c>
      <c r="V826" s="3"/>
      <c r="W826" s="47">
        <f t="shared" si="702"/>
        <v>0</v>
      </c>
      <c r="X826" s="47">
        <f t="shared" si="703"/>
        <v>0</v>
      </c>
      <c r="Y826" s="47">
        <f t="shared" si="704"/>
        <v>4933.7349180000001</v>
      </c>
      <c r="Z826" s="47">
        <f t="shared" si="705"/>
        <v>7581.1048740000006</v>
      </c>
      <c r="AA826" s="47">
        <f t="shared" si="706"/>
        <v>7363.3558300000004</v>
      </c>
      <c r="AB826" s="3"/>
      <c r="AC826" s="47">
        <f t="shared" si="696"/>
        <v>0</v>
      </c>
      <c r="AD826" s="47">
        <f t="shared" si="696"/>
        <v>0</v>
      </c>
      <c r="AE826" s="47">
        <f t="shared" si="696"/>
        <v>573.02379999999994</v>
      </c>
      <c r="AF826" s="47">
        <f t="shared" si="696"/>
        <v>586.71219253439995</v>
      </c>
      <c r="AG826" s="47">
        <f t="shared" si="696"/>
        <v>594.29955460825465</v>
      </c>
      <c r="AH826" s="3"/>
      <c r="AI826" s="47">
        <f t="shared" si="707"/>
        <v>0</v>
      </c>
      <c r="AJ826" s="47">
        <f t="shared" si="708"/>
        <v>0</v>
      </c>
      <c r="AK826" s="47">
        <f t="shared" si="709"/>
        <v>5506.758718</v>
      </c>
      <c r="AL826" s="47">
        <f t="shared" si="710"/>
        <v>8167.8170665344005</v>
      </c>
      <c r="AM826" s="47">
        <f t="shared" si="711"/>
        <v>7957.6553846082552</v>
      </c>
    </row>
    <row r="827" spans="1:39" s="230" customFormat="1">
      <c r="B827" s="37" t="str">
        <f>'8. Input IC huur Gasunie'!B283</f>
        <v>Asset 25</v>
      </c>
      <c r="C827" s="3"/>
      <c r="D827" s="3"/>
      <c r="E827" s="3"/>
      <c r="F827" s="37" t="str">
        <f>'8. Input IC huur Gasunie'!F283</f>
        <v>10 Gereedschap</v>
      </c>
      <c r="G827" s="37">
        <f>'8. Input IC huur Gasunie'!G283</f>
        <v>2024</v>
      </c>
      <c r="H827" s="42">
        <f>'8. Input IC huur Gasunie'!H283</f>
        <v>543.80999999999995</v>
      </c>
      <c r="I827" s="37">
        <f>'8. Input IC huur Gasunie'!I283</f>
        <v>10</v>
      </c>
      <c r="J827" s="3"/>
      <c r="K827" s="43">
        <f t="shared" si="695"/>
        <v>0</v>
      </c>
      <c r="L827" s="43">
        <f t="shared" si="695"/>
        <v>0</v>
      </c>
      <c r="M827" s="43">
        <f t="shared" si="695"/>
        <v>27.1905</v>
      </c>
      <c r="N827" s="43">
        <f t="shared" si="695"/>
        <v>54.380999999999993</v>
      </c>
      <c r="O827" s="43">
        <f t="shared" si="695"/>
        <v>54.380999999999993</v>
      </c>
      <c r="P827" s="3"/>
      <c r="Q827" s="47">
        <f t="shared" si="697"/>
        <v>0</v>
      </c>
      <c r="R827" s="47">
        <f t="shared" si="698"/>
        <v>0</v>
      </c>
      <c r="S827" s="47">
        <f t="shared" si="699"/>
        <v>516.6194999999999</v>
      </c>
      <c r="T827" s="47">
        <f t="shared" si="700"/>
        <v>462.23849999999993</v>
      </c>
      <c r="U827" s="47">
        <f t="shared" si="701"/>
        <v>407.85749999999996</v>
      </c>
      <c r="V827" s="3"/>
      <c r="W827" s="47">
        <f t="shared" si="702"/>
        <v>0</v>
      </c>
      <c r="X827" s="47">
        <f t="shared" si="703"/>
        <v>0</v>
      </c>
      <c r="Y827" s="47">
        <f t="shared" si="704"/>
        <v>46.822040999999999</v>
      </c>
      <c r="Z827" s="47">
        <f t="shared" si="705"/>
        <v>71.946062999999995</v>
      </c>
      <c r="AA827" s="47">
        <f t="shared" si="706"/>
        <v>69.879584999999992</v>
      </c>
      <c r="AB827" s="3"/>
      <c r="AC827" s="47">
        <f t="shared" si="696"/>
        <v>0</v>
      </c>
      <c r="AD827" s="47">
        <f t="shared" si="696"/>
        <v>0</v>
      </c>
      <c r="AE827" s="47">
        <f t="shared" si="696"/>
        <v>5.4380999999999995</v>
      </c>
      <c r="AF827" s="47">
        <f t="shared" si="696"/>
        <v>5.5680053327999994</v>
      </c>
      <c r="AG827" s="47">
        <f t="shared" si="696"/>
        <v>5.6400107777637691</v>
      </c>
      <c r="AH827" s="3"/>
      <c r="AI827" s="47">
        <f t="shared" si="707"/>
        <v>0</v>
      </c>
      <c r="AJ827" s="47">
        <f t="shared" si="708"/>
        <v>0</v>
      </c>
      <c r="AK827" s="47">
        <f t="shared" si="709"/>
        <v>52.260140999999997</v>
      </c>
      <c r="AL827" s="47">
        <f t="shared" si="710"/>
        <v>77.514068332799994</v>
      </c>
      <c r="AM827" s="47">
        <f t="shared" si="711"/>
        <v>75.519595777763755</v>
      </c>
    </row>
    <row r="828" spans="1:39" s="230" customFormat="1">
      <c r="B828" s="37" t="str">
        <f>'8. Input IC huur Gasunie'!B284</f>
        <v>Asset 26</v>
      </c>
      <c r="C828" s="3"/>
      <c r="D828" s="3"/>
      <c r="E828" s="3"/>
      <c r="F828" s="37" t="str">
        <f>'8. Input IC huur Gasunie'!F284</f>
        <v>37 ICT middelen 1</v>
      </c>
      <c r="G828" s="37">
        <f>'8. Input IC huur Gasunie'!G284</f>
        <v>2024</v>
      </c>
      <c r="H828" s="42">
        <f>'8. Input IC huur Gasunie'!H284</f>
        <v>1487353.31</v>
      </c>
      <c r="I828" s="37">
        <f>'8. Input IC huur Gasunie'!I284</f>
        <v>5</v>
      </c>
      <c r="J828" s="3"/>
      <c r="K828" s="43">
        <f t="shared" si="695"/>
        <v>0</v>
      </c>
      <c r="L828" s="43">
        <f t="shared" si="695"/>
        <v>0</v>
      </c>
      <c r="M828" s="43">
        <f t="shared" si="695"/>
        <v>148735.33100000001</v>
      </c>
      <c r="N828" s="43">
        <f t="shared" si="695"/>
        <v>297470.66200000001</v>
      </c>
      <c r="O828" s="43">
        <f t="shared" si="695"/>
        <v>297470.66200000001</v>
      </c>
      <c r="P828" s="3"/>
      <c r="Q828" s="47">
        <f t="shared" si="697"/>
        <v>0</v>
      </c>
      <c r="R828" s="47">
        <f t="shared" si="698"/>
        <v>0</v>
      </c>
      <c r="S828" s="47">
        <f t="shared" si="699"/>
        <v>1338617.9790000001</v>
      </c>
      <c r="T828" s="47">
        <f t="shared" si="700"/>
        <v>1041147.317</v>
      </c>
      <c r="U828" s="47">
        <f t="shared" si="701"/>
        <v>743676.65500000003</v>
      </c>
      <c r="V828" s="3"/>
      <c r="W828" s="47">
        <f t="shared" si="702"/>
        <v>0</v>
      </c>
      <c r="X828" s="47">
        <f t="shared" si="703"/>
        <v>0</v>
      </c>
      <c r="Y828" s="47">
        <f t="shared" si="704"/>
        <v>199602.81420200001</v>
      </c>
      <c r="Z828" s="47">
        <f t="shared" si="705"/>
        <v>337034.26004600001</v>
      </c>
      <c r="AA828" s="47">
        <f t="shared" si="706"/>
        <v>325730.37489000004</v>
      </c>
      <c r="AB828" s="3"/>
      <c r="AC828" s="47">
        <f t="shared" si="696"/>
        <v>0</v>
      </c>
      <c r="AD828" s="47">
        <f t="shared" si="696"/>
        <v>0</v>
      </c>
      <c r="AE828" s="47">
        <f t="shared" si="696"/>
        <v>14873.533100000001</v>
      </c>
      <c r="AF828" s="47">
        <f t="shared" si="696"/>
        <v>15228.8320586928</v>
      </c>
      <c r="AG828" s="47">
        <f t="shared" si="696"/>
        <v>15425.771314875814</v>
      </c>
      <c r="AH828" s="3"/>
      <c r="AI828" s="47">
        <f t="shared" si="707"/>
        <v>0</v>
      </c>
      <c r="AJ828" s="47">
        <f t="shared" si="708"/>
        <v>0</v>
      </c>
      <c r="AK828" s="47">
        <f t="shared" si="709"/>
        <v>214476.34730200001</v>
      </c>
      <c r="AL828" s="47">
        <f t="shared" si="710"/>
        <v>352263.09210469283</v>
      </c>
      <c r="AM828" s="47">
        <f t="shared" si="711"/>
        <v>341156.14620487584</v>
      </c>
    </row>
    <row r="829" spans="1:39" s="230" customFormat="1">
      <c r="B829" s="37" t="str">
        <f>'8. Input IC huur Gasunie'!B285</f>
        <v>Asset 27</v>
      </c>
      <c r="C829" s="3"/>
      <c r="D829" s="3"/>
      <c r="E829" s="3"/>
      <c r="F829" s="37" t="str">
        <f>'8. Input IC huur Gasunie'!F285</f>
        <v>37 ICT middelen 1</v>
      </c>
      <c r="G829" s="37">
        <f>'8. Input IC huur Gasunie'!G285</f>
        <v>2024</v>
      </c>
      <c r="H829" s="42">
        <f>'8. Input IC huur Gasunie'!H285</f>
        <v>936361.01</v>
      </c>
      <c r="I829" s="37">
        <f>'8. Input IC huur Gasunie'!I285</f>
        <v>5</v>
      </c>
      <c r="J829" s="3"/>
      <c r="K829" s="43">
        <f t="shared" si="695"/>
        <v>0</v>
      </c>
      <c r="L829" s="43">
        <f t="shared" si="695"/>
        <v>0</v>
      </c>
      <c r="M829" s="43">
        <f t="shared" si="695"/>
        <v>93636.10100000001</v>
      </c>
      <c r="N829" s="43">
        <f t="shared" si="695"/>
        <v>187272.20199999999</v>
      </c>
      <c r="O829" s="43">
        <f t="shared" si="695"/>
        <v>187272.20199999999</v>
      </c>
      <c r="P829" s="3"/>
      <c r="Q829" s="47">
        <f t="shared" si="697"/>
        <v>0</v>
      </c>
      <c r="R829" s="47">
        <f t="shared" si="698"/>
        <v>0</v>
      </c>
      <c r="S829" s="47">
        <f t="shared" si="699"/>
        <v>842724.90899999999</v>
      </c>
      <c r="T829" s="47">
        <f t="shared" si="700"/>
        <v>655452.70699999994</v>
      </c>
      <c r="U829" s="47">
        <f t="shared" si="701"/>
        <v>468180.50499999995</v>
      </c>
      <c r="V829" s="3"/>
      <c r="W829" s="47">
        <f t="shared" si="702"/>
        <v>0</v>
      </c>
      <c r="X829" s="47">
        <f t="shared" si="703"/>
        <v>0</v>
      </c>
      <c r="Y829" s="47">
        <f t="shared" si="704"/>
        <v>125659.64754200001</v>
      </c>
      <c r="Z829" s="47">
        <f t="shared" si="705"/>
        <v>212179.404866</v>
      </c>
      <c r="AA829" s="47">
        <f t="shared" si="706"/>
        <v>205063.06118999998</v>
      </c>
      <c r="AB829" s="3"/>
      <c r="AC829" s="47">
        <f t="shared" si="696"/>
        <v>0</v>
      </c>
      <c r="AD829" s="47">
        <f t="shared" si="696"/>
        <v>0</v>
      </c>
      <c r="AE829" s="47">
        <f t="shared" si="696"/>
        <v>9363.6100999999999</v>
      </c>
      <c r="AF829" s="47">
        <f t="shared" si="696"/>
        <v>9587.2880180688007</v>
      </c>
      <c r="AG829" s="47">
        <f t="shared" si="696"/>
        <v>9711.2708267184644</v>
      </c>
      <c r="AH829" s="3"/>
      <c r="AI829" s="47">
        <f t="shared" si="707"/>
        <v>0</v>
      </c>
      <c r="AJ829" s="47">
        <f t="shared" si="708"/>
        <v>0</v>
      </c>
      <c r="AK829" s="47">
        <f t="shared" si="709"/>
        <v>135023.25764200001</v>
      </c>
      <c r="AL829" s="47">
        <f t="shared" si="710"/>
        <v>221766.69288406879</v>
      </c>
      <c r="AM829" s="47">
        <f t="shared" si="711"/>
        <v>214774.33201671846</v>
      </c>
    </row>
    <row r="830" spans="1:39" s="230" customFormat="1">
      <c r="B830" s="37" t="str">
        <f>'8. Input IC huur Gasunie'!B286</f>
        <v>Asset 28</v>
      </c>
      <c r="C830" s="3"/>
      <c r="D830" s="3"/>
      <c r="E830" s="3"/>
      <c r="F830" s="37" t="str">
        <f>'8. Input IC huur Gasunie'!F286</f>
        <v>37 ICT middelen 1</v>
      </c>
      <c r="G830" s="37">
        <f>'8. Input IC huur Gasunie'!G286</f>
        <v>2024</v>
      </c>
      <c r="H830" s="42">
        <f>'8. Input IC huur Gasunie'!H286</f>
        <v>438039.14</v>
      </c>
      <c r="I830" s="37">
        <f>'8. Input IC huur Gasunie'!I286</f>
        <v>5</v>
      </c>
      <c r="J830" s="3"/>
      <c r="K830" s="43">
        <f t="shared" si="695"/>
        <v>0</v>
      </c>
      <c r="L830" s="43">
        <f t="shared" si="695"/>
        <v>0</v>
      </c>
      <c r="M830" s="43">
        <f t="shared" si="695"/>
        <v>43803.914000000004</v>
      </c>
      <c r="N830" s="43">
        <f t="shared" si="695"/>
        <v>87607.828000000009</v>
      </c>
      <c r="O830" s="43">
        <f t="shared" si="695"/>
        <v>87607.828000000009</v>
      </c>
      <c r="P830" s="3"/>
      <c r="Q830" s="47">
        <f t="shared" si="697"/>
        <v>0</v>
      </c>
      <c r="R830" s="47">
        <f t="shared" si="698"/>
        <v>0</v>
      </c>
      <c r="S830" s="47">
        <f t="shared" si="699"/>
        <v>394235.22600000002</v>
      </c>
      <c r="T830" s="47">
        <f t="shared" si="700"/>
        <v>306627.39800000004</v>
      </c>
      <c r="U830" s="47">
        <f t="shared" si="701"/>
        <v>219019.57000000004</v>
      </c>
      <c r="V830" s="3"/>
      <c r="W830" s="47">
        <f t="shared" si="702"/>
        <v>0</v>
      </c>
      <c r="X830" s="47">
        <f t="shared" si="703"/>
        <v>0</v>
      </c>
      <c r="Y830" s="47">
        <f t="shared" si="704"/>
        <v>58784.852588000009</v>
      </c>
      <c r="Z830" s="47">
        <f t="shared" si="705"/>
        <v>99259.669124000007</v>
      </c>
      <c r="AA830" s="47">
        <f t="shared" si="706"/>
        <v>95930.571660000016</v>
      </c>
      <c r="AB830" s="3"/>
      <c r="AC830" s="47">
        <f t="shared" si="696"/>
        <v>0</v>
      </c>
      <c r="AD830" s="47">
        <f t="shared" si="696"/>
        <v>0</v>
      </c>
      <c r="AE830" s="47">
        <f t="shared" si="696"/>
        <v>4380.3914000000004</v>
      </c>
      <c r="AF830" s="47">
        <f t="shared" si="696"/>
        <v>4485.0301897631998</v>
      </c>
      <c r="AG830" s="47">
        <f t="shared" si="696"/>
        <v>4543.0306001772169</v>
      </c>
      <c r="AH830" s="3"/>
      <c r="AI830" s="47">
        <f t="shared" si="707"/>
        <v>0</v>
      </c>
      <c r="AJ830" s="47">
        <f t="shared" si="708"/>
        <v>0</v>
      </c>
      <c r="AK830" s="47">
        <f t="shared" si="709"/>
        <v>63165.243988000009</v>
      </c>
      <c r="AL830" s="47">
        <f t="shared" si="710"/>
        <v>103744.69931376321</v>
      </c>
      <c r="AM830" s="47">
        <f t="shared" si="711"/>
        <v>100473.60226017723</v>
      </c>
    </row>
    <row r="831" spans="1:39" s="230" customFormat="1">
      <c r="B831" s="37" t="str">
        <f>'8. Input IC huur Gasunie'!B287</f>
        <v>Asset 29</v>
      </c>
      <c r="C831" s="3"/>
      <c r="D831" s="3"/>
      <c r="E831" s="3"/>
      <c r="F831" s="37" t="str">
        <f>'8. Input IC huur Gasunie'!F287</f>
        <v>37 ICT middelen 1</v>
      </c>
      <c r="G831" s="37">
        <f>'8. Input IC huur Gasunie'!G287</f>
        <v>2024</v>
      </c>
      <c r="H831" s="42">
        <f>'8. Input IC huur Gasunie'!H287</f>
        <v>1519536.38</v>
      </c>
      <c r="I831" s="37">
        <f>'8. Input IC huur Gasunie'!I287</f>
        <v>5</v>
      </c>
      <c r="J831" s="3"/>
      <c r="K831" s="43">
        <f t="shared" si="695"/>
        <v>0</v>
      </c>
      <c r="L831" s="43">
        <f t="shared" si="695"/>
        <v>0</v>
      </c>
      <c r="M831" s="43">
        <f t="shared" si="695"/>
        <v>151953.63800000001</v>
      </c>
      <c r="N831" s="43">
        <f t="shared" si="695"/>
        <v>303907.27599999995</v>
      </c>
      <c r="O831" s="43">
        <f t="shared" si="695"/>
        <v>303907.27599999995</v>
      </c>
      <c r="P831" s="3"/>
      <c r="Q831" s="47">
        <f t="shared" si="697"/>
        <v>0</v>
      </c>
      <c r="R831" s="47">
        <f t="shared" si="698"/>
        <v>0</v>
      </c>
      <c r="S831" s="47">
        <f t="shared" si="699"/>
        <v>1367582.7419999999</v>
      </c>
      <c r="T831" s="47">
        <f t="shared" si="700"/>
        <v>1063675.466</v>
      </c>
      <c r="U831" s="47">
        <f t="shared" si="701"/>
        <v>759768.19000000006</v>
      </c>
      <c r="V831" s="3"/>
      <c r="W831" s="47">
        <f t="shared" si="702"/>
        <v>0</v>
      </c>
      <c r="X831" s="47">
        <f t="shared" si="703"/>
        <v>0</v>
      </c>
      <c r="Y831" s="47">
        <f t="shared" si="704"/>
        <v>203921.78219599999</v>
      </c>
      <c r="Z831" s="47">
        <f t="shared" si="705"/>
        <v>344326.94370799995</v>
      </c>
      <c r="AA831" s="47">
        <f t="shared" si="706"/>
        <v>332778.46721999993</v>
      </c>
      <c r="AB831" s="3"/>
      <c r="AC831" s="47">
        <f t="shared" si="696"/>
        <v>0</v>
      </c>
      <c r="AD831" s="47">
        <f t="shared" si="696"/>
        <v>0</v>
      </c>
      <c r="AE831" s="47">
        <f t="shared" si="696"/>
        <v>15195.363799999999</v>
      </c>
      <c r="AF831" s="47">
        <f t="shared" si="696"/>
        <v>15558.350650454402</v>
      </c>
      <c r="AG831" s="47">
        <f t="shared" si="696"/>
        <v>15759.551241066074</v>
      </c>
      <c r="AH831" s="3"/>
      <c r="AI831" s="47">
        <f t="shared" si="707"/>
        <v>0</v>
      </c>
      <c r="AJ831" s="47">
        <f t="shared" si="708"/>
        <v>0</v>
      </c>
      <c r="AK831" s="47">
        <f t="shared" si="709"/>
        <v>219117.14599599998</v>
      </c>
      <c r="AL831" s="47">
        <f t="shared" si="710"/>
        <v>359885.29435845435</v>
      </c>
      <c r="AM831" s="47">
        <f t="shared" si="711"/>
        <v>348538.01846106601</v>
      </c>
    </row>
    <row r="832" spans="1:39" s="230" customFormat="1">
      <c r="B832" s="37" t="str">
        <f>'8. Input IC huur Gasunie'!B288</f>
        <v>Asset 30</v>
      </c>
      <c r="C832" s="3"/>
      <c r="D832" s="3"/>
      <c r="E832" s="3"/>
      <c r="F832" s="37" t="str">
        <f>'8. Input IC huur Gasunie'!F288</f>
        <v>37 ICT middelen 1</v>
      </c>
      <c r="G832" s="37">
        <f>'8. Input IC huur Gasunie'!G288</f>
        <v>2024</v>
      </c>
      <c r="H832" s="42">
        <f>'8. Input IC huur Gasunie'!H288</f>
        <v>4539688.4400000004</v>
      </c>
      <c r="I832" s="37">
        <f>'8. Input IC huur Gasunie'!I288</f>
        <v>5</v>
      </c>
      <c r="J832" s="3"/>
      <c r="K832" s="43">
        <f t="shared" si="695"/>
        <v>0</v>
      </c>
      <c r="L832" s="43">
        <f t="shared" si="695"/>
        <v>0</v>
      </c>
      <c r="M832" s="43">
        <f t="shared" si="695"/>
        <v>453968.84400000004</v>
      </c>
      <c r="N832" s="43">
        <f t="shared" si="695"/>
        <v>907937.68800000008</v>
      </c>
      <c r="O832" s="43">
        <f t="shared" si="695"/>
        <v>907937.68800000008</v>
      </c>
      <c r="P832" s="3"/>
      <c r="Q832" s="47">
        <f t="shared" si="697"/>
        <v>0</v>
      </c>
      <c r="R832" s="47">
        <f t="shared" si="698"/>
        <v>0</v>
      </c>
      <c r="S832" s="47">
        <f t="shared" si="699"/>
        <v>4085719.5960000004</v>
      </c>
      <c r="T832" s="47">
        <f t="shared" si="700"/>
        <v>3177781.9080000003</v>
      </c>
      <c r="U832" s="47">
        <f t="shared" si="701"/>
        <v>2269844.2200000002</v>
      </c>
      <c r="V832" s="3"/>
      <c r="W832" s="47">
        <f t="shared" si="702"/>
        <v>0</v>
      </c>
      <c r="X832" s="47">
        <f t="shared" si="703"/>
        <v>0</v>
      </c>
      <c r="Y832" s="47">
        <f t="shared" si="704"/>
        <v>609226.18864800001</v>
      </c>
      <c r="Z832" s="47">
        <f t="shared" si="705"/>
        <v>1028693.4005040001</v>
      </c>
      <c r="AA832" s="47">
        <f t="shared" si="706"/>
        <v>994191.7683600001</v>
      </c>
      <c r="AB832" s="3"/>
      <c r="AC832" s="47">
        <f t="shared" si="696"/>
        <v>0</v>
      </c>
      <c r="AD832" s="47">
        <f t="shared" si="696"/>
        <v>0</v>
      </c>
      <c r="AE832" s="47">
        <f t="shared" si="696"/>
        <v>45396.884400000003</v>
      </c>
      <c r="AF832" s="47">
        <f t="shared" si="696"/>
        <v>46481.325174547208</v>
      </c>
      <c r="AG832" s="47">
        <f t="shared" si="696"/>
        <v>47082.421671704447</v>
      </c>
      <c r="AH832" s="3"/>
      <c r="AI832" s="47">
        <f t="shared" si="707"/>
        <v>0</v>
      </c>
      <c r="AJ832" s="47">
        <f t="shared" si="708"/>
        <v>0</v>
      </c>
      <c r="AK832" s="47">
        <f t="shared" si="709"/>
        <v>654623.07304799999</v>
      </c>
      <c r="AL832" s="47">
        <f t="shared" si="710"/>
        <v>1075174.7256785473</v>
      </c>
      <c r="AM832" s="47">
        <f t="shared" si="711"/>
        <v>1041274.1900317045</v>
      </c>
    </row>
    <row r="833" spans="2:39" s="230" customFormat="1">
      <c r="B833" s="37" t="str">
        <f>'8. Input IC huur Gasunie'!B289</f>
        <v>Asset 31</v>
      </c>
      <c r="C833" s="3"/>
      <c r="D833" s="3"/>
      <c r="E833" s="3"/>
      <c r="F833" s="37" t="str">
        <f>'8. Input IC huur Gasunie'!F289</f>
        <v>38 ICT middelen 2</v>
      </c>
      <c r="G833" s="37">
        <f>'8. Input IC huur Gasunie'!G289</f>
        <v>2024</v>
      </c>
      <c r="H833" s="42">
        <f>'8. Input IC huur Gasunie'!H289</f>
        <v>6226578.5599999996</v>
      </c>
      <c r="I833" s="37">
        <f>'8. Input IC huur Gasunie'!I289</f>
        <v>10</v>
      </c>
      <c r="J833" s="3"/>
      <c r="K833" s="43">
        <f t="shared" si="695"/>
        <v>0</v>
      </c>
      <c r="L833" s="43">
        <f t="shared" si="695"/>
        <v>0</v>
      </c>
      <c r="M833" s="43">
        <f t="shared" si="695"/>
        <v>311328.92800000001</v>
      </c>
      <c r="N833" s="43">
        <f t="shared" si="695"/>
        <v>622657.85599999991</v>
      </c>
      <c r="O833" s="43">
        <f t="shared" si="695"/>
        <v>622657.85599999991</v>
      </c>
      <c r="P833" s="3"/>
      <c r="Q833" s="47">
        <f t="shared" si="697"/>
        <v>0</v>
      </c>
      <c r="R833" s="47">
        <f t="shared" si="698"/>
        <v>0</v>
      </c>
      <c r="S833" s="47">
        <f t="shared" si="699"/>
        <v>5915249.6319999993</v>
      </c>
      <c r="T833" s="47">
        <f t="shared" si="700"/>
        <v>5292591.7759999996</v>
      </c>
      <c r="U833" s="47">
        <f t="shared" si="701"/>
        <v>4669933.92</v>
      </c>
      <c r="V833" s="3"/>
      <c r="W833" s="47">
        <f t="shared" si="702"/>
        <v>0</v>
      </c>
      <c r="X833" s="47">
        <f t="shared" si="703"/>
        <v>0</v>
      </c>
      <c r="Y833" s="47">
        <f t="shared" si="704"/>
        <v>536108.414016</v>
      </c>
      <c r="Z833" s="47">
        <f t="shared" si="705"/>
        <v>823776.34348799987</v>
      </c>
      <c r="AA833" s="47">
        <f t="shared" si="706"/>
        <v>800115.3449599999</v>
      </c>
      <c r="AB833" s="3"/>
      <c r="AC833" s="47">
        <f t="shared" si="696"/>
        <v>0</v>
      </c>
      <c r="AD833" s="47">
        <f t="shared" si="696"/>
        <v>0</v>
      </c>
      <c r="AE833" s="47">
        <f t="shared" si="696"/>
        <v>62265.785599999996</v>
      </c>
      <c r="AF833" s="47">
        <f t="shared" si="696"/>
        <v>63753.190686412803</v>
      </c>
      <c r="AG833" s="47">
        <f t="shared" si="696"/>
        <v>64577.646948369482</v>
      </c>
      <c r="AH833" s="3"/>
      <c r="AI833" s="47">
        <f t="shared" si="707"/>
        <v>0</v>
      </c>
      <c r="AJ833" s="47">
        <f t="shared" si="708"/>
        <v>0</v>
      </c>
      <c r="AK833" s="47">
        <f t="shared" si="709"/>
        <v>598374.19961599994</v>
      </c>
      <c r="AL833" s="47">
        <f t="shared" si="710"/>
        <v>887529.53417441272</v>
      </c>
      <c r="AM833" s="47">
        <f t="shared" si="711"/>
        <v>864692.99190836935</v>
      </c>
    </row>
    <row r="834" spans="2:39" s="230" customFormat="1">
      <c r="B834" s="37" t="str">
        <f>'8. Input IC huur Gasunie'!B290</f>
        <v>Asset 32</v>
      </c>
      <c r="C834" s="3"/>
      <c r="D834" s="3"/>
      <c r="E834" s="3"/>
      <c r="F834" s="37" t="str">
        <f>'8. Input IC huur Gasunie'!F290</f>
        <v>38 ICT middelen 2</v>
      </c>
      <c r="G834" s="37">
        <f>'8. Input IC huur Gasunie'!G290</f>
        <v>2024</v>
      </c>
      <c r="H834" s="42">
        <f>'8. Input IC huur Gasunie'!H290</f>
        <v>187.42</v>
      </c>
      <c r="I834" s="37">
        <f>'8. Input IC huur Gasunie'!I290</f>
        <v>10</v>
      </c>
      <c r="J834" s="3"/>
      <c r="K834" s="43">
        <f t="shared" si="695"/>
        <v>0</v>
      </c>
      <c r="L834" s="43">
        <f t="shared" si="695"/>
        <v>0</v>
      </c>
      <c r="M834" s="43">
        <f t="shared" si="695"/>
        <v>9.3710000000000004</v>
      </c>
      <c r="N834" s="43">
        <f t="shared" si="695"/>
        <v>18.741999999999997</v>
      </c>
      <c r="O834" s="43">
        <f t="shared" si="695"/>
        <v>18.741999999999997</v>
      </c>
      <c r="P834" s="3"/>
      <c r="Q834" s="47">
        <f t="shared" si="697"/>
        <v>0</v>
      </c>
      <c r="R834" s="47">
        <f t="shared" si="698"/>
        <v>0</v>
      </c>
      <c r="S834" s="47">
        <f t="shared" si="699"/>
        <v>178.04899999999998</v>
      </c>
      <c r="T834" s="47">
        <f t="shared" si="700"/>
        <v>159.30699999999999</v>
      </c>
      <c r="U834" s="47">
        <f t="shared" si="701"/>
        <v>140.565</v>
      </c>
      <c r="V834" s="3"/>
      <c r="W834" s="47">
        <f t="shared" si="702"/>
        <v>0</v>
      </c>
      <c r="X834" s="47">
        <f t="shared" si="703"/>
        <v>0</v>
      </c>
      <c r="Y834" s="47">
        <f t="shared" si="704"/>
        <v>16.136862000000001</v>
      </c>
      <c r="Z834" s="47">
        <f t="shared" si="705"/>
        <v>24.795665999999997</v>
      </c>
      <c r="AA834" s="47">
        <f t="shared" si="706"/>
        <v>24.083469999999998</v>
      </c>
      <c r="AB834" s="3"/>
      <c r="AC834" s="47">
        <f t="shared" si="696"/>
        <v>0</v>
      </c>
      <c r="AD834" s="47">
        <f t="shared" si="696"/>
        <v>0</v>
      </c>
      <c r="AE834" s="47">
        <f t="shared" si="696"/>
        <v>1.8741999999999999</v>
      </c>
      <c r="AF834" s="47">
        <f t="shared" si="696"/>
        <v>1.9189708896</v>
      </c>
      <c r="AG834" s="47">
        <f t="shared" si="696"/>
        <v>1.9437870211443067</v>
      </c>
      <c r="AH834" s="3"/>
      <c r="AI834" s="47">
        <f t="shared" si="707"/>
        <v>0</v>
      </c>
      <c r="AJ834" s="47">
        <f t="shared" si="708"/>
        <v>0</v>
      </c>
      <c r="AK834" s="47">
        <f t="shared" si="709"/>
        <v>18.011061999999999</v>
      </c>
      <c r="AL834" s="47">
        <f t="shared" si="710"/>
        <v>26.714636889599998</v>
      </c>
      <c r="AM834" s="47">
        <f t="shared" si="711"/>
        <v>26.027257021144305</v>
      </c>
    </row>
    <row r="835" spans="2:39" s="230" customFormat="1">
      <c r="B835" s="37" t="str">
        <f>'8. Input IC huur Gasunie'!B291</f>
        <v>Asset 33</v>
      </c>
      <c r="C835" s="3"/>
      <c r="D835" s="3"/>
      <c r="E835" s="3"/>
      <c r="F835" s="37" t="str">
        <f>'8. Input IC huur Gasunie'!F291</f>
        <v>39 ICT middelen 3</v>
      </c>
      <c r="G835" s="37">
        <f>'8. Input IC huur Gasunie'!G291</f>
        <v>2024</v>
      </c>
      <c r="H835" s="42">
        <f>'8. Input IC huur Gasunie'!H291</f>
        <v>42771036.399999999</v>
      </c>
      <c r="I835" s="37">
        <f>'8. Input IC huur Gasunie'!I291</f>
        <v>15</v>
      </c>
      <c r="J835" s="3"/>
      <c r="K835" s="43">
        <f t="shared" si="695"/>
        <v>0</v>
      </c>
      <c r="L835" s="43">
        <f t="shared" si="695"/>
        <v>0</v>
      </c>
      <c r="M835" s="43">
        <f t="shared" si="695"/>
        <v>1425701.2133333334</v>
      </c>
      <c r="N835" s="43">
        <f t="shared" si="695"/>
        <v>2851402.4266666668</v>
      </c>
      <c r="O835" s="43">
        <f t="shared" si="695"/>
        <v>2851402.4266666668</v>
      </c>
      <c r="P835" s="3"/>
      <c r="Q835" s="47">
        <f t="shared" si="697"/>
        <v>0</v>
      </c>
      <c r="R835" s="47">
        <f t="shared" si="698"/>
        <v>0</v>
      </c>
      <c r="S835" s="47">
        <f t="shared" si="699"/>
        <v>41345335.186666667</v>
      </c>
      <c r="T835" s="47">
        <f t="shared" si="700"/>
        <v>38493932.759999998</v>
      </c>
      <c r="U835" s="47">
        <f t="shared" si="701"/>
        <v>35642530.333333328</v>
      </c>
      <c r="V835" s="3"/>
      <c r="W835" s="47">
        <f t="shared" si="702"/>
        <v>0</v>
      </c>
      <c r="X835" s="47">
        <f t="shared" si="703"/>
        <v>0</v>
      </c>
      <c r="Y835" s="47">
        <f t="shared" si="704"/>
        <v>2996823.950426667</v>
      </c>
      <c r="Z835" s="47">
        <f t="shared" si="705"/>
        <v>4314171.8715466671</v>
      </c>
      <c r="AA835" s="47">
        <f t="shared" si="706"/>
        <v>4205818.5793333333</v>
      </c>
      <c r="AB835" s="3"/>
      <c r="AC835" s="47">
        <f t="shared" si="696"/>
        <v>0</v>
      </c>
      <c r="AD835" s="47">
        <f t="shared" si="696"/>
        <v>0</v>
      </c>
      <c r="AE835" s="47">
        <f t="shared" si="696"/>
        <v>427710.364</v>
      </c>
      <c r="AF835" s="47">
        <f t="shared" si="696"/>
        <v>437927.50917523209</v>
      </c>
      <c r="AG835" s="47">
        <f t="shared" si="696"/>
        <v>443590.78772388608</v>
      </c>
      <c r="AH835" s="3"/>
      <c r="AI835" s="47">
        <f t="shared" si="707"/>
        <v>0</v>
      </c>
      <c r="AJ835" s="47">
        <f t="shared" si="708"/>
        <v>0</v>
      </c>
      <c r="AK835" s="47">
        <f t="shared" si="709"/>
        <v>3424534.3144266671</v>
      </c>
      <c r="AL835" s="47">
        <f t="shared" si="710"/>
        <v>4752099.3807218987</v>
      </c>
      <c r="AM835" s="47">
        <f t="shared" si="711"/>
        <v>4649409.3670572191</v>
      </c>
    </row>
    <row r="836" spans="2:39">
      <c r="AL836" s="89"/>
    </row>
    <row r="837" spans="2:39" s="8" customFormat="1">
      <c r="B837" s="8" t="s">
        <v>1055</v>
      </c>
      <c r="D837" s="8" t="s">
        <v>199</v>
      </c>
      <c r="G837" s="46"/>
      <c r="H837" s="46">
        <v>2021</v>
      </c>
      <c r="I837" s="46">
        <v>2022</v>
      </c>
      <c r="J837" s="46">
        <v>2023</v>
      </c>
      <c r="K837" s="46">
        <v>2024</v>
      </c>
      <c r="L837" s="46">
        <v>2025</v>
      </c>
      <c r="M837" s="46">
        <v>2026</v>
      </c>
      <c r="O837" s="8" t="s">
        <v>202</v>
      </c>
    </row>
    <row r="839" spans="2:39">
      <c r="B839" s="3" t="s">
        <v>1056</v>
      </c>
      <c r="D839" s="3" t="s">
        <v>209</v>
      </c>
      <c r="H839" s="10"/>
      <c r="I839" s="47">
        <f>SUM(AJ307:AJ549)</f>
        <v>47303712.275716439</v>
      </c>
      <c r="J839" s="47">
        <f>SUM(AK307:AK549)</f>
        <v>31689565.787792545</v>
      </c>
      <c r="K839" s="47">
        <f>SUM(AL307:AL549)</f>
        <v>27885415.248524517</v>
      </c>
      <c r="L839" s="47">
        <f>SUM(AM307:AM549)</f>
        <v>22650429.620528437</v>
      </c>
      <c r="M839" s="47">
        <f>SUM(AN307:AN549)</f>
        <v>17735981.863229234</v>
      </c>
    </row>
    <row r="840" spans="2:39">
      <c r="B840" s="3" t="s">
        <v>1057</v>
      </c>
      <c r="D840" s="3" t="s">
        <v>209</v>
      </c>
      <c r="H840" s="10"/>
      <c r="I840" s="47">
        <f>SUM(AB555:AB797)</f>
        <v>39217738.402224623</v>
      </c>
      <c r="J840" s="47">
        <f>SUM(AC555:AC797)</f>
        <v>33189273.645462066</v>
      </c>
      <c r="K840" s="47">
        <f>SUM(AD555:AD797)</f>
        <v>29216317.285462335</v>
      </c>
      <c r="L840" s="47">
        <f>SUM(AE555:AE797)</f>
        <v>24012638.624367848</v>
      </c>
      <c r="M840" s="47">
        <f>SUM(AF555:AF797)</f>
        <v>18660000.753578022</v>
      </c>
    </row>
    <row r="841" spans="2:39">
      <c r="B841" s="3" t="s">
        <v>1058</v>
      </c>
      <c r="D841" s="3" t="s">
        <v>209</v>
      </c>
      <c r="H841" s="176">
        <f>MAX(SUM(M59:M301),H842)</f>
        <v>216951830.34509885</v>
      </c>
      <c r="I841" s="10"/>
      <c r="J841" s="10"/>
      <c r="K841" s="105"/>
      <c r="L841" s="10"/>
      <c r="M841" s="10"/>
      <c r="O841" s="3" t="s">
        <v>1059</v>
      </c>
    </row>
    <row r="842" spans="2:39">
      <c r="B842" s="3" t="s">
        <v>1060</v>
      </c>
      <c r="D842" s="3" t="s">
        <v>209</v>
      </c>
      <c r="H842" s="43">
        <f>SUM(N307:N549)</f>
        <v>216951830.34509885</v>
      </c>
      <c r="I842" s="10"/>
      <c r="J842" s="10"/>
      <c r="K842" s="10"/>
      <c r="L842" s="10"/>
      <c r="M842" s="10"/>
    </row>
    <row r="843" spans="2:39">
      <c r="B843" s="3" t="s">
        <v>1061</v>
      </c>
      <c r="D843" s="3" t="s">
        <v>209</v>
      </c>
      <c r="H843" s="10"/>
      <c r="I843" s="47">
        <f>SUMIF($G$803:$G$835,2022,AI803:AI835)</f>
        <v>1428124.2132085976</v>
      </c>
      <c r="J843" s="47">
        <f t="shared" ref="J843:M843" si="712">SUMIF($G$803:$G$835,2022,AJ803:AJ835)</f>
        <v>2217707.8337649051</v>
      </c>
      <c r="K843" s="47">
        <f t="shared" si="712"/>
        <v>2220228.5401113494</v>
      </c>
      <c r="L843" s="47">
        <f t="shared" si="712"/>
        <v>2159320.7927243733</v>
      </c>
      <c r="M843" s="47">
        <f t="shared" si="712"/>
        <v>2096743.6241863754</v>
      </c>
    </row>
    <row r="844" spans="2:39">
      <c r="B844" s="3" t="s">
        <v>1062</v>
      </c>
      <c r="D844" s="3" t="s">
        <v>209</v>
      </c>
      <c r="H844" s="10"/>
      <c r="I844" s="10"/>
      <c r="J844" s="47">
        <f>SUMIF($G$803:$G$835,2023,AJ803:AJ835)</f>
        <v>1028574.5024785999</v>
      </c>
      <c r="K844" s="47">
        <f t="shared" ref="K844:L844" si="713">SUMIF($G$803:$G$835,2023,AK803:AK835)</f>
        <v>1712271.072741084</v>
      </c>
      <c r="L844" s="47">
        <f t="shared" si="713"/>
        <v>1661865.047384599</v>
      </c>
      <c r="M844" s="47">
        <f>SUMIF($G$803:$G$835,2023,AM803:AM835)</f>
        <v>1610500.5451215713</v>
      </c>
    </row>
    <row r="845" spans="2:39">
      <c r="B845" s="3" t="s">
        <v>1063</v>
      </c>
      <c r="D845" s="3" t="s">
        <v>209</v>
      </c>
      <c r="H845" s="10"/>
      <c r="I845" s="10"/>
      <c r="J845" s="10"/>
      <c r="K845" s="47">
        <f>SUMIF($G$803:$G$835,2024,AK803:AK835)</f>
        <v>5721939.4973236667</v>
      </c>
      <c r="L845" s="47">
        <f t="shared" ref="L845" si="714">SUMIF($G$803:$G$835,2024,AL803:AL835)</f>
        <v>8267219.8231534604</v>
      </c>
      <c r="M845" s="47">
        <f>SUMIF($G$803:$G$835,2024,AM803:AM835)</f>
        <v>8067650.0631123278</v>
      </c>
    </row>
    <row r="846" spans="2:39">
      <c r="B846" s="3" t="s">
        <v>1064</v>
      </c>
      <c r="D846" s="3" t="s">
        <v>209</v>
      </c>
      <c r="H846" s="10"/>
      <c r="I846" s="10"/>
      <c r="J846" s="176">
        <f>(-H841+H842)*J32+(-I839+I840)*J33+(-J839+J840)</f>
        <v>-6747985.4932921315</v>
      </c>
      <c r="K846" s="51">
        <f>-K839+K840</f>
        <v>1330902.0369378179</v>
      </c>
      <c r="L846" s="176">
        <f>-L839+L840+I843*L33+SUM(J843:J844)*L34+SUM(K843:K844)*L35+SUM(L843:L844)</f>
        <v>14624633.370419957</v>
      </c>
      <c r="M846" s="51">
        <f>-M839+M840+SUM(M843:M845)+K845*M35+L845*M36</f>
        <v>27808092.962323338</v>
      </c>
      <c r="N846" s="172"/>
      <c r="O846" s="3" t="s">
        <v>1065</v>
      </c>
    </row>
    <row r="849" spans="16:16">
      <c r="P849" s="89"/>
    </row>
  </sheetData>
  <mergeCells count="2">
    <mergeCell ref="B5:D5"/>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7470-D7EA-419F-AF08-374DC7FF5252}">
  <sheetPr>
    <tabColor rgb="FFFFFFCC"/>
  </sheetPr>
  <dimension ref="A2:S136"/>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70" style="3" bestFit="1" customWidth="1"/>
    <col min="3" max="3" width="2.5703125" style="3" customWidth="1"/>
    <col min="4" max="4" width="15.140625" style="3" bestFit="1" customWidth="1"/>
    <col min="5" max="5" width="2.5703125" style="3" customWidth="1"/>
    <col min="6" max="6" width="12.5703125" style="3" bestFit="1" customWidth="1"/>
    <col min="7" max="7" width="2.5703125" style="3" customWidth="1"/>
    <col min="8" max="9" width="10.85546875" style="3" bestFit="1" customWidth="1"/>
    <col min="10" max="10" width="11.42578125" style="3" bestFit="1" customWidth="1"/>
    <col min="11" max="11" width="13.140625" style="3" bestFit="1" customWidth="1"/>
    <col min="12" max="12" width="14.5703125" style="3" bestFit="1" customWidth="1"/>
    <col min="13" max="13" width="12.5703125" style="3" bestFit="1" customWidth="1"/>
    <col min="14" max="14" width="12.42578125" style="3" bestFit="1" customWidth="1"/>
    <col min="15" max="15" width="12.5703125" style="3" bestFit="1" customWidth="1"/>
    <col min="16" max="17" width="12.42578125" style="3" bestFit="1" customWidth="1"/>
    <col min="18" max="18" width="2.5703125" style="3" customWidth="1"/>
    <col min="19" max="19" width="12.85546875" style="3" bestFit="1" customWidth="1"/>
    <col min="20" max="32" width="13.5703125" style="3" customWidth="1"/>
    <col min="33" max="16384" width="9.140625" style="3"/>
  </cols>
  <sheetData>
    <row r="2" spans="2:19" s="12" customFormat="1" ht="18">
      <c r="B2" s="12" t="s">
        <v>1066</v>
      </c>
    </row>
    <row r="4" spans="2:19">
      <c r="B4" s="16" t="s">
        <v>868</v>
      </c>
      <c r="C4" s="2"/>
      <c r="L4"/>
    </row>
    <row r="5" spans="2:19" ht="16.5" customHeight="1">
      <c r="B5" s="346" t="s">
        <v>1067</v>
      </c>
      <c r="C5" s="346"/>
      <c r="D5" s="346"/>
      <c r="F5" s="13"/>
    </row>
    <row r="6" spans="2:19">
      <c r="B6" s="4"/>
    </row>
    <row r="7" spans="2:19">
      <c r="B7" s="17" t="s">
        <v>153</v>
      </c>
    </row>
    <row r="8" spans="2:19" ht="38.25" customHeight="1">
      <c r="B8" s="346" t="s">
        <v>1068</v>
      </c>
      <c r="C8" s="346"/>
      <c r="D8" s="346"/>
    </row>
    <row r="10" spans="2:19" s="8" customFormat="1">
      <c r="B10" s="8" t="s">
        <v>157</v>
      </c>
      <c r="D10" s="8" t="s">
        <v>199</v>
      </c>
      <c r="F10" s="8" t="s">
        <v>200</v>
      </c>
      <c r="H10" s="46">
        <v>2017</v>
      </c>
      <c r="I10" s="46">
        <v>2018</v>
      </c>
      <c r="J10" s="46">
        <v>2019</v>
      </c>
      <c r="K10" s="46">
        <v>2020</v>
      </c>
      <c r="L10" s="46">
        <v>2021</v>
      </c>
      <c r="M10" s="46">
        <v>2022</v>
      </c>
      <c r="N10" s="46">
        <v>2023</v>
      </c>
      <c r="O10" s="46">
        <v>2024</v>
      </c>
      <c r="P10" s="46">
        <v>2025</v>
      </c>
      <c r="Q10" s="46">
        <v>2026</v>
      </c>
      <c r="S10" s="8" t="s">
        <v>202</v>
      </c>
    </row>
    <row r="12" spans="2:19" s="8" customFormat="1">
      <c r="B12" s="8" t="s">
        <v>872</v>
      </c>
    </row>
    <row r="13" spans="2:19">
      <c r="P13" s="89"/>
    </row>
    <row r="14" spans="2:19">
      <c r="B14" s="2" t="s">
        <v>219</v>
      </c>
    </row>
    <row r="15" spans="2:19">
      <c r="B15" s="146" t="s">
        <v>216</v>
      </c>
      <c r="D15" s="3" t="s">
        <v>204</v>
      </c>
      <c r="H15" s="10"/>
      <c r="I15" s="10"/>
      <c r="J15" s="10"/>
      <c r="K15" s="10"/>
      <c r="L15" s="10"/>
      <c r="M15" s="55">
        <f>'2. Parameters'!M28</f>
        <v>4.1000000000000002E-2</v>
      </c>
      <c r="N15" s="55">
        <f>'2. Parameters'!N28</f>
        <v>5.0999999999999997E-2</v>
      </c>
      <c r="O15" s="55">
        <f>'2. Parameters'!O28</f>
        <v>5.0999999999999997E-2</v>
      </c>
      <c r="P15" s="10"/>
      <c r="Q15" s="10"/>
    </row>
    <row r="17" spans="1:17">
      <c r="B17" s="2" t="s">
        <v>222</v>
      </c>
    </row>
    <row r="18" spans="1:17">
      <c r="B18" s="3" t="s">
        <v>222</v>
      </c>
      <c r="D18" s="3" t="s">
        <v>204</v>
      </c>
      <c r="F18" s="175">
        <f>'2. Parameters'!F32</f>
        <v>0.01</v>
      </c>
    </row>
    <row r="19" spans="1:17">
      <c r="B19" s="16"/>
    </row>
    <row r="20" spans="1:17" s="90" customFormat="1">
      <c r="A20" s="3"/>
      <c r="B20" s="107" t="s">
        <v>980</v>
      </c>
    </row>
    <row r="21" spans="1:17" s="90" customFormat="1">
      <c r="A21" s="3"/>
      <c r="B21" s="90" t="s">
        <v>981</v>
      </c>
      <c r="D21" s="90" t="s">
        <v>204</v>
      </c>
      <c r="F21" s="78">
        <f>'2. Parameters'!F100</f>
        <v>0.25</v>
      </c>
    </row>
    <row r="22" spans="1:17">
      <c r="B22" s="3" t="s">
        <v>982</v>
      </c>
      <c r="D22" s="3" t="s">
        <v>204</v>
      </c>
      <c r="F22" s="78">
        <f>'2. Parameters'!F101</f>
        <v>0.2</v>
      </c>
    </row>
    <row r="24" spans="1:17">
      <c r="B24" s="2" t="s">
        <v>250</v>
      </c>
    </row>
    <row r="25" spans="1:17">
      <c r="B25" s="3" t="s">
        <v>250</v>
      </c>
      <c r="D25" s="3" t="s">
        <v>204</v>
      </c>
      <c r="F25" s="78">
        <f>'2. Parameters'!F96</f>
        <v>0.9</v>
      </c>
    </row>
    <row r="27" spans="1:17">
      <c r="B27" s="16" t="s">
        <v>242</v>
      </c>
    </row>
    <row r="28" spans="1:17">
      <c r="B28" s="28" t="s">
        <v>230</v>
      </c>
      <c r="D28" s="3" t="s">
        <v>246</v>
      </c>
      <c r="H28" s="10"/>
      <c r="I28" s="10"/>
      <c r="J28" s="10"/>
      <c r="K28" s="54">
        <f>'2. Parameters'!K74</f>
        <v>1</v>
      </c>
      <c r="L28" s="54">
        <f>'2. Parameters'!L74</f>
        <v>1.02</v>
      </c>
      <c r="M28" s="54">
        <f>'2. Parameters'!M74</f>
        <v>1.0404</v>
      </c>
      <c r="N28" s="54">
        <f>'2. Parameters'!N74</f>
        <v>1.0612079999999999</v>
      </c>
      <c r="O28" s="54">
        <f>'2. Parameters'!O74</f>
        <v>1.10365632</v>
      </c>
      <c r="P28" s="54">
        <f>'2. Parameters'!P74</f>
        <v>1.1809122624000001</v>
      </c>
      <c r="Q28" s="54">
        <f>'2. Parameters'!Q74</f>
        <v>1.2399578755200003</v>
      </c>
    </row>
    <row r="29" spans="1:17">
      <c r="B29" s="28" t="s">
        <v>231</v>
      </c>
      <c r="D29" s="3" t="s">
        <v>246</v>
      </c>
      <c r="H29" s="10"/>
      <c r="I29" s="10"/>
      <c r="J29" s="10"/>
      <c r="K29" s="10"/>
      <c r="L29" s="54">
        <f>'2. Parameters'!L75</f>
        <v>1</v>
      </c>
      <c r="M29" s="54">
        <f>'2. Parameters'!M75</f>
        <v>1.02</v>
      </c>
      <c r="N29" s="54">
        <f>'2. Parameters'!N75</f>
        <v>1.0404</v>
      </c>
      <c r="O29" s="54">
        <f>'2. Parameters'!O75</f>
        <v>1.0820160000000001</v>
      </c>
      <c r="P29" s="54">
        <f>'2. Parameters'!P75</f>
        <v>1.1577571200000001</v>
      </c>
      <c r="Q29" s="54">
        <f>'2. Parameters'!Q75</f>
        <v>1.2156449760000001</v>
      </c>
    </row>
    <row r="30" spans="1:17">
      <c r="B30" s="28" t="s">
        <v>232</v>
      </c>
      <c r="D30" s="3" t="s">
        <v>246</v>
      </c>
      <c r="H30" s="10"/>
      <c r="I30" s="10"/>
      <c r="J30" s="10"/>
      <c r="K30" s="10"/>
      <c r="L30" s="10"/>
      <c r="M30" s="54">
        <f>'2. Parameters'!M76</f>
        <v>1</v>
      </c>
      <c r="N30" s="54">
        <f>'2. Parameters'!N76</f>
        <v>1.02</v>
      </c>
      <c r="O30" s="54">
        <f>'2. Parameters'!O76</f>
        <v>1.0608</v>
      </c>
      <c r="P30" s="54">
        <f>'2. Parameters'!P76</f>
        <v>1.1350560000000001</v>
      </c>
      <c r="Q30" s="54">
        <f>'2. Parameters'!Q76</f>
        <v>1.1918088000000002</v>
      </c>
    </row>
    <row r="31" spans="1:17">
      <c r="B31" s="28" t="s">
        <v>233</v>
      </c>
      <c r="D31" s="3" t="s">
        <v>246</v>
      </c>
      <c r="H31" s="10"/>
      <c r="I31" s="10"/>
      <c r="J31" s="10"/>
      <c r="K31" s="10"/>
      <c r="L31" s="10"/>
      <c r="M31" s="10"/>
      <c r="N31" s="54">
        <f>'2. Parameters'!N77</f>
        <v>1</v>
      </c>
      <c r="O31" s="54">
        <f>'2. Parameters'!O77</f>
        <v>1.04</v>
      </c>
      <c r="P31" s="54">
        <f>'2. Parameters'!P77</f>
        <v>1.1128</v>
      </c>
      <c r="Q31" s="54">
        <f>'2. Parameters'!Q77</f>
        <v>1.1684400000000001</v>
      </c>
    </row>
    <row r="32" spans="1:17">
      <c r="B32" s="28" t="s">
        <v>234</v>
      </c>
      <c r="D32" s="3" t="s">
        <v>246</v>
      </c>
      <c r="H32" s="10"/>
      <c r="I32" s="10"/>
      <c r="J32" s="10"/>
      <c r="K32" s="10"/>
      <c r="L32" s="10"/>
      <c r="M32" s="10"/>
      <c r="N32" s="10"/>
      <c r="O32" s="54">
        <f>'2. Parameters'!O78</f>
        <v>1</v>
      </c>
      <c r="P32" s="54">
        <f>'2. Parameters'!P78</f>
        <v>1.07</v>
      </c>
      <c r="Q32" s="54">
        <f>'2. Parameters'!Q78</f>
        <v>1.1235000000000002</v>
      </c>
    </row>
    <row r="33" spans="2:17">
      <c r="B33" s="28" t="s">
        <v>235</v>
      </c>
      <c r="D33" s="3" t="s">
        <v>246</v>
      </c>
      <c r="H33" s="10"/>
      <c r="I33" s="10"/>
      <c r="J33" s="10"/>
      <c r="K33" s="10"/>
      <c r="L33" s="10"/>
      <c r="M33" s="10"/>
      <c r="N33" s="10"/>
      <c r="O33" s="10"/>
      <c r="P33" s="54">
        <f>'2. Parameters'!P79</f>
        <v>1</v>
      </c>
      <c r="Q33" s="54">
        <f>'2. Parameters'!Q79</f>
        <v>1.05</v>
      </c>
    </row>
    <row r="34" spans="2:17">
      <c r="B34" s="28" t="s">
        <v>236</v>
      </c>
      <c r="D34" s="3" t="s">
        <v>246</v>
      </c>
      <c r="H34" s="10"/>
      <c r="I34" s="10"/>
      <c r="J34" s="10"/>
      <c r="K34" s="10"/>
      <c r="L34" s="10"/>
      <c r="M34" s="10"/>
      <c r="N34" s="10"/>
      <c r="O34" s="10"/>
      <c r="P34" s="10"/>
      <c r="Q34" s="54">
        <f>'2. Parameters'!Q80</f>
        <v>1</v>
      </c>
    </row>
    <row r="36" spans="2:17">
      <c r="B36" s="2" t="s">
        <v>223</v>
      </c>
    </row>
    <row r="37" spans="2:17">
      <c r="B37" s="3" t="s">
        <v>1069</v>
      </c>
      <c r="D37" s="3" t="s">
        <v>227</v>
      </c>
      <c r="H37" s="32">
        <f>'2. Parameters'!H40</f>
        <v>1</v>
      </c>
      <c r="I37" s="32">
        <f>'2. Parameters'!I40</f>
        <v>1.014</v>
      </c>
      <c r="J37" s="32">
        <f>'2. Parameters'!J40</f>
        <v>1.026168</v>
      </c>
      <c r="K37" s="32">
        <f>'2. Parameters'!K40</f>
        <v>1.052848368</v>
      </c>
      <c r="L37" s="32">
        <f>'2. Parameters'!L40</f>
        <v>1.069693941888</v>
      </c>
      <c r="M37" s="32">
        <f>'2. Parameters'!M40</f>
        <v>1.0889484328419841</v>
      </c>
      <c r="N37" s="32">
        <f>'2. Parameters'!N40</f>
        <v>1.1564632356781872</v>
      </c>
      <c r="O37" s="32">
        <f>'2. Parameters'!O40</f>
        <v>1.2489802945324422</v>
      </c>
      <c r="P37" s="32">
        <f>'2. Parameters'!P40</f>
        <v>1.2839517427793505</v>
      </c>
      <c r="Q37" s="32">
        <f>'2. Parameters'!Q40</f>
        <v>1.3057789224065994</v>
      </c>
    </row>
    <row r="38" spans="2:17">
      <c r="B38" s="3" t="s">
        <v>1070</v>
      </c>
      <c r="D38" s="3" t="s">
        <v>227</v>
      </c>
      <c r="H38" s="10"/>
      <c r="I38" s="32">
        <f>'2. Parameters'!I41</f>
        <v>1</v>
      </c>
      <c r="J38" s="32">
        <f>'2. Parameters'!J41</f>
        <v>1.012</v>
      </c>
      <c r="K38" s="32">
        <f>'2. Parameters'!K41</f>
        <v>1.0383120000000001</v>
      </c>
      <c r="L38" s="32">
        <f>'2. Parameters'!L41</f>
        <v>1.0549249920000001</v>
      </c>
      <c r="M38" s="32">
        <f>'2. Parameters'!M41</f>
        <v>1.0739136418560002</v>
      </c>
      <c r="N38" s="32">
        <f>'2. Parameters'!N41</f>
        <v>1.1404962876510722</v>
      </c>
      <c r="O38" s="32">
        <f>'2. Parameters'!O41</f>
        <v>1.2317359906631582</v>
      </c>
      <c r="P38" s="32">
        <f>'2. Parameters'!P41</f>
        <v>1.2662245984017266</v>
      </c>
      <c r="Q38" s="32">
        <f>'2. Parameters'!Q41</f>
        <v>1.2877504165745559</v>
      </c>
    </row>
    <row r="39" spans="2:17">
      <c r="B39" s="3" t="s">
        <v>1071</v>
      </c>
      <c r="D39" s="3" t="s">
        <v>227</v>
      </c>
      <c r="H39" s="10"/>
      <c r="I39" s="10"/>
      <c r="J39" s="32">
        <f>'2. Parameters'!J42</f>
        <v>1</v>
      </c>
      <c r="K39" s="32">
        <f>'2. Parameters'!K42</f>
        <v>1.026</v>
      </c>
      <c r="L39" s="32">
        <f>'2. Parameters'!L42</f>
        <v>1.042416</v>
      </c>
      <c r="M39" s="32">
        <f>'2. Parameters'!M42</f>
        <v>1.0611794880000001</v>
      </c>
      <c r="N39" s="32">
        <f>'2. Parameters'!N42</f>
        <v>1.1269726162560001</v>
      </c>
      <c r="O39" s="32">
        <f>'2. Parameters'!O42</f>
        <v>1.2171304255564801</v>
      </c>
      <c r="P39" s="32">
        <f>'2. Parameters'!P42</f>
        <v>1.2512100774720616</v>
      </c>
      <c r="Q39" s="32">
        <f>'2. Parameters'!Q42</f>
        <v>1.2724806487890865</v>
      </c>
    </row>
    <row r="40" spans="2:17">
      <c r="B40" s="3" t="s">
        <v>875</v>
      </c>
      <c r="D40" s="3" t="s">
        <v>227</v>
      </c>
      <c r="H40" s="10"/>
      <c r="I40" s="10"/>
      <c r="J40" s="10"/>
      <c r="K40" s="32">
        <f>'2. Parameters'!K43</f>
        <v>1</v>
      </c>
      <c r="L40" s="32">
        <f>'2. Parameters'!L43</f>
        <v>1.016</v>
      </c>
      <c r="M40" s="32">
        <f>'2. Parameters'!M43</f>
        <v>1.0342880000000001</v>
      </c>
      <c r="N40" s="32">
        <f>'2. Parameters'!N43</f>
        <v>1.0984138560000001</v>
      </c>
      <c r="O40" s="32">
        <f>'2. Parameters'!O43</f>
        <v>1.1862869644800003</v>
      </c>
      <c r="P40" s="32">
        <f>'2. Parameters'!P43</f>
        <v>1.2195029994854403</v>
      </c>
      <c r="Q40" s="32">
        <f>'2. Parameters'!Q43</f>
        <v>1.2402345504766927</v>
      </c>
    </row>
    <row r="41" spans="2:17">
      <c r="B41" s="3" t="s">
        <v>876</v>
      </c>
      <c r="D41" s="3" t="s">
        <v>227</v>
      </c>
      <c r="H41" s="10"/>
      <c r="I41" s="10"/>
      <c r="J41" s="10"/>
      <c r="K41" s="10"/>
      <c r="L41" s="32">
        <f>'2. Parameters'!L44</f>
        <v>1</v>
      </c>
      <c r="M41" s="32">
        <f>'2. Parameters'!M44</f>
        <v>1.018</v>
      </c>
      <c r="N41" s="32">
        <f>'2. Parameters'!N44</f>
        <v>1.081116</v>
      </c>
      <c r="O41" s="32">
        <f>'2. Parameters'!O44</f>
        <v>1.1676052800000001</v>
      </c>
      <c r="P41" s="32">
        <f>'2. Parameters'!P44</f>
        <v>1.2002982278400001</v>
      </c>
      <c r="Q41" s="32">
        <f>'2. Parameters'!Q44</f>
        <v>1.2207032977132799</v>
      </c>
    </row>
    <row r="42" spans="2:17">
      <c r="B42" s="3" t="s">
        <v>877</v>
      </c>
      <c r="D42" s="3" t="s">
        <v>227</v>
      </c>
      <c r="H42" s="10"/>
      <c r="I42" s="10"/>
      <c r="J42" s="10"/>
      <c r="K42" s="10"/>
      <c r="L42" s="10"/>
      <c r="M42" s="32">
        <f>'2. Parameters'!M45</f>
        <v>1</v>
      </c>
      <c r="N42" s="32">
        <f>'2. Parameters'!N45</f>
        <v>1.0620000000000001</v>
      </c>
      <c r="O42" s="32">
        <f>'2. Parameters'!O45</f>
        <v>1.1469600000000002</v>
      </c>
      <c r="P42" s="32">
        <f>'2. Parameters'!P45</f>
        <v>1.1790748800000002</v>
      </c>
      <c r="Q42" s="32">
        <f>'2. Parameters'!Q45</f>
        <v>1.19911915296</v>
      </c>
    </row>
    <row r="43" spans="2:17">
      <c r="B43" s="3" t="s">
        <v>878</v>
      </c>
      <c r="D43" s="3" t="s">
        <v>227</v>
      </c>
      <c r="H43" s="10"/>
      <c r="I43" s="10"/>
      <c r="J43" s="10"/>
      <c r="K43" s="10"/>
      <c r="L43" s="10"/>
      <c r="M43" s="10"/>
      <c r="N43" s="32">
        <f>'2. Parameters'!N46</f>
        <v>1</v>
      </c>
      <c r="O43" s="32">
        <f>'2. Parameters'!O46</f>
        <v>1.08</v>
      </c>
      <c r="P43" s="32">
        <f>'2. Parameters'!P46</f>
        <v>1.1102400000000001</v>
      </c>
      <c r="Q43" s="32">
        <f>'2. Parameters'!Q46</f>
        <v>1.1291140799999999</v>
      </c>
    </row>
    <row r="44" spans="2:17">
      <c r="B44" s="3" t="s">
        <v>879</v>
      </c>
      <c r="D44" s="3" t="s">
        <v>227</v>
      </c>
      <c r="H44" s="10"/>
      <c r="I44" s="10"/>
      <c r="J44" s="10"/>
      <c r="K44" s="10"/>
      <c r="L44" s="10"/>
      <c r="M44" s="10"/>
      <c r="N44" s="10"/>
      <c r="O44" s="32">
        <f>'2. Parameters'!O47</f>
        <v>1</v>
      </c>
      <c r="P44" s="32">
        <f>'2. Parameters'!P47</f>
        <v>1.028</v>
      </c>
      <c r="Q44" s="32">
        <f>'2. Parameters'!Q47</f>
        <v>1.0454759999999998</v>
      </c>
    </row>
    <row r="45" spans="2:17">
      <c r="B45" s="3" t="s">
        <v>880</v>
      </c>
      <c r="D45" s="3" t="s">
        <v>227</v>
      </c>
      <c r="H45" s="10"/>
      <c r="I45" s="10"/>
      <c r="J45" s="10"/>
      <c r="K45" s="10"/>
      <c r="L45" s="10"/>
      <c r="M45" s="10"/>
      <c r="N45" s="10"/>
      <c r="O45" s="10"/>
      <c r="P45" s="32">
        <f>'2. Parameters'!P48</f>
        <v>1</v>
      </c>
      <c r="Q45" s="32">
        <f>'2. Parameters'!Q48</f>
        <v>1.0169999999999999</v>
      </c>
    </row>
    <row r="46" spans="2:17">
      <c r="B46" s="3" t="s">
        <v>881</v>
      </c>
      <c r="D46" s="3" t="s">
        <v>227</v>
      </c>
      <c r="H46" s="10"/>
      <c r="I46" s="10"/>
      <c r="J46" s="10"/>
      <c r="K46" s="10"/>
      <c r="L46" s="10"/>
      <c r="M46" s="10"/>
      <c r="N46" s="10"/>
      <c r="O46" s="10"/>
      <c r="P46" s="10"/>
      <c r="Q46" s="32">
        <f>'2. Parameters'!Q49</f>
        <v>1</v>
      </c>
    </row>
    <row r="47" spans="2:17" ht="13.5" customHeight="1"/>
    <row r="48" spans="2:17">
      <c r="B48" s="2" t="s">
        <v>237</v>
      </c>
    </row>
    <row r="49" spans="2:17">
      <c r="B49" s="28" t="s">
        <v>226</v>
      </c>
      <c r="D49" s="3" t="s">
        <v>241</v>
      </c>
      <c r="H49" s="32">
        <f>'2. Parameters'!H57</f>
        <v>1</v>
      </c>
      <c r="I49" s="32">
        <f>'2. Parameters'!I57</f>
        <v>0.999</v>
      </c>
      <c r="J49" s="32">
        <f>'2. Parameters'!J57</f>
        <v>0.99800100000000003</v>
      </c>
      <c r="K49" s="32">
        <f>'2. Parameters'!K57</f>
        <v>0.997002999</v>
      </c>
      <c r="L49" s="32">
        <f>'2. Parameters'!L57</f>
        <v>0.99600599600100004</v>
      </c>
      <c r="M49" s="32">
        <f>'2. Parameters'!M57</f>
        <v>0.99202197201699605</v>
      </c>
      <c r="N49" s="32">
        <f>'2. Parameters'!N57</f>
        <v>0.98805388412892803</v>
      </c>
      <c r="O49" s="32">
        <f>'2. Parameters'!O57</f>
        <v>0.98410166859241233</v>
      </c>
      <c r="P49" s="32">
        <f>'2. Parameters'!P57</f>
        <v>0.98016526191804265</v>
      </c>
      <c r="Q49" s="32">
        <f>'2. Parameters'!Q57</f>
        <v>0.97624460087037046</v>
      </c>
    </row>
    <row r="50" spans="2:17">
      <c r="B50" s="28" t="s">
        <v>228</v>
      </c>
      <c r="D50" s="3" t="s">
        <v>241</v>
      </c>
      <c r="H50" s="10"/>
      <c r="I50" s="32">
        <f>'2. Parameters'!I58</f>
        <v>1</v>
      </c>
      <c r="J50" s="32">
        <f>'2. Parameters'!J58</f>
        <v>0.999</v>
      </c>
      <c r="K50" s="32">
        <f>'2. Parameters'!K58</f>
        <v>0.99800100000000003</v>
      </c>
      <c r="L50" s="32">
        <f>'2. Parameters'!L58</f>
        <v>0.997002999</v>
      </c>
      <c r="M50" s="32">
        <f>'2. Parameters'!M58</f>
        <v>0.99301498700400004</v>
      </c>
      <c r="N50" s="32">
        <f>'2. Parameters'!N58</f>
        <v>0.98904292705598407</v>
      </c>
      <c r="O50" s="32">
        <f>'2. Parameters'!O58</f>
        <v>0.98508675534776013</v>
      </c>
      <c r="P50" s="32">
        <f>'2. Parameters'!P58</f>
        <v>0.98114640832636912</v>
      </c>
      <c r="Q50" s="32">
        <f>'2. Parameters'!Q58</f>
        <v>0.97722182269306368</v>
      </c>
    </row>
    <row r="51" spans="2:17">
      <c r="B51" s="28" t="s">
        <v>229</v>
      </c>
      <c r="D51" s="3" t="s">
        <v>241</v>
      </c>
      <c r="H51" s="10"/>
      <c r="I51" s="10"/>
      <c r="J51" s="32">
        <f>'2. Parameters'!J59</f>
        <v>1</v>
      </c>
      <c r="K51" s="32">
        <f>'2. Parameters'!K59</f>
        <v>0.999</v>
      </c>
      <c r="L51" s="32">
        <f>'2. Parameters'!L59</f>
        <v>0.99800100000000003</v>
      </c>
      <c r="M51" s="32">
        <f>'2. Parameters'!M59</f>
        <v>0.99400899600000003</v>
      </c>
      <c r="N51" s="32">
        <f>'2. Parameters'!N59</f>
        <v>0.99003296001600005</v>
      </c>
      <c r="O51" s="32">
        <f>'2. Parameters'!O59</f>
        <v>0.986072828175936</v>
      </c>
      <c r="P51" s="32">
        <f>'2. Parameters'!P59</f>
        <v>0.9821285368632322</v>
      </c>
      <c r="Q51" s="32">
        <f>'2. Parameters'!Q59</f>
        <v>0.97820002271577933</v>
      </c>
    </row>
    <row r="52" spans="2:17">
      <c r="B52" s="28" t="s">
        <v>230</v>
      </c>
      <c r="D52" s="3" t="s">
        <v>241</v>
      </c>
      <c r="H52" s="10"/>
      <c r="I52" s="10"/>
      <c r="J52" s="10"/>
      <c r="K52" s="32">
        <f>'2. Parameters'!K60</f>
        <v>1</v>
      </c>
      <c r="L52" s="32">
        <f>'2. Parameters'!L60</f>
        <v>0.999</v>
      </c>
      <c r="M52" s="32">
        <f>'2. Parameters'!M60</f>
        <v>0.995004</v>
      </c>
      <c r="N52" s="32">
        <f>'2. Parameters'!N60</f>
        <v>0.99102398400000002</v>
      </c>
      <c r="O52" s="32">
        <f>'2. Parameters'!O60</f>
        <v>0.98705988806400002</v>
      </c>
      <c r="P52" s="32">
        <f>'2. Parameters'!P60</f>
        <v>0.98311164851174404</v>
      </c>
      <c r="Q52" s="32">
        <f>'2. Parameters'!Q60</f>
        <v>0.97917920191769703</v>
      </c>
    </row>
    <row r="53" spans="2:17">
      <c r="B53" s="28" t="s">
        <v>231</v>
      </c>
      <c r="D53" s="3" t="s">
        <v>241</v>
      </c>
      <c r="H53" s="10"/>
      <c r="I53" s="10"/>
      <c r="J53" s="10"/>
      <c r="K53" s="10"/>
      <c r="L53" s="32">
        <f>'2. Parameters'!L61</f>
        <v>1</v>
      </c>
      <c r="M53" s="32">
        <f>'2. Parameters'!M61</f>
        <v>0.996</v>
      </c>
      <c r="N53" s="32">
        <f>'2. Parameters'!N61</f>
        <v>0.99201600000000001</v>
      </c>
      <c r="O53" s="32">
        <f>'2. Parameters'!O61</f>
        <v>0.98804793599999996</v>
      </c>
      <c r="P53" s="32">
        <f>'2. Parameters'!P61</f>
        <v>0.98409574425599999</v>
      </c>
      <c r="Q53" s="32">
        <f>'2. Parameters'!Q61</f>
        <v>0.98015936127897596</v>
      </c>
    </row>
    <row r="54" spans="2:17">
      <c r="B54" s="28" t="s">
        <v>232</v>
      </c>
      <c r="D54" s="3" t="s">
        <v>241</v>
      </c>
      <c r="H54" s="10"/>
      <c r="I54" s="10"/>
      <c r="J54" s="10"/>
      <c r="K54" s="10"/>
      <c r="L54" s="10"/>
      <c r="M54" s="32">
        <f>'2. Parameters'!M62</f>
        <v>1</v>
      </c>
      <c r="N54" s="32">
        <f>'2. Parameters'!N62</f>
        <v>0.996</v>
      </c>
      <c r="O54" s="32">
        <f>'2. Parameters'!O62</f>
        <v>0.99201600000000001</v>
      </c>
      <c r="P54" s="32">
        <f>'2. Parameters'!P62</f>
        <v>0.98804793599999996</v>
      </c>
      <c r="Q54" s="32">
        <f>'2. Parameters'!Q62</f>
        <v>0.98409574425599999</v>
      </c>
    </row>
    <row r="55" spans="2:17">
      <c r="B55" s="28" t="s">
        <v>233</v>
      </c>
      <c r="D55" s="3" t="s">
        <v>241</v>
      </c>
      <c r="H55" s="10"/>
      <c r="I55" s="10"/>
      <c r="J55" s="10"/>
      <c r="K55" s="10"/>
      <c r="L55" s="10"/>
      <c r="M55" s="10"/>
      <c r="N55" s="32">
        <f>'2. Parameters'!N63</f>
        <v>1</v>
      </c>
      <c r="O55" s="32">
        <f>'2. Parameters'!O63</f>
        <v>0.996</v>
      </c>
      <c r="P55" s="32">
        <f>'2. Parameters'!P63</f>
        <v>0.99201600000000001</v>
      </c>
      <c r="Q55" s="32">
        <f>'2. Parameters'!Q63</f>
        <v>0.98804793599999996</v>
      </c>
    </row>
    <row r="56" spans="2:17">
      <c r="B56" s="28" t="s">
        <v>234</v>
      </c>
      <c r="D56" s="3" t="s">
        <v>241</v>
      </c>
      <c r="H56" s="10"/>
      <c r="I56" s="10"/>
      <c r="J56" s="10"/>
      <c r="K56" s="10"/>
      <c r="L56" s="10"/>
      <c r="M56" s="10"/>
      <c r="N56" s="10"/>
      <c r="O56" s="32">
        <f>'2. Parameters'!O64</f>
        <v>1</v>
      </c>
      <c r="P56" s="32">
        <f>'2. Parameters'!P64</f>
        <v>0.996</v>
      </c>
      <c r="Q56" s="32">
        <f>'2. Parameters'!Q64</f>
        <v>0.99201600000000001</v>
      </c>
    </row>
    <row r="57" spans="2:17">
      <c r="B57" s="28" t="s">
        <v>235</v>
      </c>
      <c r="D57" s="3" t="s">
        <v>241</v>
      </c>
      <c r="H57" s="10"/>
      <c r="I57" s="10"/>
      <c r="J57" s="10"/>
      <c r="K57" s="10"/>
      <c r="L57" s="10"/>
      <c r="M57" s="10"/>
      <c r="N57" s="10"/>
      <c r="O57" s="10"/>
      <c r="P57" s="32">
        <f>'2. Parameters'!P65</f>
        <v>1</v>
      </c>
      <c r="Q57" s="32">
        <f>'2. Parameters'!Q65</f>
        <v>0.996</v>
      </c>
    </row>
    <row r="58" spans="2:17" ht="15.75" customHeight="1">
      <c r="B58" s="28" t="s">
        <v>236</v>
      </c>
      <c r="D58" s="3" t="s">
        <v>241</v>
      </c>
      <c r="H58" s="10"/>
      <c r="I58" s="10"/>
      <c r="J58" s="10"/>
      <c r="K58" s="10"/>
      <c r="L58" s="10"/>
      <c r="M58" s="10"/>
      <c r="N58" s="10"/>
      <c r="O58" s="10"/>
      <c r="P58" s="10"/>
      <c r="Q58" s="32">
        <f>'2. Parameters'!Q66</f>
        <v>1</v>
      </c>
    </row>
    <row r="61" spans="2:17" s="8" customFormat="1">
      <c r="B61" s="8" t="s">
        <v>1072</v>
      </c>
    </row>
    <row r="63" spans="2:17">
      <c r="B63" s="244" t="s">
        <v>539</v>
      </c>
    </row>
    <row r="64" spans="2:17">
      <c r="B64" s="164" t="s">
        <v>539</v>
      </c>
      <c r="D64" s="3" t="s">
        <v>204</v>
      </c>
      <c r="F64" s="175">
        <f>'7. Input IC peakshaver'!F17</f>
        <v>0.77</v>
      </c>
    </row>
    <row r="66" spans="2:17">
      <c r="B66" s="244" t="s">
        <v>541</v>
      </c>
      <c r="C66" s="244"/>
      <c r="D66" s="244"/>
    </row>
    <row r="67" spans="2:17">
      <c r="B67" s="3" t="s">
        <v>542</v>
      </c>
      <c r="D67" s="3" t="s">
        <v>209</v>
      </c>
      <c r="H67" s="10"/>
      <c r="I67" s="10"/>
      <c r="J67" s="10"/>
      <c r="K67" s="10"/>
      <c r="L67" s="10"/>
      <c r="M67" s="245">
        <f>'7. Input IC peakshaver'!M21</f>
        <v>7339829.2418518746</v>
      </c>
      <c r="N67" s="245">
        <f>'7. Input IC peakshaver'!N21</f>
        <v>6662159.7393988082</v>
      </c>
      <c r="O67" s="245">
        <f>'7. Input IC peakshaver'!O21</f>
        <v>6117183.5197096057</v>
      </c>
      <c r="P67" s="245">
        <f>'7. Input IC peakshaver'!P21</f>
        <v>5719048.4597574808</v>
      </c>
      <c r="Q67" s="245">
        <f>'7. Input IC peakshaver'!Q21</f>
        <v>5428026.4892949341</v>
      </c>
    </row>
    <row r="68" spans="2:17">
      <c r="B68" s="3" t="s">
        <v>543</v>
      </c>
      <c r="D68" s="3" t="s">
        <v>209</v>
      </c>
      <c r="H68" s="10"/>
      <c r="I68" s="10"/>
      <c r="J68" s="10"/>
      <c r="K68" s="10"/>
      <c r="L68" s="10"/>
      <c r="M68" s="245">
        <f>'7. Input IC peakshaver'!M22</f>
        <v>92112966.285529599</v>
      </c>
      <c r="N68" s="245">
        <f>'7. Input IC peakshaver'!N22</f>
        <v>85450806.546130821</v>
      </c>
      <c r="O68" s="245">
        <f>'7. Input IC peakshaver'!O22</f>
        <v>79333623.026421189</v>
      </c>
      <c r="P68" s="245">
        <f>'7. Input IC peakshaver'!P22</f>
        <v>73614574.566663712</v>
      </c>
      <c r="Q68" s="245">
        <f>'7. Input IC peakshaver'!Q22</f>
        <v>68186548.077368766</v>
      </c>
    </row>
    <row r="70" spans="2:17">
      <c r="B70" s="2" t="s">
        <v>544</v>
      </c>
    </row>
    <row r="71" spans="2:17">
      <c r="B71" t="s">
        <v>545</v>
      </c>
      <c r="D71" s="3" t="s">
        <v>209</v>
      </c>
      <c r="H71" s="10"/>
      <c r="I71" s="10"/>
      <c r="J71" s="245">
        <f>'7. Input IC peakshaver'!J27</f>
        <v>4311221.7573385285</v>
      </c>
      <c r="K71" s="10"/>
      <c r="L71" s="10"/>
      <c r="M71" s="10"/>
      <c r="N71" s="10"/>
      <c r="O71" s="10"/>
      <c r="P71" s="10"/>
      <c r="Q71" s="10"/>
    </row>
    <row r="72" spans="2:17">
      <c r="B72" s="119" t="s">
        <v>547</v>
      </c>
      <c r="D72" s="3" t="s">
        <v>209</v>
      </c>
      <c r="H72" s="10"/>
      <c r="I72" s="10"/>
      <c r="J72" s="245">
        <f>'7. Input IC peakshaver'!J28</f>
        <v>5089135.5900731999</v>
      </c>
      <c r="K72" s="10"/>
      <c r="L72" s="10"/>
      <c r="M72" s="10"/>
      <c r="N72" s="10"/>
      <c r="O72" s="10"/>
      <c r="P72" s="10"/>
      <c r="Q72" s="10"/>
    </row>
    <row r="74" spans="2:17">
      <c r="B74" s="2" t="s">
        <v>548</v>
      </c>
    </row>
    <row r="75" spans="2:17">
      <c r="B75" s="3" t="s">
        <v>978</v>
      </c>
      <c r="D75" s="3" t="s">
        <v>209</v>
      </c>
      <c r="H75" s="245">
        <f>'7. Input IC peakshaver'!H31</f>
        <v>1320509.5900000001</v>
      </c>
      <c r="I75" s="245">
        <f>'7. Input IC peakshaver'!I31</f>
        <v>1966066.3200000003</v>
      </c>
      <c r="J75" s="245">
        <f>'7. Input IC peakshaver'!J31</f>
        <v>1575548.13</v>
      </c>
      <c r="K75" s="10"/>
      <c r="L75" s="10"/>
      <c r="M75" s="10"/>
      <c r="N75" s="10"/>
      <c r="O75" s="10"/>
      <c r="P75" s="10"/>
      <c r="Q75" s="10"/>
    </row>
    <row r="77" spans="2:17" s="243" customFormat="1">
      <c r="B77" s="8" t="s">
        <v>1073</v>
      </c>
    </row>
    <row r="79" spans="2:17">
      <c r="B79" s="2" t="s">
        <v>1074</v>
      </c>
    </row>
    <row r="80" spans="2:17">
      <c r="B80" s="3" t="s">
        <v>1075</v>
      </c>
      <c r="D80" s="3" t="s">
        <v>209</v>
      </c>
      <c r="H80" s="10"/>
      <c r="I80" s="10"/>
      <c r="J80" s="10"/>
      <c r="K80" s="10"/>
      <c r="L80" s="10"/>
      <c r="M80" s="43">
        <f>M68*M$15</f>
        <v>3776631.6177067137</v>
      </c>
      <c r="N80" s="43">
        <f>N68*N$15</f>
        <v>4357991.1338526718</v>
      </c>
      <c r="O80" s="43">
        <f>O68*O$15</f>
        <v>4046014.7743474804</v>
      </c>
      <c r="P80" s="246"/>
      <c r="Q80" s="246"/>
    </row>
    <row r="81" spans="1:17">
      <c r="B81" s="3" t="s">
        <v>1076</v>
      </c>
      <c r="D81" s="3" t="s">
        <v>209</v>
      </c>
      <c r="H81" s="10"/>
      <c r="I81" s="10"/>
      <c r="J81" s="10"/>
      <c r="K81" s="10"/>
      <c r="L81" s="10"/>
      <c r="M81" s="43">
        <f>M67+M80</f>
        <v>11116460.859558588</v>
      </c>
      <c r="N81" s="43">
        <f>N67+N80</f>
        <v>11020150.873251479</v>
      </c>
      <c r="O81" s="43">
        <f>O67+O80</f>
        <v>10163198.294057086</v>
      </c>
      <c r="P81" s="10"/>
      <c r="Q81" s="10"/>
    </row>
    <row r="82" spans="1:17">
      <c r="B82" s="3" t="s">
        <v>1077</v>
      </c>
      <c r="D82" s="3" t="s">
        <v>209</v>
      </c>
      <c r="H82" s="10"/>
      <c r="I82" s="10"/>
      <c r="J82" s="10"/>
      <c r="K82" s="10"/>
      <c r="L82" s="10"/>
      <c r="M82" s="10"/>
      <c r="N82" s="10"/>
      <c r="O82" s="43">
        <f>-$F$64*M81*O30</f>
        <v>-9080103.093461208</v>
      </c>
      <c r="P82" s="43">
        <f>-$F$64*N81*P31</f>
        <v>-9442682.3966507707</v>
      </c>
      <c r="Q82" s="43">
        <f>-$F$64*O81*Q32</f>
        <v>-8792132.0281973165</v>
      </c>
    </row>
    <row r="84" spans="1:17" s="243" customFormat="1">
      <c r="B84" s="8" t="s">
        <v>1078</v>
      </c>
    </row>
    <row r="86" spans="1:17">
      <c r="B86" s="2" t="s">
        <v>1079</v>
      </c>
    </row>
    <row r="87" spans="1:17">
      <c r="B87" s="3" t="s">
        <v>1080</v>
      </c>
      <c r="D87" s="3" t="s">
        <v>209</v>
      </c>
      <c r="H87" s="10"/>
      <c r="I87" s="10"/>
      <c r="J87" s="10"/>
      <c r="K87" s="10"/>
      <c r="L87" s="10"/>
      <c r="M87" s="43">
        <f>SUM($J$71:$J$72)*M$39*M$51</f>
        <v>9915703.3378574643</v>
      </c>
      <c r="N87" s="43">
        <f>SUM($J$71:$J$72)*N$39*N$51</f>
        <v>10488355.037025411</v>
      </c>
      <c r="O87" s="43">
        <f>SUM($J$71:$J$72)*O$39*O$51</f>
        <v>11282113.746227492</v>
      </c>
      <c r="P87" s="10"/>
      <c r="Q87" s="10"/>
    </row>
    <row r="89" spans="1:17">
      <c r="B89" s="3" t="s">
        <v>1077</v>
      </c>
      <c r="D89" s="3" t="s">
        <v>209</v>
      </c>
      <c r="H89" s="10"/>
      <c r="I89" s="10"/>
      <c r="J89" s="10"/>
      <c r="K89" s="10"/>
      <c r="L89" s="10"/>
      <c r="M89" s="10"/>
      <c r="N89" s="10"/>
      <c r="O89" s="43">
        <f>-$F$64*(M87*O30)</f>
        <v>-8099305.1376153817</v>
      </c>
      <c r="P89" s="43">
        <f>-$F$64*(N87*P31)</f>
        <v>-8987009.9436054453</v>
      </c>
      <c r="Q89" s="43">
        <f>-$F$64*(O87*Q32)</f>
        <v>-9760100.1912926733</v>
      </c>
    </row>
    <row r="91" spans="1:17" s="243" customFormat="1">
      <c r="B91" s="8" t="s">
        <v>1081</v>
      </c>
    </row>
    <row r="93" spans="1:17">
      <c r="B93" s="3" t="s">
        <v>1082</v>
      </c>
      <c r="D93" s="3" t="s">
        <v>209</v>
      </c>
      <c r="H93" s="10"/>
      <c r="I93" s="10"/>
      <c r="J93" s="10"/>
      <c r="K93" s="10"/>
      <c r="L93" s="10"/>
      <c r="M93" s="43">
        <f>AVERAGE($H$75*M$37*M$49,$I$75*M$38*M$50,$J$75*M$39*M$51)</f>
        <v>1728351.6194830742</v>
      </c>
      <c r="N93" s="43">
        <f>AVERAGE($H$75*N$37*N$49,$I$75*N$38*N$50,$J$75*N$39*N$51)</f>
        <v>1828167.3822114607</v>
      </c>
      <c r="O93" s="43">
        <f>AVERAGE($H$75*O$37*O$49,$I$75*O$38*O$50,$J$75*O$39*O$51)</f>
        <v>1966523.0896972241</v>
      </c>
      <c r="P93" s="10"/>
      <c r="Q93" s="10"/>
    </row>
    <row r="95" spans="1:17">
      <c r="B95" s="3" t="s">
        <v>1077</v>
      </c>
      <c r="D95" s="3" t="s">
        <v>209</v>
      </c>
      <c r="H95" s="10"/>
      <c r="I95" s="10"/>
      <c r="J95" s="10"/>
      <c r="K95" s="10"/>
      <c r="L95" s="10"/>
      <c r="M95" s="10"/>
      <c r="N95" s="10"/>
      <c r="O95" s="43">
        <f>-$F$64*M93*O30</f>
        <v>-1411745.2564196866</v>
      </c>
      <c r="P95" s="43">
        <f>-$F$64*N93*P31</f>
        <v>-1566476.1904521834</v>
      </c>
      <c r="Q95" s="43">
        <f>-$F$64*O93*Q32</f>
        <v>-1701229.2922816202</v>
      </c>
    </row>
    <row r="96" spans="1:17" s="90" customFormat="1">
      <c r="A96" s="3"/>
      <c r="O96" s="188"/>
    </row>
    <row r="97" spans="2:17" s="243" customFormat="1">
      <c r="B97" s="8" t="s">
        <v>1083</v>
      </c>
    </row>
    <row r="99" spans="2:17">
      <c r="B99" s="3" t="s">
        <v>1084</v>
      </c>
      <c r="D99" s="3" t="s">
        <v>209</v>
      </c>
      <c r="H99" s="10"/>
      <c r="I99" s="10"/>
      <c r="J99" s="10"/>
      <c r="K99" s="10"/>
      <c r="L99" s="10"/>
      <c r="M99" s="43">
        <f>SUMIFS('17. Nacalculatie bijschatten'!AN$217:AN$323,'17. Nacalculatie bijschatten'!$I$217:$I$323,"16 LNG installaties",'17. Nacalculatie bijschatten'!$H$217:$H$323,2020)*M$15
+SUMIFS('17. Nacalculatie bijschatten'!AT$217:AT$323,'17. Nacalculatie bijschatten'!$I$217:$I$323,"16 LNG installaties",'17. Nacalculatie bijschatten'!$H$217:$H$323,2020)
+SUMIFS('17. Nacalculatie bijschatten'!AH$217:AH$323,'17. Nacalculatie bijschatten'!$I$217:$I$323,"16 LNG installaties",'17. Nacalculatie bijschatten'!$H$217:$H$323,2020)</f>
        <v>46064.373901539235</v>
      </c>
      <c r="N99" s="43">
        <f>SUMIFS('17. Nacalculatie bijschatten'!AO$217:AO$323,'17. Nacalculatie bijschatten'!$I$217:$I$323,"16 LNG installaties",'17. Nacalculatie bijschatten'!$H$217:$H$323,2020)*N$15
+SUMIFS('17. Nacalculatie bijschatten'!AU$217:AU$323,'17. Nacalculatie bijschatten'!$I$217:$I$323,"16 LNG installaties",'17. Nacalculatie bijschatten'!$H$217:$H$323,2020)
+SUMIFS('17. Nacalculatie bijschatten'!AI$217:AI$323,'17. Nacalculatie bijschatten'!$I$217:$I$323,"16 LNG installaties",'17. Nacalculatie bijschatten'!$H$217:$H$323,2020)</f>
        <v>49051.074670627742</v>
      </c>
      <c r="O99" s="43">
        <f>SUMIFS('17. Nacalculatie bijschatten'!AP$217:AP$323,'17. Nacalculatie bijschatten'!$I$217:$I$323,"16 LNG installaties",'17. Nacalculatie bijschatten'!$H$217:$H$323,2020)*O$15
+SUMIFS('17. Nacalculatie bijschatten'!AV$217:AV$323,'17. Nacalculatie bijschatten'!$I$217:$I$323,"16 LNG installaties",'17. Nacalculatie bijschatten'!$H$217:$H$323,2020)
+SUMIFS('17. Nacalculatie bijschatten'!AJ$217:AJ$323,'17. Nacalculatie bijschatten'!$I$217:$I$323,"16 LNG installaties",'17. Nacalculatie bijschatten'!$H$217:$H$323,2020)</f>
        <v>47577.535665136267</v>
      </c>
      <c r="P99" s="10"/>
      <c r="Q99" s="10"/>
    </row>
    <row r="100" spans="2:17">
      <c r="B100" s="3" t="s">
        <v>1085</v>
      </c>
      <c r="D100" s="3" t="s">
        <v>209</v>
      </c>
      <c r="H100" s="10"/>
      <c r="I100" s="10"/>
      <c r="J100" s="10"/>
      <c r="K100" s="10"/>
      <c r="L100" s="10"/>
      <c r="M100" s="43">
        <f>SUMIFS('17. Nacalculatie bijschatten'!AN$217:AN$323,'17. Nacalculatie bijschatten'!$I$217:$I$323,"16 LNG installaties",'17. Nacalculatie bijschatten'!$H$217:$H$323,2021)*M$15
+SUMIFS('17. Nacalculatie bijschatten'!AT$217:AT$323,'17. Nacalculatie bijschatten'!$I$217:$I$323,"16 LNG installaties",'17. Nacalculatie bijschatten'!$H$217:$H$323,2021)
+SUMIFS('17. Nacalculatie bijschatten'!AH$217:AH$323,'17. Nacalculatie bijschatten'!$I$217:$I$323,"16 LNG installaties",'17. Nacalculatie bijschatten'!$H$217:$H$323,2021)</f>
        <v>27541.27802254694</v>
      </c>
      <c r="N100" s="43">
        <f>SUMIFS('17. Nacalculatie bijschatten'!AO$217:AO$323,'17. Nacalculatie bijschatten'!$I$217:$I$323,"16 LNG installaties",'17. Nacalculatie bijschatten'!$H$217:$H$323,2021)*N$15
+SUMIFS('17. Nacalculatie bijschatten'!AU$217:AU$323,'17. Nacalculatie bijschatten'!$I$217:$I$323,"16 LNG installaties",'17. Nacalculatie bijschatten'!$H$217:$H$323,2021)
+SUMIFS('17. Nacalculatie bijschatten'!AI$217:AI$323,'17. Nacalculatie bijschatten'!$I$217:$I$323,"16 LNG installaties",'17. Nacalculatie bijschatten'!$H$217:$H$323,2021)</f>
        <v>29418.296798326017</v>
      </c>
      <c r="O100" s="43">
        <f>SUMIFS('17. Nacalculatie bijschatten'!AP$217:AP$323,'17. Nacalculatie bijschatten'!$I$217:$I$323,"16 LNG installaties",'17. Nacalculatie bijschatten'!$H$217:$H$323,2021)*O$15
+SUMIFS('17. Nacalculatie bijschatten'!AV$217:AV$323,'17. Nacalculatie bijschatten'!$I$217:$I$323,"16 LNG installaties",'17. Nacalculatie bijschatten'!$H$217:$H$323,2021)
+SUMIFS('17. Nacalculatie bijschatten'!AJ$217:AJ$323,'17. Nacalculatie bijschatten'!$I$217:$I$323,"16 LNG installaties",'17. Nacalculatie bijschatten'!$H$217:$H$323,2021)</f>
        <v>28565.681728396528</v>
      </c>
      <c r="P100" s="10"/>
      <c r="Q100" s="10"/>
    </row>
    <row r="101" spans="2:17">
      <c r="B101" s="3" t="s">
        <v>1086</v>
      </c>
      <c r="D101" s="3" t="s">
        <v>209</v>
      </c>
      <c r="H101" s="10"/>
      <c r="I101" s="10"/>
      <c r="J101" s="10"/>
      <c r="K101" s="10"/>
      <c r="L101" s="10"/>
      <c r="M101" s="43">
        <f>SUMIFS('17. Nacalculatie bijschatten'!AN$217:AN$323,'17. Nacalculatie bijschatten'!$I$217:$I$323,"16 LNG installaties",'17. Nacalculatie bijschatten'!$H$217:$H$323,2022)*M$15
+SUMIFS('17. Nacalculatie bijschatten'!AT$217:AT$323,'17. Nacalculatie bijschatten'!$I$217:$I$323,"16 LNG installaties",'17. Nacalculatie bijschatten'!$H$217:$H$323,2022)
+SUMIFS('17. Nacalculatie bijschatten'!AH$217:AH$323,'17. Nacalculatie bijschatten'!$I$217:$I$323,"16 LNG installaties",'17. Nacalculatie bijschatten'!$H$217:$H$323,2022)</f>
        <v>741850.1575410401</v>
      </c>
      <c r="N101" s="43">
        <f>SUMIFS('17. Nacalculatie bijschatten'!AO$217:AO$323,'17. Nacalculatie bijschatten'!$I$217:$I$323,"16 LNG installaties",'17. Nacalculatie bijschatten'!$H$217:$H$323,2022)*N$15
+SUMIFS('17. Nacalculatie bijschatten'!AU$217:AU$323,'17. Nacalculatie bijschatten'!$I$217:$I$323,"16 LNG installaties",'17. Nacalculatie bijschatten'!$H$217:$H$323,2022)
+SUMIFS('17. Nacalculatie bijschatten'!AI$217:AI$323,'17. Nacalculatie bijschatten'!$I$217:$I$323,"16 LNG installaties",'17. Nacalculatie bijschatten'!$H$217:$H$323,2022)</f>
        <v>1039132.1199240423</v>
      </c>
      <c r="O101" s="43">
        <f>SUMIFS('17. Nacalculatie bijschatten'!AP$217:AP$323,'17. Nacalculatie bijschatten'!$I$217:$I$323,"16 LNG installaties",'17. Nacalculatie bijschatten'!$H$217:$H$323,2022)*O$15
+SUMIFS('17. Nacalculatie bijschatten'!AV$217:AV$323,'17. Nacalculatie bijschatten'!$I$217:$I$323,"16 LNG installaties",'17. Nacalculatie bijschatten'!$H$217:$H$323,2022)
+SUMIFS('17. Nacalculatie bijschatten'!AJ$217:AJ$323,'17. Nacalculatie bijschatten'!$I$217:$I$323,"16 LNG installaties",'17. Nacalculatie bijschatten'!$H$217:$H$323,2022)</f>
        <v>1009119.8979105589</v>
      </c>
      <c r="P101" s="10"/>
      <c r="Q101" s="10"/>
    </row>
    <row r="102" spans="2:17">
      <c r="B102" s="3" t="s">
        <v>1087</v>
      </c>
      <c r="D102" s="3" t="s">
        <v>209</v>
      </c>
      <c r="H102" s="10"/>
      <c r="I102" s="10"/>
      <c r="J102" s="10"/>
      <c r="K102" s="10"/>
      <c r="L102" s="10"/>
      <c r="M102" s="10"/>
      <c r="N102" s="43">
        <f>SUMIFS('17. Nacalculatie bijschatten'!AO$217:AO$323,'17. Nacalculatie bijschatten'!$I$217:$I$323,"16 LNG installaties",'17. Nacalculatie bijschatten'!$H$217:$H$323,2023)*N$15
+SUMIFS('17. Nacalculatie bijschatten'!AU$217:AU$323,'17. Nacalculatie bijschatten'!$I$217:$I$323,"16 LNG installaties",'17. Nacalculatie bijschatten'!$H$217:$H$323,2023)
+SUMIFS('17. Nacalculatie bijschatten'!AI$217:AI$323,'17. Nacalculatie bijschatten'!$I$217:$I$323,"16 LNG installaties",'17. Nacalculatie bijschatten'!$H$217:$H$323,2023)</f>
        <v>177048.90175185984</v>
      </c>
      <c r="O102" s="43">
        <f>SUMIFS('17. Nacalculatie bijschatten'!AP$217:AP$323,'17. Nacalculatie bijschatten'!$I$217:$I$323,"16 LNG installaties",'17. Nacalculatie bijschatten'!$H$217:$H$323,2023)*O$15
+SUMIFS('17. Nacalculatie bijschatten'!AV$217:AV$323,'17. Nacalculatie bijschatten'!$I$217:$I$323,"16 LNG installaties",'17. Nacalculatie bijschatten'!$H$217:$H$323,2023)
+SUMIFS('17. Nacalculatie bijschatten'!AJ$217:AJ$323,'17. Nacalculatie bijschatten'!$I$217:$I$323,"16 LNG installaties",'17. Nacalculatie bijschatten'!$H$217:$H$323,2023)</f>
        <v>218452.50303054863</v>
      </c>
      <c r="P102" s="10"/>
      <c r="Q102" s="10"/>
    </row>
    <row r="103" spans="2:17">
      <c r="B103" s="3" t="s">
        <v>1088</v>
      </c>
      <c r="D103" s="3" t="s">
        <v>209</v>
      </c>
      <c r="H103" s="10"/>
      <c r="I103" s="10"/>
      <c r="J103" s="10"/>
      <c r="K103" s="10"/>
      <c r="L103" s="10"/>
      <c r="M103" s="10"/>
      <c r="N103" s="10"/>
      <c r="O103" s="43">
        <f>SUMIFS('17. Nacalculatie bijschatten'!AP$217:AP$323,'17. Nacalculatie bijschatten'!$I$217:$I$323,"16 LNG installaties",'17. Nacalculatie bijschatten'!$H$217:$H$323,2024)*O$15
+SUMIFS('17. Nacalculatie bijschatten'!AV$217:AV$323,'17. Nacalculatie bijschatten'!$I$217:$I$323,"16 LNG installaties",'17. Nacalculatie bijschatten'!$H$217:$H$323,2024)
+SUMIFS('17. Nacalculatie bijschatten'!AJ$217:AJ$323,'17. Nacalculatie bijschatten'!$I$217:$I$323,"16 LNG installaties",'17. Nacalculatie bijschatten'!$H$217:$H$323,2024)</f>
        <v>26304.943643444996</v>
      </c>
      <c r="P103" s="10"/>
      <c r="Q103" s="10"/>
    </row>
    <row r="105" spans="2:17">
      <c r="B105" s="3" t="s">
        <v>1077</v>
      </c>
      <c r="D105" s="3" t="s">
        <v>209</v>
      </c>
      <c r="H105" s="231"/>
      <c r="I105" s="231"/>
      <c r="J105" s="231"/>
      <c r="K105" s="231"/>
      <c r="L105" s="231"/>
      <c r="M105" s="10"/>
      <c r="N105" s="10"/>
      <c r="O105" s="43">
        <f>-$F$64*SUM(M99:M101)*O30</f>
        <v>-666077.35246406659</v>
      </c>
      <c r="P105" s="43">
        <f>-$F$64*SUM(N99:N102)*P31</f>
        <v>-1109328.9572685286</v>
      </c>
      <c r="Q105" s="43">
        <f>-$F$64*SUM(O99:O103)*Q32</f>
        <v>-1150594.1380644317</v>
      </c>
    </row>
    <row r="107" spans="2:17" s="243" customFormat="1">
      <c r="B107" s="8" t="s">
        <v>1089</v>
      </c>
    </row>
    <row r="108" spans="2:17">
      <c r="K108" s="168"/>
      <c r="L108" s="168"/>
      <c r="M108" s="168"/>
      <c r="N108" s="168"/>
    </row>
    <row r="109" spans="2:17">
      <c r="B109" s="3" t="s">
        <v>1090</v>
      </c>
      <c r="D109" s="3" t="s">
        <v>209</v>
      </c>
      <c r="H109" s="10"/>
      <c r="I109" s="10"/>
      <c r="J109" s="10"/>
      <c r="K109" s="42">
        <f>SUMIFS('19. Indexatie desinvesteringen'!$D$758:$D$1405,'19. Indexatie desinvesteringen'!$D$18:$D$665,"16 LNG installaties",'19. Indexatie desinvesteringen'!$G$18:$G$665,'23. Correctie peakshaver'!K10)+
SUMIFS('19. Indexatie desinvesteringen'!$D$758:$D$1405,'19. Indexatie desinvesteringen'!$D$18:$D$665,"06 Utiliteitsgebouwen (LNG)",'19. Indexatie desinvesteringen'!$G$18:$G$665,'23. Correctie peakshaver'!K10)</f>
        <v>417533.58819327998</v>
      </c>
      <c r="L109" s="42">
        <f>SUMIFS('19. Indexatie desinvesteringen'!$D$758:$D$1405,'19. Indexatie desinvesteringen'!$D$18:$D$665,"16 LNG installaties",'19. Indexatie desinvesteringen'!$G$18:$G$665,'23. Correctie peakshaver'!L10)+
SUMIFS('19. Indexatie desinvesteringen'!$D$758:$D$1405,'19. Indexatie desinvesteringen'!$D$18:$D$665,"06 Utiliteitsgebouwen (LNG)",'19. Indexatie desinvesteringen'!$G$18:$G$665,'23. Correctie peakshaver'!L10)</f>
        <v>132355954.29857111</v>
      </c>
      <c r="M109" s="42">
        <f>SUMIFS('19. Indexatie desinvesteringen'!$D$758:$D$1405,'19. Indexatie desinvesteringen'!$D$18:$D$665,"16 LNG installaties",'19. Indexatie desinvesteringen'!$G$18:$G$665,'23. Correctie peakshaver'!M10)+
SUMIFS('19. Indexatie desinvesteringen'!$D$758:$D$1405,'19. Indexatie desinvesteringen'!$D$18:$D$665,"06 Utiliteitsgebouwen (LNG)",'19. Indexatie desinvesteringen'!$G$18:$G$665,'23. Correctie peakshaver'!M10)</f>
        <v>6175396.5452503702</v>
      </c>
      <c r="N109" s="42">
        <f>SUMIFS('19. Indexatie desinvesteringen'!$D$758:$D$1405,'19. Indexatie desinvesteringen'!$D$18:$D$665,"16 LNG installaties",'19. Indexatie desinvesteringen'!$G$18:$G$665,'23. Correctie peakshaver'!N10)+
SUMIFS('19. Indexatie desinvesteringen'!$D$758:$D$1405,'19. Indexatie desinvesteringen'!$D$18:$D$665,"06 Utiliteitsgebouwen (LNG)",'19. Indexatie desinvesteringen'!$G$18:$G$665,'23. Correctie peakshaver'!N10)</f>
        <v>2525665.1004047501</v>
      </c>
      <c r="O109" s="42">
        <f>SUMIFS('19. Indexatie desinvesteringen'!$D$758:$D$1405,'19. Indexatie desinvesteringen'!$D$18:$D$665,"16 LNG installaties",'19. Indexatie desinvesteringen'!$G$18:$G$665,'23. Correctie peakshaver'!O10)+
SUMIFS('19. Indexatie desinvesteringen'!$D$758:$D$1405,'19. Indexatie desinvesteringen'!$D$18:$D$665,"06 Utiliteitsgebouwen (LNG)",'19. Indexatie desinvesteringen'!$G$18:$G$665,'23. Correctie peakshaver'!O10)</f>
        <v>0</v>
      </c>
      <c r="P109" s="10"/>
      <c r="Q109" s="10"/>
    </row>
    <row r="111" spans="2:17">
      <c r="B111" s="3" t="s">
        <v>1001</v>
      </c>
      <c r="D111" s="3" t="s">
        <v>209</v>
      </c>
      <c r="H111" s="231"/>
      <c r="I111" s="231"/>
      <c r="J111" s="231"/>
      <c r="K111" s="231"/>
      <c r="L111" s="231"/>
      <c r="M111" s="47">
        <f>$F$18*$K$109*M$40*M$52</f>
        <v>4296.9245736584444</v>
      </c>
      <c r="N111" s="47">
        <f>$F$18*$K$109*N$40*N$52</f>
        <v>4545.0805616363659</v>
      </c>
      <c r="O111" s="47">
        <f>$F$18*$K$109*O$40*O$52</f>
        <v>4889.0522585410072</v>
      </c>
      <c r="P111" s="97"/>
      <c r="Q111" s="97"/>
    </row>
    <row r="112" spans="2:17">
      <c r="B112" s="3" t="s">
        <v>1003</v>
      </c>
      <c r="D112" s="3" t="s">
        <v>209</v>
      </c>
      <c r="H112" s="231"/>
      <c r="I112" s="231"/>
      <c r="J112" s="231"/>
      <c r="K112" s="231"/>
      <c r="L112" s="231"/>
      <c r="M112" s="47">
        <f>$F$18*$L$109*M$41*M$53</f>
        <v>1341994.0803004161</v>
      </c>
      <c r="N112" s="47">
        <f>$F$18*$L$109*N$41*N$53</f>
        <v>1419496.9224259255</v>
      </c>
      <c r="O112" s="47">
        <f>$F$18*$L$109*O$41*O$53</f>
        <v>1526924.4495151197</v>
      </c>
      <c r="P112" s="97"/>
      <c r="Q112" s="97"/>
    </row>
    <row r="113" spans="2:19">
      <c r="B113" s="3" t="s">
        <v>1005</v>
      </c>
      <c r="D113" s="3" t="s">
        <v>209</v>
      </c>
      <c r="H113" s="231"/>
      <c r="I113" s="231"/>
      <c r="J113" s="231"/>
      <c r="K113" s="231"/>
      <c r="L113" s="231"/>
      <c r="M113" s="47">
        <f>$F$18*$M$109*M$42*M$54</f>
        <v>61753.965452503704</v>
      </c>
      <c r="N113" s="47">
        <f>$F$18*$M$109*N$42*N$54</f>
        <v>65320.380465316703</v>
      </c>
      <c r="O113" s="47">
        <f>$F$18*$M$109*O$42*O$54</f>
        <v>70263.826858931876</v>
      </c>
      <c r="P113" s="97"/>
      <c r="Q113" s="97"/>
    </row>
    <row r="114" spans="2:19">
      <c r="B114" s="3" t="s">
        <v>1007</v>
      </c>
      <c r="D114" s="3" t="s">
        <v>209</v>
      </c>
      <c r="H114" s="231"/>
      <c r="I114" s="231"/>
      <c r="J114" s="231"/>
      <c r="K114" s="231"/>
      <c r="L114" s="231"/>
      <c r="M114" s="231"/>
      <c r="N114" s="47">
        <f>$F$18*$N$109*N$43*N$55</f>
        <v>25256.6510040475</v>
      </c>
      <c r="O114" s="47">
        <f>$F$18*$N$109*O$43*O$55</f>
        <v>27168.074352033818</v>
      </c>
      <c r="P114" s="97"/>
      <c r="Q114" s="97"/>
    </row>
    <row r="115" spans="2:19">
      <c r="B115" s="3" t="s">
        <v>1007</v>
      </c>
      <c r="D115" s="3" t="s">
        <v>209</v>
      </c>
      <c r="H115" s="231"/>
      <c r="I115" s="231"/>
      <c r="J115" s="231"/>
      <c r="K115" s="231"/>
      <c r="L115" s="231"/>
      <c r="M115" s="231"/>
      <c r="N115" s="231"/>
      <c r="O115" s="47">
        <f>$F$18*$O$109*O$43*O$55</f>
        <v>0</v>
      </c>
      <c r="P115" s="97"/>
      <c r="Q115" s="97"/>
    </row>
    <row r="117" spans="2:19">
      <c r="B117" s="3" t="s">
        <v>1077</v>
      </c>
      <c r="D117" s="3" t="s">
        <v>209</v>
      </c>
      <c r="H117" s="231"/>
      <c r="I117" s="231"/>
      <c r="J117" s="231"/>
      <c r="K117" s="231"/>
      <c r="L117" s="231"/>
      <c r="M117" s="10"/>
      <c r="N117" s="10"/>
      <c r="O117" s="47">
        <f>-$F$64*(-SUM(M111:M113)*O30)</f>
        <v>1150113.6604822744</v>
      </c>
      <c r="P117" s="47">
        <f>-$F$64*(-SUM(N111:N114)*P31)</f>
        <v>1297810.407388624</v>
      </c>
      <c r="Q117" s="47">
        <f>-$F$64*(-SUM(O111:O115)*Q32)</f>
        <v>1409452.0518949858</v>
      </c>
    </row>
    <row r="118" spans="2:19">
      <c r="M118" s="89"/>
      <c r="N118" s="89"/>
      <c r="O118" s="89"/>
    </row>
    <row r="119" spans="2:19" s="243" customFormat="1">
      <c r="B119" s="8" t="s">
        <v>500</v>
      </c>
    </row>
    <row r="121" spans="2:19">
      <c r="B121" s="3" t="s">
        <v>933</v>
      </c>
      <c r="D121" s="3" t="s">
        <v>209</v>
      </c>
      <c r="H121" s="231"/>
      <c r="I121" s="231"/>
      <c r="J121" s="231"/>
      <c r="K121" s="231"/>
      <c r="L121" s="231"/>
      <c r="M121" s="10"/>
      <c r="N121" s="10"/>
      <c r="O121" s="10"/>
      <c r="P121" s="10"/>
      <c r="Q121" s="10"/>
      <c r="S121" s="3" t="s">
        <v>1091</v>
      </c>
    </row>
    <row r="122" spans="2:19">
      <c r="B122" s="3" t="s">
        <v>936</v>
      </c>
      <c r="D122" s="3" t="s">
        <v>209</v>
      </c>
      <c r="H122" s="231"/>
      <c r="I122" s="231"/>
      <c r="J122" s="231"/>
      <c r="K122" s="231"/>
      <c r="L122" s="231"/>
      <c r="M122" s="43">
        <f>SUMIFS('18. Nacalculatie desinv.'!AH$51:AH383,'18. Nacalculatie desinv.'!$H51:$H383,M$10,'18. Nacalculatie desinv.'!$I$51:$I$383,"16 LNG installaties")
-SUMIFS('18. Nacalculatie desinv.'!$J$51:$J$383,'18. Nacalculatie desinv.'!$H51:$H383,M$10,'18. Nacalculatie desinv.'!$I$51:$I$383,"16 LNG installaties")*$F$25</f>
        <v>494801.16396341531</v>
      </c>
      <c r="N122" s="43">
        <f>SUMIFS('18. Nacalculatie desinv.'!AI$51:AI383,'18. Nacalculatie desinv.'!$H51:$H383,N$10,'18. Nacalculatie desinv.'!$I$51:$I$383,"16 LNG installaties")
-SUMIFS('18. Nacalculatie desinv.'!$J$51:$J$383,'18. Nacalculatie desinv.'!$H51:$H383,N$10,'18. Nacalculatie desinv.'!$I$51:$I$383,"16 LNG installaties")*$F$25</f>
        <v>0</v>
      </c>
      <c r="O122" s="43">
        <f>SUMIFS('18. Nacalculatie desinv.'!AJ$51:AJ383,'18. Nacalculatie desinv.'!$H51:$H383,O$10,'18. Nacalculatie desinv.'!$I$51:$I$383,"16 LNG installaties")
-SUMIFS('18. Nacalculatie desinv.'!$J$51:$J$383,'18. Nacalculatie desinv.'!$H51:$H383,O$10,'18. Nacalculatie desinv.'!$I$51:$I$383,"16 LNG installaties")*$F$25</f>
        <v>0</v>
      </c>
      <c r="P122" s="10"/>
      <c r="Q122" s="10"/>
    </row>
    <row r="124" spans="2:19">
      <c r="B124" s="3" t="s">
        <v>1077</v>
      </c>
      <c r="D124" s="3" t="s">
        <v>209</v>
      </c>
      <c r="H124" s="231"/>
      <c r="I124" s="231"/>
      <c r="J124" s="231"/>
      <c r="K124" s="231"/>
      <c r="L124" s="231"/>
      <c r="M124" s="10"/>
      <c r="N124" s="10"/>
      <c r="O124" s="43">
        <f>-$F$64*((M122-M121)*O30)</f>
        <v>-404161.50754394103</v>
      </c>
      <c r="P124" s="43">
        <f>-$F$64*((N122-N121)*P31)</f>
        <v>0</v>
      </c>
      <c r="Q124" s="43">
        <f>-$F$64*((O122-O121)*Q32)</f>
        <v>0</v>
      </c>
    </row>
    <row r="125" spans="2:19">
      <c r="M125" s="89"/>
      <c r="N125" s="89"/>
      <c r="O125" s="89"/>
    </row>
    <row r="126" spans="2:19" s="8" customFormat="1">
      <c r="B126" s="8" t="s">
        <v>1092</v>
      </c>
    </row>
    <row r="128" spans="2:19">
      <c r="B128" s="3" t="s">
        <v>1093</v>
      </c>
      <c r="D128" s="3" t="s">
        <v>209</v>
      </c>
      <c r="H128" s="231"/>
      <c r="I128" s="231"/>
      <c r="J128" s="231"/>
      <c r="K128" s="231"/>
      <c r="L128" s="231"/>
      <c r="M128" s="231"/>
      <c r="N128" s="95"/>
      <c r="O128" s="43">
        <f>O124+O117+O89+O105+O95+O82</f>
        <v>-18511278.687022008</v>
      </c>
      <c r="P128" s="43">
        <f>P124+P117+P89+P105+P95+P82</f>
        <v>-19807687.080588304</v>
      </c>
      <c r="Q128" s="51">
        <f>Q124+Q117+Q89+Q105+Q95+Q82</f>
        <v>-19994603.597941056</v>
      </c>
    </row>
    <row r="131" spans="13:16">
      <c r="P131" s="89"/>
    </row>
    <row r="134" spans="13:16">
      <c r="M134" s="89"/>
    </row>
    <row r="135" spans="13:16">
      <c r="M135" s="89"/>
    </row>
    <row r="136" spans="13:16">
      <c r="M136" s="89"/>
    </row>
  </sheetData>
  <mergeCells count="2">
    <mergeCell ref="B5:D5"/>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pageSetUpPr fitToPage="1"/>
  </sheetPr>
  <dimension ref="B2:J31"/>
  <sheetViews>
    <sheetView showGridLines="0" zoomScale="80" zoomScaleNormal="80" workbookViewId="0">
      <pane ySplit="3" topLeftCell="A4" activePane="bottomLeft" state="frozen"/>
      <selection activeCell="C40" sqref="C40"/>
      <selection pane="bottomLeft"/>
    </sheetView>
  </sheetViews>
  <sheetFormatPr defaultColWidth="9.140625" defaultRowHeight="12.75"/>
  <cols>
    <col min="1" max="1" width="2.5703125" style="3" customWidth="1"/>
    <col min="2" max="2" width="7.5703125" style="3" customWidth="1"/>
    <col min="3" max="3" width="71.140625" style="3" bestFit="1" customWidth="1"/>
    <col min="4" max="4" width="51.42578125" style="3" bestFit="1" customWidth="1"/>
    <col min="5" max="5" width="36.42578125" style="3" customWidth="1"/>
    <col min="6" max="6" width="40.5703125" style="3" customWidth="1"/>
    <col min="7" max="7" width="4.5703125" style="3" customWidth="1"/>
    <col min="8" max="16384" width="9.140625" style="3"/>
  </cols>
  <sheetData>
    <row r="2" spans="2:10" s="12" customFormat="1" ht="18">
      <c r="B2" s="12" t="s">
        <v>96</v>
      </c>
    </row>
    <row r="4" spans="2:10" s="8" customFormat="1">
      <c r="B4" s="8" t="s">
        <v>97</v>
      </c>
    </row>
    <row r="6" spans="2:10">
      <c r="B6" s="17" t="s">
        <v>98</v>
      </c>
    </row>
    <row r="7" spans="2:10">
      <c r="B7" s="17" t="s">
        <v>99</v>
      </c>
    </row>
    <row r="9" spans="2:10">
      <c r="B9" s="11" t="s">
        <v>100</v>
      </c>
      <c r="C9" s="11" t="s">
        <v>101</v>
      </c>
      <c r="D9" s="11" t="s">
        <v>102</v>
      </c>
      <c r="E9" s="11" t="s">
        <v>103</v>
      </c>
      <c r="F9" s="11" t="s">
        <v>104</v>
      </c>
      <c r="J9" s="13"/>
    </row>
    <row r="10" spans="2:10">
      <c r="B10" s="15"/>
      <c r="C10" s="15" t="s">
        <v>105</v>
      </c>
      <c r="D10" s="15" t="s">
        <v>106</v>
      </c>
      <c r="E10" s="15" t="s">
        <v>107</v>
      </c>
      <c r="F10" s="15" t="s">
        <v>108</v>
      </c>
    </row>
    <row r="11" spans="2:10">
      <c r="B11" s="6">
        <v>1</v>
      </c>
      <c r="C11" s="6" t="s">
        <v>109</v>
      </c>
      <c r="D11" s="137" t="s">
        <v>109</v>
      </c>
      <c r="E11" s="6" t="s">
        <v>110</v>
      </c>
      <c r="F11" s="6"/>
    </row>
    <row r="12" spans="2:10">
      <c r="B12" s="6">
        <v>2</v>
      </c>
      <c r="C12" s="6" t="s">
        <v>111</v>
      </c>
      <c r="D12" s="91" t="s">
        <v>112</v>
      </c>
      <c r="E12" s="6" t="s">
        <v>113</v>
      </c>
      <c r="F12" s="6"/>
    </row>
    <row r="13" spans="2:10">
      <c r="B13" s="6">
        <v>3</v>
      </c>
      <c r="C13" s="6" t="s">
        <v>114</v>
      </c>
      <c r="D13" s="29" t="s">
        <v>115</v>
      </c>
      <c r="E13" s="6" t="s">
        <v>10</v>
      </c>
      <c r="F13" s="6"/>
    </row>
    <row r="14" spans="2:10" ht="12" customHeight="1">
      <c r="B14" s="6">
        <v>4</v>
      </c>
      <c r="C14" s="6" t="s">
        <v>116</v>
      </c>
      <c r="D14" s="29" t="s">
        <v>117</v>
      </c>
      <c r="E14" s="6" t="s">
        <v>118</v>
      </c>
      <c r="F14" s="6"/>
    </row>
    <row r="15" spans="2:10">
      <c r="B15" s="6">
        <v>5</v>
      </c>
      <c r="C15" s="6" t="s">
        <v>119</v>
      </c>
      <c r="D15" s="153" t="s">
        <v>120</v>
      </c>
      <c r="E15" s="6" t="s">
        <v>121</v>
      </c>
      <c r="F15" s="6"/>
    </row>
    <row r="16" spans="2:10">
      <c r="B16" s="6">
        <v>6</v>
      </c>
      <c r="C16" s="6" t="s">
        <v>122</v>
      </c>
      <c r="D16" s="29" t="s">
        <v>123</v>
      </c>
      <c r="E16" s="6" t="s">
        <v>10</v>
      </c>
      <c r="F16" s="6"/>
    </row>
    <row r="17" spans="2:6">
      <c r="B17" s="6">
        <v>7</v>
      </c>
      <c r="C17" s="6" t="s">
        <v>124</v>
      </c>
      <c r="D17" s="141" t="s">
        <v>125</v>
      </c>
      <c r="E17" s="6" t="s">
        <v>126</v>
      </c>
      <c r="F17" s="6"/>
    </row>
    <row r="18" spans="2:6">
      <c r="B18" s="6">
        <v>8</v>
      </c>
      <c r="C18" s="6" t="s">
        <v>127</v>
      </c>
      <c r="D18" s="194" t="s">
        <v>128</v>
      </c>
      <c r="E18" s="6" t="s">
        <v>129</v>
      </c>
      <c r="F18" s="6"/>
    </row>
    <row r="19" spans="2:6">
      <c r="B19" s="6">
        <v>9</v>
      </c>
      <c r="C19" s="6" t="s">
        <v>130</v>
      </c>
      <c r="D19" s="29" t="s">
        <v>130</v>
      </c>
      <c r="E19" s="6" t="s">
        <v>10</v>
      </c>
      <c r="F19" s="6"/>
    </row>
    <row r="20" spans="2:6">
      <c r="B20" s="6">
        <v>10</v>
      </c>
      <c r="C20" s="6" t="s">
        <v>131</v>
      </c>
      <c r="D20" s="29" t="s">
        <v>131</v>
      </c>
      <c r="E20" s="6" t="s">
        <v>132</v>
      </c>
      <c r="F20" s="6"/>
    </row>
    <row r="21" spans="2:6">
      <c r="B21" s="6">
        <v>11</v>
      </c>
      <c r="C21" s="6" t="s">
        <v>133</v>
      </c>
      <c r="D21" s="29" t="s">
        <v>134</v>
      </c>
      <c r="E21" s="6" t="s">
        <v>135</v>
      </c>
      <c r="F21" s="6"/>
    </row>
    <row r="22" spans="2:6">
      <c r="B22" s="6">
        <v>12</v>
      </c>
      <c r="C22" s="6" t="s">
        <v>136</v>
      </c>
      <c r="D22" s="29" t="s">
        <v>137</v>
      </c>
      <c r="E22" s="6" t="s">
        <v>132</v>
      </c>
      <c r="F22" s="6"/>
    </row>
    <row r="23" spans="2:6">
      <c r="B23" s="6">
        <v>13</v>
      </c>
      <c r="C23" s="6" t="s">
        <v>138</v>
      </c>
      <c r="D23" s="137" t="s">
        <v>139</v>
      </c>
      <c r="E23" s="6" t="s">
        <v>140</v>
      </c>
      <c r="F23" s="6"/>
    </row>
    <row r="24" spans="2:6">
      <c r="B24" s="6">
        <v>14</v>
      </c>
      <c r="C24" s="6" t="s">
        <v>141</v>
      </c>
      <c r="D24" s="333" t="s">
        <v>141</v>
      </c>
      <c r="E24" s="6" t="s">
        <v>142</v>
      </c>
      <c r="F24" s="6"/>
    </row>
    <row r="25" spans="2:6">
      <c r="B25" s="6">
        <v>15</v>
      </c>
      <c r="C25" s="6" t="s">
        <v>143</v>
      </c>
      <c r="D25" s="297" t="s">
        <v>144</v>
      </c>
      <c r="E25" s="6" t="s">
        <v>145</v>
      </c>
      <c r="F25" s="6"/>
    </row>
    <row r="26" spans="2:6">
      <c r="B26" s="6">
        <v>16</v>
      </c>
      <c r="C26" s="6" t="s">
        <v>146</v>
      </c>
      <c r="D26" s="29" t="s">
        <v>147</v>
      </c>
      <c r="E26" s="6" t="s">
        <v>145</v>
      </c>
      <c r="F26" s="6"/>
    </row>
    <row r="27" spans="2:6">
      <c r="D27" s="295"/>
      <c r="E27" s="296"/>
    </row>
    <row r="28" spans="2:6" s="8" customFormat="1">
      <c r="B28" s="8" t="s">
        <v>148</v>
      </c>
      <c r="E28" s="154"/>
    </row>
    <row r="30" spans="2:6">
      <c r="B30" s="17" t="s">
        <v>149</v>
      </c>
    </row>
    <row r="31" spans="2:6">
      <c r="B31" s="17"/>
    </row>
  </sheetData>
  <phoneticPr fontId="40" type="noConversion"/>
  <hyperlinks>
    <hyperlink ref="D12" r:id="rId1" xr:uid="{00000000-0004-0000-0200-000000000000}"/>
    <hyperlink ref="D14" r:id="rId2" display="Gewijzigd Methodebesluit GTS 2017-2021" xr:uid="{00000000-0004-0000-0200-000002000000}"/>
    <hyperlink ref="D11" r:id="rId3" xr:uid="{44EA7B38-C039-47C3-A377-F0264E1E43FC}"/>
    <hyperlink ref="D15" r:id="rId4" xr:uid="{67BCA6AE-FDB9-4EFD-A25B-662638CB4D18}"/>
    <hyperlink ref="D17" r:id="rId5" xr:uid="{40CDF460-322A-4F3D-B530-0071539FA283}"/>
    <hyperlink ref="D13" r:id="rId6" location="/CBS/nl/dataset/83131NED/table" xr:uid="{01DAB045-F46E-4D95-BE72-A2139C6EC9DD}"/>
    <hyperlink ref="D18" r:id="rId7" display="Rekenmodule tarieven GTS 2020" xr:uid="{7E68E786-485E-4E7F-BBA8-2A3DB2553C7D}"/>
    <hyperlink ref="D19" r:id="rId8" xr:uid="{5BFF3038-6747-474D-854A-1F02C48C4ED2}"/>
    <hyperlink ref="D16" r:id="rId9" location="/details/wettelijke-rente/dataset/2ed0b77d-72c5-47e8-8a3d-0c213048e11d/resource/b363a333-1ce1-4ba0-83b9-80bdf6f78fa0" xr:uid="{792E2A66-A561-49B2-A3D9-3C15C023C692}"/>
    <hyperlink ref="D20" r:id="rId10" xr:uid="{CC01A927-8117-4557-8BC9-D9133B8FCA3E}"/>
    <hyperlink ref="D22" r:id="rId11" xr:uid="{7E591574-CCE7-4670-90F3-A5B3C2CF3F43}"/>
    <hyperlink ref="D21" r:id="rId12" location=":~:text=Met%20dit%20besluit%20stelt%20de,van%20de%20tarieven%20over%202022." xr:uid="{16891D03-749E-4FF9-AF9F-6B43FC4CCCF4}"/>
    <hyperlink ref="D23" r:id="rId13" display="https://www.acm.nl/nl/publicaties/gewijzigd-methodebesluit-gts-2022-2026" xr:uid="{5868F87E-9A6C-4DF8-8556-33B4746D331F}"/>
    <hyperlink ref="D24" r:id="rId14" location=":~:text=Om%20deze%20reden%20heeft%20de,in%20het%20tarievenbesluit%202025%20verwerkt." xr:uid="{7791DD30-8A71-4C13-B36D-ACC017815E6C}"/>
  </hyperlinks>
  <pageMargins left="0.75" right="0.75" top="1" bottom="1" header="0.5" footer="0.5"/>
  <pageSetup paperSize="9" scale="45" orientation="portrait" r:id="rId15"/>
  <headerFooter alignWithMargins="0">
    <oddFooter>&amp;C_x000D_&amp;1#&amp;"Calibri"&amp;10&amp;K000000 Vertrouwelijk/Confidential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ACCF-E5D3-4C0C-A290-D351999682B9}">
  <sheetPr>
    <tabColor rgb="FFFFFFCC"/>
  </sheetPr>
  <dimension ref="B2:S23"/>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57.42578125" style="3" customWidth="1"/>
    <col min="3" max="3" width="2.5703125" style="3" customWidth="1"/>
    <col min="4" max="4" width="13.5703125" style="3" customWidth="1"/>
    <col min="5" max="5" width="2.5703125" style="3" customWidth="1"/>
    <col min="6" max="6" width="13.5703125" style="3" customWidth="1"/>
    <col min="7" max="7" width="2.5703125" style="3" customWidth="1"/>
    <col min="8" max="17" width="14.5703125" style="3" customWidth="1"/>
    <col min="18" max="18" width="2.5703125" style="3" customWidth="1"/>
    <col min="19" max="32" width="13.5703125" style="3" customWidth="1"/>
    <col min="33" max="16384" width="9.140625" style="3"/>
  </cols>
  <sheetData>
    <row r="2" spans="2:19" s="12" customFormat="1" ht="18">
      <c r="B2" s="12" t="s">
        <v>1094</v>
      </c>
    </row>
    <row r="4" spans="2:19">
      <c r="B4" s="16" t="s">
        <v>868</v>
      </c>
      <c r="C4" s="2"/>
    </row>
    <row r="5" spans="2:19" ht="16.5" customHeight="1">
      <c r="B5" s="346" t="s">
        <v>1042</v>
      </c>
      <c r="C5" s="346"/>
      <c r="D5" s="346"/>
      <c r="F5" s="13"/>
    </row>
    <row r="6" spans="2:19">
      <c r="B6" s="4"/>
    </row>
    <row r="7" spans="2:19">
      <c r="B7" s="17" t="s">
        <v>153</v>
      </c>
    </row>
    <row r="8" spans="2:19" ht="42" customHeight="1">
      <c r="B8" s="354" t="s">
        <v>1068</v>
      </c>
      <c r="C8" s="354"/>
      <c r="D8" s="354"/>
    </row>
    <row r="10" spans="2:19" s="8" customFormat="1">
      <c r="B10" s="8" t="s">
        <v>157</v>
      </c>
      <c r="D10" s="8" t="s">
        <v>199</v>
      </c>
      <c r="F10" s="8" t="s">
        <v>200</v>
      </c>
      <c r="H10" s="46">
        <v>2017</v>
      </c>
      <c r="I10" s="46">
        <v>2018</v>
      </c>
      <c r="J10" s="46">
        <v>2019</v>
      </c>
      <c r="K10" s="46">
        <v>2020</v>
      </c>
      <c r="L10" s="46">
        <v>2021</v>
      </c>
      <c r="M10" s="46">
        <v>2022</v>
      </c>
      <c r="N10" s="46">
        <v>2023</v>
      </c>
      <c r="O10" s="46">
        <v>2024</v>
      </c>
      <c r="P10" s="46">
        <v>2025</v>
      </c>
      <c r="Q10" s="46">
        <v>2026</v>
      </c>
      <c r="S10" s="8" t="s">
        <v>202</v>
      </c>
    </row>
    <row r="12" spans="2:19" s="8" customFormat="1">
      <c r="B12" s="8" t="s">
        <v>872</v>
      </c>
    </row>
    <row r="13" spans="2:19">
      <c r="P13" s="89"/>
    </row>
    <row r="15" spans="2:19" s="8" customFormat="1">
      <c r="B15" s="8" t="s">
        <v>1044</v>
      </c>
    </row>
    <row r="18" spans="2:17" s="8" customFormat="1">
      <c r="B18" s="8" t="s">
        <v>1055</v>
      </c>
    </row>
    <row r="20" spans="2:17">
      <c r="B20" s="3" t="s">
        <v>1064</v>
      </c>
      <c r="D20" s="3" t="s">
        <v>209</v>
      </c>
      <c r="M20" s="286"/>
      <c r="N20" s="51"/>
      <c r="O20" s="286"/>
      <c r="P20" s="286"/>
      <c r="Q20" s="286"/>
    </row>
    <row r="23" spans="2:17">
      <c r="P23" s="89"/>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64"/>
  <sheetViews>
    <sheetView showGridLines="0" zoomScale="90" zoomScaleNormal="9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140625" style="3" customWidth="1"/>
    <col min="3" max="3" width="2.5703125" style="3" customWidth="1"/>
    <col min="4" max="4" width="15.425781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5.5703125" style="3" customWidth="1"/>
    <col min="14" max="14" width="7.140625" style="3" customWidth="1"/>
    <col min="15" max="15" width="13.5703125" style="3" customWidth="1"/>
    <col min="16" max="16" width="15.28515625" style="3" customWidth="1"/>
    <col min="17" max="20" width="13.5703125" style="3" customWidth="1"/>
    <col min="21" max="16384" width="9.140625" style="3"/>
  </cols>
  <sheetData>
    <row r="2" spans="2:15" s="12" customFormat="1" ht="18">
      <c r="B2" s="12" t="s">
        <v>1095</v>
      </c>
    </row>
    <row r="4" spans="2:15">
      <c r="B4" s="16" t="s">
        <v>868</v>
      </c>
      <c r="C4" s="2"/>
    </row>
    <row r="5" spans="2:15" ht="39.75" customHeight="1">
      <c r="B5" s="346" t="s">
        <v>1096</v>
      </c>
      <c r="C5" s="346"/>
      <c r="D5" s="346"/>
      <c r="F5" s="13"/>
    </row>
    <row r="7" spans="2:15" s="8" customFormat="1">
      <c r="B7" s="8" t="s">
        <v>157</v>
      </c>
      <c r="D7" s="8" t="s">
        <v>199</v>
      </c>
      <c r="F7" s="8" t="s">
        <v>200</v>
      </c>
      <c r="H7" s="46">
        <v>2021</v>
      </c>
      <c r="I7" s="46">
        <v>2022</v>
      </c>
      <c r="J7" s="46">
        <v>2023</v>
      </c>
      <c r="K7" s="46">
        <v>2024</v>
      </c>
      <c r="L7" s="46">
        <v>2025</v>
      </c>
      <c r="M7" s="46">
        <v>2026</v>
      </c>
      <c r="O7" s="8" t="s">
        <v>202</v>
      </c>
    </row>
    <row r="9" spans="2:15" s="8" customFormat="1">
      <c r="B9" s="8" t="s">
        <v>872</v>
      </c>
    </row>
    <row r="11" spans="2:15">
      <c r="B11" s="16" t="s">
        <v>203</v>
      </c>
    </row>
    <row r="12" spans="2:15">
      <c r="B12" s="3" t="s">
        <v>1097</v>
      </c>
      <c r="D12" s="3" t="s">
        <v>204</v>
      </c>
      <c r="F12" s="55">
        <f>'2. Parameters'!F11</f>
        <v>3.78E-2</v>
      </c>
    </row>
    <row r="13" spans="2:15">
      <c r="B13" s="3" t="s">
        <v>1098</v>
      </c>
      <c r="D13" s="3" t="s">
        <v>204</v>
      </c>
      <c r="F13" s="55">
        <f>'2. Parameters'!F12</f>
        <v>3.1800000000000002E-2</v>
      </c>
    </row>
    <row r="15" spans="2:15">
      <c r="B15" s="16" t="s">
        <v>207</v>
      </c>
    </row>
    <row r="16" spans="2:15">
      <c r="B16" s="3" t="s">
        <v>208</v>
      </c>
      <c r="D16" s="3" t="s">
        <v>209</v>
      </c>
      <c r="H16" s="42">
        <f>'2. Parameters'!L16</f>
        <v>948654045.67944181</v>
      </c>
      <c r="I16" s="44"/>
      <c r="J16" s="44"/>
      <c r="K16" s="44"/>
      <c r="L16" s="44"/>
      <c r="M16" s="44"/>
    </row>
    <row r="17" spans="2:16">
      <c r="B17" s="3" t="s">
        <v>1099</v>
      </c>
      <c r="D17" s="3" t="s">
        <v>209</v>
      </c>
      <c r="H17" s="42">
        <f>'2. Parameters'!L17</f>
        <v>1007936348.9723855</v>
      </c>
      <c r="I17" s="44"/>
      <c r="J17" s="44"/>
      <c r="K17" s="44"/>
      <c r="L17" s="44"/>
      <c r="M17" s="44"/>
    </row>
    <row r="19" spans="2:16">
      <c r="B19" s="16" t="s">
        <v>223</v>
      </c>
      <c r="F19" s="26"/>
    </row>
    <row r="20" spans="2:16">
      <c r="B20" s="3" t="s">
        <v>223</v>
      </c>
      <c r="D20" s="3" t="s">
        <v>204</v>
      </c>
      <c r="F20" s="26"/>
      <c r="H20" s="44"/>
      <c r="I20" s="77">
        <f>'2. Parameters'!M37</f>
        <v>1.7999999999999999E-2</v>
      </c>
      <c r="J20" s="77">
        <f>'2. Parameters'!N37</f>
        <v>6.2E-2</v>
      </c>
      <c r="K20" s="77">
        <f>'2. Parameters'!O37</f>
        <v>0.08</v>
      </c>
      <c r="L20" s="77">
        <f>'2. Parameters'!P37</f>
        <v>2.8000000000000001E-2</v>
      </c>
      <c r="M20" s="77">
        <f>'2. Parameters'!Q37</f>
        <v>1.7000000000000001E-2</v>
      </c>
    </row>
    <row r="22" spans="2:16">
      <c r="B22" s="16" t="s">
        <v>242</v>
      </c>
    </row>
    <row r="23" spans="2:16">
      <c r="B23" s="28" t="s">
        <v>231</v>
      </c>
      <c r="D23" s="3" t="s">
        <v>874</v>
      </c>
      <c r="H23" s="32">
        <f>'2. Parameters'!L75</f>
        <v>1</v>
      </c>
      <c r="I23" s="32">
        <f>'2. Parameters'!M75</f>
        <v>1.02</v>
      </c>
      <c r="J23" s="32">
        <f>'2. Parameters'!N75</f>
        <v>1.0404</v>
      </c>
      <c r="K23" s="32">
        <f>'2. Parameters'!O75</f>
        <v>1.0820160000000001</v>
      </c>
      <c r="L23" s="32">
        <f>'2. Parameters'!P75</f>
        <v>1.1577571200000001</v>
      </c>
      <c r="M23" s="32">
        <f>'2. Parameters'!Q75</f>
        <v>1.2156449760000001</v>
      </c>
    </row>
    <row r="24" spans="2:16">
      <c r="B24" s="28" t="s">
        <v>232</v>
      </c>
      <c r="D24" s="3" t="s">
        <v>874</v>
      </c>
      <c r="H24" s="10"/>
      <c r="I24" s="32">
        <f>'2. Parameters'!M76</f>
        <v>1</v>
      </c>
      <c r="J24" s="32">
        <f>'2. Parameters'!N76</f>
        <v>1.02</v>
      </c>
      <c r="K24" s="32">
        <f>'2. Parameters'!O76</f>
        <v>1.0608</v>
      </c>
      <c r="L24" s="32">
        <f>'2. Parameters'!P76</f>
        <v>1.1350560000000001</v>
      </c>
      <c r="M24" s="32">
        <f>'2. Parameters'!Q76</f>
        <v>1.1918088000000002</v>
      </c>
    </row>
    <row r="25" spans="2:16">
      <c r="B25" s="28" t="s">
        <v>233</v>
      </c>
      <c r="D25" s="3" t="s">
        <v>874</v>
      </c>
      <c r="H25" s="10"/>
      <c r="I25" s="10"/>
      <c r="J25" s="32">
        <f>'2. Parameters'!N77</f>
        <v>1</v>
      </c>
      <c r="K25" s="32">
        <f>'2. Parameters'!O77</f>
        <v>1.04</v>
      </c>
      <c r="L25" s="32">
        <f>'2. Parameters'!P77</f>
        <v>1.1128</v>
      </c>
      <c r="M25" s="32">
        <f>'2. Parameters'!Q77</f>
        <v>1.1684400000000001</v>
      </c>
    </row>
    <row r="26" spans="2:16">
      <c r="B26" s="28" t="s">
        <v>234</v>
      </c>
      <c r="D26" s="3" t="s">
        <v>874</v>
      </c>
      <c r="H26" s="10"/>
      <c r="I26" s="10"/>
      <c r="J26" s="10"/>
      <c r="K26" s="32">
        <f>'2. Parameters'!O78</f>
        <v>1</v>
      </c>
      <c r="L26" s="32">
        <f>'2. Parameters'!P78</f>
        <v>1.07</v>
      </c>
      <c r="M26" s="32">
        <f>'2. Parameters'!Q78</f>
        <v>1.1235000000000002</v>
      </c>
    </row>
    <row r="27" spans="2:16">
      <c r="B27" s="28" t="s">
        <v>235</v>
      </c>
      <c r="D27" s="3" t="s">
        <v>874</v>
      </c>
      <c r="H27" s="10"/>
      <c r="I27" s="10"/>
      <c r="J27" s="10"/>
      <c r="K27" s="10"/>
      <c r="L27" s="32">
        <f>'2. Parameters'!P79</f>
        <v>1</v>
      </c>
      <c r="M27" s="32">
        <f>'2. Parameters'!Q79</f>
        <v>1.05</v>
      </c>
    </row>
    <row r="28" spans="2:16">
      <c r="B28" s="28" t="s">
        <v>236</v>
      </c>
      <c r="D28" s="3" t="s">
        <v>874</v>
      </c>
      <c r="H28" s="10"/>
      <c r="I28" s="10"/>
      <c r="J28" s="10"/>
      <c r="K28" s="10"/>
      <c r="L28" s="10"/>
      <c r="M28" s="32">
        <f>'2. Parameters'!Q80</f>
        <v>1</v>
      </c>
    </row>
    <row r="30" spans="2:16" s="8" customFormat="1">
      <c r="B30" s="8" t="s">
        <v>1100</v>
      </c>
    </row>
    <row r="32" spans="2:16">
      <c r="B32" s="3" t="s">
        <v>1101</v>
      </c>
      <c r="D32" s="3" t="s">
        <v>209</v>
      </c>
      <c r="H32" s="44"/>
      <c r="I32" s="43">
        <f>H16*(1+I20-F12)</f>
        <v>929870695.57498884</v>
      </c>
      <c r="J32" s="43">
        <f>I32*(1+J20-$F$12)</f>
        <v>952373566.40790355</v>
      </c>
      <c r="K32" s="43">
        <f>J32*(1+K20-$F$12)</f>
        <v>992563730.91031706</v>
      </c>
      <c r="L32" s="176">
        <f>H17*(1+I20-F13)*(1+J20-F13)*(1+K20-F13)*(1+L20-F13)</f>
        <v>1069326535.024132</v>
      </c>
      <c r="M32" s="43">
        <f>L32*(1+M20-$F$13)</f>
        <v>1053500502.3057747</v>
      </c>
      <c r="O32" s="155" t="s">
        <v>1102</v>
      </c>
      <c r="P32" s="168"/>
    </row>
    <row r="33" spans="2:17">
      <c r="K33" s="89"/>
      <c r="P33" s="168"/>
    </row>
    <row r="34" spans="2:17" s="8" customFormat="1">
      <c r="B34" s="8" t="s">
        <v>1103</v>
      </c>
      <c r="P34" s="344"/>
    </row>
    <row r="35" spans="2:17">
      <c r="P35" s="168"/>
    </row>
    <row r="36" spans="2:17">
      <c r="B36" s="3" t="s">
        <v>491</v>
      </c>
      <c r="D36" s="3" t="s">
        <v>209</v>
      </c>
      <c r="H36" s="44"/>
      <c r="I36" s="166">
        <f>'4. Input nacalculaties'!N36</f>
        <v>0</v>
      </c>
      <c r="J36" s="166">
        <f>'4. Input nacalculaties'!O36</f>
        <v>0</v>
      </c>
      <c r="K36" s="166">
        <f>'4. Input nacalculaties'!P36</f>
        <v>0</v>
      </c>
      <c r="L36" s="166">
        <f>'4. Input nacalculaties'!Q36</f>
        <v>53053730.542234212</v>
      </c>
      <c r="M36" s="166">
        <f>'16. WUI &amp; ombouwtaak'!N95</f>
        <v>141567429.26488197</v>
      </c>
      <c r="O36" s="168"/>
      <c r="P36" s="168"/>
      <c r="Q36" s="89"/>
    </row>
    <row r="37" spans="2:17">
      <c r="B37" s="3" t="s">
        <v>493</v>
      </c>
      <c r="D37" s="3" t="s">
        <v>209</v>
      </c>
      <c r="H37" s="44"/>
      <c r="I37" s="166">
        <f>'4. Input nacalculaties'!N37</f>
        <v>119072.05535743562</v>
      </c>
      <c r="J37" s="166">
        <f>'4. Input nacalculaties'!O37</f>
        <v>43971.119724233969</v>
      </c>
      <c r="K37" s="166">
        <f>'4. Input nacalculaties'!P37</f>
        <v>2404144.6778045101</v>
      </c>
      <c r="L37" s="166">
        <f>'4. Input nacalculaties'!Q37</f>
        <v>2407837.6116711642</v>
      </c>
      <c r="M37" s="42">
        <f>'16. WUI &amp; ombouwtaak'!N96</f>
        <v>9772222.1738130841</v>
      </c>
      <c r="O37" s="168"/>
      <c r="P37" s="168"/>
      <c r="Q37" s="89"/>
    </row>
    <row r="38" spans="2:17">
      <c r="B38" s="3" t="s">
        <v>494</v>
      </c>
      <c r="D38" s="3" t="s">
        <v>209</v>
      </c>
      <c r="H38" s="44"/>
      <c r="I38" s="166">
        <f>'4. Input nacalculaties'!N38</f>
        <v>-2514124.5400079801</v>
      </c>
      <c r="J38" s="42">
        <f>'4. Input nacalculaties'!O38</f>
        <v>-892610.16077459906</v>
      </c>
      <c r="K38" s="42">
        <f>'4. Input nacalculaties'!P38</f>
        <v>-418587875.91763008</v>
      </c>
      <c r="L38" s="166">
        <f>'4. Input nacalculaties'!Q38</f>
        <v>-31230124.495261651</v>
      </c>
      <c r="M38" s="42">
        <f>'20. Nacalculaties'!Q75</f>
        <v>66872286.285418212</v>
      </c>
      <c r="O38" s="168"/>
      <c r="P38" s="168"/>
      <c r="Q38" s="89"/>
    </row>
    <row r="39" spans="2:17">
      <c r="B39" s="3" t="s">
        <v>495</v>
      </c>
      <c r="D39" s="3" t="s">
        <v>209</v>
      </c>
      <c r="H39" s="44"/>
      <c r="I39" s="166">
        <f>'4. Input nacalculaties'!N39</f>
        <v>-3840127.8443999998</v>
      </c>
      <c r="J39" s="42">
        <f>'4. Input nacalculaties'!O39</f>
        <v>-7019622.9493739996</v>
      </c>
      <c r="K39" s="42">
        <f>'4. Input nacalculaties'!P39</f>
        <v>-17676502.662623998</v>
      </c>
      <c r="L39" s="166">
        <f>'4. Input nacalculaties'!Q39</f>
        <v>-20334638.624196</v>
      </c>
      <c r="M39" s="42">
        <f>'20. Nacalculaties'!Q82</f>
        <v>-9566363.896687502</v>
      </c>
      <c r="O39" s="168"/>
      <c r="P39" s="168"/>
      <c r="Q39" s="89"/>
    </row>
    <row r="40" spans="2:17">
      <c r="B40" s="3" t="s">
        <v>496</v>
      </c>
      <c r="D40" s="3" t="s">
        <v>209</v>
      </c>
      <c r="H40" s="44"/>
      <c r="I40" s="166">
        <f>'4. Input nacalculaties'!N40</f>
        <v>-1510375</v>
      </c>
      <c r="J40" s="42">
        <f>'4. Input nacalculaties'!O40</f>
        <v>-1091840.3578679999</v>
      </c>
      <c r="K40" s="42">
        <f>'4. Input nacalculaties'!P40</f>
        <v>0</v>
      </c>
      <c r="L40" s="166">
        <f>'4. Input nacalculaties'!Q40</f>
        <v>-430850783.87126899</v>
      </c>
      <c r="M40" s="42">
        <f>'20. Nacalculaties'!Q92</f>
        <v>-54292976.244045004</v>
      </c>
      <c r="O40" s="168"/>
      <c r="P40" s="168"/>
      <c r="Q40" s="89"/>
    </row>
    <row r="41" spans="2:17">
      <c r="B41" s="3" t="s">
        <v>497</v>
      </c>
      <c r="D41" s="3" t="s">
        <v>209</v>
      </c>
      <c r="H41" s="44"/>
      <c r="I41" s="166">
        <f>'4. Input nacalculaties'!N41</f>
        <v>37459989.57773035</v>
      </c>
      <c r="J41" s="42">
        <f>'4. Input nacalculaties'!O41</f>
        <v>94853547.603668377</v>
      </c>
      <c r="K41" s="44"/>
      <c r="L41" s="166">
        <f>'4. Input nacalculaties'!Q41</f>
        <v>218988596.2163403</v>
      </c>
      <c r="M41" s="166">
        <f>'20. Nacalculaties'!Q146</f>
        <v>83371027.523610294</v>
      </c>
      <c r="O41" s="168"/>
      <c r="P41" s="168"/>
      <c r="Q41" s="89"/>
    </row>
    <row r="42" spans="2:17">
      <c r="B42" s="3" t="s">
        <v>498</v>
      </c>
      <c r="D42" s="3" t="s">
        <v>209</v>
      </c>
      <c r="H42" s="44"/>
      <c r="I42" s="166">
        <f>'4. Input nacalculaties'!N42</f>
        <v>7429834.5300000003</v>
      </c>
      <c r="J42" s="42">
        <f>'4. Input nacalculaties'!O42</f>
        <v>22739593.510152001</v>
      </c>
      <c r="K42" s="42">
        <f>'4. Input nacalculaties'!P42</f>
        <v>2370440.480303999</v>
      </c>
      <c r="L42" s="166">
        <f>'4. Input nacalculaties'!Q42</f>
        <v>84987160.105392396</v>
      </c>
      <c r="M42" s="42">
        <f>'20. Nacalculaties'!Q99</f>
        <v>46590933.973290004</v>
      </c>
      <c r="O42" s="168"/>
      <c r="P42" s="168"/>
      <c r="Q42" s="89"/>
    </row>
    <row r="43" spans="2:17">
      <c r="B43" s="3" t="s">
        <v>499</v>
      </c>
      <c r="D43" s="3" t="s">
        <v>209</v>
      </c>
      <c r="H43" s="44"/>
      <c r="I43" s="166">
        <f>'4. Input nacalculaties'!N43</f>
        <v>-6987581.421986118</v>
      </c>
      <c r="J43" s="42">
        <f>'4. Input nacalculaties'!O43</f>
        <v>-26590510.266268313</v>
      </c>
      <c r="K43" s="42">
        <f>'4. Input nacalculaties'!P43</f>
        <v>-37620979.270649046</v>
      </c>
      <c r="L43" s="166">
        <f>'4. Input nacalculaties'!Q43</f>
        <v>-85362788.83980006</v>
      </c>
      <c r="M43" s="304">
        <f>'17. Nacalculatie bijschatten'!N346</f>
        <v>-91988581.719015703</v>
      </c>
      <c r="O43" s="168"/>
      <c r="P43" s="168"/>
      <c r="Q43" s="89"/>
    </row>
    <row r="44" spans="2:17">
      <c r="B44" s="3" t="s">
        <v>500</v>
      </c>
      <c r="D44" s="3" t="s">
        <v>209</v>
      </c>
      <c r="H44" s="44"/>
      <c r="I44" s="44"/>
      <c r="J44" s="44"/>
      <c r="K44" s="42">
        <f>'4. Input nacalculaties'!P44</f>
        <v>2363403.9056672235</v>
      </c>
      <c r="L44" s="166">
        <f>'4. Input nacalculaties'!Q44</f>
        <v>14755154.906724626</v>
      </c>
      <c r="M44" s="42">
        <f>'18. Nacalculatie desinv.'!L392</f>
        <v>34060382.623351946</v>
      </c>
      <c r="O44" s="168"/>
      <c r="P44" s="168"/>
      <c r="Q44" s="89"/>
    </row>
    <row r="45" spans="2:17">
      <c r="B45" s="3" t="s">
        <v>501</v>
      </c>
      <c r="D45" s="3" t="s">
        <v>209</v>
      </c>
      <c r="H45" s="44"/>
      <c r="I45" s="44"/>
      <c r="J45" s="44"/>
      <c r="K45" s="42">
        <f>'4. Input nacalculaties'!P45</f>
        <v>14652295.895247623</v>
      </c>
      <c r="L45" s="166">
        <f>'4. Input nacalculaties'!Q45</f>
        <v>16724582.409155497</v>
      </c>
      <c r="M45" s="42">
        <f>'20. Nacalculaties'!Q106</f>
        <v>18703759.82677523</v>
      </c>
      <c r="O45" s="168"/>
      <c r="P45" s="168"/>
      <c r="Q45" s="89"/>
    </row>
    <row r="46" spans="2:17">
      <c r="B46" s="3" t="s">
        <v>502</v>
      </c>
      <c r="D46" s="3" t="s">
        <v>209</v>
      </c>
      <c r="H46" s="44"/>
      <c r="I46" s="166">
        <f>'4. Input nacalculaties'!N46</f>
        <v>-651743.81498073554</v>
      </c>
      <c r="J46" s="42">
        <f>'4. Input nacalculaties'!O46</f>
        <v>-2713634.922561896</v>
      </c>
      <c r="K46" s="42">
        <f>'4. Input nacalculaties'!P46</f>
        <v>-6263691.195662085</v>
      </c>
      <c r="L46" s="166">
        <f>'4. Input nacalculaties'!Q46</f>
        <v>-7178437.7711590901</v>
      </c>
      <c r="M46" s="42">
        <f>'20. Nacalculaties'!Q124</f>
        <v>-13013609.814668952</v>
      </c>
      <c r="O46" s="168"/>
      <c r="P46" s="168"/>
      <c r="Q46" s="89"/>
    </row>
    <row r="47" spans="2:17">
      <c r="B47" s="3" t="s">
        <v>503</v>
      </c>
      <c r="D47" s="3" t="s">
        <v>209</v>
      </c>
      <c r="H47" s="44"/>
      <c r="I47" s="44"/>
      <c r="J47" s="44"/>
      <c r="K47" s="42">
        <f>'4. Input nacalculaties'!P47</f>
        <v>56578492.792342328</v>
      </c>
      <c r="L47" s="166">
        <f>'4. Input nacalculaties'!Q47</f>
        <v>122315270.04842561</v>
      </c>
      <c r="M47" s="42">
        <f>'20. Nacalculaties'!Q137</f>
        <v>93323791.861868322</v>
      </c>
      <c r="O47" s="168"/>
      <c r="P47" s="168"/>
      <c r="Q47" s="89"/>
    </row>
    <row r="48" spans="2:17">
      <c r="B48" s="3" t="s">
        <v>504</v>
      </c>
      <c r="D48" s="3" t="s">
        <v>209</v>
      </c>
      <c r="H48" s="44"/>
      <c r="I48" s="44"/>
      <c r="J48" s="44"/>
      <c r="K48" s="42">
        <f>'4. Input nacalculaties'!P48</f>
        <v>5993118.6408960866</v>
      </c>
      <c r="L48" s="166">
        <f>'4. Input nacalculaties'!Q48</f>
        <v>6269821.1828594869</v>
      </c>
      <c r="M48" s="42">
        <f>'21. Correctie WQA'!L57</f>
        <v>6098706.8159409799</v>
      </c>
      <c r="O48" s="168"/>
      <c r="P48" s="168"/>
      <c r="Q48" s="89"/>
    </row>
    <row r="49" spans="2:17">
      <c r="B49" s="3" t="s">
        <v>505</v>
      </c>
      <c r="D49" s="3" t="s">
        <v>209</v>
      </c>
      <c r="H49" s="44"/>
      <c r="I49" s="166">
        <f>'4. Input nacalculaties'!N49</f>
        <v>109745.32379785551</v>
      </c>
      <c r="J49" s="95"/>
      <c r="K49" s="95"/>
      <c r="L49" s="44"/>
      <c r="M49" s="44"/>
      <c r="O49" s="168"/>
      <c r="P49" s="168"/>
      <c r="Q49" s="89"/>
    </row>
    <row r="50" spans="2:17">
      <c r="B50" s="3" t="s">
        <v>506</v>
      </c>
      <c r="D50" s="3" t="s">
        <v>209</v>
      </c>
      <c r="H50" s="44"/>
      <c r="I50" s="44"/>
      <c r="J50" s="95"/>
      <c r="K50" s="166">
        <f>'4. Input nacalculaties'!P50</f>
        <v>270388092.45989364</v>
      </c>
      <c r="L50" s="292"/>
      <c r="M50" s="292"/>
      <c r="O50" s="168"/>
      <c r="P50" s="168"/>
      <c r="Q50" s="89"/>
    </row>
    <row r="51" spans="2:17">
      <c r="B51" s="3" t="s">
        <v>507</v>
      </c>
      <c r="D51" s="3" t="s">
        <v>209</v>
      </c>
      <c r="H51" s="44"/>
      <c r="I51" s="166">
        <f>'4. Input nacalculaties'!N51</f>
        <v>0</v>
      </c>
      <c r="J51" s="42">
        <f>'4. Input nacalculaties'!O51</f>
        <v>-6549650.4501419598</v>
      </c>
      <c r="K51" s="42">
        <f>'4. Input nacalculaties'!P51</f>
        <v>1236097.6837258562</v>
      </c>
      <c r="L51" s="166">
        <f>'4. Input nacalculaties'!Q51</f>
        <v>14624633.370419957</v>
      </c>
      <c r="M51" s="42">
        <f>'22. Correctie assetoverdracht'!M846</f>
        <v>27808092.962323338</v>
      </c>
      <c r="O51" s="168"/>
      <c r="P51" s="168"/>
      <c r="Q51" s="89"/>
    </row>
    <row r="52" spans="2:17">
      <c r="B52" s="3" t="s">
        <v>508</v>
      </c>
      <c r="D52" s="3" t="s">
        <v>209</v>
      </c>
      <c r="H52" s="44"/>
      <c r="I52" s="44"/>
      <c r="J52" s="44"/>
      <c r="K52" s="166">
        <f>'4. Input nacalculaties'!P52</f>
        <v>-18434074.327111505</v>
      </c>
      <c r="L52" s="166">
        <f>'4. Input nacalculaties'!Q52</f>
        <v>-19829873.659733675</v>
      </c>
      <c r="M52" s="166">
        <f>'23. Correctie peakshaver'!Q128</f>
        <v>-19994603.597941056</v>
      </c>
      <c r="O52" s="168"/>
      <c r="P52" s="168"/>
      <c r="Q52" s="89"/>
    </row>
    <row r="53" spans="2:17">
      <c r="B53" s="3" t="s">
        <v>509</v>
      </c>
      <c r="D53" s="3" t="s">
        <v>209</v>
      </c>
      <c r="H53" s="44"/>
      <c r="I53" s="44"/>
      <c r="J53" s="44"/>
      <c r="K53" s="44"/>
      <c r="L53" s="166">
        <f>'4. Input nacalculaties'!Q53</f>
        <v>177577613.12560752</v>
      </c>
      <c r="M53" s="44"/>
      <c r="P53" s="168"/>
    </row>
    <row r="54" spans="2:17">
      <c r="B54" s="3" t="s">
        <v>510</v>
      </c>
      <c r="D54" s="3" t="s">
        <v>209</v>
      </c>
      <c r="H54" s="44"/>
      <c r="I54" s="44"/>
      <c r="J54" s="44"/>
      <c r="K54" s="44"/>
      <c r="L54" s="166">
        <f>'4. Input nacalculaties'!Q54</f>
        <v>-106774394.81170595</v>
      </c>
      <c r="M54" s="44"/>
      <c r="P54" s="168"/>
    </row>
    <row r="55" spans="2:17">
      <c r="B55" s="3" t="s">
        <v>511</v>
      </c>
      <c r="D55" s="3" t="s">
        <v>209</v>
      </c>
      <c r="H55" s="44"/>
      <c r="I55" s="44"/>
      <c r="J55" s="44"/>
      <c r="K55" s="44"/>
      <c r="L55" s="166">
        <f>'4. Input nacalculaties'!Q55</f>
        <v>-10000000</v>
      </c>
      <c r="M55" s="44"/>
      <c r="P55" s="168"/>
    </row>
    <row r="56" spans="2:17">
      <c r="P56" s="168"/>
    </row>
    <row r="57" spans="2:17" s="8" customFormat="1">
      <c r="B57" s="8" t="s">
        <v>1104</v>
      </c>
      <c r="P57" s="344"/>
    </row>
    <row r="58" spans="2:17">
      <c r="P58" s="168"/>
    </row>
    <row r="59" spans="2:17">
      <c r="B59" s="3" t="s">
        <v>1105</v>
      </c>
      <c r="D59" s="3" t="s">
        <v>209</v>
      </c>
      <c r="H59" s="44"/>
      <c r="I59" s="47">
        <f t="shared" ref="I59:K59" si="0">I32+SUM(I36:I54)</f>
        <v>959485384.44049966</v>
      </c>
      <c r="J59" s="47">
        <f t="shared" si="0"/>
        <v>1025152809.5344594</v>
      </c>
      <c r="K59" s="47">
        <f t="shared" si="0"/>
        <v>849966694.07252169</v>
      </c>
      <c r="L59" s="47">
        <f>L32+SUM(L36:L55)</f>
        <v>1069469892.4698374</v>
      </c>
      <c r="M59" s="96">
        <f>M32+SUM(M36:M55)</f>
        <v>1392813000.3446898</v>
      </c>
      <c r="P59" s="168"/>
    </row>
    <row r="60" spans="2:17">
      <c r="J60" s="89"/>
    </row>
    <row r="61" spans="2:17">
      <c r="J61" s="23"/>
      <c r="K61" s="89"/>
      <c r="M61" s="223"/>
    </row>
    <row r="62" spans="2:17">
      <c r="I62" s="89"/>
      <c r="J62" s="89"/>
      <c r="K62" s="23"/>
      <c r="L62" s="345"/>
      <c r="M62" s="345"/>
    </row>
    <row r="64" spans="2:17">
      <c r="L64" s="223"/>
      <c r="M64" s="22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P54"/>
  <sheetViews>
    <sheetView showGridLines="0" zoomScale="85" zoomScaleNormal="85"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4.5703125" style="3" customWidth="1"/>
    <col min="7" max="7" width="2.5703125" style="3" customWidth="1"/>
    <col min="8" max="8" width="13.5703125" style="3" customWidth="1"/>
    <col min="9" max="10" width="17.5703125" style="3" customWidth="1"/>
    <col min="11" max="12" width="16.85546875" style="3" customWidth="1"/>
    <col min="13" max="13" width="16.5703125" style="3" bestFit="1" customWidth="1"/>
    <col min="14" max="14" width="2.5703125" style="3" customWidth="1"/>
    <col min="15" max="22" width="13.5703125" style="3" customWidth="1"/>
    <col min="23" max="16384" width="9.140625" style="3"/>
  </cols>
  <sheetData>
    <row r="2" spans="2:15" s="12" customFormat="1" ht="18">
      <c r="B2" s="12" t="s">
        <v>1106</v>
      </c>
    </row>
    <row r="4" spans="2:15">
      <c r="B4" s="16" t="s">
        <v>868</v>
      </c>
      <c r="C4" s="2"/>
    </row>
    <row r="5" spans="2:15" ht="97.5" customHeight="1">
      <c r="B5" s="346" t="s">
        <v>1107</v>
      </c>
      <c r="C5" s="346"/>
      <c r="D5" s="346"/>
      <c r="F5" s="13"/>
    </row>
    <row r="7" spans="2:15" s="8" customFormat="1">
      <c r="B7" s="8" t="s">
        <v>157</v>
      </c>
      <c r="D7" s="8" t="s">
        <v>199</v>
      </c>
      <c r="F7" s="8" t="s">
        <v>200</v>
      </c>
      <c r="H7" s="46">
        <v>2021</v>
      </c>
      <c r="I7" s="46">
        <v>2022</v>
      </c>
      <c r="J7" s="46">
        <v>2023</v>
      </c>
      <c r="K7" s="46">
        <v>2024</v>
      </c>
      <c r="L7" s="46">
        <v>2025</v>
      </c>
      <c r="M7" s="46">
        <v>2026</v>
      </c>
      <c r="O7" s="8" t="s">
        <v>202</v>
      </c>
    </row>
    <row r="9" spans="2:15" s="8" customFormat="1">
      <c r="B9" s="8" t="s">
        <v>1108</v>
      </c>
    </row>
    <row r="11" spans="2:15">
      <c r="B11" s="16" t="s">
        <v>807</v>
      </c>
    </row>
    <row r="12" spans="2:15">
      <c r="B12" s="3" t="s">
        <v>808</v>
      </c>
      <c r="D12" s="3" t="s">
        <v>809</v>
      </c>
      <c r="H12" s="10"/>
      <c r="I12" s="10"/>
      <c r="J12" s="10"/>
      <c r="K12" s="95"/>
      <c r="L12" s="95"/>
      <c r="M12" s="42">
        <f>'10. Input capaciteit'!N12</f>
        <v>120046510</v>
      </c>
    </row>
    <row r="13" spans="2:15">
      <c r="B13" s="3" t="s">
        <v>810</v>
      </c>
      <c r="D13" s="3" t="s">
        <v>809</v>
      </c>
      <c r="H13" s="10"/>
      <c r="I13" s="10"/>
      <c r="J13" s="10"/>
      <c r="K13" s="95"/>
      <c r="L13" s="95"/>
      <c r="M13" s="42">
        <f>'10. Input capaciteit'!N13</f>
        <v>209953490</v>
      </c>
    </row>
    <row r="15" spans="2:15">
      <c r="B15" s="3" t="s">
        <v>811</v>
      </c>
      <c r="D15" s="3" t="s">
        <v>809</v>
      </c>
      <c r="H15" s="10"/>
      <c r="I15" s="10"/>
      <c r="J15" s="10"/>
      <c r="K15" s="95"/>
      <c r="L15" s="95"/>
      <c r="M15" s="42">
        <f>'10. Input capaciteit'!N15</f>
        <v>39223965</v>
      </c>
    </row>
    <row r="16" spans="2:15">
      <c r="B16" s="3" t="s">
        <v>812</v>
      </c>
      <c r="D16" s="3" t="s">
        <v>809</v>
      </c>
      <c r="H16" s="10"/>
      <c r="I16" s="10"/>
      <c r="J16" s="10"/>
      <c r="K16" s="95"/>
      <c r="L16" s="95"/>
      <c r="M16" s="42">
        <f>'10. Input capaciteit'!N16</f>
        <v>25534868</v>
      </c>
    </row>
    <row r="18" spans="2:16">
      <c r="B18" s="3" t="s">
        <v>813</v>
      </c>
      <c r="D18" s="3" t="s">
        <v>809</v>
      </c>
      <c r="H18" s="10"/>
      <c r="I18" s="10"/>
      <c r="J18" s="10"/>
      <c r="K18" s="95"/>
      <c r="L18" s="95"/>
      <c r="M18" s="42">
        <f>'10. Input capaciteit'!N18</f>
        <v>32891425</v>
      </c>
    </row>
    <row r="20" spans="2:16">
      <c r="B20" s="2" t="s">
        <v>257</v>
      </c>
    </row>
    <row r="21" spans="2:16">
      <c r="B21" s="3" t="s">
        <v>258</v>
      </c>
      <c r="D21" s="3" t="s">
        <v>204</v>
      </c>
      <c r="F21" s="78">
        <f>'2. Parameters'!F110</f>
        <v>0.75</v>
      </c>
    </row>
    <row r="22" spans="2:16">
      <c r="B22" s="3" t="s">
        <v>259</v>
      </c>
      <c r="D22" s="3" t="s">
        <v>204</v>
      </c>
      <c r="F22" s="78">
        <f>'2. Parameters'!F111</f>
        <v>0.94</v>
      </c>
    </row>
    <row r="23" spans="2:16">
      <c r="B23" s="3" t="s">
        <v>260</v>
      </c>
      <c r="D23" s="3" t="s">
        <v>204</v>
      </c>
      <c r="F23" s="78">
        <f>'2. Parameters'!F112</f>
        <v>0.2</v>
      </c>
    </row>
    <row r="24" spans="2:16">
      <c r="F24" s="19"/>
    </row>
    <row r="25" spans="2:16">
      <c r="B25" s="2" t="s">
        <v>254</v>
      </c>
      <c r="F25" s="19"/>
    </row>
    <row r="26" spans="2:16">
      <c r="B26" s="3" t="s">
        <v>255</v>
      </c>
      <c r="D26" s="3" t="s">
        <v>204</v>
      </c>
      <c r="F26" s="78">
        <f>'2. Parameters'!F105</f>
        <v>0.4</v>
      </c>
    </row>
    <row r="27" spans="2:16">
      <c r="B27" s="3" t="s">
        <v>256</v>
      </c>
      <c r="D27" s="3" t="s">
        <v>204</v>
      </c>
      <c r="F27" s="78">
        <f>'2. Parameters'!F106</f>
        <v>0.6</v>
      </c>
    </row>
    <row r="29" spans="2:16" s="8" customFormat="1">
      <c r="B29" s="8" t="s">
        <v>1109</v>
      </c>
    </row>
    <row r="31" spans="2:16">
      <c r="B31" s="3" t="s">
        <v>1104</v>
      </c>
      <c r="D31" s="3" t="s">
        <v>209</v>
      </c>
      <c r="H31" s="10"/>
      <c r="I31" s="10"/>
      <c r="J31" s="95"/>
      <c r="K31" s="95"/>
      <c r="L31" s="95"/>
      <c r="M31" s="42">
        <f>'25. Toegestane inkomsten'!M59</f>
        <v>1392813000.3446898</v>
      </c>
      <c r="O31" s="89"/>
      <c r="P31" s="23"/>
    </row>
    <row r="33" spans="2:15">
      <c r="B33" s="3" t="s">
        <v>1110</v>
      </c>
      <c r="D33" s="3" t="s">
        <v>1111</v>
      </c>
      <c r="H33" s="10"/>
      <c r="I33" s="10"/>
      <c r="J33" s="10"/>
      <c r="K33" s="242"/>
      <c r="L33" s="95"/>
      <c r="M33" s="27">
        <f>(M$31*$F26)/M12</f>
        <v>4.6409112612926098</v>
      </c>
      <c r="O33" s="334"/>
    </row>
    <row r="34" spans="2:15">
      <c r="B34" s="3" t="s">
        <v>1112</v>
      </c>
      <c r="D34" s="3" t="s">
        <v>1111</v>
      </c>
      <c r="H34" s="10"/>
      <c r="I34" s="10"/>
      <c r="J34" s="10"/>
      <c r="K34" s="298"/>
      <c r="L34" s="95"/>
      <c r="M34" s="27">
        <f>(M$31*$F27)/M13</f>
        <v>3.980347267420103</v>
      </c>
    </row>
    <row r="36" spans="2:15" s="8" customFormat="1">
      <c r="B36" s="8" t="s">
        <v>1113</v>
      </c>
    </row>
    <row r="38" spans="2:15">
      <c r="B38" s="3" t="s">
        <v>1114</v>
      </c>
      <c r="D38" s="3" t="s">
        <v>209</v>
      </c>
      <c r="H38" s="10"/>
      <c r="I38" s="10"/>
      <c r="J38" s="10"/>
      <c r="K38" s="95"/>
      <c r="L38" s="95"/>
      <c r="M38" s="43">
        <f>$F21*(M15*M33+M16*M34)+$F23*M18*M33</f>
        <v>243283674.14807743</v>
      </c>
      <c r="O38" s="89"/>
    </row>
    <row r="39" spans="2:15">
      <c r="B39" s="3" t="s">
        <v>1115</v>
      </c>
      <c r="H39" s="10"/>
      <c r="I39" s="10"/>
      <c r="J39" s="10"/>
      <c r="K39" s="242"/>
      <c r="L39" s="95"/>
      <c r="M39" s="27">
        <f>M31/(M31-M38)</f>
        <v>1.2116376403836668</v>
      </c>
    </row>
    <row r="41" spans="2:15" s="8" customFormat="1">
      <c r="B41" s="8" t="s">
        <v>1116</v>
      </c>
    </row>
    <row r="43" spans="2:15">
      <c r="B43" s="3" t="s">
        <v>1117</v>
      </c>
      <c r="D43" s="3" t="s">
        <v>1111</v>
      </c>
      <c r="H43" s="10"/>
      <c r="I43" s="10"/>
      <c r="J43" s="242"/>
      <c r="K43" s="299"/>
      <c r="L43" s="95"/>
      <c r="M43" s="171">
        <f>M33*M$39</f>
        <v>5.6231027698625651</v>
      </c>
      <c r="O43" s="23"/>
    </row>
    <row r="44" spans="2:15">
      <c r="B44" s="3" t="s">
        <v>1118</v>
      </c>
      <c r="D44" s="3" t="s">
        <v>1111</v>
      </c>
      <c r="H44" s="10"/>
      <c r="I44" s="10"/>
      <c r="J44" s="242"/>
      <c r="K44" s="299"/>
      <c r="L44" s="95"/>
      <c r="M44" s="171">
        <f>M34*M$39</f>
        <v>4.8227385710044697</v>
      </c>
      <c r="O44" s="241"/>
    </row>
    <row r="45" spans="2:15">
      <c r="B45" s="3" t="s">
        <v>1119</v>
      </c>
      <c r="D45" s="3" t="s">
        <v>1111</v>
      </c>
      <c r="H45" s="10"/>
      <c r="I45" s="10"/>
      <c r="J45" s="242"/>
      <c r="K45" s="299"/>
      <c r="L45" s="95"/>
      <c r="M45" s="171">
        <f>(1-$F$21)*M33*M$39</f>
        <v>1.4057756924656413</v>
      </c>
      <c r="O45" s="241"/>
    </row>
    <row r="46" spans="2:15">
      <c r="B46" s="3" t="s">
        <v>1120</v>
      </c>
      <c r="D46" s="3" t="s">
        <v>1111</v>
      </c>
      <c r="H46" s="10"/>
      <c r="I46" s="10"/>
      <c r="J46" s="242"/>
      <c r="K46" s="299"/>
      <c r="L46" s="95"/>
      <c r="M46" s="171">
        <f>(1-$F$21)*M34*M$39</f>
        <v>1.2056846427511174</v>
      </c>
      <c r="O46" s="241"/>
    </row>
    <row r="47" spans="2:15">
      <c r="B47" s="3" t="s">
        <v>1121</v>
      </c>
      <c r="D47" s="3" t="s">
        <v>1111</v>
      </c>
      <c r="H47" s="10"/>
      <c r="I47" s="10"/>
      <c r="J47" s="242"/>
      <c r="K47" s="299"/>
      <c r="L47" s="95"/>
      <c r="M47" s="171">
        <f>(1-$F23)*M33*M39</f>
        <v>4.4984822158900526</v>
      </c>
      <c r="O47" s="241"/>
    </row>
    <row r="49" spans="2:13" s="8" customFormat="1">
      <c r="B49" s="8" t="s">
        <v>1122</v>
      </c>
    </row>
    <row r="51" spans="2:13">
      <c r="B51" s="3" t="s">
        <v>1123</v>
      </c>
      <c r="D51" s="3" t="s">
        <v>209</v>
      </c>
      <c r="H51" s="10"/>
      <c r="I51" s="10"/>
      <c r="J51" s="10"/>
      <c r="K51" s="300"/>
      <c r="L51" s="95"/>
      <c r="M51" s="22">
        <f>M12*M33+M13*M34</f>
        <v>1392813000.3446898</v>
      </c>
    </row>
    <row r="52" spans="2:13">
      <c r="B52" s="3" t="s">
        <v>1124</v>
      </c>
      <c r="D52" s="3" t="s">
        <v>209</v>
      </c>
      <c r="H52" s="10"/>
      <c r="I52" s="10"/>
      <c r="J52" s="10"/>
      <c r="K52" s="300"/>
      <c r="L52" s="95"/>
      <c r="M52" s="22">
        <f>(M12-M15-M18)*M43+(M13-M16)*M44+M15*M45+M16*M46+M18*M47</f>
        <v>1392813000.3446898</v>
      </c>
    </row>
    <row r="54" spans="2:13">
      <c r="B54" s="3" t="s">
        <v>1125</v>
      </c>
      <c r="H54" s="10"/>
      <c r="I54" s="10"/>
      <c r="J54" s="10"/>
      <c r="K54" s="300"/>
      <c r="L54" s="95"/>
      <c r="M54" s="22" t="b">
        <f>ROUND(M51,3)=ROUND(M52,3)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95"/>
  <sheetViews>
    <sheetView showGridLines="0" zoomScale="90" zoomScaleNormal="90" workbookViewId="0"/>
  </sheetViews>
  <sheetFormatPr defaultColWidth="9.140625"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12" customFormat="1" ht="18">
      <c r="B2" s="12" t="s">
        <v>1126</v>
      </c>
    </row>
    <row r="4" spans="2:26">
      <c r="B4" s="16" t="s">
        <v>868</v>
      </c>
      <c r="C4" s="2"/>
    </row>
    <row r="5" spans="2:26" ht="123" customHeight="1">
      <c r="B5" s="346" t="s">
        <v>1127</v>
      </c>
      <c r="C5" s="346"/>
      <c r="D5" s="346"/>
    </row>
    <row r="7" spans="2:26" ht="12.6" customHeight="1">
      <c r="B7" s="17" t="s">
        <v>153</v>
      </c>
    </row>
    <row r="8" spans="2:26" ht="57.6" customHeight="1">
      <c r="B8" s="346" t="s">
        <v>1128</v>
      </c>
      <c r="C8" s="346"/>
      <c r="D8" s="346"/>
    </row>
    <row r="10" spans="2:26" s="8" customFormat="1">
      <c r="B10" s="8" t="s">
        <v>157</v>
      </c>
      <c r="D10" s="8" t="s">
        <v>199</v>
      </c>
      <c r="F10" s="8" t="s">
        <v>200</v>
      </c>
      <c r="Z10" s="8" t="s">
        <v>202</v>
      </c>
    </row>
    <row r="12" spans="2:26" s="8" customFormat="1">
      <c r="B12" s="8" t="s">
        <v>872</v>
      </c>
    </row>
    <row r="14" spans="2:26">
      <c r="B14" s="16" t="s">
        <v>261</v>
      </c>
    </row>
    <row r="15" spans="2:26">
      <c r="B15" s="3" t="s">
        <v>262</v>
      </c>
      <c r="F15" s="37">
        <f>'2. Parameters'!F116</f>
        <v>1.25</v>
      </c>
    </row>
    <row r="16" spans="2:26">
      <c r="B16" s="3" t="s">
        <v>263</v>
      </c>
      <c r="F16" s="37">
        <f>'2. Parameters'!F117</f>
        <v>1.5</v>
      </c>
    </row>
    <row r="17" spans="2:6">
      <c r="B17" s="3" t="s">
        <v>264</v>
      </c>
      <c r="F17" s="37">
        <f>'2. Parameters'!F118</f>
        <v>1.75</v>
      </c>
    </row>
    <row r="18" spans="2:6">
      <c r="B18" s="3" t="s">
        <v>265</v>
      </c>
      <c r="F18" s="37">
        <f>'2. Parameters'!F119</f>
        <v>1.75</v>
      </c>
    </row>
    <row r="20" spans="2:6">
      <c r="B20" s="2" t="s">
        <v>267</v>
      </c>
    </row>
    <row r="21" spans="2:6">
      <c r="B21" s="3" t="s">
        <v>268</v>
      </c>
      <c r="F21" s="37">
        <f>'2. Parameters'!F124</f>
        <v>1.482</v>
      </c>
    </row>
    <row r="22" spans="2:6">
      <c r="B22" s="3" t="s">
        <v>269</v>
      </c>
      <c r="F22" s="37">
        <f>'2. Parameters'!F125</f>
        <v>0.78400000000000003</v>
      </c>
    </row>
    <row r="23" spans="2:6">
      <c r="B23" s="3" t="s">
        <v>270</v>
      </c>
      <c r="F23" s="37">
        <f>'2. Parameters'!F126</f>
        <v>0.629</v>
      </c>
    </row>
    <row r="24" spans="2:6">
      <c r="B24" s="3" t="s">
        <v>271</v>
      </c>
      <c r="F24" s="37">
        <f>'2. Parameters'!F127</f>
        <v>1.105</v>
      </c>
    </row>
    <row r="26" spans="2:6">
      <c r="B26" s="2" t="s">
        <v>272</v>
      </c>
    </row>
    <row r="27" spans="2:6">
      <c r="B27" s="3" t="s">
        <v>173</v>
      </c>
      <c r="F27" s="37">
        <f>'2. Parameters'!F130</f>
        <v>1.7150000000000001</v>
      </c>
    </row>
    <row r="28" spans="2:6">
      <c r="B28" s="3" t="s">
        <v>174</v>
      </c>
      <c r="F28" s="37">
        <f>'2. Parameters'!F131</f>
        <v>1.5329999999999999</v>
      </c>
    </row>
    <row r="29" spans="2:6">
      <c r="B29" s="3" t="s">
        <v>175</v>
      </c>
      <c r="F29" s="37">
        <f>'2. Parameters'!F132</f>
        <v>1.1990000000000001</v>
      </c>
    </row>
    <row r="30" spans="2:6">
      <c r="B30" s="3" t="s">
        <v>176</v>
      </c>
      <c r="F30" s="37">
        <f>'2. Parameters'!F133</f>
        <v>0.89400000000000002</v>
      </c>
    </row>
    <row r="31" spans="2:6">
      <c r="B31" s="3" t="s">
        <v>177</v>
      </c>
      <c r="F31" s="37">
        <f>'2. Parameters'!F134</f>
        <v>0.79200000000000004</v>
      </c>
    </row>
    <row r="32" spans="2:6">
      <c r="B32" s="3" t="s">
        <v>178</v>
      </c>
      <c r="F32" s="37">
        <f>'2. Parameters'!F135</f>
        <v>0.66500000000000004</v>
      </c>
    </row>
    <row r="33" spans="2:6">
      <c r="B33" s="3" t="s">
        <v>179</v>
      </c>
      <c r="F33" s="37">
        <f>'2. Parameters'!F136</f>
        <v>0.628</v>
      </c>
    </row>
    <row r="34" spans="2:6">
      <c r="B34" s="3" t="s">
        <v>180</v>
      </c>
      <c r="F34" s="37">
        <f>'2. Parameters'!F137</f>
        <v>0.59699999999999998</v>
      </c>
    </row>
    <row r="35" spans="2:6">
      <c r="B35" s="3" t="s">
        <v>181</v>
      </c>
      <c r="F35" s="37">
        <f>'2. Parameters'!F138</f>
        <v>0.66300000000000003</v>
      </c>
    </row>
    <row r="36" spans="2:6">
      <c r="B36" s="3" t="s">
        <v>182</v>
      </c>
      <c r="F36" s="37">
        <f>'2. Parameters'!F139</f>
        <v>0.76100000000000001</v>
      </c>
    </row>
    <row r="37" spans="2:6">
      <c r="B37" s="3" t="s">
        <v>183</v>
      </c>
      <c r="F37" s="37">
        <f>'2. Parameters'!F140</f>
        <v>1.1299999999999999</v>
      </c>
    </row>
    <row r="38" spans="2:6">
      <c r="B38" s="3" t="s">
        <v>184</v>
      </c>
      <c r="F38" s="37">
        <f>'2. Parameters'!F141</f>
        <v>1.4239999999999999</v>
      </c>
    </row>
    <row r="40" spans="2:6">
      <c r="B40" s="2" t="s">
        <v>273</v>
      </c>
    </row>
    <row r="41" spans="2:6">
      <c r="B41" s="3" t="s">
        <v>173</v>
      </c>
      <c r="F41" s="54">
        <f>'2. Parameters'!F144</f>
        <v>1.7729999999999999</v>
      </c>
    </row>
    <row r="42" spans="2:6">
      <c r="B42" s="3" t="s">
        <v>174</v>
      </c>
      <c r="F42" s="54">
        <f>'2. Parameters'!F145</f>
        <v>1.585</v>
      </c>
    </row>
    <row r="43" spans="2:6">
      <c r="B43" s="3" t="s">
        <v>175</v>
      </c>
      <c r="F43" s="54">
        <f>'2. Parameters'!F146</f>
        <v>1.2390000000000001</v>
      </c>
    </row>
    <row r="44" spans="2:6">
      <c r="B44" s="3" t="s">
        <v>176</v>
      </c>
      <c r="F44" s="54">
        <f>'2. Parameters'!F147</f>
        <v>0.92400000000000004</v>
      </c>
    </row>
    <row r="45" spans="2:6">
      <c r="B45" s="3" t="s">
        <v>177</v>
      </c>
      <c r="F45" s="54">
        <f>'2. Parameters'!F148</f>
        <v>0.81899999999999995</v>
      </c>
    </row>
    <row r="46" spans="2:6">
      <c r="B46" s="3" t="s">
        <v>178</v>
      </c>
      <c r="F46" s="54">
        <f>'2. Parameters'!F149</f>
        <v>0.68799999999999994</v>
      </c>
    </row>
    <row r="47" spans="2:6">
      <c r="B47" s="3" t="s">
        <v>179</v>
      </c>
      <c r="F47" s="54">
        <f>'2. Parameters'!F150</f>
        <v>0.64900000000000002</v>
      </c>
    </row>
    <row r="48" spans="2:6">
      <c r="B48" s="3" t="s">
        <v>180</v>
      </c>
      <c r="F48" s="54">
        <f>'2. Parameters'!F151</f>
        <v>0.61799999999999999</v>
      </c>
    </row>
    <row r="49" spans="2:6">
      <c r="B49" s="3" t="s">
        <v>181</v>
      </c>
      <c r="F49" s="54">
        <f>'2. Parameters'!F152</f>
        <v>0.68600000000000005</v>
      </c>
    </row>
    <row r="50" spans="2:6">
      <c r="B50" s="3" t="s">
        <v>182</v>
      </c>
      <c r="F50" s="54">
        <f>'2. Parameters'!F153</f>
        <v>0.78700000000000003</v>
      </c>
    </row>
    <row r="51" spans="2:6">
      <c r="B51" s="3" t="s">
        <v>183</v>
      </c>
      <c r="F51" s="54">
        <f>'2. Parameters'!F154</f>
        <v>1.1679999999999999</v>
      </c>
    </row>
    <row r="52" spans="2:6">
      <c r="B52" s="3" t="s">
        <v>184</v>
      </c>
      <c r="F52" s="54">
        <f>'2. Parameters'!F155</f>
        <v>1.472</v>
      </c>
    </row>
    <row r="54" spans="2:6">
      <c r="B54" s="2" t="s">
        <v>275</v>
      </c>
    </row>
    <row r="55" spans="2:6">
      <c r="B55" s="3" t="s">
        <v>173</v>
      </c>
      <c r="F55" s="37">
        <f>'2. Parameters'!F160</f>
        <v>31</v>
      </c>
    </row>
    <row r="56" spans="2:6">
      <c r="B56" s="3" t="s">
        <v>174</v>
      </c>
      <c r="F56" s="37">
        <f>'2. Parameters'!F161</f>
        <v>28</v>
      </c>
    </row>
    <row r="57" spans="2:6">
      <c r="B57" s="3" t="s">
        <v>175</v>
      </c>
      <c r="F57" s="37">
        <f>'2. Parameters'!F162</f>
        <v>31</v>
      </c>
    </row>
    <row r="58" spans="2:6">
      <c r="B58" s="3" t="s">
        <v>176</v>
      </c>
      <c r="F58" s="37">
        <f>'2. Parameters'!F163</f>
        <v>30</v>
      </c>
    </row>
    <row r="59" spans="2:6">
      <c r="B59" s="3" t="s">
        <v>177</v>
      </c>
      <c r="F59" s="37">
        <f>'2. Parameters'!F164</f>
        <v>31</v>
      </c>
    </row>
    <row r="60" spans="2:6">
      <c r="B60" s="3" t="s">
        <v>178</v>
      </c>
      <c r="F60" s="37">
        <f>'2. Parameters'!F165</f>
        <v>30</v>
      </c>
    </row>
    <row r="61" spans="2:6">
      <c r="B61" s="3" t="s">
        <v>179</v>
      </c>
      <c r="F61" s="37">
        <f>'2. Parameters'!F166</f>
        <v>31</v>
      </c>
    </row>
    <row r="62" spans="2:6">
      <c r="B62" s="3" t="s">
        <v>180</v>
      </c>
      <c r="F62" s="37">
        <f>'2. Parameters'!F167</f>
        <v>31</v>
      </c>
    </row>
    <row r="63" spans="2:6">
      <c r="B63" s="3" t="s">
        <v>181</v>
      </c>
      <c r="F63" s="37">
        <f>'2. Parameters'!F168</f>
        <v>30</v>
      </c>
    </row>
    <row r="64" spans="2:6">
      <c r="B64" s="3" t="s">
        <v>182</v>
      </c>
      <c r="F64" s="37">
        <f>'2. Parameters'!F169</f>
        <v>31</v>
      </c>
    </row>
    <row r="65" spans="2:6">
      <c r="B65" s="3" t="s">
        <v>183</v>
      </c>
      <c r="F65" s="37">
        <f>'2. Parameters'!F170</f>
        <v>30</v>
      </c>
    </row>
    <row r="66" spans="2:6">
      <c r="B66" s="3" t="s">
        <v>184</v>
      </c>
      <c r="F66" s="37">
        <f>'2. Parameters'!F171</f>
        <v>31</v>
      </c>
    </row>
    <row r="68" spans="2:6">
      <c r="B68" s="2" t="s">
        <v>276</v>
      </c>
    </row>
    <row r="69" spans="2:6">
      <c r="B69" s="3" t="s">
        <v>268</v>
      </c>
      <c r="F69" s="37">
        <f>'2. Parameters'!F174</f>
        <v>90</v>
      </c>
    </row>
    <row r="70" spans="2:6">
      <c r="B70" s="3" t="s">
        <v>269</v>
      </c>
      <c r="F70" s="37">
        <f>'2. Parameters'!F175</f>
        <v>91</v>
      </c>
    </row>
    <row r="71" spans="2:6">
      <c r="B71" s="3" t="s">
        <v>270</v>
      </c>
      <c r="F71" s="37">
        <f>'2. Parameters'!F176</f>
        <v>92</v>
      </c>
    </row>
    <row r="72" spans="2:6">
      <c r="B72" s="3" t="s">
        <v>271</v>
      </c>
      <c r="F72" s="37">
        <f>'2. Parameters'!F177</f>
        <v>92</v>
      </c>
    </row>
    <row r="74" spans="2:6">
      <c r="B74" s="2" t="s">
        <v>277</v>
      </c>
    </row>
    <row r="75" spans="2:6">
      <c r="B75" s="3" t="s">
        <v>278</v>
      </c>
      <c r="F75" s="37">
        <f>'2. Parameters'!F180</f>
        <v>24</v>
      </c>
    </row>
    <row r="76" spans="2:6">
      <c r="B76" s="3" t="s">
        <v>279</v>
      </c>
      <c r="F76" s="37">
        <f>'2. Parameters'!F181</f>
        <v>365</v>
      </c>
    </row>
    <row r="77" spans="2:6">
      <c r="B77" s="3" t="s">
        <v>280</v>
      </c>
      <c r="F77" s="37">
        <f>'2. Parameters'!F182</f>
        <v>8760</v>
      </c>
    </row>
    <row r="78" spans="2:6">
      <c r="B78" s="2"/>
    </row>
    <row r="79" spans="2:6">
      <c r="B79" s="2" t="s">
        <v>257</v>
      </c>
    </row>
    <row r="80" spans="2:6">
      <c r="B80" s="3" t="s">
        <v>1129</v>
      </c>
      <c r="D80" s="3" t="s">
        <v>204</v>
      </c>
      <c r="F80" s="37" t="str">
        <f>'1. Entry- en exittarieven'!J8</f>
        <v>Alle overige entry- en exitpunten</v>
      </c>
    </row>
    <row r="81" spans="2:24">
      <c r="B81" s="3" t="s">
        <v>1130</v>
      </c>
      <c r="D81" s="3" t="s">
        <v>204</v>
      </c>
      <c r="F81" s="77">
        <f>_xlfn.XLOOKUP(F80,'2. Parameters'!B187:B201,'2. Parameters'!F187:F201)</f>
        <v>1E-4</v>
      </c>
    </row>
    <row r="82" spans="2:24">
      <c r="B82" s="3" t="s">
        <v>1131</v>
      </c>
      <c r="D82" s="3" t="s">
        <v>204</v>
      </c>
      <c r="F82" s="77">
        <f>_xlfn.XLOOKUP(F80,'2. Parameters'!B204:B218,'2. Parameters'!F204:F218)</f>
        <v>1E-4</v>
      </c>
    </row>
    <row r="83" spans="2:24">
      <c r="B83" s="3" t="s">
        <v>259</v>
      </c>
      <c r="D83" s="3" t="s">
        <v>204</v>
      </c>
      <c r="F83" s="77">
        <f>'2. Parameters'!F111</f>
        <v>0.94</v>
      </c>
    </row>
    <row r="85" spans="2:24" s="8" customFormat="1">
      <c r="B85" s="8" t="s">
        <v>1132</v>
      </c>
    </row>
    <row r="87" spans="2:24">
      <c r="B87" s="3" t="s">
        <v>1117</v>
      </c>
      <c r="D87" s="3" t="s">
        <v>1133</v>
      </c>
      <c r="F87" s="32">
        <f>'26. RPM'!M43</f>
        <v>5.6231027698625651</v>
      </c>
    </row>
    <row r="88" spans="2:24">
      <c r="B88" s="3" t="s">
        <v>1118</v>
      </c>
      <c r="D88" s="3" t="s">
        <v>1133</v>
      </c>
      <c r="F88" s="32">
        <f>'26. RPM'!M44</f>
        <v>4.8227385710044697</v>
      </c>
    </row>
    <row r="89" spans="2:24">
      <c r="B89" s="3" t="s">
        <v>1119</v>
      </c>
      <c r="D89" s="3" t="s">
        <v>1133</v>
      </c>
      <c r="F89" s="32">
        <f>'26. RPM'!M45</f>
        <v>1.4057756924656413</v>
      </c>
      <c r="I89" s="223"/>
    </row>
    <row r="90" spans="2:24">
      <c r="B90" s="3" t="s">
        <v>1120</v>
      </c>
      <c r="D90" s="3" t="s">
        <v>1133</v>
      </c>
      <c r="F90" s="32">
        <f>'26. RPM'!M46</f>
        <v>1.2056846427511174</v>
      </c>
    </row>
    <row r="91" spans="2:24">
      <c r="B91" s="3" t="s">
        <v>1121</v>
      </c>
      <c r="D91" s="3" t="s">
        <v>1133</v>
      </c>
      <c r="F91" s="32">
        <f>'26. RPM'!M47</f>
        <v>4.4984822158900526</v>
      </c>
    </row>
    <row r="93" spans="2:24" s="33" customFormat="1">
      <c r="B93" s="33" t="s">
        <v>158</v>
      </c>
      <c r="H93" s="33" t="s">
        <v>159</v>
      </c>
      <c r="N93" s="33" t="s">
        <v>160</v>
      </c>
      <c r="T93" s="33" t="s">
        <v>161</v>
      </c>
    </row>
    <row r="94" spans="2:24" s="36" customFormat="1">
      <c r="B94" s="36" t="s">
        <v>162</v>
      </c>
      <c r="H94" s="36" t="s">
        <v>163</v>
      </c>
      <c r="I94" s="36" t="s">
        <v>164</v>
      </c>
      <c r="J94" s="36" t="s">
        <v>165</v>
      </c>
      <c r="K94" s="36" t="s">
        <v>166</v>
      </c>
      <c r="L94" s="36" t="s">
        <v>167</v>
      </c>
      <c r="N94" s="36" t="s">
        <v>163</v>
      </c>
      <c r="O94" s="36" t="s">
        <v>164</v>
      </c>
      <c r="P94" s="36" t="s">
        <v>165</v>
      </c>
      <c r="Q94" s="36" t="s">
        <v>166</v>
      </c>
      <c r="R94" s="36" t="s">
        <v>167</v>
      </c>
      <c r="T94" s="36" t="s">
        <v>163</v>
      </c>
      <c r="U94" s="36" t="s">
        <v>164</v>
      </c>
      <c r="V94" s="36" t="s">
        <v>165</v>
      </c>
      <c r="W94" s="36" t="s">
        <v>166</v>
      </c>
      <c r="X94" s="36" t="s">
        <v>167</v>
      </c>
    </row>
    <row r="95" spans="2:24" s="34" customFormat="1">
      <c r="H95" s="34" t="s">
        <v>168</v>
      </c>
      <c r="I95" s="34" t="s">
        <v>169</v>
      </c>
      <c r="J95" s="34" t="s">
        <v>170</v>
      </c>
      <c r="K95" s="34" t="s">
        <v>171</v>
      </c>
      <c r="L95" s="34" t="s">
        <v>172</v>
      </c>
      <c r="N95" s="34" t="s">
        <v>168</v>
      </c>
      <c r="O95" s="34" t="s">
        <v>169</v>
      </c>
      <c r="P95" s="34" t="s">
        <v>170</v>
      </c>
      <c r="Q95" s="34" t="s">
        <v>171</v>
      </c>
      <c r="R95" s="34" t="s">
        <v>172</v>
      </c>
      <c r="T95" s="34" t="s">
        <v>168</v>
      </c>
      <c r="U95" s="34" t="s">
        <v>169</v>
      </c>
      <c r="V95" s="34" t="s">
        <v>170</v>
      </c>
      <c r="W95" s="34" t="s">
        <v>171</v>
      </c>
      <c r="X95" s="34" t="s">
        <v>172</v>
      </c>
    </row>
    <row r="97" spans="2:33" ht="12.75" customHeight="1">
      <c r="B97" s="3" t="s">
        <v>173</v>
      </c>
      <c r="H97" s="357">
        <f>ROUND(F87,8)</f>
        <v>5.62310277</v>
      </c>
      <c r="I97" s="358">
        <f>ROUND($F$15*$F$21*$F$69/$F$76*$F$87,8)</f>
        <v>2.5685254999999998</v>
      </c>
      <c r="J97" s="87">
        <f t="shared" ref="J97:J108" si="0">ROUND($F$16*$F27*$F55/$F$76*$F$87,8)</f>
        <v>1.2285709300000001</v>
      </c>
      <c r="K97" s="87">
        <f t="shared" ref="K97:K108" si="1">ROUND($F$17*$F41/$F$76*$F$87,8)</f>
        <v>4.7800219999999997E-2</v>
      </c>
      <c r="L97" s="257">
        <f t="shared" ref="L97:L108" si="2">ROUNDUP($F$18*$F41/$F$77*$F$87,8)</f>
        <v>1.99168E-3</v>
      </c>
      <c r="M97" s="88"/>
      <c r="N97" s="357">
        <f>ROUND(F89,8)</f>
        <v>1.40577569</v>
      </c>
      <c r="O97" s="358">
        <f>ROUND($F$15*$F$21*$F$69/$F$76*$F$89,8)</f>
        <v>0.64213138000000003</v>
      </c>
      <c r="P97" s="87">
        <f>ROUND($F$16*$F$27*$F$55/$F$76*$F$89,8)</f>
        <v>0.30714272999999997</v>
      </c>
      <c r="Q97" s="87">
        <f>ROUND($F$17*$F$41/$F$76*$F$89,8)</f>
        <v>1.195006E-2</v>
      </c>
      <c r="R97" s="262">
        <f t="shared" ref="R97:R108" si="3">ROUNDUP($F$18*$F41/$F$77*$F$89,8)</f>
        <v>4.9792E-4</v>
      </c>
      <c r="S97" s="287"/>
      <c r="T97" s="357">
        <f>ROUND(F91,8)</f>
        <v>4.4984822199999996</v>
      </c>
      <c r="U97" s="358">
        <f>ROUND($F$15*$F$21*$F$69/$F$76*$F$91,8)</f>
        <v>2.0548204000000001</v>
      </c>
      <c r="V97" s="288">
        <f t="shared" ref="V97:V108" si="4">ROUND($F$16*$F27*$F55/$F$76*$F$91,8)</f>
        <v>0.98285674000000001</v>
      </c>
      <c r="W97" s="288">
        <f t="shared" ref="W97:W108" si="5">ROUND($F$17*$F41/$F$76*$F$91,8)</f>
        <v>3.8240179999999999E-2</v>
      </c>
      <c r="X97" s="262">
        <f t="shared" ref="X97:X108" si="6">ROUNDUP($F$18*$F41/$F$77*$F$91,8)</f>
        <v>1.5933499999999999E-3</v>
      </c>
      <c r="Z97" s="359" t="s">
        <v>1134</v>
      </c>
      <c r="AA97" s="359"/>
      <c r="AB97" s="359"/>
      <c r="AG97" s="255"/>
    </row>
    <row r="98" spans="2:33">
      <c r="B98" s="3" t="s">
        <v>174</v>
      </c>
      <c r="H98" s="357"/>
      <c r="I98" s="358"/>
      <c r="J98" s="87">
        <f t="shared" si="0"/>
        <v>0.99191532999999998</v>
      </c>
      <c r="K98" s="87">
        <f t="shared" si="1"/>
        <v>4.2731730000000002E-2</v>
      </c>
      <c r="L98" s="257">
        <f t="shared" si="2"/>
        <v>1.78049E-3</v>
      </c>
      <c r="M98" s="88"/>
      <c r="N98" s="357"/>
      <c r="O98" s="358"/>
      <c r="P98" s="87">
        <f>ROUND($F$16*$F$28*$F$56/$F$76*$F$89,8)</f>
        <v>0.24797883000000001</v>
      </c>
      <c r="Q98" s="87">
        <f>ROUND($F$17*$F$42/$F$76*$F$89,8)</f>
        <v>1.068293E-2</v>
      </c>
      <c r="R98" s="262">
        <f t="shared" si="3"/>
        <v>4.4513000000000002E-4</v>
      </c>
      <c r="S98" s="287"/>
      <c r="T98" s="357"/>
      <c r="U98" s="358"/>
      <c r="V98" s="288">
        <f t="shared" si="4"/>
        <v>0.79353225999999999</v>
      </c>
      <c r="W98" s="288">
        <f t="shared" si="5"/>
        <v>3.4185380000000001E-2</v>
      </c>
      <c r="X98" s="262">
        <f t="shared" si="6"/>
        <v>1.4243999999999999E-3</v>
      </c>
      <c r="Z98" s="359"/>
      <c r="AA98" s="359"/>
      <c r="AB98" s="359"/>
    </row>
    <row r="99" spans="2:33">
      <c r="B99" s="3" t="s">
        <v>175</v>
      </c>
      <c r="H99" s="357"/>
      <c r="I99" s="358"/>
      <c r="J99" s="87">
        <f t="shared" si="0"/>
        <v>0.8589251</v>
      </c>
      <c r="K99" s="87">
        <f t="shared" si="1"/>
        <v>3.3403540000000002E-2</v>
      </c>
      <c r="L99" s="257">
        <f t="shared" si="2"/>
        <v>1.39182E-3</v>
      </c>
      <c r="M99" s="88"/>
      <c r="N99" s="357"/>
      <c r="O99" s="358"/>
      <c r="P99" s="87">
        <f>ROUND($F$16*$F$29*$F$57/$F$76*$F$89,8)</f>
        <v>0.21473127</v>
      </c>
      <c r="Q99" s="87">
        <f>ROUND($F$17*$F$43/$F$76*$F$89,8)</f>
        <v>8.3508899999999997E-3</v>
      </c>
      <c r="R99" s="262">
        <f t="shared" si="3"/>
        <v>3.4795999999999997E-4</v>
      </c>
      <c r="S99" s="287"/>
      <c r="T99" s="357"/>
      <c r="U99" s="358"/>
      <c r="V99" s="288">
        <f t="shared" si="4"/>
        <v>0.68714008000000004</v>
      </c>
      <c r="W99" s="288">
        <f t="shared" si="5"/>
        <v>2.672283E-2</v>
      </c>
      <c r="X99" s="262">
        <f t="shared" si="6"/>
        <v>1.1134599999999999E-3</v>
      </c>
      <c r="Z99" s="359"/>
      <c r="AA99" s="359"/>
      <c r="AB99" s="359"/>
    </row>
    <row r="100" spans="2:33">
      <c r="B100" s="3" t="s">
        <v>176</v>
      </c>
      <c r="H100" s="357"/>
      <c r="I100" s="358">
        <f>ROUND($F$15*$F$22*$F$70/$F$76*$F$87,8)</f>
        <v>1.37388577</v>
      </c>
      <c r="J100" s="87">
        <f t="shared" si="0"/>
        <v>0.61977377</v>
      </c>
      <c r="K100" s="87">
        <f t="shared" si="1"/>
        <v>2.4911119999999998E-2</v>
      </c>
      <c r="L100" s="257">
        <f t="shared" si="2"/>
        <v>1.03797E-3</v>
      </c>
      <c r="M100" s="88"/>
      <c r="N100" s="357"/>
      <c r="O100" s="358">
        <f>ROUND($F$15*$F$22*$F$70/$F$76*$F$89,8)</f>
        <v>0.34347144000000002</v>
      </c>
      <c r="P100" s="87">
        <f>ROUND($F$16*$F$30*$F$58/$F$76*$F$89,8)</f>
        <v>0.15494343999999999</v>
      </c>
      <c r="Q100" s="87">
        <f>ROUND($F$17*$F$44/$F$76*$F$89,8)</f>
        <v>6.2277799999999996E-3</v>
      </c>
      <c r="R100" s="262">
        <f t="shared" si="3"/>
        <v>2.5950000000000002E-4</v>
      </c>
      <c r="S100" s="287"/>
      <c r="T100" s="357"/>
      <c r="U100" s="358">
        <f>ROUND($F$15*$F$22*$F$70/$F$76*$F$91,8)</f>
        <v>1.09910861</v>
      </c>
      <c r="V100" s="288">
        <f t="shared" si="4"/>
        <v>0.49581901</v>
      </c>
      <c r="W100" s="288">
        <f t="shared" si="5"/>
        <v>1.9928890000000001E-2</v>
      </c>
      <c r="X100" s="262">
        <f t="shared" si="6"/>
        <v>8.3038000000000003E-4</v>
      </c>
      <c r="Z100" s="359"/>
      <c r="AA100" s="359"/>
      <c r="AB100" s="359"/>
    </row>
    <row r="101" spans="2:33">
      <c r="B101" s="3" t="s">
        <v>177</v>
      </c>
      <c r="H101" s="357"/>
      <c r="I101" s="358"/>
      <c r="J101" s="87">
        <f t="shared" si="0"/>
        <v>0.56736337000000003</v>
      </c>
      <c r="K101" s="87">
        <f t="shared" si="1"/>
        <v>2.2080309999999999E-2</v>
      </c>
      <c r="L101" s="257">
        <f t="shared" si="2"/>
        <v>9.2002000000000002E-4</v>
      </c>
      <c r="M101" s="88"/>
      <c r="N101" s="357"/>
      <c r="O101" s="358"/>
      <c r="P101" s="87">
        <f>ROUND($F$16*$F$31*$F$59/$F$76*$F$89,8)</f>
        <v>0.14184084</v>
      </c>
      <c r="Q101" s="87">
        <f>ROUND($F$17*$F$45/$F$76*$F$89,8)</f>
        <v>5.5200800000000001E-3</v>
      </c>
      <c r="R101" s="262">
        <f t="shared" si="3"/>
        <v>2.3001E-4</v>
      </c>
      <c r="S101" s="287"/>
      <c r="T101" s="357"/>
      <c r="U101" s="358"/>
      <c r="V101" s="288">
        <f t="shared" si="4"/>
        <v>0.45389068999999999</v>
      </c>
      <c r="W101" s="288">
        <f t="shared" si="5"/>
        <v>1.7664249999999999E-2</v>
      </c>
      <c r="X101" s="262">
        <f t="shared" si="6"/>
        <v>7.360200000000001E-4</v>
      </c>
      <c r="Z101" s="359"/>
      <c r="AA101" s="359"/>
      <c r="AB101" s="359"/>
    </row>
    <row r="102" spans="2:33">
      <c r="B102" s="3" t="s">
        <v>178</v>
      </c>
      <c r="H102" s="357"/>
      <c r="I102" s="358"/>
      <c r="J102" s="87">
        <f t="shared" si="0"/>
        <v>0.46101740000000002</v>
      </c>
      <c r="K102" s="87">
        <f t="shared" si="1"/>
        <v>1.8548539999999999E-2</v>
      </c>
      <c r="L102" s="257">
        <f t="shared" si="2"/>
        <v>7.7286E-4</v>
      </c>
      <c r="M102" s="88"/>
      <c r="N102" s="357"/>
      <c r="O102" s="358"/>
      <c r="P102" s="87">
        <f>ROUND($F$16*$F$32*$F$60/$F$76*$F$89,8)</f>
        <v>0.11525435000000001</v>
      </c>
      <c r="Q102" s="87">
        <f>ROUND($F$17*$F$46/$F$76*$F$89,8)</f>
        <v>4.6371299999999997E-3</v>
      </c>
      <c r="R102" s="262">
        <f t="shared" si="3"/>
        <v>1.9322E-4</v>
      </c>
      <c r="S102" s="287"/>
      <c r="T102" s="357"/>
      <c r="U102" s="358"/>
      <c r="V102" s="288">
        <f t="shared" si="4"/>
        <v>0.36881392000000002</v>
      </c>
      <c r="W102" s="288">
        <f t="shared" si="5"/>
        <v>1.4838830000000001E-2</v>
      </c>
      <c r="X102" s="262">
        <f t="shared" si="6"/>
        <v>6.1829000000000007E-4</v>
      </c>
      <c r="Z102" s="359"/>
      <c r="AA102" s="359"/>
      <c r="AB102" s="359"/>
    </row>
    <row r="103" spans="2:33">
      <c r="B103" s="3" t="s">
        <v>179</v>
      </c>
      <c r="H103" s="357"/>
      <c r="I103" s="358">
        <f>ROUND($F$15*$F$23*$F$71/$F$76*$F$87,8)</f>
        <v>1.11437572</v>
      </c>
      <c r="J103" s="87">
        <f t="shared" si="0"/>
        <v>0.44987903000000001</v>
      </c>
      <c r="K103" s="87">
        <f t="shared" si="1"/>
        <v>1.749709E-2</v>
      </c>
      <c r="L103" s="257">
        <f t="shared" si="2"/>
        <v>7.2905000000000008E-4</v>
      </c>
      <c r="M103" s="88"/>
      <c r="N103" s="357"/>
      <c r="O103" s="358">
        <f>ROUND($F$15*$F$23*$F$71/$F$76*$F$89,8)</f>
        <v>0.27859392999999999</v>
      </c>
      <c r="P103" s="87">
        <f>ROUND($F$16*$F$33*$F$61/$F$76*$F$89,8)</f>
        <v>0.11246976</v>
      </c>
      <c r="Q103" s="87">
        <f>ROUND($F$17*$F$47/$F$76*$F$89,8)</f>
        <v>4.3742700000000004E-3</v>
      </c>
      <c r="R103" s="262">
        <f t="shared" si="3"/>
        <v>1.8227E-4</v>
      </c>
      <c r="S103" s="287"/>
      <c r="T103" s="357"/>
      <c r="U103" s="358">
        <f>ROUND($F$15*$F$23*$F$71/$F$76*$F$91,8)</f>
        <v>0.89150057999999999</v>
      </c>
      <c r="V103" s="288">
        <f t="shared" si="4"/>
        <v>0.35990323000000002</v>
      </c>
      <c r="W103" s="288">
        <f t="shared" si="5"/>
        <v>1.399767E-2</v>
      </c>
      <c r="X103" s="262">
        <f t="shared" si="6"/>
        <v>5.8324000000000006E-4</v>
      </c>
      <c r="Z103" s="359"/>
      <c r="AA103" s="359"/>
      <c r="AB103" s="359"/>
    </row>
    <row r="104" spans="2:33">
      <c r="B104" s="3" t="s">
        <v>180</v>
      </c>
      <c r="H104" s="357"/>
      <c r="I104" s="358"/>
      <c r="J104" s="87">
        <f t="shared" si="0"/>
        <v>0.42767163000000002</v>
      </c>
      <c r="K104" s="87">
        <f t="shared" si="1"/>
        <v>1.6661329999999999E-2</v>
      </c>
      <c r="L104" s="257">
        <f t="shared" si="2"/>
        <v>6.9423E-4</v>
      </c>
      <c r="M104" s="88"/>
      <c r="N104" s="357"/>
      <c r="O104" s="358"/>
      <c r="P104" s="87">
        <f>ROUND($F$16*$F$34*$F$62/$F$76*$F$89,8)</f>
        <v>0.10691791</v>
      </c>
      <c r="Q104" s="87">
        <f>ROUND($F$17*$F$48/$F$76*$F$89,8)</f>
        <v>4.1653300000000001E-3</v>
      </c>
      <c r="R104" s="262">
        <f t="shared" si="3"/>
        <v>1.7355999999999998E-4</v>
      </c>
      <c r="S104" s="287"/>
      <c r="T104" s="357"/>
      <c r="U104" s="358"/>
      <c r="V104" s="288">
        <f t="shared" si="4"/>
        <v>0.34213729999999998</v>
      </c>
      <c r="W104" s="288">
        <f t="shared" si="5"/>
        <v>1.332906E-2</v>
      </c>
      <c r="X104" s="262">
        <f t="shared" si="6"/>
        <v>5.5538000000000007E-4</v>
      </c>
      <c r="Z104" s="359"/>
      <c r="AA104" s="359"/>
      <c r="AB104" s="359"/>
    </row>
    <row r="105" spans="2:33">
      <c r="B105" s="3" t="s">
        <v>181</v>
      </c>
      <c r="H105" s="357"/>
      <c r="I105" s="358"/>
      <c r="J105" s="87">
        <f t="shared" si="0"/>
        <v>0.45963088000000002</v>
      </c>
      <c r="K105" s="87">
        <f t="shared" si="1"/>
        <v>1.849462E-2</v>
      </c>
      <c r="L105" s="257">
        <f t="shared" si="2"/>
        <v>7.7061000000000002E-4</v>
      </c>
      <c r="M105" s="88"/>
      <c r="N105" s="357"/>
      <c r="O105" s="358"/>
      <c r="P105" s="87">
        <f>ROUND($F$16*$F$35*$F$63/$F$76*$F$89,8)</f>
        <v>0.11490772</v>
      </c>
      <c r="Q105" s="87">
        <f>ROUND($F$17*$F$49/$F$76*$F$89,8)</f>
        <v>4.62365E-3</v>
      </c>
      <c r="R105" s="262">
        <f t="shared" si="3"/>
        <v>1.9265999999999999E-4</v>
      </c>
      <c r="S105" s="287"/>
      <c r="T105" s="357"/>
      <c r="U105" s="358"/>
      <c r="V105" s="288">
        <f t="shared" si="4"/>
        <v>0.3677047</v>
      </c>
      <c r="W105" s="288">
        <f t="shared" si="5"/>
        <v>1.479569E-2</v>
      </c>
      <c r="X105" s="262">
        <f t="shared" si="6"/>
        <v>6.1649000000000003E-4</v>
      </c>
      <c r="Z105" s="359"/>
      <c r="AA105" s="359"/>
      <c r="AB105" s="359"/>
    </row>
    <row r="106" spans="2:33">
      <c r="B106" s="3" t="s">
        <v>182</v>
      </c>
      <c r="H106" s="357"/>
      <c r="I106" s="358">
        <f>ROUND($F$15*$F$24*$F$72/$F$76*$F$87,8)</f>
        <v>1.9576870799999999</v>
      </c>
      <c r="J106" s="87">
        <f t="shared" si="0"/>
        <v>0.54515595999999999</v>
      </c>
      <c r="K106" s="87">
        <f t="shared" si="1"/>
        <v>2.121758E-2</v>
      </c>
      <c r="L106" s="257">
        <f t="shared" si="2"/>
        <v>8.8407000000000004E-4</v>
      </c>
      <c r="M106" s="88"/>
      <c r="N106" s="357"/>
      <c r="O106" s="358">
        <f>ROUND($F$15*$F$24*$F$72/$F$76*$F$89,8)</f>
        <v>0.48942176999999998</v>
      </c>
      <c r="P106" s="87">
        <f>ROUND($F$16*$F$36*$F$64/$F$76*$F$89,8)</f>
        <v>0.13628899</v>
      </c>
      <c r="Q106" s="87">
        <f>ROUND($F$17*$F$50/$F$76*$F$89,8)</f>
        <v>5.3043999999999999E-3</v>
      </c>
      <c r="R106" s="262">
        <f t="shared" si="3"/>
        <v>2.2101999999999999E-4</v>
      </c>
      <c r="S106" s="287"/>
      <c r="T106" s="357"/>
      <c r="U106" s="358">
        <f>ROUND($F$15*$F$24*$F$72/$F$76*$F$91,8)</f>
        <v>1.56614966</v>
      </c>
      <c r="V106" s="288">
        <f t="shared" si="4"/>
        <v>0.43612476999999999</v>
      </c>
      <c r="W106" s="288">
        <f t="shared" si="5"/>
        <v>1.6974070000000001E-2</v>
      </c>
      <c r="X106" s="262">
        <f t="shared" si="6"/>
        <v>7.0726000000000003E-4</v>
      </c>
      <c r="Z106" s="359"/>
      <c r="AA106" s="359"/>
      <c r="AB106" s="359"/>
    </row>
    <row r="107" spans="2:33">
      <c r="B107" s="3" t="s">
        <v>183</v>
      </c>
      <c r="H107" s="357"/>
      <c r="I107" s="358"/>
      <c r="J107" s="87">
        <f t="shared" si="0"/>
        <v>0.78338295000000002</v>
      </c>
      <c r="K107" s="87">
        <f t="shared" si="1"/>
        <v>3.1489379999999997E-2</v>
      </c>
      <c r="L107" s="257">
        <f t="shared" si="2"/>
        <v>1.3120599999999999E-3</v>
      </c>
      <c r="M107" s="88"/>
      <c r="N107" s="357"/>
      <c r="O107" s="358"/>
      <c r="P107" s="87">
        <f>ROUND($F$16*$F$37*$F$65/$F$76*$F$89,8)</f>
        <v>0.19584573999999999</v>
      </c>
      <c r="Q107" s="87">
        <f>ROUND($F$17*$F$51/$F$76*$F$89,8)</f>
        <v>7.8723400000000002E-3</v>
      </c>
      <c r="R107" s="262">
        <f t="shared" si="3"/>
        <v>3.2801999999999999E-4</v>
      </c>
      <c r="S107" s="287"/>
      <c r="T107" s="357"/>
      <c r="U107" s="358"/>
      <c r="V107" s="288">
        <f t="shared" si="4"/>
        <v>0.62670636000000002</v>
      </c>
      <c r="W107" s="288">
        <f t="shared" si="5"/>
        <v>2.5191499999999999E-2</v>
      </c>
      <c r="X107" s="262">
        <f t="shared" si="6"/>
        <v>1.0496499999999998E-3</v>
      </c>
      <c r="Z107" s="359"/>
      <c r="AA107" s="359"/>
      <c r="AB107" s="359"/>
    </row>
    <row r="108" spans="2:33">
      <c r="B108" s="3" t="s">
        <v>184</v>
      </c>
      <c r="H108" s="357"/>
      <c r="I108" s="358"/>
      <c r="J108" s="87">
        <f t="shared" si="0"/>
        <v>1.0201078699999999</v>
      </c>
      <c r="K108" s="87">
        <f t="shared" si="1"/>
        <v>3.9685239999999997E-2</v>
      </c>
      <c r="L108" s="257">
        <f t="shared" si="2"/>
        <v>1.6535599999999999E-3</v>
      </c>
      <c r="M108" s="88"/>
      <c r="N108" s="357"/>
      <c r="O108" s="358"/>
      <c r="P108" s="87">
        <f>ROUND($F$16*$F$38*$F$66/$F$76*$F$89,8)</f>
        <v>0.25502697000000002</v>
      </c>
      <c r="Q108" s="87">
        <f>ROUND($F$17*$F$52/$F$76*$F$89,8)</f>
        <v>9.9213099999999992E-3</v>
      </c>
      <c r="R108" s="262">
        <f t="shared" si="3"/>
        <v>4.1338999999999997E-4</v>
      </c>
      <c r="S108" s="287"/>
      <c r="T108" s="357"/>
      <c r="U108" s="358"/>
      <c r="V108" s="288">
        <f t="shared" si="4"/>
        <v>0.81608630000000004</v>
      </c>
      <c r="W108" s="288">
        <f t="shared" si="5"/>
        <v>3.1748190000000003E-2</v>
      </c>
      <c r="X108" s="262">
        <f t="shared" si="6"/>
        <v>1.32285E-3</v>
      </c>
      <c r="Z108" s="359"/>
      <c r="AA108" s="359"/>
      <c r="AB108" s="359"/>
    </row>
    <row r="109" spans="2:33">
      <c r="L109" s="258"/>
      <c r="R109" s="254"/>
      <c r="S109" s="254"/>
      <c r="T109" s="254"/>
      <c r="U109" s="254"/>
      <c r="V109" s="254"/>
      <c r="W109" s="254"/>
      <c r="X109" s="254"/>
    </row>
    <row r="110" spans="2:33">
      <c r="L110" s="258"/>
      <c r="R110" s="254"/>
      <c r="S110" s="254"/>
      <c r="T110" s="254"/>
      <c r="U110" s="254"/>
      <c r="V110" s="254"/>
      <c r="W110" s="254"/>
      <c r="X110" s="254"/>
    </row>
    <row r="111" spans="2:33" s="33" customFormat="1">
      <c r="B111" s="33" t="s">
        <v>185</v>
      </c>
      <c r="H111" s="33" t="s">
        <v>159</v>
      </c>
      <c r="L111" s="259"/>
      <c r="N111" s="33" t="s">
        <v>160</v>
      </c>
      <c r="R111" s="263"/>
      <c r="S111" s="263"/>
      <c r="T111" s="263"/>
      <c r="U111" s="263"/>
      <c r="V111" s="263"/>
      <c r="W111" s="263"/>
      <c r="X111" s="263"/>
    </row>
    <row r="112" spans="2:33" s="36" customFormat="1">
      <c r="B112" s="36" t="s">
        <v>1135</v>
      </c>
      <c r="H112" s="36" t="s">
        <v>163</v>
      </c>
      <c r="I112" s="36" t="s">
        <v>164</v>
      </c>
      <c r="J112" s="36" t="s">
        <v>165</v>
      </c>
      <c r="K112" s="36" t="s">
        <v>166</v>
      </c>
      <c r="L112" s="260" t="s">
        <v>167</v>
      </c>
      <c r="N112" s="36" t="s">
        <v>163</v>
      </c>
      <c r="O112" s="36" t="s">
        <v>164</v>
      </c>
      <c r="P112" s="36" t="s">
        <v>165</v>
      </c>
      <c r="Q112" s="36" t="s">
        <v>166</v>
      </c>
      <c r="R112" s="264" t="s">
        <v>167</v>
      </c>
      <c r="S112" s="264"/>
      <c r="T112" s="264"/>
      <c r="U112" s="264"/>
      <c r="V112" s="264"/>
      <c r="W112" s="264"/>
      <c r="X112" s="264"/>
    </row>
    <row r="113" spans="2:24" s="34" customFormat="1">
      <c r="H113" s="34" t="s">
        <v>168</v>
      </c>
      <c r="I113" s="34" t="s">
        <v>169</v>
      </c>
      <c r="J113" s="34" t="s">
        <v>170</v>
      </c>
      <c r="K113" s="34" t="s">
        <v>171</v>
      </c>
      <c r="L113" s="261" t="s">
        <v>172</v>
      </c>
      <c r="N113" s="34" t="s">
        <v>168</v>
      </c>
      <c r="O113" s="34" t="s">
        <v>169</v>
      </c>
      <c r="P113" s="34" t="s">
        <v>170</v>
      </c>
      <c r="Q113" s="34" t="s">
        <v>171</v>
      </c>
      <c r="R113" s="265" t="s">
        <v>172</v>
      </c>
      <c r="S113" s="265"/>
      <c r="T113" s="265"/>
      <c r="U113" s="265"/>
      <c r="V113" s="265"/>
      <c r="W113" s="265"/>
      <c r="X113" s="265"/>
    </row>
    <row r="114" spans="2:24">
      <c r="L114" s="258"/>
      <c r="R114" s="254"/>
      <c r="S114" s="254"/>
      <c r="T114" s="254"/>
      <c r="U114" s="254"/>
      <c r="V114" s="254"/>
      <c r="W114" s="254"/>
      <c r="X114" s="254"/>
    </row>
    <row r="115" spans="2:24" ht="12.75" customHeight="1">
      <c r="B115" s="3" t="s">
        <v>173</v>
      </c>
      <c r="H115" s="357">
        <f>ROUND(F88,8)</f>
        <v>4.8227385700000003</v>
      </c>
      <c r="I115" s="358">
        <f>ROUND($F$15*$F$21*$F$69/$F$76*$F$88,8)</f>
        <v>2.2029344900000001</v>
      </c>
      <c r="J115" s="87">
        <f t="shared" ref="J115:J126" si="7">ROUND($F$16*$F27*$F55/$F$76*$F$88,8)</f>
        <v>1.05370231</v>
      </c>
      <c r="K115" s="87">
        <f t="shared" ref="K115:K126" si="8">ROUND($F$17*$F41/$F$76*$F$88,8)</f>
        <v>4.0996579999999998E-2</v>
      </c>
      <c r="L115" s="257">
        <f t="shared" ref="L115:L126" si="9">ROUNDUP($F$18*$F41/$F$77*$F$88,8)</f>
        <v>1.7082E-3</v>
      </c>
      <c r="N115" s="357">
        <f>ROUND(F90,8)</f>
        <v>1.2056846400000001</v>
      </c>
      <c r="O115" s="358">
        <f>ROUND($F$15*$F$21*$F$69/$F$76*$F$90,8)</f>
        <v>0.55073362000000003</v>
      </c>
      <c r="P115" s="87">
        <f t="shared" ref="P115:P126" si="10">ROUND($F$16*$F27*$F55/$F$76*$F$90,8)</f>
        <v>0.26342557999999999</v>
      </c>
      <c r="Q115" s="87">
        <f t="shared" ref="Q115:Q126" si="11">ROUND($F$17*$F41/$F$76*$F$90,8)</f>
        <v>1.024915E-2</v>
      </c>
      <c r="R115" s="262">
        <f t="shared" ref="R115:R126" si="12">ROUNDUP($F$18*$F41/$F$77*$F$90,8)</f>
        <v>4.2705E-4</v>
      </c>
      <c r="S115" s="287"/>
      <c r="T115" s="359" t="s">
        <v>1134</v>
      </c>
      <c r="U115" s="359"/>
      <c r="V115" s="359"/>
      <c r="W115" s="287"/>
      <c r="X115" s="287"/>
    </row>
    <row r="116" spans="2:24">
      <c r="B116" s="3" t="s">
        <v>174</v>
      </c>
      <c r="H116" s="357"/>
      <c r="I116" s="358"/>
      <c r="J116" s="87">
        <f t="shared" si="7"/>
        <v>0.85073107999999997</v>
      </c>
      <c r="K116" s="87">
        <f t="shared" si="8"/>
        <v>3.6649510000000003E-2</v>
      </c>
      <c r="L116" s="257">
        <f t="shared" si="9"/>
        <v>1.5270699999999999E-3</v>
      </c>
      <c r="N116" s="357"/>
      <c r="O116" s="358"/>
      <c r="P116" s="87">
        <f t="shared" si="10"/>
        <v>0.21268276999999999</v>
      </c>
      <c r="Q116" s="87">
        <f t="shared" si="11"/>
        <v>9.1623799999999995E-3</v>
      </c>
      <c r="R116" s="262">
        <f t="shared" si="12"/>
        <v>3.8176999999999997E-4</v>
      </c>
      <c r="S116" s="287"/>
      <c r="T116" s="359"/>
      <c r="U116" s="359"/>
      <c r="V116" s="359"/>
      <c r="W116" s="287"/>
      <c r="X116" s="287"/>
    </row>
    <row r="117" spans="2:24">
      <c r="B117" s="3" t="s">
        <v>175</v>
      </c>
      <c r="H117" s="357"/>
      <c r="I117" s="358"/>
      <c r="J117" s="87">
        <f t="shared" si="7"/>
        <v>0.73667000999999999</v>
      </c>
      <c r="K117" s="87">
        <f t="shared" si="8"/>
        <v>2.8649049999999999E-2</v>
      </c>
      <c r="L117" s="257">
        <f t="shared" si="9"/>
        <v>1.1937199999999999E-3</v>
      </c>
      <c r="N117" s="357"/>
      <c r="O117" s="358"/>
      <c r="P117" s="87">
        <f t="shared" si="10"/>
        <v>0.18416750000000001</v>
      </c>
      <c r="Q117" s="87">
        <f t="shared" si="11"/>
        <v>7.1622600000000002E-3</v>
      </c>
      <c r="R117" s="262">
        <f t="shared" si="12"/>
        <v>2.9842999999999997E-4</v>
      </c>
      <c r="S117" s="287"/>
      <c r="T117" s="359"/>
      <c r="U117" s="359"/>
      <c r="V117" s="359"/>
      <c r="W117" s="287"/>
      <c r="X117" s="287"/>
    </row>
    <row r="118" spans="2:24">
      <c r="B118" s="3" t="s">
        <v>176</v>
      </c>
      <c r="H118" s="357"/>
      <c r="I118" s="358">
        <f>ROUND($F$15*$F$22*$F$70/$F$76*$F$88,8)</f>
        <v>1.1783337700000001</v>
      </c>
      <c r="J118" s="87">
        <f t="shared" si="7"/>
        <v>0.53155828000000005</v>
      </c>
      <c r="K118" s="87">
        <f t="shared" si="8"/>
        <v>2.1365390000000001E-2</v>
      </c>
      <c r="L118" s="257">
        <f t="shared" si="9"/>
        <v>8.902300000000001E-4</v>
      </c>
      <c r="N118" s="357"/>
      <c r="O118" s="358">
        <f>ROUND($F$15*$F$22*$F$70/$F$76*$F$90,8)</f>
        <v>0.29458343999999997</v>
      </c>
      <c r="P118" s="87">
        <f t="shared" si="10"/>
        <v>0.13288957000000001</v>
      </c>
      <c r="Q118" s="87">
        <f t="shared" si="11"/>
        <v>5.3413499999999999E-3</v>
      </c>
      <c r="R118" s="262">
        <f t="shared" si="12"/>
        <v>2.2255999999999998E-4</v>
      </c>
      <c r="S118" s="287"/>
      <c r="T118" s="359"/>
      <c r="U118" s="359"/>
      <c r="V118" s="359"/>
      <c r="W118" s="287"/>
      <c r="X118" s="287"/>
    </row>
    <row r="119" spans="2:24">
      <c r="B119" s="3" t="s">
        <v>177</v>
      </c>
      <c r="H119" s="357"/>
      <c r="I119" s="358"/>
      <c r="J119" s="87">
        <f t="shared" si="7"/>
        <v>0.48660772000000002</v>
      </c>
      <c r="K119" s="87">
        <f t="shared" si="8"/>
        <v>1.8937510000000001E-2</v>
      </c>
      <c r="L119" s="257">
        <f t="shared" si="9"/>
        <v>7.8907000000000001E-4</v>
      </c>
      <c r="N119" s="357"/>
      <c r="O119" s="358"/>
      <c r="P119" s="87">
        <f t="shared" si="10"/>
        <v>0.12165193000000001</v>
      </c>
      <c r="Q119" s="87">
        <f t="shared" si="11"/>
        <v>4.7343799999999998E-3</v>
      </c>
      <c r="R119" s="262">
        <f t="shared" si="12"/>
        <v>1.9726999999999999E-4</v>
      </c>
      <c r="S119" s="287"/>
      <c r="T119" s="359"/>
      <c r="U119" s="359"/>
      <c r="V119" s="359"/>
      <c r="W119" s="287"/>
      <c r="X119" s="287"/>
    </row>
    <row r="120" spans="2:24">
      <c r="B120" s="3" t="s">
        <v>178</v>
      </c>
      <c r="H120" s="357"/>
      <c r="I120" s="358"/>
      <c r="J120" s="87">
        <f t="shared" si="7"/>
        <v>0.39539849999999999</v>
      </c>
      <c r="K120" s="87">
        <f t="shared" si="8"/>
        <v>1.5908430000000001E-2</v>
      </c>
      <c r="L120" s="257">
        <f t="shared" si="9"/>
        <v>6.6286000000000003E-4</v>
      </c>
      <c r="N120" s="357"/>
      <c r="O120" s="358"/>
      <c r="P120" s="87">
        <f t="shared" si="10"/>
        <v>9.8849619999999999E-2</v>
      </c>
      <c r="Q120" s="87">
        <f t="shared" si="11"/>
        <v>3.9771099999999998E-3</v>
      </c>
      <c r="R120" s="262">
        <f t="shared" si="12"/>
        <v>1.6572000000000001E-4</v>
      </c>
      <c r="S120" s="287"/>
      <c r="T120" s="359"/>
      <c r="U120" s="359"/>
      <c r="V120" s="359"/>
      <c r="W120" s="287"/>
      <c r="X120" s="287"/>
    </row>
    <row r="121" spans="2:24">
      <c r="B121" s="3" t="s">
        <v>179</v>
      </c>
      <c r="H121" s="357"/>
      <c r="I121" s="358">
        <f>ROUND($F$15*$F$23*$F$71/$F$76*$F$88,8)</f>
        <v>0.95576108000000004</v>
      </c>
      <c r="J121" s="87">
        <f t="shared" si="7"/>
        <v>0.38584551</v>
      </c>
      <c r="K121" s="87">
        <f t="shared" si="8"/>
        <v>1.500664E-2</v>
      </c>
      <c r="L121" s="257">
        <f t="shared" si="9"/>
        <v>6.2528000000000008E-4</v>
      </c>
      <c r="N121" s="357"/>
      <c r="O121" s="358">
        <f>ROUND($F$15*$F$23*$F$71/$F$76*$F$90,8)</f>
        <v>0.23894027000000001</v>
      </c>
      <c r="P121" s="87">
        <f t="shared" si="10"/>
        <v>9.6461379999999999E-2</v>
      </c>
      <c r="Q121" s="87">
        <f t="shared" si="11"/>
        <v>3.75166E-3</v>
      </c>
      <c r="R121" s="262">
        <f t="shared" si="12"/>
        <v>1.5631999999999999E-4</v>
      </c>
      <c r="S121" s="287"/>
      <c r="T121" s="359"/>
      <c r="U121" s="359"/>
      <c r="V121" s="359"/>
      <c r="W121" s="287"/>
      <c r="X121" s="287"/>
    </row>
    <row r="122" spans="2:24">
      <c r="B122" s="3" t="s">
        <v>180</v>
      </c>
      <c r="H122" s="357"/>
      <c r="I122" s="358"/>
      <c r="J122" s="87">
        <f t="shared" si="7"/>
        <v>0.36679899999999999</v>
      </c>
      <c r="K122" s="87">
        <f t="shared" si="8"/>
        <v>1.428984E-2</v>
      </c>
      <c r="L122" s="257">
        <f t="shared" si="9"/>
        <v>5.9542000000000004E-4</v>
      </c>
      <c r="N122" s="357"/>
      <c r="O122" s="358"/>
      <c r="P122" s="87">
        <f t="shared" si="10"/>
        <v>9.1699749999999997E-2</v>
      </c>
      <c r="Q122" s="87">
        <f t="shared" si="11"/>
        <v>3.57246E-3</v>
      </c>
      <c r="R122" s="262">
        <f t="shared" si="12"/>
        <v>1.4886000000000001E-4</v>
      </c>
      <c r="S122" s="287"/>
      <c r="T122" s="359"/>
      <c r="U122" s="359"/>
      <c r="V122" s="359"/>
      <c r="W122" s="287"/>
      <c r="X122" s="287"/>
    </row>
    <row r="123" spans="2:24">
      <c r="B123" s="3" t="s">
        <v>181</v>
      </c>
      <c r="H123" s="357"/>
      <c r="I123" s="358"/>
      <c r="J123" s="87">
        <f t="shared" si="7"/>
        <v>0.39420933000000002</v>
      </c>
      <c r="K123" s="87">
        <f t="shared" si="8"/>
        <v>1.5862190000000002E-2</v>
      </c>
      <c r="L123" s="257">
        <f t="shared" si="9"/>
        <v>6.6093E-4</v>
      </c>
      <c r="N123" s="357"/>
      <c r="O123" s="358"/>
      <c r="P123" s="87">
        <f t="shared" si="10"/>
        <v>9.8552329999999994E-2</v>
      </c>
      <c r="Q123" s="87">
        <f t="shared" si="11"/>
        <v>3.96555E-3</v>
      </c>
      <c r="R123" s="262">
        <f t="shared" si="12"/>
        <v>1.6523999999999998E-4</v>
      </c>
      <c r="S123" s="287"/>
      <c r="T123" s="359"/>
      <c r="U123" s="359"/>
      <c r="V123" s="359"/>
      <c r="W123" s="287"/>
      <c r="X123" s="287"/>
    </row>
    <row r="124" spans="2:24">
      <c r="B124" s="3" t="s">
        <v>182</v>
      </c>
      <c r="H124" s="357"/>
      <c r="I124" s="358">
        <f>ROUND($F$15*$F$24*$F$72/$F$76*$F$88,8)</f>
        <v>1.6790397399999999</v>
      </c>
      <c r="J124" s="87">
        <f t="shared" si="7"/>
        <v>0.46756120000000001</v>
      </c>
      <c r="K124" s="87">
        <f t="shared" si="8"/>
        <v>1.8197580000000001E-2</v>
      </c>
      <c r="L124" s="257">
        <f t="shared" si="9"/>
        <v>7.5824000000000009E-4</v>
      </c>
      <c r="N124" s="357"/>
      <c r="O124" s="358">
        <f>ROUND($F$15*$F$24*$F$72/$F$76*$F$90,8)</f>
        <v>0.41975993</v>
      </c>
      <c r="P124" s="87">
        <f t="shared" si="10"/>
        <v>0.1168903</v>
      </c>
      <c r="Q124" s="87">
        <f t="shared" si="11"/>
        <v>4.5493900000000004E-3</v>
      </c>
      <c r="R124" s="262">
        <f t="shared" si="12"/>
        <v>1.8955999999999999E-4</v>
      </c>
      <c r="S124" s="287"/>
      <c r="T124" s="359"/>
      <c r="U124" s="359"/>
      <c r="V124" s="359"/>
      <c r="W124" s="287"/>
      <c r="X124" s="287"/>
    </row>
    <row r="125" spans="2:24">
      <c r="B125" s="3" t="s">
        <v>183</v>
      </c>
      <c r="H125" s="357"/>
      <c r="I125" s="358"/>
      <c r="J125" s="87">
        <f t="shared" si="7"/>
        <v>0.67188015000000001</v>
      </c>
      <c r="K125" s="87">
        <f t="shared" si="8"/>
        <v>2.7007340000000001E-2</v>
      </c>
      <c r="L125" s="257">
        <f t="shared" si="9"/>
        <v>1.12531E-3</v>
      </c>
      <c r="N125" s="357"/>
      <c r="O125" s="358"/>
      <c r="P125" s="87">
        <f t="shared" si="10"/>
        <v>0.16797003999999999</v>
      </c>
      <c r="Q125" s="87">
        <f t="shared" si="11"/>
        <v>6.7518300000000003E-3</v>
      </c>
      <c r="R125" s="262">
        <f t="shared" si="12"/>
        <v>2.8132999999999999E-4</v>
      </c>
      <c r="S125" s="287"/>
      <c r="T125" s="359"/>
      <c r="U125" s="359"/>
      <c r="V125" s="359"/>
      <c r="W125" s="287"/>
      <c r="X125" s="287"/>
    </row>
    <row r="126" spans="2:24">
      <c r="B126" s="3" t="s">
        <v>184</v>
      </c>
      <c r="H126" s="357"/>
      <c r="I126" s="358"/>
      <c r="J126" s="87">
        <f t="shared" si="7"/>
        <v>0.87491083999999997</v>
      </c>
      <c r="K126" s="87">
        <f t="shared" si="8"/>
        <v>3.403664E-2</v>
      </c>
      <c r="L126" s="257">
        <f t="shared" si="9"/>
        <v>1.4181999999999999E-3</v>
      </c>
      <c r="N126" s="357"/>
      <c r="O126" s="358"/>
      <c r="P126" s="87">
        <f t="shared" si="10"/>
        <v>0.21872770999999999</v>
      </c>
      <c r="Q126" s="87">
        <f t="shared" si="11"/>
        <v>8.50916E-3</v>
      </c>
      <c r="R126" s="262">
        <f t="shared" si="12"/>
        <v>3.5454999999999997E-4</v>
      </c>
      <c r="S126" s="287"/>
      <c r="T126" s="359"/>
      <c r="U126" s="359"/>
      <c r="V126" s="359"/>
      <c r="W126" s="287"/>
      <c r="X126" s="287"/>
    </row>
    <row r="127" spans="2:24">
      <c r="L127" s="258"/>
      <c r="R127" s="254"/>
      <c r="S127" s="254"/>
      <c r="T127" s="254"/>
      <c r="U127" s="254"/>
      <c r="V127" s="254"/>
      <c r="W127" s="254"/>
      <c r="X127" s="254"/>
    </row>
    <row r="128" spans="2:24">
      <c r="L128" s="258"/>
      <c r="R128" s="254"/>
      <c r="S128" s="254"/>
      <c r="T128" s="254"/>
      <c r="U128" s="254"/>
      <c r="V128" s="254"/>
      <c r="W128" s="254"/>
      <c r="X128" s="254"/>
    </row>
    <row r="129" spans="2:33" s="33" customFormat="1" ht="25.5">
      <c r="B129" s="195" t="s">
        <v>187</v>
      </c>
      <c r="H129" s="33" t="s">
        <v>159</v>
      </c>
      <c r="L129" s="259"/>
      <c r="N129" s="33" t="s">
        <v>160</v>
      </c>
      <c r="R129" s="263"/>
      <c r="S129" s="263"/>
      <c r="T129" s="33" t="s">
        <v>161</v>
      </c>
    </row>
    <row r="130" spans="2:33" s="36" customFormat="1">
      <c r="B130" s="36" t="s">
        <v>1136</v>
      </c>
      <c r="H130" s="36" t="s">
        <v>163</v>
      </c>
      <c r="I130" s="36" t="s">
        <v>164</v>
      </c>
      <c r="J130" s="36" t="s">
        <v>165</v>
      </c>
      <c r="K130" s="36" t="s">
        <v>166</v>
      </c>
      <c r="L130" s="260" t="s">
        <v>167</v>
      </c>
      <c r="N130" s="36" t="s">
        <v>163</v>
      </c>
      <c r="O130" s="36" t="s">
        <v>164</v>
      </c>
      <c r="P130" s="36" t="s">
        <v>165</v>
      </c>
      <c r="Q130" s="36" t="s">
        <v>166</v>
      </c>
      <c r="R130" s="264" t="s">
        <v>167</v>
      </c>
      <c r="S130" s="264"/>
      <c r="T130" s="36" t="s">
        <v>163</v>
      </c>
      <c r="U130" s="36" t="s">
        <v>164</v>
      </c>
      <c r="V130" s="36" t="s">
        <v>165</v>
      </c>
      <c r="W130" s="36" t="s">
        <v>166</v>
      </c>
      <c r="X130" s="36" t="s">
        <v>167</v>
      </c>
    </row>
    <row r="131" spans="2:33" s="34" customFormat="1">
      <c r="H131" s="34" t="s">
        <v>168</v>
      </c>
      <c r="I131" s="34" t="s">
        <v>169</v>
      </c>
      <c r="J131" s="34" t="s">
        <v>170</v>
      </c>
      <c r="K131" s="34" t="s">
        <v>171</v>
      </c>
      <c r="L131" s="261" t="s">
        <v>172</v>
      </c>
      <c r="N131" s="34" t="s">
        <v>168</v>
      </c>
      <c r="O131" s="34" t="s">
        <v>169</v>
      </c>
      <c r="P131" s="34" t="s">
        <v>170</v>
      </c>
      <c r="Q131" s="34" t="s">
        <v>171</v>
      </c>
      <c r="R131" s="265" t="s">
        <v>172</v>
      </c>
      <c r="S131" s="265"/>
      <c r="T131" s="34" t="s">
        <v>168</v>
      </c>
      <c r="U131" s="34" t="s">
        <v>169</v>
      </c>
      <c r="V131" s="34" t="s">
        <v>170</v>
      </c>
      <c r="W131" s="34" t="s">
        <v>171</v>
      </c>
      <c r="X131" s="34" t="s">
        <v>172</v>
      </c>
    </row>
    <row r="132" spans="2:33">
      <c r="J132" s="88"/>
      <c r="L132" s="258"/>
      <c r="R132" s="254"/>
      <c r="S132" s="254"/>
      <c r="T132" s="254"/>
      <c r="U132" s="254"/>
      <c r="V132" s="254"/>
      <c r="W132" s="254"/>
      <c r="X132" s="254"/>
    </row>
    <row r="133" spans="2:33">
      <c r="B133" s="3" t="s">
        <v>173</v>
      </c>
      <c r="H133" s="357">
        <f>ROUND((1-$F$81)*F87,8)</f>
        <v>5.6225404599999997</v>
      </c>
      <c r="I133" s="358">
        <f>ROUND((1-$F$81)*$F$15*$F$21*$F$69/$F$76*$F$87,8)</f>
        <v>2.5682686499999998</v>
      </c>
      <c r="J133" s="87">
        <f t="shared" ref="J133:J144" si="13">ROUND((1-$F$81)*$F$16*$F27*$F55/$F$76*$F$87,8)</f>
        <v>1.22844807</v>
      </c>
      <c r="K133" s="87">
        <f t="shared" ref="K133:K144" si="14">ROUND((1-$F$81)*$F$17*$F41/$F$76*$F$87,8)</f>
        <v>4.7795440000000002E-2</v>
      </c>
      <c r="L133" s="257">
        <f t="shared" ref="L133:L144" si="15">ROUNDUP((1-$F$81)*$F$18*$F41/$F$77*$F$87,8)</f>
        <v>1.9914799999999999E-3</v>
      </c>
      <c r="N133" s="357">
        <f>ROUND((1-F81)*F89,8)</f>
        <v>1.40563511</v>
      </c>
      <c r="O133" s="358">
        <f>ROUND((1-$F$81)*$F$15*$F$21*$F$69/$F$76*$F$89,8)</f>
        <v>0.64206715999999997</v>
      </c>
      <c r="P133" s="87">
        <f t="shared" ref="P133:P144" si="16">ROUND((1-$F$81)*$F$16*$F27*$F55/$F$76*$F$89,8)</f>
        <v>0.30711201999999999</v>
      </c>
      <c r="Q133" s="87">
        <f t="shared" ref="Q133:Q144" si="17">ROUND((1-$F$81)*$F$17*$F41/$F$76*$F$89,8)</f>
        <v>1.194886E-2</v>
      </c>
      <c r="R133" s="262">
        <f t="shared" ref="R133:R144" si="18">ROUNDUP((1-$F$81)*$F$18*$F41/$F$77*$F$89,8)</f>
        <v>4.9787000000000008E-4</v>
      </c>
      <c r="S133" s="287"/>
      <c r="T133" s="357">
        <f>ROUND((1-F81)*F91,8)</f>
        <v>4.4980323699999998</v>
      </c>
      <c r="U133" s="358">
        <f>ROUND((1-$F$81)*$F$15*$F$21*$F$69/$F$76*$F$91,8)</f>
        <v>2.0546149200000001</v>
      </c>
      <c r="V133" s="288">
        <f t="shared" ref="V133:V144" si="19">ROUND((1-$F$81)*$F$16*$F27*$F55/$F$76*$F$91,8)</f>
        <v>0.98275846</v>
      </c>
      <c r="W133" s="288">
        <f t="shared" ref="W133:W144" si="20">ROUND((1-$F$81)*$F$17*$F41/$F$76*$F$91,8)</f>
        <v>3.8236359999999997E-2</v>
      </c>
      <c r="X133" s="262">
        <f t="shared" ref="X133:X144" si="21">ROUNDUP((1-$F$81)*$F$18*$F41/$F$77*$F$91,8)</f>
        <v>1.59319E-3</v>
      </c>
      <c r="AG133" s="256"/>
    </row>
    <row r="134" spans="2:33">
      <c r="B134" s="3" t="s">
        <v>174</v>
      </c>
      <c r="H134" s="357"/>
      <c r="I134" s="358"/>
      <c r="J134" s="87">
        <f t="shared" si="13"/>
        <v>0.99181613999999996</v>
      </c>
      <c r="K134" s="87">
        <f t="shared" si="14"/>
        <v>4.2727460000000002E-2</v>
      </c>
      <c r="L134" s="257">
        <f t="shared" si="15"/>
        <v>1.7803199999999999E-3</v>
      </c>
      <c r="N134" s="357"/>
      <c r="O134" s="358"/>
      <c r="P134" s="87">
        <f t="shared" si="16"/>
        <v>0.24795402999999999</v>
      </c>
      <c r="Q134" s="87">
        <f t="shared" si="17"/>
        <v>1.068186E-2</v>
      </c>
      <c r="R134" s="262">
        <f t="shared" si="18"/>
        <v>4.4507999999999999E-4</v>
      </c>
      <c r="S134" s="287"/>
      <c r="T134" s="357"/>
      <c r="U134" s="358"/>
      <c r="V134" s="288">
        <f t="shared" si="19"/>
        <v>0.79345290999999996</v>
      </c>
      <c r="W134" s="288">
        <f t="shared" si="20"/>
        <v>3.4181969999999999E-2</v>
      </c>
      <c r="X134" s="262">
        <f t="shared" si="21"/>
        <v>1.42425E-3</v>
      </c>
      <c r="AG134" s="256"/>
    </row>
    <row r="135" spans="2:33">
      <c r="B135" s="3" t="s">
        <v>175</v>
      </c>
      <c r="H135" s="357"/>
      <c r="I135" s="358"/>
      <c r="J135" s="87">
        <f t="shared" si="13"/>
        <v>0.85883920000000002</v>
      </c>
      <c r="K135" s="87">
        <f t="shared" si="14"/>
        <v>3.3400199999999998E-2</v>
      </c>
      <c r="L135" s="257">
        <f t="shared" si="15"/>
        <v>1.39168E-3</v>
      </c>
      <c r="N135" s="357"/>
      <c r="O135" s="358"/>
      <c r="P135" s="87">
        <f t="shared" si="16"/>
        <v>0.21470980000000001</v>
      </c>
      <c r="Q135" s="87">
        <f t="shared" si="17"/>
        <v>8.3500499999999995E-3</v>
      </c>
      <c r="R135" s="262">
        <f t="shared" si="18"/>
        <v>3.4791999999999999E-4</v>
      </c>
      <c r="S135" s="287"/>
      <c r="T135" s="357"/>
      <c r="U135" s="358"/>
      <c r="V135" s="288">
        <f t="shared" si="19"/>
        <v>0.68707136000000002</v>
      </c>
      <c r="W135" s="288">
        <f t="shared" si="20"/>
        <v>2.672016E-2</v>
      </c>
      <c r="X135" s="262">
        <f t="shared" si="21"/>
        <v>1.1133499999999999E-3</v>
      </c>
    </row>
    <row r="136" spans="2:33">
      <c r="B136" s="3" t="s">
        <v>176</v>
      </c>
      <c r="H136" s="357"/>
      <c r="I136" s="358">
        <f>ROUND((1-$F$81)*$F$15*$F$22*$F$70/$F$76*$F$87,8)</f>
        <v>1.3737483800000001</v>
      </c>
      <c r="J136" s="87">
        <f t="shared" si="13"/>
        <v>0.61971178999999998</v>
      </c>
      <c r="K136" s="87">
        <f t="shared" si="14"/>
        <v>2.4908619999999999E-2</v>
      </c>
      <c r="L136" s="257">
        <f t="shared" si="15"/>
        <v>1.03786E-3</v>
      </c>
      <c r="N136" s="357"/>
      <c r="O136" s="358">
        <f>ROUND((1-$F$81)*$F$15*$F$22*$F$70/$F$76*$F$89,8)</f>
        <v>0.34343709</v>
      </c>
      <c r="P136" s="87">
        <f t="shared" si="16"/>
        <v>0.15492795000000001</v>
      </c>
      <c r="Q136" s="87">
        <f t="shared" si="17"/>
        <v>6.2271599999999998E-3</v>
      </c>
      <c r="R136" s="262">
        <f t="shared" si="18"/>
        <v>2.5946999999999998E-4</v>
      </c>
      <c r="S136" s="287"/>
      <c r="T136" s="357"/>
      <c r="U136" s="358">
        <f>ROUND((1-$F$81)*$F$15*$F$22*$F$70/$F$76*$F$91,8)</f>
        <v>1.0989987000000001</v>
      </c>
      <c r="V136" s="288">
        <f t="shared" si="19"/>
        <v>0.49576943000000001</v>
      </c>
      <c r="W136" s="288">
        <f t="shared" si="20"/>
        <v>1.9926900000000001E-2</v>
      </c>
      <c r="X136" s="262">
        <f t="shared" si="21"/>
        <v>8.3029000000000002E-4</v>
      </c>
    </row>
    <row r="137" spans="2:33">
      <c r="B137" s="3" t="s">
        <v>177</v>
      </c>
      <c r="H137" s="357"/>
      <c r="I137" s="358"/>
      <c r="J137" s="87">
        <f t="shared" si="13"/>
        <v>0.56730663000000003</v>
      </c>
      <c r="K137" s="87">
        <f t="shared" si="14"/>
        <v>2.20781E-2</v>
      </c>
      <c r="L137" s="257">
        <f t="shared" si="15"/>
        <v>9.1993000000000001E-4</v>
      </c>
      <c r="N137" s="357"/>
      <c r="O137" s="358"/>
      <c r="P137" s="87">
        <f t="shared" si="16"/>
        <v>0.14182665999999999</v>
      </c>
      <c r="Q137" s="87">
        <f t="shared" si="17"/>
        <v>5.51952E-3</v>
      </c>
      <c r="R137" s="262">
        <f t="shared" si="18"/>
        <v>2.2998999999999999E-4</v>
      </c>
      <c r="S137" s="287"/>
      <c r="T137" s="357"/>
      <c r="U137" s="358"/>
      <c r="V137" s="288">
        <f t="shared" si="19"/>
        <v>0.45384530000000001</v>
      </c>
      <c r="W137" s="288">
        <f t="shared" si="20"/>
        <v>1.7662480000000001E-2</v>
      </c>
      <c r="X137" s="262">
        <f t="shared" si="21"/>
        <v>7.3594000000000003E-4</v>
      </c>
    </row>
    <row r="138" spans="2:33">
      <c r="B138" s="3" t="s">
        <v>178</v>
      </c>
      <c r="H138" s="357"/>
      <c r="I138" s="358"/>
      <c r="J138" s="87">
        <f t="shared" si="13"/>
        <v>0.46097129999999997</v>
      </c>
      <c r="K138" s="87">
        <f t="shared" si="14"/>
        <v>1.8546679999999999E-2</v>
      </c>
      <c r="L138" s="257">
        <f t="shared" si="15"/>
        <v>7.7278000000000004E-4</v>
      </c>
      <c r="N138" s="357"/>
      <c r="O138" s="358"/>
      <c r="P138" s="87">
        <f t="shared" si="16"/>
        <v>0.11524282</v>
      </c>
      <c r="Q138" s="87">
        <f t="shared" si="17"/>
        <v>4.6366699999999999E-3</v>
      </c>
      <c r="R138" s="262">
        <f t="shared" si="18"/>
        <v>1.9320000000000001E-4</v>
      </c>
      <c r="S138" s="287"/>
      <c r="T138" s="357"/>
      <c r="U138" s="358"/>
      <c r="V138" s="288">
        <f t="shared" si="19"/>
        <v>0.36877704</v>
      </c>
      <c r="W138" s="288">
        <f t="shared" si="20"/>
        <v>1.4837349999999999E-2</v>
      </c>
      <c r="X138" s="262">
        <f t="shared" si="21"/>
        <v>6.182300000000001E-4</v>
      </c>
    </row>
    <row r="139" spans="2:33">
      <c r="B139" s="3" t="s">
        <v>179</v>
      </c>
      <c r="H139" s="357"/>
      <c r="I139" s="358">
        <f>ROUND((1-$F$81)*$F$15*$F$23*$F$71/$F$76*$F$87,8)</f>
        <v>1.1142642899999999</v>
      </c>
      <c r="J139" s="87">
        <f t="shared" si="13"/>
        <v>0.44983404999999999</v>
      </c>
      <c r="K139" s="87">
        <f t="shared" si="14"/>
        <v>1.7495340000000002E-2</v>
      </c>
      <c r="L139" s="257">
        <f t="shared" si="15"/>
        <v>7.2898000000000006E-4</v>
      </c>
      <c r="N139" s="357"/>
      <c r="O139" s="358">
        <f>ROUND((1-$F$81)*$F$15*$F$23*$F$71/$F$76*$F$89,8)</f>
        <v>0.27856607</v>
      </c>
      <c r="P139" s="87">
        <f t="shared" si="16"/>
        <v>0.11245851</v>
      </c>
      <c r="Q139" s="87">
        <f t="shared" si="17"/>
        <v>4.3738400000000004E-3</v>
      </c>
      <c r="R139" s="262">
        <f t="shared" si="18"/>
        <v>1.8224999999999998E-4</v>
      </c>
      <c r="S139" s="287"/>
      <c r="T139" s="357"/>
      <c r="U139" s="358">
        <f>ROUND((1-$F$81)*$F$15*$F$23*$F$71/$F$76*$F$91,8)</f>
        <v>0.89141143</v>
      </c>
      <c r="V139" s="288">
        <f t="shared" si="19"/>
        <v>0.35986723999999998</v>
      </c>
      <c r="W139" s="288">
        <f t="shared" si="20"/>
        <v>1.399627E-2</v>
      </c>
      <c r="X139" s="262">
        <f t="shared" si="21"/>
        <v>5.8318000000000009E-4</v>
      </c>
    </row>
    <row r="140" spans="2:33">
      <c r="B140" s="3" t="s">
        <v>180</v>
      </c>
      <c r="H140" s="357"/>
      <c r="I140" s="358"/>
      <c r="J140" s="87">
        <f t="shared" si="13"/>
        <v>0.42762886</v>
      </c>
      <c r="K140" s="87">
        <f t="shared" si="14"/>
        <v>1.665966E-2</v>
      </c>
      <c r="L140" s="257">
        <f t="shared" si="15"/>
        <v>6.9416000000000009E-4</v>
      </c>
      <c r="N140" s="357"/>
      <c r="O140" s="358"/>
      <c r="P140" s="87">
        <f t="shared" si="16"/>
        <v>0.10690722</v>
      </c>
      <c r="Q140" s="87">
        <f t="shared" si="17"/>
        <v>4.1649199999999999E-3</v>
      </c>
      <c r="R140" s="262">
        <f t="shared" si="18"/>
        <v>1.7354E-4</v>
      </c>
      <c r="S140" s="287"/>
      <c r="T140" s="357"/>
      <c r="U140" s="358"/>
      <c r="V140" s="288">
        <f t="shared" si="19"/>
        <v>0.34210309</v>
      </c>
      <c r="W140" s="288">
        <f t="shared" si="20"/>
        <v>1.3327729999999999E-2</v>
      </c>
      <c r="X140" s="262">
        <f t="shared" si="21"/>
        <v>5.5533000000000004E-4</v>
      </c>
    </row>
    <row r="141" spans="2:33">
      <c r="B141" s="3" t="s">
        <v>181</v>
      </c>
      <c r="H141" s="357"/>
      <c r="I141" s="358"/>
      <c r="J141" s="87">
        <f t="shared" si="13"/>
        <v>0.45958492000000001</v>
      </c>
      <c r="K141" s="87">
        <f t="shared" si="14"/>
        <v>1.8492769999999999E-2</v>
      </c>
      <c r="L141" s="257">
        <f t="shared" si="15"/>
        <v>7.7054000000000001E-4</v>
      </c>
      <c r="N141" s="357"/>
      <c r="O141" s="358"/>
      <c r="P141" s="87">
        <f t="shared" si="16"/>
        <v>0.11489623</v>
      </c>
      <c r="Q141" s="87">
        <f t="shared" si="17"/>
        <v>4.6231900000000001E-3</v>
      </c>
      <c r="R141" s="262">
        <f t="shared" si="18"/>
        <v>1.9264E-4</v>
      </c>
      <c r="S141" s="287"/>
      <c r="T141" s="357"/>
      <c r="U141" s="358"/>
      <c r="V141" s="288">
        <f t="shared" si="19"/>
        <v>0.36766792999999998</v>
      </c>
      <c r="W141" s="288">
        <f t="shared" si="20"/>
        <v>1.479421E-2</v>
      </c>
      <c r="X141" s="262">
        <f t="shared" si="21"/>
        <v>6.1643000000000006E-4</v>
      </c>
    </row>
    <row r="142" spans="2:33">
      <c r="B142" s="3" t="s">
        <v>182</v>
      </c>
      <c r="H142" s="357"/>
      <c r="I142" s="358">
        <f>ROUND((1-$F$81)*$F$15*$F$24*$F$72/$F$76*$F$87,8)</f>
        <v>1.95749131</v>
      </c>
      <c r="J142" s="87">
        <f t="shared" si="13"/>
        <v>0.54510144999999999</v>
      </c>
      <c r="K142" s="87">
        <f t="shared" si="14"/>
        <v>2.1215459999999998E-2</v>
      </c>
      <c r="L142" s="257">
        <f t="shared" si="15"/>
        <v>8.8398000000000003E-4</v>
      </c>
      <c r="N142" s="357"/>
      <c r="O142" s="358">
        <f>ROUND((1-$F$81)*$F$15*$F$24*$F$72/$F$76*$F$89,8)</f>
        <v>0.48937282999999998</v>
      </c>
      <c r="P142" s="87">
        <f t="shared" si="16"/>
        <v>0.13627536000000001</v>
      </c>
      <c r="Q142" s="87">
        <f t="shared" si="17"/>
        <v>5.3038699999999996E-3</v>
      </c>
      <c r="R142" s="262">
        <f t="shared" si="18"/>
        <v>2.2100000000000001E-4</v>
      </c>
      <c r="S142" s="287"/>
      <c r="T142" s="357"/>
      <c r="U142" s="358">
        <f>ROUND((1-$F$81)*$F$15*$F$24*$F$72/$F$76*$F$91,8)</f>
        <v>1.5659930500000001</v>
      </c>
      <c r="V142" s="288">
        <f t="shared" si="19"/>
        <v>0.43608116000000002</v>
      </c>
      <c r="W142" s="288">
        <f t="shared" si="20"/>
        <v>1.6972370000000001E-2</v>
      </c>
      <c r="X142" s="262">
        <f t="shared" si="21"/>
        <v>7.0719000000000001E-4</v>
      </c>
    </row>
    <row r="143" spans="2:33">
      <c r="B143" s="3" t="s">
        <v>183</v>
      </c>
      <c r="H143" s="357"/>
      <c r="I143" s="358"/>
      <c r="J143" s="87">
        <f t="shared" si="13"/>
        <v>0.78330460999999996</v>
      </c>
      <c r="K143" s="87">
        <f t="shared" si="14"/>
        <v>3.1486229999999997E-2</v>
      </c>
      <c r="L143" s="257">
        <f t="shared" si="15"/>
        <v>1.31193E-3</v>
      </c>
      <c r="N143" s="357"/>
      <c r="O143" s="358"/>
      <c r="P143" s="87">
        <f t="shared" si="16"/>
        <v>0.19582615</v>
      </c>
      <c r="Q143" s="87">
        <f t="shared" si="17"/>
        <v>7.8715599999999997E-3</v>
      </c>
      <c r="R143" s="262">
        <f t="shared" si="18"/>
        <v>3.2799000000000001E-4</v>
      </c>
      <c r="S143" s="287"/>
      <c r="T143" s="357"/>
      <c r="U143" s="358"/>
      <c r="V143" s="288">
        <f t="shared" si="19"/>
        <v>0.62664368999999998</v>
      </c>
      <c r="W143" s="288">
        <f t="shared" si="20"/>
        <v>2.518898E-2</v>
      </c>
      <c r="X143" s="262">
        <f t="shared" si="21"/>
        <v>1.04955E-3</v>
      </c>
    </row>
    <row r="144" spans="2:33">
      <c r="B144" s="3" t="s">
        <v>184</v>
      </c>
      <c r="H144" s="357"/>
      <c r="I144" s="358"/>
      <c r="J144" s="87">
        <f t="shared" si="13"/>
        <v>1.0200058599999999</v>
      </c>
      <c r="K144" s="87">
        <f t="shared" si="14"/>
        <v>3.9681269999999998E-2</v>
      </c>
      <c r="L144" s="257">
        <f t="shared" si="15"/>
        <v>1.65339E-3</v>
      </c>
      <c r="N144" s="357"/>
      <c r="O144" s="358"/>
      <c r="P144" s="87">
        <f t="shared" si="16"/>
        <v>0.25500147000000001</v>
      </c>
      <c r="Q144" s="87">
        <f t="shared" si="17"/>
        <v>9.9203199999999998E-3</v>
      </c>
      <c r="R144" s="262">
        <f t="shared" si="18"/>
        <v>4.1334999999999999E-4</v>
      </c>
      <c r="S144" s="287"/>
      <c r="T144" s="357"/>
      <c r="U144" s="358"/>
      <c r="V144" s="288">
        <f t="shared" si="19"/>
        <v>0.81600468999999998</v>
      </c>
      <c r="W144" s="288">
        <f t="shared" si="20"/>
        <v>3.1745019999999999E-2</v>
      </c>
      <c r="X144" s="262">
        <f t="shared" si="21"/>
        <v>1.3227099999999999E-3</v>
      </c>
    </row>
    <row r="145" spans="2:24">
      <c r="L145" s="258"/>
      <c r="R145" s="254"/>
      <c r="S145" s="254"/>
      <c r="T145" s="254"/>
      <c r="U145" s="254"/>
      <c r="V145" s="254"/>
      <c r="W145" s="254"/>
      <c r="X145" s="254"/>
    </row>
    <row r="146" spans="2:24" s="33" customFormat="1" ht="25.5">
      <c r="B146" s="195" t="s">
        <v>1137</v>
      </c>
      <c r="H146" s="33" t="s">
        <v>159</v>
      </c>
      <c r="L146" s="259"/>
      <c r="N146" s="33" t="s">
        <v>160</v>
      </c>
      <c r="R146" s="263"/>
      <c r="S146" s="263"/>
      <c r="T146" s="263"/>
      <c r="U146" s="263"/>
      <c r="V146" s="263"/>
      <c r="W146" s="263"/>
      <c r="X146" s="263"/>
    </row>
    <row r="147" spans="2:24" s="36" customFormat="1">
      <c r="B147" s="36" t="s">
        <v>190</v>
      </c>
      <c r="H147" s="36" t="s">
        <v>163</v>
      </c>
      <c r="I147" s="36" t="s">
        <v>164</v>
      </c>
      <c r="J147" s="36" t="s">
        <v>165</v>
      </c>
      <c r="K147" s="36" t="s">
        <v>166</v>
      </c>
      <c r="L147" s="260" t="s">
        <v>167</v>
      </c>
      <c r="N147" s="36" t="s">
        <v>163</v>
      </c>
      <c r="O147" s="36" t="s">
        <v>164</v>
      </c>
      <c r="P147" s="36" t="s">
        <v>165</v>
      </c>
      <c r="Q147" s="36" t="s">
        <v>166</v>
      </c>
      <c r="R147" s="264" t="s">
        <v>167</v>
      </c>
      <c r="S147" s="264"/>
      <c r="T147" s="264"/>
      <c r="U147" s="264"/>
      <c r="V147" s="264"/>
      <c r="W147" s="264"/>
      <c r="X147" s="264"/>
    </row>
    <row r="148" spans="2:24" s="34" customFormat="1">
      <c r="H148" s="34" t="s">
        <v>168</v>
      </c>
      <c r="I148" s="34" t="s">
        <v>169</v>
      </c>
      <c r="J148" s="34" t="s">
        <v>170</v>
      </c>
      <c r="K148" s="34" t="s">
        <v>171</v>
      </c>
      <c r="L148" s="261" t="s">
        <v>172</v>
      </c>
      <c r="N148" s="34" t="s">
        <v>168</v>
      </c>
      <c r="O148" s="34" t="s">
        <v>169</v>
      </c>
      <c r="P148" s="34" t="s">
        <v>170</v>
      </c>
      <c r="Q148" s="34" t="s">
        <v>171</v>
      </c>
      <c r="R148" s="265" t="s">
        <v>172</v>
      </c>
      <c r="S148" s="265"/>
      <c r="T148" s="265"/>
      <c r="U148" s="265"/>
      <c r="V148" s="265"/>
      <c r="W148" s="265"/>
      <c r="X148" s="265"/>
    </row>
    <row r="149" spans="2:24">
      <c r="L149" s="258"/>
      <c r="R149" s="254"/>
      <c r="S149" s="254"/>
      <c r="T149" s="254"/>
      <c r="U149" s="254"/>
      <c r="V149" s="254"/>
      <c r="W149" s="254"/>
      <c r="X149" s="254"/>
    </row>
    <row r="150" spans="2:24">
      <c r="B150" s="3" t="s">
        <v>173</v>
      </c>
      <c r="H150" s="357">
        <f>ROUND((1-$F$82)*F88,8)</f>
        <v>4.8222563000000003</v>
      </c>
      <c r="I150" s="358">
        <f>ROUND((1-$F$82)*$F$15*$F$21*$F$69/$F$76*$F$88,8)</f>
        <v>2.20271419</v>
      </c>
      <c r="J150" s="87">
        <f t="shared" ref="J150:J161" si="22">ROUND((1-$F$82)*$F$16*$F27*$F55/$F$76*$F$88,8)</f>
        <v>1.05359694</v>
      </c>
      <c r="K150" s="87">
        <f t="shared" ref="K150:K161" si="23">ROUND((1-$F$82)*$F$17*$F41/$F$76*$F$88,8)</f>
        <v>4.0992479999999998E-2</v>
      </c>
      <c r="L150" s="257">
        <f t="shared" ref="L150:L161" si="24">ROUNDUP((1-$F$82)*$F$18*$F41/$F$77*$F$88,8)</f>
        <v>1.7080299999999999E-3</v>
      </c>
      <c r="N150" s="357">
        <f>ROUND((1-$F$82)*F90,8)</f>
        <v>1.2055640700000001</v>
      </c>
      <c r="O150" s="358">
        <f>ROUND((1-$F$82)*$F$15*$F$21*$F$69/$F$76*$F$90,8)</f>
        <v>0.55067854999999999</v>
      </c>
      <c r="P150" s="87">
        <f t="shared" ref="P150:P161" si="25">ROUND((1-$F$82)*$F$16*$F27*$F55/$F$76*$F$90,8)</f>
        <v>0.26339923999999998</v>
      </c>
      <c r="Q150" s="87">
        <f t="shared" ref="Q150:Q161" si="26">ROUND((1-$F$82)*$F$17*$F41/$F$76*$F$90,8)</f>
        <v>1.0248119999999999E-2</v>
      </c>
      <c r="R150" s="262">
        <f t="shared" ref="R150:R161" si="27">ROUNDUP((1-$F$82)*$F$18*$F41/$F$77*$F$90,8)</f>
        <v>4.2701000000000002E-4</v>
      </c>
      <c r="S150" s="287"/>
      <c r="T150" s="287"/>
      <c r="U150" s="287"/>
      <c r="V150" s="287"/>
      <c r="W150" s="287"/>
      <c r="X150" s="287"/>
    </row>
    <row r="151" spans="2:24">
      <c r="B151" s="3" t="s">
        <v>174</v>
      </c>
      <c r="H151" s="357"/>
      <c r="I151" s="358"/>
      <c r="J151" s="87">
        <f t="shared" si="22"/>
        <v>0.85064600999999995</v>
      </c>
      <c r="K151" s="87">
        <f t="shared" si="23"/>
        <v>3.6645839999999999E-2</v>
      </c>
      <c r="L151" s="257">
        <f t="shared" si="24"/>
        <v>1.52692E-3</v>
      </c>
      <c r="N151" s="357"/>
      <c r="O151" s="358"/>
      <c r="P151" s="87">
        <f t="shared" si="25"/>
        <v>0.2126615</v>
      </c>
      <c r="Q151" s="87">
        <f t="shared" si="26"/>
        <v>9.1614599999999997E-3</v>
      </c>
      <c r="R151" s="262">
        <f t="shared" si="27"/>
        <v>3.8172999999999999E-4</v>
      </c>
      <c r="S151" s="287"/>
      <c r="T151" s="287"/>
      <c r="U151" s="287"/>
      <c r="V151" s="287"/>
      <c r="W151" s="287"/>
      <c r="X151" s="287"/>
    </row>
    <row r="152" spans="2:24">
      <c r="B152" s="3" t="s">
        <v>175</v>
      </c>
      <c r="H152" s="357"/>
      <c r="I152" s="358"/>
      <c r="J152" s="87">
        <f t="shared" si="22"/>
        <v>0.73659635000000001</v>
      </c>
      <c r="K152" s="87">
        <f t="shared" si="23"/>
        <v>2.864618E-2</v>
      </c>
      <c r="L152" s="257">
        <f t="shared" si="24"/>
        <v>1.1936E-3</v>
      </c>
      <c r="N152" s="357"/>
      <c r="O152" s="358"/>
      <c r="P152" s="87">
        <f t="shared" si="25"/>
        <v>0.18414908999999999</v>
      </c>
      <c r="Q152" s="87">
        <f t="shared" si="26"/>
        <v>7.16155E-3</v>
      </c>
      <c r="R152" s="262">
        <f t="shared" si="27"/>
        <v>2.9839999999999999E-4</v>
      </c>
      <c r="S152" s="287"/>
      <c r="T152" s="287"/>
      <c r="U152" s="287"/>
      <c r="V152" s="287"/>
      <c r="W152" s="287"/>
      <c r="X152" s="287"/>
    </row>
    <row r="153" spans="2:24">
      <c r="B153" s="3" t="s">
        <v>176</v>
      </c>
      <c r="H153" s="357"/>
      <c r="I153" s="358">
        <f>ROUND((1-$F$82)*$F$15*$F$22*$F$70/$F$76*$F$88,8)</f>
        <v>1.1782159400000001</v>
      </c>
      <c r="J153" s="87">
        <f t="shared" si="22"/>
        <v>0.53150512999999999</v>
      </c>
      <c r="K153" s="87">
        <f t="shared" si="23"/>
        <v>2.1363259999999999E-2</v>
      </c>
      <c r="L153" s="257">
        <f t="shared" si="24"/>
        <v>8.9014000000000009E-4</v>
      </c>
      <c r="N153" s="357"/>
      <c r="O153" s="358">
        <f>ROUND((1-$F$82)*$F$15*$F$22*$F$70/$F$76*$F$90,8)</f>
        <v>0.29455397999999999</v>
      </c>
      <c r="P153" s="87">
        <f t="shared" si="25"/>
        <v>0.13287628000000001</v>
      </c>
      <c r="Q153" s="87">
        <f t="shared" si="26"/>
        <v>5.3408099999999997E-3</v>
      </c>
      <c r="R153" s="262">
        <f t="shared" si="27"/>
        <v>2.2253999999999999E-4</v>
      </c>
      <c r="S153" s="287"/>
      <c r="T153" s="287"/>
      <c r="U153" s="287"/>
      <c r="V153" s="287"/>
      <c r="W153" s="287"/>
      <c r="X153" s="287"/>
    </row>
    <row r="154" spans="2:24">
      <c r="B154" s="3" t="s">
        <v>177</v>
      </c>
      <c r="H154" s="357"/>
      <c r="I154" s="358"/>
      <c r="J154" s="87">
        <f t="shared" si="22"/>
        <v>0.48655904999999999</v>
      </c>
      <c r="K154" s="87">
        <f t="shared" si="23"/>
        <v>1.8935609999999999E-2</v>
      </c>
      <c r="L154" s="257">
        <f t="shared" si="24"/>
        <v>7.8899000000000005E-4</v>
      </c>
      <c r="N154" s="357"/>
      <c r="O154" s="358"/>
      <c r="P154" s="87">
        <f t="shared" si="25"/>
        <v>0.12163976</v>
      </c>
      <c r="Q154" s="87">
        <f t="shared" si="26"/>
        <v>4.7339000000000001E-3</v>
      </c>
      <c r="R154" s="262">
        <f t="shared" si="27"/>
        <v>1.9725E-4</v>
      </c>
      <c r="S154" s="287"/>
      <c r="T154" s="287"/>
      <c r="U154" s="287"/>
      <c r="V154" s="287"/>
      <c r="W154" s="287"/>
      <c r="X154" s="287"/>
    </row>
    <row r="155" spans="2:24">
      <c r="B155" s="3" t="s">
        <v>178</v>
      </c>
      <c r="H155" s="357"/>
      <c r="I155" s="358"/>
      <c r="J155" s="87">
        <f t="shared" si="22"/>
        <v>0.39535895999999998</v>
      </c>
      <c r="K155" s="87">
        <f t="shared" si="23"/>
        <v>1.5906839999999998E-2</v>
      </c>
      <c r="L155" s="257">
        <f t="shared" si="24"/>
        <v>6.6279000000000002E-4</v>
      </c>
      <c r="N155" s="357"/>
      <c r="O155" s="358"/>
      <c r="P155" s="87">
        <f t="shared" si="25"/>
        <v>9.8839739999999995E-2</v>
      </c>
      <c r="Q155" s="87">
        <f t="shared" si="26"/>
        <v>3.9767099999999996E-3</v>
      </c>
      <c r="R155" s="262">
        <f t="shared" si="27"/>
        <v>1.6569999999999999E-4</v>
      </c>
      <c r="S155" s="287"/>
      <c r="T155" s="287"/>
      <c r="U155" s="287"/>
      <c r="V155" s="287"/>
      <c r="W155" s="287"/>
      <c r="X155" s="287"/>
    </row>
    <row r="156" spans="2:24">
      <c r="B156" s="3" t="s">
        <v>179</v>
      </c>
      <c r="H156" s="357"/>
      <c r="I156" s="358">
        <f>ROUND((1-$F$82)*$F$15*$F$23*$F$71/$F$76*$F$88,8)</f>
        <v>0.95566549999999995</v>
      </c>
      <c r="J156" s="87">
        <f t="shared" si="22"/>
        <v>0.38580692999999999</v>
      </c>
      <c r="K156" s="87">
        <f t="shared" si="23"/>
        <v>1.500514E-2</v>
      </c>
      <c r="L156" s="257">
        <f t="shared" si="24"/>
        <v>6.2522000000000001E-4</v>
      </c>
      <c r="N156" s="357"/>
      <c r="O156" s="358">
        <f>ROUND((1-$F$82)*$F$15*$F$23*$F$71/$F$76*$F$90,8)</f>
        <v>0.23891638000000001</v>
      </c>
      <c r="P156" s="87">
        <f t="shared" si="25"/>
        <v>9.6451729999999999E-2</v>
      </c>
      <c r="Q156" s="87">
        <f t="shared" si="26"/>
        <v>3.75129E-3</v>
      </c>
      <c r="R156" s="262">
        <f t="shared" si="27"/>
        <v>1.5631E-4</v>
      </c>
      <c r="S156" s="287"/>
      <c r="T156" s="287"/>
      <c r="U156" s="287"/>
      <c r="V156" s="287"/>
      <c r="W156" s="287"/>
      <c r="X156" s="287"/>
    </row>
    <row r="157" spans="2:24">
      <c r="B157" s="3" t="s">
        <v>180</v>
      </c>
      <c r="H157" s="357"/>
      <c r="I157" s="358"/>
      <c r="J157" s="87">
        <f t="shared" si="22"/>
        <v>0.36676231999999998</v>
      </c>
      <c r="K157" s="87">
        <f t="shared" si="23"/>
        <v>1.428841E-2</v>
      </c>
      <c r="L157" s="257">
        <f t="shared" si="24"/>
        <v>5.9536000000000007E-4</v>
      </c>
      <c r="N157" s="357"/>
      <c r="O157" s="358"/>
      <c r="P157" s="87">
        <f t="shared" si="25"/>
        <v>9.1690579999999994E-2</v>
      </c>
      <c r="Q157" s="87">
        <f t="shared" si="26"/>
        <v>3.5720999999999999E-3</v>
      </c>
      <c r="R157" s="262">
        <f t="shared" si="27"/>
        <v>1.4883999999999999E-4</v>
      </c>
      <c r="S157" s="287"/>
      <c r="T157" s="287"/>
      <c r="U157" s="287"/>
      <c r="V157" s="287"/>
      <c r="W157" s="287"/>
      <c r="X157" s="287"/>
    </row>
    <row r="158" spans="2:24">
      <c r="B158" s="3" t="s">
        <v>181</v>
      </c>
      <c r="H158" s="357"/>
      <c r="I158" s="358"/>
      <c r="J158" s="87">
        <f t="shared" si="22"/>
        <v>0.39416991000000001</v>
      </c>
      <c r="K158" s="87">
        <f t="shared" si="23"/>
        <v>1.5860599999999999E-2</v>
      </c>
      <c r="L158" s="257">
        <f t="shared" si="24"/>
        <v>6.6086000000000009E-4</v>
      </c>
      <c r="N158" s="357"/>
      <c r="O158" s="358"/>
      <c r="P158" s="87">
        <f t="shared" si="25"/>
        <v>9.8542480000000002E-2</v>
      </c>
      <c r="Q158" s="87">
        <f t="shared" si="26"/>
        <v>3.9651499999999998E-3</v>
      </c>
      <c r="R158" s="262">
        <f t="shared" si="27"/>
        <v>1.6521999999999999E-4</v>
      </c>
      <c r="S158" s="287"/>
      <c r="T158" s="287"/>
      <c r="U158" s="287"/>
      <c r="V158" s="287"/>
      <c r="W158" s="287"/>
      <c r="X158" s="287"/>
    </row>
    <row r="159" spans="2:24">
      <c r="B159" s="3" t="s">
        <v>182</v>
      </c>
      <c r="H159" s="357"/>
      <c r="I159" s="358">
        <f>ROUND((1-$F$82)*$F$15*$F$24*$F$72/$F$76*$F$88,8)</f>
        <v>1.6788718300000001</v>
      </c>
      <c r="J159" s="87">
        <f t="shared" si="22"/>
        <v>0.46751445000000003</v>
      </c>
      <c r="K159" s="87">
        <f t="shared" si="23"/>
        <v>1.8195759999999998E-2</v>
      </c>
      <c r="L159" s="257">
        <f t="shared" si="24"/>
        <v>7.5816000000000002E-4</v>
      </c>
      <c r="N159" s="357"/>
      <c r="O159" s="358">
        <f>ROUND((1-$F$82)*$F$15*$F$24*$F$72/$F$76*$F$90,8)</f>
        <v>0.41971796</v>
      </c>
      <c r="P159" s="87">
        <f t="shared" si="25"/>
        <v>0.11687860999999999</v>
      </c>
      <c r="Q159" s="87">
        <f t="shared" si="26"/>
        <v>4.5489399999999996E-3</v>
      </c>
      <c r="R159" s="262">
        <f t="shared" si="27"/>
        <v>1.8954E-4</v>
      </c>
      <c r="S159" s="287"/>
      <c r="T159" s="287"/>
      <c r="U159" s="287"/>
      <c r="V159" s="287"/>
      <c r="W159" s="287"/>
      <c r="X159" s="287"/>
    </row>
    <row r="160" spans="2:24">
      <c r="B160" s="3" t="s">
        <v>183</v>
      </c>
      <c r="H160" s="357"/>
      <c r="I160" s="358"/>
      <c r="J160" s="87">
        <f t="shared" si="22"/>
        <v>0.67181296999999995</v>
      </c>
      <c r="K160" s="87">
        <f t="shared" si="23"/>
        <v>2.700464E-2</v>
      </c>
      <c r="L160" s="257">
        <f t="shared" si="24"/>
        <v>1.1252E-3</v>
      </c>
      <c r="N160" s="357"/>
      <c r="O160" s="358"/>
      <c r="P160" s="87">
        <f t="shared" si="25"/>
        <v>0.16795324</v>
      </c>
      <c r="Q160" s="87">
        <f t="shared" si="26"/>
        <v>6.75116E-3</v>
      </c>
      <c r="R160" s="262">
        <f t="shared" si="27"/>
        <v>2.8130000000000001E-4</v>
      </c>
      <c r="S160" s="287"/>
      <c r="T160" s="287"/>
      <c r="U160" s="287"/>
      <c r="V160" s="287"/>
      <c r="W160" s="287"/>
      <c r="X160" s="287"/>
    </row>
    <row r="161" spans="2:24">
      <c r="B161" s="3" t="s">
        <v>184</v>
      </c>
      <c r="H161" s="357"/>
      <c r="I161" s="358"/>
      <c r="J161" s="87">
        <f t="shared" si="22"/>
        <v>0.87482335</v>
      </c>
      <c r="K161" s="87">
        <f t="shared" si="23"/>
        <v>3.4033239999999999E-2</v>
      </c>
      <c r="L161" s="257">
        <f t="shared" si="24"/>
        <v>1.4180599999999999E-3</v>
      </c>
      <c r="N161" s="357"/>
      <c r="O161" s="358"/>
      <c r="P161" s="87">
        <f t="shared" si="25"/>
        <v>0.21870584000000001</v>
      </c>
      <c r="Q161" s="87">
        <f t="shared" si="26"/>
        <v>8.5083099999999998E-3</v>
      </c>
      <c r="R161" s="262">
        <f t="shared" si="27"/>
        <v>3.5451999999999999E-4</v>
      </c>
      <c r="S161" s="287"/>
      <c r="T161" s="287"/>
      <c r="U161" s="287"/>
      <c r="V161" s="287"/>
      <c r="W161" s="287"/>
      <c r="X161" s="287"/>
    </row>
    <row r="162" spans="2:24">
      <c r="H162" s="196"/>
      <c r="I162" s="197"/>
      <c r="J162" s="198"/>
      <c r="K162" s="198"/>
      <c r="L162" s="199"/>
      <c r="N162" s="196"/>
      <c r="O162" s="197"/>
      <c r="P162" s="198"/>
      <c r="Q162" s="198"/>
      <c r="R162" s="199"/>
      <c r="S162" s="199"/>
      <c r="T162" s="199"/>
      <c r="U162" s="199"/>
      <c r="V162" s="199"/>
      <c r="W162" s="199"/>
      <c r="X162" s="199"/>
    </row>
    <row r="163" spans="2:24" s="33" customFormat="1">
      <c r="B163" s="33" t="s">
        <v>191</v>
      </c>
      <c r="H163" s="33" t="s">
        <v>192</v>
      </c>
      <c r="N163" s="33" t="s">
        <v>193</v>
      </c>
    </row>
    <row r="164" spans="2:24" s="36" customFormat="1">
      <c r="H164" s="36" t="s">
        <v>163</v>
      </c>
      <c r="I164" s="36" t="s">
        <v>164</v>
      </c>
      <c r="J164" s="36" t="s">
        <v>165</v>
      </c>
      <c r="K164" s="36" t="s">
        <v>166</v>
      </c>
      <c r="L164" s="36" t="s">
        <v>167</v>
      </c>
      <c r="N164" s="36" t="s">
        <v>163</v>
      </c>
      <c r="O164" s="36" t="s">
        <v>164</v>
      </c>
      <c r="P164" s="36" t="s">
        <v>165</v>
      </c>
      <c r="Q164" s="36" t="s">
        <v>166</v>
      </c>
      <c r="R164" s="36" t="s">
        <v>167</v>
      </c>
    </row>
    <row r="165" spans="2:24" s="34" customFormat="1">
      <c r="H165" s="34" t="s">
        <v>168</v>
      </c>
      <c r="I165" s="34" t="s">
        <v>169</v>
      </c>
      <c r="J165" s="34" t="s">
        <v>170</v>
      </c>
      <c r="K165" s="34" t="s">
        <v>171</v>
      </c>
      <c r="L165" s="34" t="s">
        <v>172</v>
      </c>
      <c r="N165" s="34" t="s">
        <v>168</v>
      </c>
      <c r="O165" s="34" t="s">
        <v>169</v>
      </c>
      <c r="P165" s="34" t="s">
        <v>170</v>
      </c>
      <c r="Q165" s="34" t="s">
        <v>171</v>
      </c>
      <c r="R165" s="34" t="s">
        <v>172</v>
      </c>
    </row>
    <row r="167" spans="2:24">
      <c r="B167" s="3" t="s">
        <v>173</v>
      </c>
      <c r="H167" s="357">
        <f>ROUND((1-F83)*(F87+F88),8)</f>
        <v>0.62675048</v>
      </c>
      <c r="I167" s="358">
        <f>ROUND($F$15*$F$21*$F$69/$F$76*(1-$F$83)*($F$87+$F$88),8)</f>
        <v>0.28628759999999998</v>
      </c>
      <c r="J167" s="87">
        <f t="shared" ref="J167:J178" si="28">ROUND($F$16*$F27*$F55/$F$76*(1-$F$83)*($F$87+$F$88),8)</f>
        <v>0.13693638999999999</v>
      </c>
      <c r="K167" s="44"/>
      <c r="L167" s="44"/>
      <c r="N167" s="357">
        <f>ROUND((1-F83)*(F87+F90),8)</f>
        <v>0.40972723999999999</v>
      </c>
      <c r="O167" s="358">
        <f>ROUND($F$15*$F$21*$F$69/$F$76*(1-$F$83)*($F$87+$F$90),8)</f>
        <v>0.18715555</v>
      </c>
      <c r="P167" s="87">
        <f t="shared" ref="P167:P178" si="29">ROUND($F$16*$F27*$F55/$F$76*(1-$F$83)*($F$87+$F$90),8)</f>
        <v>8.9519790000000002E-2</v>
      </c>
      <c r="Q167" s="44"/>
      <c r="R167" s="44"/>
      <c r="S167" s="289"/>
      <c r="T167" s="289"/>
      <c r="U167" s="289"/>
      <c r="V167" s="289"/>
      <c r="W167" s="289"/>
      <c r="X167" s="289"/>
    </row>
    <row r="168" spans="2:24">
      <c r="B168" s="3" t="s">
        <v>174</v>
      </c>
      <c r="H168" s="357"/>
      <c r="I168" s="358"/>
      <c r="J168" s="87">
        <f t="shared" si="28"/>
        <v>0.11055878</v>
      </c>
      <c r="K168" s="44"/>
      <c r="L168" s="44"/>
      <c r="N168" s="357"/>
      <c r="O168" s="358"/>
      <c r="P168" s="87">
        <f t="shared" si="29"/>
        <v>7.2275889999999995E-2</v>
      </c>
      <c r="Q168" s="44"/>
      <c r="R168" s="44"/>
      <c r="S168" s="289"/>
      <c r="T168" s="289"/>
      <c r="U168" s="289"/>
      <c r="V168" s="289"/>
      <c r="W168" s="289"/>
      <c r="X168" s="289"/>
    </row>
    <row r="169" spans="2:24">
      <c r="B169" s="3" t="s">
        <v>175</v>
      </c>
      <c r="H169" s="357"/>
      <c r="I169" s="358"/>
      <c r="J169" s="87">
        <f t="shared" si="28"/>
        <v>9.5735710000000002E-2</v>
      </c>
      <c r="K169" s="44"/>
      <c r="L169" s="44"/>
      <c r="N169" s="357"/>
      <c r="O169" s="358"/>
      <c r="P169" s="87">
        <f t="shared" si="29"/>
        <v>6.2585559999999998E-2</v>
      </c>
      <c r="Q169" s="44"/>
      <c r="R169" s="44"/>
      <c r="S169" s="289"/>
      <c r="T169" s="289"/>
      <c r="U169" s="289"/>
      <c r="V169" s="289"/>
      <c r="W169" s="289"/>
      <c r="X169" s="289"/>
    </row>
    <row r="170" spans="2:24">
      <c r="B170" s="3" t="s">
        <v>176</v>
      </c>
      <c r="H170" s="357"/>
      <c r="I170" s="358">
        <f>ROUND($F$15*$F$22*$F$70/$F$76*(1-$F$83)*($F$87+$F$88),8)</f>
        <v>0.15313317000000001</v>
      </c>
      <c r="J170" s="87">
        <f t="shared" si="28"/>
        <v>6.9079920000000003E-2</v>
      </c>
      <c r="K170" s="44"/>
      <c r="L170" s="44"/>
      <c r="N170" s="357"/>
      <c r="O170" s="358">
        <f>ROUND($F$15*$F$22*$F$70/$F$76*(1-$F$83)*($F$87+$F$90),8)</f>
        <v>0.10010815000000001</v>
      </c>
      <c r="P170" s="87">
        <f t="shared" si="29"/>
        <v>4.51598E-2</v>
      </c>
      <c r="Q170" s="44"/>
      <c r="R170" s="44"/>
      <c r="S170" s="289"/>
      <c r="T170" s="289"/>
      <c r="U170" s="289"/>
      <c r="V170" s="289"/>
      <c r="W170" s="289"/>
      <c r="X170" s="289"/>
    </row>
    <row r="171" spans="2:24">
      <c r="B171" s="3" t="s">
        <v>177</v>
      </c>
      <c r="H171" s="357"/>
      <c r="I171" s="358"/>
      <c r="J171" s="87">
        <f t="shared" si="28"/>
        <v>6.3238260000000004E-2</v>
      </c>
      <c r="K171" s="44"/>
      <c r="L171" s="44"/>
      <c r="N171" s="357"/>
      <c r="O171" s="358"/>
      <c r="P171" s="87">
        <f t="shared" si="29"/>
        <v>4.1340920000000003E-2</v>
      </c>
      <c r="Q171" s="44"/>
      <c r="R171" s="44"/>
      <c r="S171" s="289"/>
      <c r="T171" s="289"/>
      <c r="U171" s="289"/>
      <c r="V171" s="289"/>
      <c r="W171" s="289"/>
      <c r="X171" s="289"/>
    </row>
    <row r="172" spans="2:24">
      <c r="B172" s="3" t="s">
        <v>178</v>
      </c>
      <c r="H172" s="357"/>
      <c r="I172" s="358"/>
      <c r="J172" s="87">
        <f t="shared" si="28"/>
        <v>5.1384949999999999E-2</v>
      </c>
      <c r="K172" s="44"/>
      <c r="L172" s="44"/>
      <c r="N172" s="357"/>
      <c r="O172" s="358"/>
      <c r="P172" s="87">
        <f t="shared" si="29"/>
        <v>3.359202E-2</v>
      </c>
      <c r="Q172" s="44"/>
      <c r="R172" s="44"/>
      <c r="S172" s="289"/>
      <c r="T172" s="289"/>
      <c r="U172" s="289"/>
      <c r="V172" s="289"/>
      <c r="W172" s="289"/>
      <c r="X172" s="289"/>
    </row>
    <row r="173" spans="2:24">
      <c r="B173" s="3" t="s">
        <v>179</v>
      </c>
      <c r="H173" s="357"/>
      <c r="I173" s="358">
        <f>ROUND($F$15*$F$23*$F$71/$F$76*(1-$F$83)*($F$87+$F$88),8)</f>
        <v>0.12420821</v>
      </c>
      <c r="J173" s="87">
        <f t="shared" si="28"/>
        <v>5.0143470000000002E-2</v>
      </c>
      <c r="K173" s="44"/>
      <c r="L173" s="44"/>
      <c r="N173" s="357"/>
      <c r="O173" s="358">
        <f>ROUND($F$15*$F$23*$F$71/$F$76*(1-$F$83)*($F$87+$F$90),8)</f>
        <v>8.1198960000000001E-2</v>
      </c>
      <c r="P173" s="87">
        <f t="shared" si="29"/>
        <v>3.2780419999999998E-2</v>
      </c>
      <c r="Q173" s="44"/>
      <c r="R173" s="44"/>
      <c r="S173" s="289"/>
      <c r="T173" s="289"/>
      <c r="U173" s="289"/>
      <c r="V173" s="289"/>
      <c r="W173" s="289"/>
      <c r="X173" s="289"/>
    </row>
    <row r="174" spans="2:24">
      <c r="B174" s="3" t="s">
        <v>180</v>
      </c>
      <c r="H174" s="357"/>
      <c r="I174" s="358"/>
      <c r="J174" s="87">
        <f t="shared" si="28"/>
        <v>4.7668240000000001E-2</v>
      </c>
      <c r="K174" s="44"/>
      <c r="L174" s="44"/>
      <c r="N174" s="357"/>
      <c r="O174" s="358"/>
      <c r="P174" s="87">
        <f t="shared" si="29"/>
        <v>3.1162280000000001E-2</v>
      </c>
      <c r="Q174" s="44"/>
      <c r="R174" s="44"/>
      <c r="S174" s="289"/>
      <c r="T174" s="289"/>
      <c r="U174" s="289"/>
      <c r="V174" s="289"/>
      <c r="W174" s="289"/>
      <c r="X174" s="289"/>
    </row>
    <row r="175" spans="2:24">
      <c r="B175" s="3" t="s">
        <v>181</v>
      </c>
      <c r="H175" s="357"/>
      <c r="I175" s="358"/>
      <c r="J175" s="87">
        <f t="shared" si="28"/>
        <v>5.1230409999999997E-2</v>
      </c>
      <c r="K175" s="44"/>
      <c r="L175" s="44"/>
      <c r="N175" s="357"/>
      <c r="O175" s="358"/>
      <c r="P175" s="87">
        <f t="shared" si="29"/>
        <v>3.3490989999999998E-2</v>
      </c>
      <c r="Q175" s="44"/>
      <c r="R175" s="44"/>
      <c r="S175" s="289"/>
      <c r="T175" s="289"/>
      <c r="U175" s="289"/>
      <c r="V175" s="289"/>
      <c r="W175" s="289"/>
      <c r="X175" s="289"/>
    </row>
    <row r="176" spans="2:24">
      <c r="B176" s="3" t="s">
        <v>182</v>
      </c>
      <c r="H176" s="357"/>
      <c r="I176" s="358">
        <f>ROUND($F$15*$F$24*$F$72/$F$76*(1-$F$83)*($F$87+$F$88),8)</f>
        <v>0.21820360999999999</v>
      </c>
      <c r="J176" s="87">
        <f t="shared" si="28"/>
        <v>6.0763030000000003E-2</v>
      </c>
      <c r="K176" s="44"/>
      <c r="L176" s="44"/>
      <c r="N176" s="357"/>
      <c r="O176" s="358">
        <f>ROUND($F$15*$F$24*$F$72/$F$76*(1-$F$83)*($F$87+$F$90),8)</f>
        <v>0.14264682000000001</v>
      </c>
      <c r="P176" s="87">
        <f t="shared" si="29"/>
        <v>3.9722779999999999E-2</v>
      </c>
      <c r="Q176" s="44"/>
      <c r="R176" s="44"/>
      <c r="S176" s="289"/>
      <c r="T176" s="289"/>
      <c r="U176" s="289"/>
      <c r="V176" s="289"/>
      <c r="W176" s="289"/>
      <c r="X176" s="289"/>
    </row>
    <row r="177" spans="2:24">
      <c r="B177" s="3" t="s">
        <v>183</v>
      </c>
      <c r="H177" s="357"/>
      <c r="I177" s="358"/>
      <c r="J177" s="87">
        <f t="shared" si="28"/>
        <v>8.7315790000000004E-2</v>
      </c>
      <c r="K177" s="44"/>
      <c r="L177" s="44"/>
      <c r="N177" s="357"/>
      <c r="O177" s="358"/>
      <c r="P177" s="87">
        <f t="shared" si="29"/>
        <v>5.7081180000000002E-2</v>
      </c>
      <c r="Q177" s="44"/>
      <c r="R177" s="44"/>
      <c r="S177" s="289"/>
      <c r="T177" s="289"/>
      <c r="U177" s="289"/>
      <c r="V177" s="289"/>
      <c r="W177" s="289"/>
      <c r="X177" s="289"/>
    </row>
    <row r="178" spans="2:24">
      <c r="B178" s="3" t="s">
        <v>184</v>
      </c>
      <c r="H178" s="357"/>
      <c r="I178" s="358"/>
      <c r="J178" s="87">
        <f t="shared" si="28"/>
        <v>0.11370112</v>
      </c>
      <c r="K178" s="44"/>
      <c r="L178" s="44"/>
      <c r="N178" s="357"/>
      <c r="O178" s="358"/>
      <c r="P178" s="87">
        <f t="shared" si="29"/>
        <v>7.4330129999999994E-2</v>
      </c>
      <c r="Q178" s="44"/>
      <c r="R178" s="44"/>
      <c r="S178" s="289"/>
      <c r="T178" s="289"/>
      <c r="U178" s="289"/>
      <c r="V178" s="289"/>
      <c r="W178" s="289"/>
      <c r="X178" s="289"/>
    </row>
    <row r="180" spans="2:24" s="33" customFormat="1">
      <c r="B180" s="33" t="s">
        <v>191</v>
      </c>
      <c r="H180" s="33" t="s">
        <v>194</v>
      </c>
      <c r="N180" s="33" t="s">
        <v>195</v>
      </c>
    </row>
    <row r="181" spans="2:24" s="36" customFormat="1">
      <c r="H181" s="36" t="s">
        <v>163</v>
      </c>
      <c r="I181" s="36" t="s">
        <v>164</v>
      </c>
      <c r="J181" s="36" t="s">
        <v>165</v>
      </c>
      <c r="K181" s="36" t="s">
        <v>166</v>
      </c>
      <c r="L181" s="36" t="s">
        <v>167</v>
      </c>
      <c r="N181" s="36" t="s">
        <v>163</v>
      </c>
      <c r="O181" s="36" t="s">
        <v>164</v>
      </c>
      <c r="P181" s="36" t="s">
        <v>165</v>
      </c>
      <c r="Q181" s="36" t="s">
        <v>166</v>
      </c>
      <c r="R181" s="36" t="s">
        <v>167</v>
      </c>
    </row>
    <row r="182" spans="2:24" s="34" customFormat="1">
      <c r="H182" s="34" t="s">
        <v>168</v>
      </c>
      <c r="I182" s="34" t="s">
        <v>169</v>
      </c>
      <c r="J182" s="34" t="s">
        <v>170</v>
      </c>
      <c r="K182" s="34" t="s">
        <v>171</v>
      </c>
      <c r="L182" s="34" t="s">
        <v>172</v>
      </c>
      <c r="N182" s="34" t="s">
        <v>168</v>
      </c>
      <c r="O182" s="34" t="s">
        <v>169</v>
      </c>
      <c r="P182" s="34" t="s">
        <v>170</v>
      </c>
      <c r="Q182" s="34" t="s">
        <v>171</v>
      </c>
      <c r="R182" s="34" t="s">
        <v>172</v>
      </c>
    </row>
    <row r="184" spans="2:24">
      <c r="B184" s="3" t="s">
        <v>173</v>
      </c>
      <c r="H184" s="357">
        <f>ROUND((1-F83)*(F88+F89),8)</f>
        <v>0.37371085999999998</v>
      </c>
      <c r="I184" s="358">
        <f>ROUND($F$15*$F$21*$F$69/$F$76*(1-$F$83)*($F$88+$F$89),8)</f>
        <v>0.17070394999999999</v>
      </c>
      <c r="J184" s="87">
        <f t="shared" ref="J184:J195" si="30">ROUND($F$16*$F27*$F55/$F$76*(1-$F$83)*($F$88+$F$89),8)</f>
        <v>8.1650700000000007E-2</v>
      </c>
      <c r="K184" s="44"/>
      <c r="L184" s="44"/>
      <c r="N184" s="358">
        <f>ROUND((1-F83)*(F89+F90),8)</f>
        <v>0.15668762</v>
      </c>
      <c r="O184" s="358">
        <f>ROUND($F$15*$F$21*$F$69/$F$76*(1-$F$83)*($F$89+$F$90),8)</f>
        <v>7.1571899999999994E-2</v>
      </c>
      <c r="P184" s="56">
        <f t="shared" ref="P184:P195" si="31">ROUND($F$16*$F27*$F55/$F$76*(1-$F$83)*($F$89+$F$90),8)</f>
        <v>3.4234100000000003E-2</v>
      </c>
      <c r="Q184" s="44"/>
      <c r="R184" s="44"/>
      <c r="S184" s="289"/>
      <c r="T184" s="289"/>
      <c r="U184" s="289"/>
      <c r="V184" s="289"/>
      <c r="W184" s="289"/>
      <c r="X184" s="289"/>
    </row>
    <row r="185" spans="2:24">
      <c r="B185" s="3" t="s">
        <v>174</v>
      </c>
      <c r="H185" s="357"/>
      <c r="I185" s="358"/>
      <c r="J185" s="87">
        <f t="shared" si="30"/>
        <v>6.5922590000000003E-2</v>
      </c>
      <c r="K185" s="44"/>
      <c r="L185" s="44"/>
      <c r="N185" s="358"/>
      <c r="O185" s="358"/>
      <c r="P185" s="56">
        <f t="shared" si="31"/>
        <v>2.76397E-2</v>
      </c>
      <c r="Q185" s="44"/>
      <c r="R185" s="44"/>
      <c r="S185" s="289"/>
      <c r="T185" s="289"/>
      <c r="U185" s="289"/>
      <c r="V185" s="289"/>
      <c r="W185" s="289"/>
      <c r="X185" s="289"/>
    </row>
    <row r="186" spans="2:24">
      <c r="B186" s="3" t="s">
        <v>175</v>
      </c>
      <c r="H186" s="357"/>
      <c r="I186" s="358"/>
      <c r="J186" s="87">
        <f t="shared" si="30"/>
        <v>5.7084080000000002E-2</v>
      </c>
      <c r="K186" s="44"/>
      <c r="L186" s="44"/>
      <c r="N186" s="358"/>
      <c r="O186" s="358"/>
      <c r="P186" s="56">
        <f t="shared" si="31"/>
        <v>2.3933929999999999E-2</v>
      </c>
      <c r="Q186" s="44"/>
      <c r="R186" s="44"/>
      <c r="S186" s="289"/>
      <c r="T186" s="289"/>
      <c r="U186" s="289"/>
      <c r="V186" s="289"/>
      <c r="W186" s="289"/>
      <c r="X186" s="289"/>
    </row>
    <row r="187" spans="2:24">
      <c r="B187" s="3" t="s">
        <v>176</v>
      </c>
      <c r="H187" s="357"/>
      <c r="I187" s="358">
        <f>ROUND($F$15*$F$22*$F$70/$F$76*(1-$F$83)*($F$88+$F$89),8)</f>
        <v>9.1308310000000004E-2</v>
      </c>
      <c r="J187" s="87">
        <f t="shared" si="30"/>
        <v>4.11901E-2</v>
      </c>
      <c r="K187" s="44"/>
      <c r="L187" s="44"/>
      <c r="N187" s="358"/>
      <c r="O187" s="358">
        <f>ROUND($F$15*$F$22*$F$70/$F$76*(1-$F$83)*($F$89+$F$90),8)</f>
        <v>3.8283289999999998E-2</v>
      </c>
      <c r="P187" s="56">
        <f t="shared" si="31"/>
        <v>1.7269980000000001E-2</v>
      </c>
      <c r="Q187" s="44"/>
      <c r="R187" s="44"/>
      <c r="S187" s="289"/>
      <c r="T187" s="289"/>
      <c r="U187" s="289"/>
      <c r="V187" s="289"/>
      <c r="W187" s="289"/>
      <c r="X187" s="289"/>
    </row>
    <row r="188" spans="2:24">
      <c r="B188" s="3" t="s">
        <v>177</v>
      </c>
      <c r="H188" s="357"/>
      <c r="I188" s="358"/>
      <c r="J188" s="87">
        <f t="shared" si="30"/>
        <v>3.7706910000000003E-2</v>
      </c>
      <c r="K188" s="44"/>
      <c r="L188" s="44"/>
      <c r="N188" s="358"/>
      <c r="O188" s="358"/>
      <c r="P188" s="56">
        <f t="shared" si="31"/>
        <v>1.5809569999999998E-2</v>
      </c>
      <c r="Q188" s="44"/>
      <c r="R188" s="44"/>
      <c r="S188" s="289"/>
      <c r="T188" s="289"/>
      <c r="U188" s="289"/>
      <c r="V188" s="289"/>
      <c r="W188" s="289"/>
      <c r="X188" s="289"/>
    </row>
    <row r="189" spans="2:24">
      <c r="B189" s="3" t="s">
        <v>178</v>
      </c>
      <c r="H189" s="357"/>
      <c r="I189" s="358"/>
      <c r="J189" s="87">
        <f t="shared" si="30"/>
        <v>3.063917E-2</v>
      </c>
      <c r="K189" s="44"/>
      <c r="L189" s="44"/>
      <c r="N189" s="358"/>
      <c r="O189" s="358"/>
      <c r="P189" s="56">
        <f t="shared" si="31"/>
        <v>1.284624E-2</v>
      </c>
      <c r="Q189" s="44"/>
      <c r="R189" s="44"/>
      <c r="S189" s="289"/>
      <c r="T189" s="289"/>
      <c r="U189" s="289"/>
      <c r="V189" s="289"/>
      <c r="W189" s="289"/>
      <c r="X189" s="289"/>
    </row>
    <row r="190" spans="2:24">
      <c r="B190" s="3" t="s">
        <v>179</v>
      </c>
      <c r="H190" s="357"/>
      <c r="I190" s="358">
        <f>ROUND($F$15*$F$23*$F$71/$F$76*(1-$F$83)*($F$88+$F$89),8)</f>
        <v>7.4061299999999997E-2</v>
      </c>
      <c r="J190" s="87">
        <f t="shared" si="30"/>
        <v>2.9898919999999999E-2</v>
      </c>
      <c r="K190" s="44"/>
      <c r="L190" s="44"/>
      <c r="N190" s="358"/>
      <c r="O190" s="358">
        <f>ROUND($F$15*$F$23*$F$71/$F$76*(1-$F$83)*($F$89+$F$90),8)</f>
        <v>3.1052050000000001E-2</v>
      </c>
      <c r="P190" s="56">
        <f t="shared" si="31"/>
        <v>1.2535869999999999E-2</v>
      </c>
      <c r="Q190" s="44"/>
      <c r="R190" s="44"/>
      <c r="S190" s="289"/>
      <c r="T190" s="289"/>
      <c r="U190" s="289"/>
      <c r="V190" s="289"/>
      <c r="W190" s="289"/>
      <c r="X190" s="289"/>
    </row>
    <row r="191" spans="2:24">
      <c r="B191" s="3" t="s">
        <v>180</v>
      </c>
      <c r="H191" s="357"/>
      <c r="I191" s="358"/>
      <c r="J191" s="87">
        <f t="shared" si="30"/>
        <v>2.8423009999999999E-2</v>
      </c>
      <c r="K191" s="44"/>
      <c r="L191" s="44"/>
      <c r="N191" s="358"/>
      <c r="O191" s="358"/>
      <c r="P191" s="56">
        <f t="shared" si="31"/>
        <v>1.191706E-2</v>
      </c>
      <c r="Q191" s="44"/>
      <c r="R191" s="44"/>
      <c r="S191" s="289"/>
      <c r="T191" s="289"/>
      <c r="U191" s="289"/>
      <c r="V191" s="289"/>
      <c r="W191" s="289"/>
      <c r="X191" s="289"/>
    </row>
    <row r="192" spans="2:24">
      <c r="B192" s="3" t="s">
        <v>181</v>
      </c>
      <c r="H192" s="357"/>
      <c r="I192" s="358"/>
      <c r="J192" s="87">
        <f t="shared" si="30"/>
        <v>3.0547020000000001E-2</v>
      </c>
      <c r="K192" s="44"/>
      <c r="L192" s="44"/>
      <c r="N192" s="358"/>
      <c r="O192" s="358"/>
      <c r="P192" s="56">
        <f t="shared" si="31"/>
        <v>1.2807600000000001E-2</v>
      </c>
      <c r="Q192" s="44"/>
      <c r="R192" s="44"/>
      <c r="S192" s="289"/>
      <c r="T192" s="289"/>
      <c r="U192" s="289"/>
      <c r="V192" s="289"/>
      <c r="W192" s="289"/>
      <c r="X192" s="289"/>
    </row>
    <row r="193" spans="2:24">
      <c r="B193" s="3" t="s">
        <v>182</v>
      </c>
      <c r="H193" s="357"/>
      <c r="I193" s="358">
        <f>ROUND($F$15*$F$24*$F$72/$F$76*(1-$F$83)*($F$88+$F$89),8)</f>
        <v>0.13010769</v>
      </c>
      <c r="J193" s="87">
        <f t="shared" si="30"/>
        <v>3.6231010000000001E-2</v>
      </c>
      <c r="K193" s="44"/>
      <c r="L193" s="44"/>
      <c r="N193" s="358"/>
      <c r="O193" s="358">
        <f>ROUND($F$15*$F$24*$F$72/$F$76*(1-$F$83)*($F$89+$F$90),8)</f>
        <v>5.4550899999999999E-2</v>
      </c>
      <c r="P193" s="56">
        <f t="shared" si="31"/>
        <v>1.5190759999999999E-2</v>
      </c>
      <c r="Q193" s="44"/>
      <c r="R193" s="44"/>
      <c r="S193" s="289"/>
      <c r="T193" s="289"/>
      <c r="U193" s="289"/>
      <c r="V193" s="289"/>
      <c r="W193" s="289"/>
      <c r="X193" s="289"/>
    </row>
    <row r="194" spans="2:24">
      <c r="B194" s="3" t="s">
        <v>183</v>
      </c>
      <c r="H194" s="357"/>
      <c r="I194" s="358"/>
      <c r="J194" s="87">
        <f t="shared" si="30"/>
        <v>5.206355E-2</v>
      </c>
      <c r="K194" s="44"/>
      <c r="L194" s="44"/>
      <c r="N194" s="358"/>
      <c r="O194" s="358"/>
      <c r="P194" s="56">
        <f t="shared" si="31"/>
        <v>2.182895E-2</v>
      </c>
      <c r="Q194" s="44"/>
      <c r="R194" s="44"/>
      <c r="S194" s="289"/>
      <c r="T194" s="289"/>
      <c r="U194" s="289"/>
      <c r="V194" s="289"/>
      <c r="W194" s="289"/>
      <c r="X194" s="289"/>
    </row>
    <row r="195" spans="2:24">
      <c r="B195" s="3" t="s">
        <v>184</v>
      </c>
      <c r="H195" s="357"/>
      <c r="I195" s="358"/>
      <c r="J195" s="87">
        <f t="shared" si="30"/>
        <v>6.7796270000000006E-2</v>
      </c>
      <c r="K195" s="44"/>
      <c r="L195" s="44"/>
      <c r="N195" s="358"/>
      <c r="O195" s="358"/>
      <c r="P195" s="56">
        <f t="shared" si="31"/>
        <v>2.8425280000000001E-2</v>
      </c>
      <c r="Q195" s="44"/>
      <c r="R195" s="44"/>
      <c r="S195" s="289"/>
      <c r="T195" s="289"/>
      <c r="U195" s="289"/>
      <c r="V195" s="289"/>
      <c r="W195" s="289"/>
      <c r="X195" s="289"/>
    </row>
  </sheetData>
  <mergeCells count="74">
    <mergeCell ref="B8:D8"/>
    <mergeCell ref="T133:T144"/>
    <mergeCell ref="U133:U135"/>
    <mergeCell ref="U136:U138"/>
    <mergeCell ref="U139:U141"/>
    <mergeCell ref="U142:U144"/>
    <mergeCell ref="T97:T108"/>
    <mergeCell ref="U97:U99"/>
    <mergeCell ref="U100:U102"/>
    <mergeCell ref="U103:U105"/>
    <mergeCell ref="U106:U108"/>
    <mergeCell ref="O97:O99"/>
    <mergeCell ref="I100:I102"/>
    <mergeCell ref="O100:O102"/>
    <mergeCell ref="I103:I105"/>
    <mergeCell ref="O103:O105"/>
    <mergeCell ref="Z97:AB108"/>
    <mergeCell ref="T115:V126"/>
    <mergeCell ref="B5:D5"/>
    <mergeCell ref="H115:H126"/>
    <mergeCell ref="I115:I117"/>
    <mergeCell ref="N115:N126"/>
    <mergeCell ref="O115:O117"/>
    <mergeCell ref="I118:I120"/>
    <mergeCell ref="O118:O120"/>
    <mergeCell ref="I121:I123"/>
    <mergeCell ref="O121:O123"/>
    <mergeCell ref="I124:I126"/>
    <mergeCell ref="O124:O126"/>
    <mergeCell ref="H97:H108"/>
    <mergeCell ref="I97:I99"/>
    <mergeCell ref="N97:N108"/>
    <mergeCell ref="I106:I108"/>
    <mergeCell ref="O106:O108"/>
    <mergeCell ref="H167:H178"/>
    <mergeCell ref="I167:I169"/>
    <mergeCell ref="N167:N178"/>
    <mergeCell ref="O167:O169"/>
    <mergeCell ref="I170:I172"/>
    <mergeCell ref="O170:O172"/>
    <mergeCell ref="I173:I175"/>
    <mergeCell ref="O173:O175"/>
    <mergeCell ref="I176:I178"/>
    <mergeCell ref="O176:O178"/>
    <mergeCell ref="H133:H144"/>
    <mergeCell ref="I133:I135"/>
    <mergeCell ref="N133:N144"/>
    <mergeCell ref="O133:O135"/>
    <mergeCell ref="H184:H195"/>
    <mergeCell ref="I184:I186"/>
    <mergeCell ref="N184:N195"/>
    <mergeCell ref="O184:O186"/>
    <mergeCell ref="I187:I189"/>
    <mergeCell ref="O187:O189"/>
    <mergeCell ref="I190:I192"/>
    <mergeCell ref="O190:O192"/>
    <mergeCell ref="I193:I195"/>
    <mergeCell ref="O193:O195"/>
    <mergeCell ref="I136:I138"/>
    <mergeCell ref="O136:O138"/>
    <mergeCell ref="I139:I141"/>
    <mergeCell ref="O139:O141"/>
    <mergeCell ref="I142:I144"/>
    <mergeCell ref="O142:O144"/>
    <mergeCell ref="H150:H161"/>
    <mergeCell ref="I150:I152"/>
    <mergeCell ref="N150:N161"/>
    <mergeCell ref="O150:O152"/>
    <mergeCell ref="I153:I155"/>
    <mergeCell ref="O153:O155"/>
    <mergeCell ref="I156:I158"/>
    <mergeCell ref="O156:O158"/>
    <mergeCell ref="I159:I161"/>
    <mergeCell ref="O159:O161"/>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Parameters'!$B$187:$B$204</xm:f>
          </x14:formula1>
          <xm:sqref>H5:J5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112"/>
  <sheetViews>
    <sheetView showGridLines="0" tabSelected="1" zoomScale="85" zoomScaleNormal="85" workbookViewId="0">
      <pane xSplit="6" ySplit="10" topLeftCell="G11" activePane="bottomRight" state="frozen"/>
      <selection pane="topRight" activeCell="C40" sqref="C40"/>
      <selection pane="bottomLeft" activeCell="C40" sqref="C40"/>
      <selection pane="bottomRight"/>
    </sheetView>
  </sheetViews>
  <sheetFormatPr defaultColWidth="9.140625"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425781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12" customFormat="1" ht="18">
      <c r="B2" s="12" t="s">
        <v>150</v>
      </c>
    </row>
    <row r="4" spans="2:24">
      <c r="B4" s="16" t="s">
        <v>151</v>
      </c>
      <c r="C4" s="2"/>
      <c r="D4" s="2"/>
      <c r="E4" s="2"/>
    </row>
    <row r="5" spans="2:24" ht="91.5" customHeight="1">
      <c r="B5" s="346" t="s">
        <v>152</v>
      </c>
      <c r="C5" s="349"/>
      <c r="D5" s="349"/>
      <c r="E5" s="349"/>
      <c r="F5" s="349"/>
    </row>
    <row r="6" spans="2:24">
      <c r="B6" s="1"/>
      <c r="C6" s="119"/>
      <c r="D6" s="119"/>
      <c r="E6" s="119"/>
      <c r="F6" s="119"/>
    </row>
    <row r="7" spans="2:24">
      <c r="B7" s="17" t="s">
        <v>153</v>
      </c>
      <c r="E7" s="119"/>
      <c r="F7" s="119"/>
    </row>
    <row r="8" spans="2:24" ht="131.25" customHeight="1">
      <c r="B8" s="346" t="s">
        <v>154</v>
      </c>
      <c r="C8" s="346"/>
      <c r="D8" s="346"/>
      <c r="E8" s="346"/>
      <c r="F8" s="346"/>
      <c r="H8" s="332" t="s">
        <v>155</v>
      </c>
      <c r="J8" s="311" t="s">
        <v>156</v>
      </c>
      <c r="K8" s="293"/>
    </row>
    <row r="9" spans="2:24">
      <c r="B9" s="4"/>
    </row>
    <row r="10" spans="2:24" s="8" customFormat="1" ht="12.75" customHeight="1">
      <c r="B10" s="8" t="s">
        <v>157</v>
      </c>
    </row>
    <row r="12" spans="2:24" s="33" customFormat="1" ht="12.75" customHeight="1">
      <c r="B12" s="33" t="s">
        <v>158</v>
      </c>
      <c r="H12" s="33" t="s">
        <v>159</v>
      </c>
      <c r="N12" s="33" t="s">
        <v>160</v>
      </c>
      <c r="T12" s="33" t="s">
        <v>161</v>
      </c>
    </row>
    <row r="13" spans="2:24" s="36" customFormat="1">
      <c r="B13" s="36" t="s">
        <v>162</v>
      </c>
      <c r="H13" s="36" t="s">
        <v>163</v>
      </c>
      <c r="I13" s="36" t="s">
        <v>164</v>
      </c>
      <c r="J13" s="36" t="s">
        <v>165</v>
      </c>
      <c r="K13" s="36" t="s">
        <v>166</v>
      </c>
      <c r="L13" s="36" t="s">
        <v>167</v>
      </c>
      <c r="N13" s="36" t="s">
        <v>163</v>
      </c>
      <c r="O13" s="36" t="s">
        <v>164</v>
      </c>
      <c r="P13" s="36" t="s">
        <v>165</v>
      </c>
      <c r="Q13" s="36" t="s">
        <v>166</v>
      </c>
      <c r="R13" s="36" t="s">
        <v>167</v>
      </c>
      <c r="T13" s="36" t="s">
        <v>163</v>
      </c>
      <c r="U13" s="36" t="s">
        <v>164</v>
      </c>
      <c r="V13" s="36" t="s">
        <v>165</v>
      </c>
      <c r="W13" s="36" t="s">
        <v>166</v>
      </c>
      <c r="X13" s="36" t="s">
        <v>167</v>
      </c>
    </row>
    <row r="14" spans="2:24" s="34" customFormat="1">
      <c r="H14" s="34" t="s">
        <v>168</v>
      </c>
      <c r="I14" s="34" t="s">
        <v>169</v>
      </c>
      <c r="J14" s="34" t="s">
        <v>170</v>
      </c>
      <c r="K14" s="34" t="s">
        <v>171</v>
      </c>
      <c r="L14" s="34" t="s">
        <v>172</v>
      </c>
      <c r="N14" s="34" t="s">
        <v>168</v>
      </c>
      <c r="O14" s="34" t="s">
        <v>169</v>
      </c>
      <c r="P14" s="34" t="s">
        <v>170</v>
      </c>
      <c r="Q14" s="34" t="s">
        <v>171</v>
      </c>
      <c r="R14" s="34" t="s">
        <v>172</v>
      </c>
      <c r="T14" s="34" t="s">
        <v>168</v>
      </c>
      <c r="U14" s="34" t="s">
        <v>169</v>
      </c>
      <c r="V14" s="34" t="s">
        <v>170</v>
      </c>
      <c r="W14" s="34" t="s">
        <v>171</v>
      </c>
      <c r="X14" s="34" t="s">
        <v>172</v>
      </c>
    </row>
    <row r="16" spans="2:24">
      <c r="B16" s="80" t="s">
        <v>173</v>
      </c>
      <c r="C16" s="80"/>
      <c r="D16" s="80"/>
      <c r="E16" s="80"/>
      <c r="F16" s="80"/>
      <c r="G16" s="80"/>
      <c r="H16" s="347">
        <f>'27. Entry- en exittarieven '!H97</f>
        <v>5.62310277</v>
      </c>
      <c r="I16" s="348">
        <f>'27. Entry- en exittarieven '!I97</f>
        <v>2.5685254999999998</v>
      </c>
      <c r="J16" s="234">
        <f>'27. Entry- en exittarieven '!J97</f>
        <v>1.2285709300000001</v>
      </c>
      <c r="K16" s="234">
        <f>'27. Entry- en exittarieven '!K97</f>
        <v>4.7800219999999997E-2</v>
      </c>
      <c r="L16" s="266">
        <f>'27. Entry- en exittarieven '!L97</f>
        <v>1.99168E-3</v>
      </c>
      <c r="M16" s="238"/>
      <c r="N16" s="347">
        <f>'27. Entry- en exittarieven '!N97</f>
        <v>1.40577569</v>
      </c>
      <c r="O16" s="348">
        <f>'27. Entry- en exittarieven '!O97</f>
        <v>0.64213138000000003</v>
      </c>
      <c r="P16" s="234">
        <f>'27. Entry- en exittarieven '!P97</f>
        <v>0.30714272999999997</v>
      </c>
      <c r="Q16" s="234">
        <f>'27. Entry- en exittarieven '!Q97</f>
        <v>1.195006E-2</v>
      </c>
      <c r="R16" s="266">
        <f>'27. Entry- en exittarieven '!R97</f>
        <v>4.9792E-4</v>
      </c>
      <c r="T16" s="348">
        <f>'27. Entry- en exittarieven '!T97</f>
        <v>4.4984822199999996</v>
      </c>
      <c r="U16" s="348">
        <f>'27. Entry- en exittarieven '!U97</f>
        <v>2.0548204000000001</v>
      </c>
      <c r="V16" s="56">
        <f>'27. Entry- en exittarieven '!V97</f>
        <v>0.98285674000000001</v>
      </c>
      <c r="W16" s="56">
        <f>'27. Entry- en exittarieven '!W97</f>
        <v>3.8240179999999999E-2</v>
      </c>
      <c r="X16" s="272">
        <f>'27. Entry- en exittarieven '!X97</f>
        <v>1.5933499999999999E-3</v>
      </c>
    </row>
    <row r="17" spans="2:24">
      <c r="B17" s="80" t="s">
        <v>174</v>
      </c>
      <c r="C17" s="80"/>
      <c r="D17" s="80"/>
      <c r="E17" s="80"/>
      <c r="F17" s="80"/>
      <c r="G17" s="80"/>
      <c r="H17" s="347"/>
      <c r="I17" s="348"/>
      <c r="J17" s="234">
        <f>'27. Entry- en exittarieven '!J98</f>
        <v>0.99191532999999998</v>
      </c>
      <c r="K17" s="234">
        <f>'27. Entry- en exittarieven '!K98</f>
        <v>4.2731730000000002E-2</v>
      </c>
      <c r="L17" s="266">
        <f>'27. Entry- en exittarieven '!L98</f>
        <v>1.78049E-3</v>
      </c>
      <c r="M17" s="238"/>
      <c r="N17" s="347"/>
      <c r="O17" s="348"/>
      <c r="P17" s="234">
        <f>'27. Entry- en exittarieven '!P98</f>
        <v>0.24797883000000001</v>
      </c>
      <c r="Q17" s="234">
        <f>'27. Entry- en exittarieven '!Q98</f>
        <v>1.068293E-2</v>
      </c>
      <c r="R17" s="266">
        <f>'27. Entry- en exittarieven '!R98</f>
        <v>4.4513000000000002E-4</v>
      </c>
      <c r="T17" s="348"/>
      <c r="U17" s="348"/>
      <c r="V17" s="56">
        <f>'27. Entry- en exittarieven '!V98</f>
        <v>0.79353225999999999</v>
      </c>
      <c r="W17" s="56">
        <f>'27. Entry- en exittarieven '!W98</f>
        <v>3.4185380000000001E-2</v>
      </c>
      <c r="X17" s="272">
        <f>'27. Entry- en exittarieven '!X98</f>
        <v>1.4243999999999999E-3</v>
      </c>
    </row>
    <row r="18" spans="2:24">
      <c r="B18" s="80" t="s">
        <v>175</v>
      </c>
      <c r="C18" s="80"/>
      <c r="D18" s="80"/>
      <c r="E18" s="80"/>
      <c r="F18" s="80"/>
      <c r="G18" s="80"/>
      <c r="H18" s="347"/>
      <c r="I18" s="348"/>
      <c r="J18" s="234">
        <f>'27. Entry- en exittarieven '!J99</f>
        <v>0.8589251</v>
      </c>
      <c r="K18" s="234">
        <f>'27. Entry- en exittarieven '!K99</f>
        <v>3.3403540000000002E-2</v>
      </c>
      <c r="L18" s="266">
        <f>'27. Entry- en exittarieven '!L99</f>
        <v>1.39182E-3</v>
      </c>
      <c r="M18" s="238"/>
      <c r="N18" s="347"/>
      <c r="O18" s="348"/>
      <c r="P18" s="234">
        <f>'27. Entry- en exittarieven '!P99</f>
        <v>0.21473127</v>
      </c>
      <c r="Q18" s="234">
        <f>'27. Entry- en exittarieven '!Q99</f>
        <v>8.3508899999999997E-3</v>
      </c>
      <c r="R18" s="266">
        <f>'27. Entry- en exittarieven '!R99</f>
        <v>3.4795999999999997E-4</v>
      </c>
      <c r="T18" s="348"/>
      <c r="U18" s="348"/>
      <c r="V18" s="56">
        <f>'27. Entry- en exittarieven '!V99</f>
        <v>0.68714008000000004</v>
      </c>
      <c r="W18" s="56">
        <f>'27. Entry- en exittarieven '!W99</f>
        <v>2.672283E-2</v>
      </c>
      <c r="X18" s="272">
        <f>'27. Entry- en exittarieven '!X99</f>
        <v>1.1134599999999999E-3</v>
      </c>
    </row>
    <row r="19" spans="2:24">
      <c r="B19" s="80" t="s">
        <v>176</v>
      </c>
      <c r="C19" s="80"/>
      <c r="D19" s="80"/>
      <c r="E19" s="80"/>
      <c r="F19" s="80"/>
      <c r="G19" s="80"/>
      <c r="H19" s="347"/>
      <c r="I19" s="348">
        <f>'27. Entry- en exittarieven '!I100</f>
        <v>1.37388577</v>
      </c>
      <c r="J19" s="234">
        <f>'27. Entry- en exittarieven '!J100</f>
        <v>0.61977377</v>
      </c>
      <c r="K19" s="234">
        <f>'27. Entry- en exittarieven '!K100</f>
        <v>2.4911119999999998E-2</v>
      </c>
      <c r="L19" s="266">
        <f>'27. Entry- en exittarieven '!L100</f>
        <v>1.03797E-3</v>
      </c>
      <c r="M19" s="238"/>
      <c r="N19" s="347"/>
      <c r="O19" s="348">
        <f>'27. Entry- en exittarieven '!O100</f>
        <v>0.34347144000000002</v>
      </c>
      <c r="P19" s="234">
        <f>'27. Entry- en exittarieven '!P100</f>
        <v>0.15494343999999999</v>
      </c>
      <c r="Q19" s="234">
        <f>'27. Entry- en exittarieven '!Q100</f>
        <v>6.2277799999999996E-3</v>
      </c>
      <c r="R19" s="266">
        <f>'27. Entry- en exittarieven '!R100</f>
        <v>2.5950000000000002E-4</v>
      </c>
      <c r="T19" s="348"/>
      <c r="U19" s="348">
        <f>'27. Entry- en exittarieven '!U100</f>
        <v>1.09910861</v>
      </c>
      <c r="V19" s="56">
        <f>'27. Entry- en exittarieven '!V100</f>
        <v>0.49581901</v>
      </c>
      <c r="W19" s="56">
        <f>'27. Entry- en exittarieven '!W100</f>
        <v>1.9928890000000001E-2</v>
      </c>
      <c r="X19" s="272">
        <f>'27. Entry- en exittarieven '!X100</f>
        <v>8.3038000000000003E-4</v>
      </c>
    </row>
    <row r="20" spans="2:24">
      <c r="B20" s="80" t="s">
        <v>177</v>
      </c>
      <c r="C20" s="80"/>
      <c r="D20" s="80"/>
      <c r="E20" s="80"/>
      <c r="F20" s="80"/>
      <c r="G20" s="80"/>
      <c r="H20" s="347"/>
      <c r="I20" s="348"/>
      <c r="J20" s="234">
        <f>'27. Entry- en exittarieven '!J101</f>
        <v>0.56736337000000003</v>
      </c>
      <c r="K20" s="234">
        <f>'27. Entry- en exittarieven '!K101</f>
        <v>2.2080309999999999E-2</v>
      </c>
      <c r="L20" s="266">
        <f>'27. Entry- en exittarieven '!L101</f>
        <v>9.2002000000000002E-4</v>
      </c>
      <c r="M20" s="238"/>
      <c r="N20" s="347"/>
      <c r="O20" s="348"/>
      <c r="P20" s="234">
        <f>'27. Entry- en exittarieven '!P101</f>
        <v>0.14184084</v>
      </c>
      <c r="Q20" s="234">
        <f>'27. Entry- en exittarieven '!Q101</f>
        <v>5.5200800000000001E-3</v>
      </c>
      <c r="R20" s="266">
        <f>'27. Entry- en exittarieven '!R101</f>
        <v>2.3001E-4</v>
      </c>
      <c r="T20" s="348"/>
      <c r="U20" s="348"/>
      <c r="V20" s="56">
        <f>'27. Entry- en exittarieven '!V101</f>
        <v>0.45389068999999999</v>
      </c>
      <c r="W20" s="56">
        <f>'27. Entry- en exittarieven '!W101</f>
        <v>1.7664249999999999E-2</v>
      </c>
      <c r="X20" s="272">
        <f>'27. Entry- en exittarieven '!X101</f>
        <v>7.360200000000001E-4</v>
      </c>
    </row>
    <row r="21" spans="2:24">
      <c r="B21" s="80" t="s">
        <v>178</v>
      </c>
      <c r="C21" s="80"/>
      <c r="D21" s="80"/>
      <c r="E21" s="80"/>
      <c r="F21" s="80"/>
      <c r="G21" s="80"/>
      <c r="H21" s="347"/>
      <c r="I21" s="348"/>
      <c r="J21" s="234">
        <f>'27. Entry- en exittarieven '!J102</f>
        <v>0.46101740000000002</v>
      </c>
      <c r="K21" s="234">
        <f>'27. Entry- en exittarieven '!K102</f>
        <v>1.8548539999999999E-2</v>
      </c>
      <c r="L21" s="266">
        <f>'27. Entry- en exittarieven '!L102</f>
        <v>7.7286E-4</v>
      </c>
      <c r="M21" s="238"/>
      <c r="N21" s="347"/>
      <c r="O21" s="348"/>
      <c r="P21" s="234">
        <f>'27. Entry- en exittarieven '!P102</f>
        <v>0.11525435000000001</v>
      </c>
      <c r="Q21" s="234">
        <f>'27. Entry- en exittarieven '!Q102</f>
        <v>4.6371299999999997E-3</v>
      </c>
      <c r="R21" s="266">
        <f>'27. Entry- en exittarieven '!R102</f>
        <v>1.9322E-4</v>
      </c>
      <c r="T21" s="348"/>
      <c r="U21" s="348"/>
      <c r="V21" s="56">
        <f>'27. Entry- en exittarieven '!V102</f>
        <v>0.36881392000000002</v>
      </c>
      <c r="W21" s="56">
        <f>'27. Entry- en exittarieven '!W102</f>
        <v>1.4838830000000001E-2</v>
      </c>
      <c r="X21" s="272">
        <f>'27. Entry- en exittarieven '!X102</f>
        <v>6.1829000000000007E-4</v>
      </c>
    </row>
    <row r="22" spans="2:24">
      <c r="B22" s="80" t="s">
        <v>179</v>
      </c>
      <c r="C22" s="80"/>
      <c r="D22" s="80"/>
      <c r="E22" s="80"/>
      <c r="F22" s="80"/>
      <c r="G22" s="80"/>
      <c r="H22" s="347"/>
      <c r="I22" s="348">
        <f>'27. Entry- en exittarieven '!I103</f>
        <v>1.11437572</v>
      </c>
      <c r="J22" s="234">
        <f>'27. Entry- en exittarieven '!J103</f>
        <v>0.44987903000000001</v>
      </c>
      <c r="K22" s="234">
        <f>'27. Entry- en exittarieven '!K103</f>
        <v>1.749709E-2</v>
      </c>
      <c r="L22" s="266">
        <f>'27. Entry- en exittarieven '!L103</f>
        <v>7.2905000000000008E-4</v>
      </c>
      <c r="M22" s="238"/>
      <c r="N22" s="347"/>
      <c r="O22" s="348">
        <f>'27. Entry- en exittarieven '!O103</f>
        <v>0.27859392999999999</v>
      </c>
      <c r="P22" s="234">
        <f>'27. Entry- en exittarieven '!P103</f>
        <v>0.11246976</v>
      </c>
      <c r="Q22" s="234">
        <f>'27. Entry- en exittarieven '!Q103</f>
        <v>4.3742700000000004E-3</v>
      </c>
      <c r="R22" s="266">
        <f>'27. Entry- en exittarieven '!R103</f>
        <v>1.8227E-4</v>
      </c>
      <c r="T22" s="348"/>
      <c r="U22" s="348">
        <f>'27. Entry- en exittarieven '!U103</f>
        <v>0.89150057999999999</v>
      </c>
      <c r="V22" s="56">
        <f>'27. Entry- en exittarieven '!V103</f>
        <v>0.35990323000000002</v>
      </c>
      <c r="W22" s="56">
        <f>'27. Entry- en exittarieven '!W103</f>
        <v>1.399767E-2</v>
      </c>
      <c r="X22" s="272">
        <f>'27. Entry- en exittarieven '!X103</f>
        <v>5.8324000000000006E-4</v>
      </c>
    </row>
    <row r="23" spans="2:24">
      <c r="B23" s="80" t="s">
        <v>180</v>
      </c>
      <c r="C23" s="80"/>
      <c r="D23" s="80"/>
      <c r="E23" s="80"/>
      <c r="F23" s="80"/>
      <c r="G23" s="80"/>
      <c r="H23" s="347"/>
      <c r="I23" s="348"/>
      <c r="J23" s="234">
        <f>'27. Entry- en exittarieven '!J104</f>
        <v>0.42767163000000002</v>
      </c>
      <c r="K23" s="234">
        <f>'27. Entry- en exittarieven '!K104</f>
        <v>1.6661329999999999E-2</v>
      </c>
      <c r="L23" s="266">
        <f>'27. Entry- en exittarieven '!L104</f>
        <v>6.9423E-4</v>
      </c>
      <c r="M23" s="238"/>
      <c r="N23" s="347"/>
      <c r="O23" s="348"/>
      <c r="P23" s="234">
        <f>'27. Entry- en exittarieven '!P104</f>
        <v>0.10691791</v>
      </c>
      <c r="Q23" s="234">
        <f>'27. Entry- en exittarieven '!Q104</f>
        <v>4.1653300000000001E-3</v>
      </c>
      <c r="R23" s="266">
        <f>'27. Entry- en exittarieven '!R104</f>
        <v>1.7355999999999998E-4</v>
      </c>
      <c r="T23" s="348"/>
      <c r="U23" s="348"/>
      <c r="V23" s="56">
        <f>'27. Entry- en exittarieven '!V104</f>
        <v>0.34213729999999998</v>
      </c>
      <c r="W23" s="56">
        <f>'27. Entry- en exittarieven '!W104</f>
        <v>1.332906E-2</v>
      </c>
      <c r="X23" s="272">
        <f>'27. Entry- en exittarieven '!X104</f>
        <v>5.5538000000000007E-4</v>
      </c>
    </row>
    <row r="24" spans="2:24">
      <c r="B24" s="80" t="s">
        <v>181</v>
      </c>
      <c r="C24" s="80"/>
      <c r="D24" s="80"/>
      <c r="E24" s="80"/>
      <c r="F24" s="80"/>
      <c r="G24" s="80"/>
      <c r="H24" s="347"/>
      <c r="I24" s="348"/>
      <c r="J24" s="234">
        <f>'27. Entry- en exittarieven '!J105</f>
        <v>0.45963088000000002</v>
      </c>
      <c r="K24" s="234">
        <f>'27. Entry- en exittarieven '!K105</f>
        <v>1.849462E-2</v>
      </c>
      <c r="L24" s="266">
        <f>'27. Entry- en exittarieven '!L105</f>
        <v>7.7061000000000002E-4</v>
      </c>
      <c r="M24" s="238"/>
      <c r="N24" s="347"/>
      <c r="O24" s="348"/>
      <c r="P24" s="234">
        <f>'27. Entry- en exittarieven '!P105</f>
        <v>0.11490772</v>
      </c>
      <c r="Q24" s="234">
        <f>'27. Entry- en exittarieven '!Q105</f>
        <v>4.62365E-3</v>
      </c>
      <c r="R24" s="266">
        <f>'27. Entry- en exittarieven '!R105</f>
        <v>1.9265999999999999E-4</v>
      </c>
      <c r="T24" s="348"/>
      <c r="U24" s="348"/>
      <c r="V24" s="56">
        <f>'27. Entry- en exittarieven '!V105</f>
        <v>0.3677047</v>
      </c>
      <c r="W24" s="56">
        <f>'27. Entry- en exittarieven '!W105</f>
        <v>1.479569E-2</v>
      </c>
      <c r="X24" s="272">
        <f>'27. Entry- en exittarieven '!X105</f>
        <v>6.1649000000000003E-4</v>
      </c>
    </row>
    <row r="25" spans="2:24">
      <c r="B25" s="80" t="s">
        <v>182</v>
      </c>
      <c r="C25" s="80"/>
      <c r="D25" s="80"/>
      <c r="E25" s="80"/>
      <c r="F25" s="80"/>
      <c r="G25" s="80"/>
      <c r="H25" s="347"/>
      <c r="I25" s="348">
        <f>'27. Entry- en exittarieven '!I106</f>
        <v>1.9576870799999999</v>
      </c>
      <c r="J25" s="234">
        <f>'27. Entry- en exittarieven '!J106</f>
        <v>0.54515595999999999</v>
      </c>
      <c r="K25" s="234">
        <f>'27. Entry- en exittarieven '!K106</f>
        <v>2.121758E-2</v>
      </c>
      <c r="L25" s="266">
        <f>'27. Entry- en exittarieven '!L106</f>
        <v>8.8407000000000004E-4</v>
      </c>
      <c r="M25" s="238"/>
      <c r="N25" s="347"/>
      <c r="O25" s="348">
        <f>'27. Entry- en exittarieven '!O106</f>
        <v>0.48942176999999998</v>
      </c>
      <c r="P25" s="234">
        <f>'27. Entry- en exittarieven '!P106</f>
        <v>0.13628899</v>
      </c>
      <c r="Q25" s="234">
        <f>'27. Entry- en exittarieven '!Q106</f>
        <v>5.3043999999999999E-3</v>
      </c>
      <c r="R25" s="266">
        <f>'27. Entry- en exittarieven '!R106</f>
        <v>2.2101999999999999E-4</v>
      </c>
      <c r="T25" s="348"/>
      <c r="U25" s="348">
        <f>'27. Entry- en exittarieven '!U106</f>
        <v>1.56614966</v>
      </c>
      <c r="V25" s="56">
        <f>'27. Entry- en exittarieven '!V106</f>
        <v>0.43612476999999999</v>
      </c>
      <c r="W25" s="56">
        <f>'27. Entry- en exittarieven '!W106</f>
        <v>1.6974070000000001E-2</v>
      </c>
      <c r="X25" s="272">
        <f>'27. Entry- en exittarieven '!X106</f>
        <v>7.0726000000000003E-4</v>
      </c>
    </row>
    <row r="26" spans="2:24">
      <c r="B26" s="80" t="s">
        <v>183</v>
      </c>
      <c r="C26" s="80"/>
      <c r="D26" s="80"/>
      <c r="E26" s="80"/>
      <c r="F26" s="80"/>
      <c r="G26" s="80"/>
      <c r="H26" s="347"/>
      <c r="I26" s="348"/>
      <c r="J26" s="234">
        <f>'27. Entry- en exittarieven '!J107</f>
        <v>0.78338295000000002</v>
      </c>
      <c r="K26" s="234">
        <f>'27. Entry- en exittarieven '!K107</f>
        <v>3.1489379999999997E-2</v>
      </c>
      <c r="L26" s="266">
        <f>'27. Entry- en exittarieven '!L107</f>
        <v>1.3120599999999999E-3</v>
      </c>
      <c r="M26" s="238"/>
      <c r="N26" s="347"/>
      <c r="O26" s="348"/>
      <c r="P26" s="234">
        <f>'27. Entry- en exittarieven '!P107</f>
        <v>0.19584573999999999</v>
      </c>
      <c r="Q26" s="234">
        <f>'27. Entry- en exittarieven '!Q107</f>
        <v>7.8723400000000002E-3</v>
      </c>
      <c r="R26" s="266">
        <f>'27. Entry- en exittarieven '!R107</f>
        <v>3.2801999999999999E-4</v>
      </c>
      <c r="T26" s="348"/>
      <c r="U26" s="348"/>
      <c r="V26" s="56">
        <f>'27. Entry- en exittarieven '!V107</f>
        <v>0.62670636000000002</v>
      </c>
      <c r="W26" s="56">
        <f>'27. Entry- en exittarieven '!W107</f>
        <v>2.5191499999999999E-2</v>
      </c>
      <c r="X26" s="272">
        <f>'27. Entry- en exittarieven '!X107</f>
        <v>1.0496499999999998E-3</v>
      </c>
    </row>
    <row r="27" spans="2:24">
      <c r="B27" s="80" t="s">
        <v>184</v>
      </c>
      <c r="C27" s="80"/>
      <c r="D27" s="80"/>
      <c r="E27" s="80"/>
      <c r="F27" s="80"/>
      <c r="G27" s="80"/>
      <c r="H27" s="347"/>
      <c r="I27" s="348"/>
      <c r="J27" s="234">
        <f>'27. Entry- en exittarieven '!J108</f>
        <v>1.0201078699999999</v>
      </c>
      <c r="K27" s="234">
        <f>'27. Entry- en exittarieven '!K108</f>
        <v>3.9685239999999997E-2</v>
      </c>
      <c r="L27" s="266">
        <f>'27. Entry- en exittarieven '!L108</f>
        <v>1.6535599999999999E-3</v>
      </c>
      <c r="M27" s="238"/>
      <c r="N27" s="347"/>
      <c r="O27" s="348"/>
      <c r="P27" s="234">
        <f>'27. Entry- en exittarieven '!P108</f>
        <v>0.25502697000000002</v>
      </c>
      <c r="Q27" s="234">
        <f>'27. Entry- en exittarieven '!Q108</f>
        <v>9.9213099999999992E-3</v>
      </c>
      <c r="R27" s="266">
        <f>'27. Entry- en exittarieven '!R108</f>
        <v>4.1338999999999997E-4</v>
      </c>
      <c r="T27" s="348"/>
      <c r="U27" s="348"/>
      <c r="V27" s="56">
        <f>'27. Entry- en exittarieven '!V108</f>
        <v>0.81608630000000004</v>
      </c>
      <c r="W27" s="56">
        <f>'27. Entry- en exittarieven '!W108</f>
        <v>3.1748190000000003E-2</v>
      </c>
      <c r="X27" s="272">
        <f>'27. Entry- en exittarieven '!X108</f>
        <v>1.32285E-3</v>
      </c>
    </row>
    <row r="28" spans="2:24">
      <c r="B28" s="80"/>
      <c r="C28" s="80"/>
      <c r="D28" s="80"/>
      <c r="E28" s="80"/>
      <c r="F28" s="80"/>
      <c r="G28" s="80"/>
      <c r="H28" s="80"/>
      <c r="I28" s="80"/>
      <c r="J28" s="80"/>
      <c r="K28" s="80"/>
      <c r="L28" s="267"/>
      <c r="M28" s="80"/>
      <c r="N28" s="80"/>
      <c r="O28" s="80"/>
      <c r="P28" s="80"/>
      <c r="Q28" s="80"/>
      <c r="R28" s="274"/>
    </row>
    <row r="29" spans="2:24" s="33" customFormat="1">
      <c r="B29" s="81" t="s">
        <v>185</v>
      </c>
      <c r="C29" s="81"/>
      <c r="D29" s="81"/>
      <c r="E29" s="81"/>
      <c r="F29" s="81"/>
      <c r="G29" s="81"/>
      <c r="H29" s="81" t="s">
        <v>159</v>
      </c>
      <c r="I29" s="81"/>
      <c r="J29" s="81"/>
      <c r="K29" s="81"/>
      <c r="L29" s="268"/>
      <c r="M29" s="81"/>
      <c r="N29" s="81" t="s">
        <v>160</v>
      </c>
      <c r="O29" s="81"/>
      <c r="P29" s="81"/>
      <c r="Q29" s="81"/>
      <c r="R29" s="275"/>
    </row>
    <row r="30" spans="2:24" s="36" customFormat="1">
      <c r="B30" s="82" t="s">
        <v>186</v>
      </c>
      <c r="C30" s="82"/>
      <c r="D30" s="82"/>
      <c r="E30" s="82"/>
      <c r="F30" s="82"/>
      <c r="G30" s="82"/>
      <c r="H30" s="82" t="s">
        <v>163</v>
      </c>
      <c r="I30" s="82" t="s">
        <v>164</v>
      </c>
      <c r="J30" s="82" t="s">
        <v>165</v>
      </c>
      <c r="K30" s="82" t="s">
        <v>166</v>
      </c>
      <c r="L30" s="269" t="s">
        <v>167</v>
      </c>
      <c r="M30" s="82"/>
      <c r="N30" s="82" t="s">
        <v>163</v>
      </c>
      <c r="O30" s="82" t="s">
        <v>164</v>
      </c>
      <c r="P30" s="82" t="s">
        <v>165</v>
      </c>
      <c r="Q30" s="82" t="s">
        <v>166</v>
      </c>
      <c r="R30" s="276" t="s">
        <v>167</v>
      </c>
    </row>
    <row r="31" spans="2:24" s="34" customFormat="1">
      <c r="B31" s="83"/>
      <c r="C31" s="83"/>
      <c r="D31" s="83"/>
      <c r="E31" s="83"/>
      <c r="F31" s="83"/>
      <c r="G31" s="83"/>
      <c r="H31" s="83" t="s">
        <v>168</v>
      </c>
      <c r="I31" s="83" t="s">
        <v>169</v>
      </c>
      <c r="J31" s="83" t="s">
        <v>170</v>
      </c>
      <c r="K31" s="83" t="s">
        <v>171</v>
      </c>
      <c r="L31" s="270" t="s">
        <v>172</v>
      </c>
      <c r="M31" s="83"/>
      <c r="N31" s="83" t="s">
        <v>168</v>
      </c>
      <c r="O31" s="83" t="s">
        <v>169</v>
      </c>
      <c r="P31" s="83" t="s">
        <v>170</v>
      </c>
      <c r="Q31" s="83" t="s">
        <v>171</v>
      </c>
      <c r="R31" s="277" t="s">
        <v>172</v>
      </c>
    </row>
    <row r="32" spans="2:24">
      <c r="B32" s="80"/>
      <c r="C32" s="80"/>
      <c r="D32" s="80"/>
      <c r="E32" s="80"/>
      <c r="F32" s="80"/>
      <c r="G32" s="80"/>
      <c r="H32" s="80"/>
      <c r="I32" s="80"/>
      <c r="J32" s="80"/>
      <c r="K32" s="80"/>
      <c r="L32" s="267"/>
      <c r="M32" s="80"/>
      <c r="N32" s="80"/>
      <c r="O32" s="80"/>
      <c r="P32" s="80"/>
      <c r="Q32" s="80"/>
      <c r="R32" s="274"/>
    </row>
    <row r="33" spans="2:24">
      <c r="B33" s="80" t="s">
        <v>173</v>
      </c>
      <c r="C33" s="80"/>
      <c r="D33" s="80"/>
      <c r="E33" s="80"/>
      <c r="F33" s="80"/>
      <c r="G33" s="80"/>
      <c r="H33" s="347">
        <f>'27. Entry- en exittarieven '!H115</f>
        <v>4.8227385700000003</v>
      </c>
      <c r="I33" s="348">
        <f>'27. Entry- en exittarieven '!I115</f>
        <v>2.2029344900000001</v>
      </c>
      <c r="J33" s="234">
        <f>'27. Entry- en exittarieven '!J115</f>
        <v>1.05370231</v>
      </c>
      <c r="K33" s="234">
        <f>'27. Entry- en exittarieven '!K115</f>
        <v>4.0996579999999998E-2</v>
      </c>
      <c r="L33" s="266">
        <f>'27. Entry- en exittarieven '!L115</f>
        <v>1.7082E-3</v>
      </c>
      <c r="M33" s="80"/>
      <c r="N33" s="347">
        <f>'27. Entry- en exittarieven '!N115</f>
        <v>1.2056846400000001</v>
      </c>
      <c r="O33" s="348">
        <f>'27. Entry- en exittarieven '!O115</f>
        <v>0.55073362000000003</v>
      </c>
      <c r="P33" s="234">
        <f>'27. Entry- en exittarieven '!P115</f>
        <v>0.26342557999999999</v>
      </c>
      <c r="Q33" s="234">
        <f>'27. Entry- en exittarieven '!Q115</f>
        <v>1.024915E-2</v>
      </c>
      <c r="R33" s="266">
        <f>'27. Entry- en exittarieven '!R115</f>
        <v>4.2705E-4</v>
      </c>
    </row>
    <row r="34" spans="2:24">
      <c r="B34" s="80" t="s">
        <v>174</v>
      </c>
      <c r="C34" s="80"/>
      <c r="D34" s="80"/>
      <c r="E34" s="80"/>
      <c r="F34" s="80"/>
      <c r="G34" s="80"/>
      <c r="H34" s="347"/>
      <c r="I34" s="348"/>
      <c r="J34" s="234">
        <f>'27. Entry- en exittarieven '!J116</f>
        <v>0.85073107999999997</v>
      </c>
      <c r="K34" s="234">
        <f>'27. Entry- en exittarieven '!K116</f>
        <v>3.6649510000000003E-2</v>
      </c>
      <c r="L34" s="266">
        <f>'27. Entry- en exittarieven '!L116</f>
        <v>1.5270699999999999E-3</v>
      </c>
      <c r="M34" s="80"/>
      <c r="N34" s="347"/>
      <c r="O34" s="348"/>
      <c r="P34" s="234">
        <f>'27. Entry- en exittarieven '!P116</f>
        <v>0.21268276999999999</v>
      </c>
      <c r="Q34" s="234">
        <f>'27. Entry- en exittarieven '!Q116</f>
        <v>9.1623799999999995E-3</v>
      </c>
      <c r="R34" s="266">
        <f>'27. Entry- en exittarieven '!R116</f>
        <v>3.8176999999999997E-4</v>
      </c>
    </row>
    <row r="35" spans="2:24">
      <c r="B35" s="80" t="s">
        <v>175</v>
      </c>
      <c r="C35" s="80"/>
      <c r="D35" s="80"/>
      <c r="E35" s="80"/>
      <c r="F35" s="80"/>
      <c r="G35" s="80"/>
      <c r="H35" s="347"/>
      <c r="I35" s="348"/>
      <c r="J35" s="234">
        <f>'27. Entry- en exittarieven '!J117</f>
        <v>0.73667000999999999</v>
      </c>
      <c r="K35" s="234">
        <f>'27. Entry- en exittarieven '!K117</f>
        <v>2.8649049999999999E-2</v>
      </c>
      <c r="L35" s="266">
        <f>'27. Entry- en exittarieven '!L117</f>
        <v>1.1937199999999999E-3</v>
      </c>
      <c r="M35" s="80"/>
      <c r="N35" s="347"/>
      <c r="O35" s="348"/>
      <c r="P35" s="234">
        <f>'27. Entry- en exittarieven '!P117</f>
        <v>0.18416750000000001</v>
      </c>
      <c r="Q35" s="234">
        <f>'27. Entry- en exittarieven '!Q117</f>
        <v>7.1622600000000002E-3</v>
      </c>
      <c r="R35" s="266">
        <f>'27. Entry- en exittarieven '!R117</f>
        <v>2.9842999999999997E-4</v>
      </c>
    </row>
    <row r="36" spans="2:24">
      <c r="B36" s="80" t="s">
        <v>176</v>
      </c>
      <c r="C36" s="80"/>
      <c r="D36" s="80"/>
      <c r="E36" s="80"/>
      <c r="F36" s="80"/>
      <c r="G36" s="80"/>
      <c r="H36" s="347"/>
      <c r="I36" s="348">
        <f>'27. Entry- en exittarieven '!I118</f>
        <v>1.1783337700000001</v>
      </c>
      <c r="J36" s="234">
        <f>'27. Entry- en exittarieven '!J118</f>
        <v>0.53155828000000005</v>
      </c>
      <c r="K36" s="234">
        <f>'27. Entry- en exittarieven '!K118</f>
        <v>2.1365390000000001E-2</v>
      </c>
      <c r="L36" s="266">
        <f>'27. Entry- en exittarieven '!L118</f>
        <v>8.902300000000001E-4</v>
      </c>
      <c r="M36" s="80"/>
      <c r="N36" s="347"/>
      <c r="O36" s="348">
        <f>'27. Entry- en exittarieven '!O118</f>
        <v>0.29458343999999997</v>
      </c>
      <c r="P36" s="234">
        <f>'27. Entry- en exittarieven '!P118</f>
        <v>0.13288957000000001</v>
      </c>
      <c r="Q36" s="234">
        <f>'27. Entry- en exittarieven '!Q118</f>
        <v>5.3413499999999999E-3</v>
      </c>
      <c r="R36" s="266">
        <f>'27. Entry- en exittarieven '!R118</f>
        <v>2.2255999999999998E-4</v>
      </c>
    </row>
    <row r="37" spans="2:24">
      <c r="B37" s="80" t="s">
        <v>177</v>
      </c>
      <c r="C37" s="80"/>
      <c r="D37" s="80"/>
      <c r="E37" s="80"/>
      <c r="F37" s="80"/>
      <c r="G37" s="80"/>
      <c r="H37" s="347"/>
      <c r="I37" s="348"/>
      <c r="J37" s="234">
        <f>'27. Entry- en exittarieven '!J119</f>
        <v>0.48660772000000002</v>
      </c>
      <c r="K37" s="234">
        <f>'27. Entry- en exittarieven '!K119</f>
        <v>1.8937510000000001E-2</v>
      </c>
      <c r="L37" s="266">
        <f>'27. Entry- en exittarieven '!L119</f>
        <v>7.8907000000000001E-4</v>
      </c>
      <c r="M37" s="80"/>
      <c r="N37" s="347"/>
      <c r="O37" s="348"/>
      <c r="P37" s="234">
        <f>'27. Entry- en exittarieven '!P119</f>
        <v>0.12165193000000001</v>
      </c>
      <c r="Q37" s="234">
        <f>'27. Entry- en exittarieven '!Q119</f>
        <v>4.7343799999999998E-3</v>
      </c>
      <c r="R37" s="266">
        <f>'27. Entry- en exittarieven '!R119</f>
        <v>1.9726999999999999E-4</v>
      </c>
    </row>
    <row r="38" spans="2:24">
      <c r="B38" s="80" t="s">
        <v>178</v>
      </c>
      <c r="C38" s="80"/>
      <c r="D38" s="80"/>
      <c r="E38" s="80"/>
      <c r="F38" s="80"/>
      <c r="G38" s="80"/>
      <c r="H38" s="347"/>
      <c r="I38" s="348"/>
      <c r="J38" s="234">
        <f>'27. Entry- en exittarieven '!J120</f>
        <v>0.39539849999999999</v>
      </c>
      <c r="K38" s="234">
        <f>'27. Entry- en exittarieven '!K120</f>
        <v>1.5908430000000001E-2</v>
      </c>
      <c r="L38" s="266">
        <f>'27. Entry- en exittarieven '!L120</f>
        <v>6.6286000000000003E-4</v>
      </c>
      <c r="M38" s="80"/>
      <c r="N38" s="347"/>
      <c r="O38" s="348"/>
      <c r="P38" s="234">
        <f>'27. Entry- en exittarieven '!P120</f>
        <v>9.8849619999999999E-2</v>
      </c>
      <c r="Q38" s="234">
        <f>'27. Entry- en exittarieven '!Q120</f>
        <v>3.9771099999999998E-3</v>
      </c>
      <c r="R38" s="266">
        <f>'27. Entry- en exittarieven '!R120</f>
        <v>1.6572000000000001E-4</v>
      </c>
    </row>
    <row r="39" spans="2:24">
      <c r="B39" s="80" t="s">
        <v>179</v>
      </c>
      <c r="C39" s="80"/>
      <c r="D39" s="80"/>
      <c r="E39" s="80"/>
      <c r="F39" s="80"/>
      <c r="G39" s="80"/>
      <c r="H39" s="347"/>
      <c r="I39" s="348">
        <f>'27. Entry- en exittarieven '!I121</f>
        <v>0.95576108000000004</v>
      </c>
      <c r="J39" s="234">
        <f>'27. Entry- en exittarieven '!J121</f>
        <v>0.38584551</v>
      </c>
      <c r="K39" s="234">
        <f>'27. Entry- en exittarieven '!K121</f>
        <v>1.500664E-2</v>
      </c>
      <c r="L39" s="266">
        <f>'27. Entry- en exittarieven '!L121</f>
        <v>6.2528000000000008E-4</v>
      </c>
      <c r="M39" s="80"/>
      <c r="N39" s="347"/>
      <c r="O39" s="348">
        <f>'27. Entry- en exittarieven '!O121</f>
        <v>0.23894027000000001</v>
      </c>
      <c r="P39" s="234">
        <f>'27. Entry- en exittarieven '!P121</f>
        <v>9.6461379999999999E-2</v>
      </c>
      <c r="Q39" s="234">
        <f>'27. Entry- en exittarieven '!Q121</f>
        <v>3.75166E-3</v>
      </c>
      <c r="R39" s="266">
        <f>'27. Entry- en exittarieven '!R121</f>
        <v>1.5631999999999999E-4</v>
      </c>
    </row>
    <row r="40" spans="2:24">
      <c r="B40" s="80" t="s">
        <v>180</v>
      </c>
      <c r="C40" s="80"/>
      <c r="D40" s="80"/>
      <c r="E40" s="80"/>
      <c r="F40" s="80"/>
      <c r="G40" s="80"/>
      <c r="H40" s="347"/>
      <c r="I40" s="348"/>
      <c r="J40" s="234">
        <f>'27. Entry- en exittarieven '!J122</f>
        <v>0.36679899999999999</v>
      </c>
      <c r="K40" s="234">
        <f>'27. Entry- en exittarieven '!K122</f>
        <v>1.428984E-2</v>
      </c>
      <c r="L40" s="266">
        <f>'27. Entry- en exittarieven '!L122</f>
        <v>5.9542000000000004E-4</v>
      </c>
      <c r="M40" s="80"/>
      <c r="N40" s="347"/>
      <c r="O40" s="348"/>
      <c r="P40" s="234">
        <f>'27. Entry- en exittarieven '!P122</f>
        <v>9.1699749999999997E-2</v>
      </c>
      <c r="Q40" s="234">
        <f>'27. Entry- en exittarieven '!Q122</f>
        <v>3.57246E-3</v>
      </c>
      <c r="R40" s="266">
        <f>'27. Entry- en exittarieven '!R122</f>
        <v>1.4886000000000001E-4</v>
      </c>
    </row>
    <row r="41" spans="2:24">
      <c r="B41" s="80" t="s">
        <v>181</v>
      </c>
      <c r="C41" s="80"/>
      <c r="D41" s="80"/>
      <c r="E41" s="80"/>
      <c r="F41" s="80"/>
      <c r="G41" s="80"/>
      <c r="H41" s="347"/>
      <c r="I41" s="348"/>
      <c r="J41" s="234">
        <f>'27. Entry- en exittarieven '!J123</f>
        <v>0.39420933000000002</v>
      </c>
      <c r="K41" s="234">
        <f>'27. Entry- en exittarieven '!K123</f>
        <v>1.5862190000000002E-2</v>
      </c>
      <c r="L41" s="266">
        <f>'27. Entry- en exittarieven '!L123</f>
        <v>6.6093E-4</v>
      </c>
      <c r="M41" s="80"/>
      <c r="N41" s="347"/>
      <c r="O41" s="348"/>
      <c r="P41" s="234">
        <f>'27. Entry- en exittarieven '!P123</f>
        <v>9.8552329999999994E-2</v>
      </c>
      <c r="Q41" s="234">
        <f>'27. Entry- en exittarieven '!Q123</f>
        <v>3.96555E-3</v>
      </c>
      <c r="R41" s="266">
        <f>'27. Entry- en exittarieven '!R123</f>
        <v>1.6523999999999998E-4</v>
      </c>
    </row>
    <row r="42" spans="2:24">
      <c r="B42" s="80" t="s">
        <v>182</v>
      </c>
      <c r="C42" s="80"/>
      <c r="D42" s="80"/>
      <c r="E42" s="80"/>
      <c r="F42" s="80"/>
      <c r="G42" s="80"/>
      <c r="H42" s="347"/>
      <c r="I42" s="348">
        <f>'27. Entry- en exittarieven '!I124</f>
        <v>1.6790397399999999</v>
      </c>
      <c r="J42" s="234">
        <f>'27. Entry- en exittarieven '!J124</f>
        <v>0.46756120000000001</v>
      </c>
      <c r="K42" s="234">
        <f>'27. Entry- en exittarieven '!K124</f>
        <v>1.8197580000000001E-2</v>
      </c>
      <c r="L42" s="266">
        <f>'27. Entry- en exittarieven '!L124</f>
        <v>7.5824000000000009E-4</v>
      </c>
      <c r="M42" s="80"/>
      <c r="N42" s="347"/>
      <c r="O42" s="348">
        <f>'27. Entry- en exittarieven '!O124</f>
        <v>0.41975993</v>
      </c>
      <c r="P42" s="234">
        <f>'27. Entry- en exittarieven '!P124</f>
        <v>0.1168903</v>
      </c>
      <c r="Q42" s="234">
        <f>'27. Entry- en exittarieven '!Q124</f>
        <v>4.5493900000000004E-3</v>
      </c>
      <c r="R42" s="266">
        <f>'27. Entry- en exittarieven '!R124</f>
        <v>1.8955999999999999E-4</v>
      </c>
    </row>
    <row r="43" spans="2:24">
      <c r="B43" s="80" t="s">
        <v>183</v>
      </c>
      <c r="C43" s="80"/>
      <c r="D43" s="80"/>
      <c r="E43" s="80"/>
      <c r="F43" s="80"/>
      <c r="G43" s="80"/>
      <c r="H43" s="347"/>
      <c r="I43" s="348"/>
      <c r="J43" s="234">
        <f>'27. Entry- en exittarieven '!J125</f>
        <v>0.67188015000000001</v>
      </c>
      <c r="K43" s="234">
        <f>'27. Entry- en exittarieven '!K125</f>
        <v>2.7007340000000001E-2</v>
      </c>
      <c r="L43" s="266">
        <f>'27. Entry- en exittarieven '!L125</f>
        <v>1.12531E-3</v>
      </c>
      <c r="M43" s="80"/>
      <c r="N43" s="347"/>
      <c r="O43" s="348"/>
      <c r="P43" s="234">
        <f>'27. Entry- en exittarieven '!P125</f>
        <v>0.16797003999999999</v>
      </c>
      <c r="Q43" s="234">
        <f>'27. Entry- en exittarieven '!Q125</f>
        <v>6.7518300000000003E-3</v>
      </c>
      <c r="R43" s="266">
        <f>'27. Entry- en exittarieven '!R125</f>
        <v>2.8132999999999999E-4</v>
      </c>
    </row>
    <row r="44" spans="2:24">
      <c r="B44" s="80" t="s">
        <v>184</v>
      </c>
      <c r="C44" s="80"/>
      <c r="D44" s="80"/>
      <c r="E44" s="80"/>
      <c r="F44" s="80"/>
      <c r="G44" s="80"/>
      <c r="H44" s="347"/>
      <c r="I44" s="348"/>
      <c r="J44" s="234">
        <f>'27. Entry- en exittarieven '!J126</f>
        <v>0.87491083999999997</v>
      </c>
      <c r="K44" s="234">
        <f>'27. Entry- en exittarieven '!K126</f>
        <v>3.403664E-2</v>
      </c>
      <c r="L44" s="266">
        <f>'27. Entry- en exittarieven '!L126</f>
        <v>1.4181999999999999E-3</v>
      </c>
      <c r="M44" s="80"/>
      <c r="N44" s="347"/>
      <c r="O44" s="348"/>
      <c r="P44" s="234">
        <f>'27. Entry- en exittarieven '!P126</f>
        <v>0.21872770999999999</v>
      </c>
      <c r="Q44" s="234">
        <f>'27. Entry- en exittarieven '!Q126</f>
        <v>8.50916E-3</v>
      </c>
      <c r="R44" s="266">
        <f>'27. Entry- en exittarieven '!R126</f>
        <v>3.5454999999999997E-4</v>
      </c>
    </row>
    <row r="45" spans="2:24">
      <c r="H45" s="196"/>
      <c r="I45" s="200"/>
      <c r="J45" s="201"/>
      <c r="K45" s="201"/>
      <c r="L45" s="271"/>
      <c r="N45" s="196"/>
      <c r="O45" s="200"/>
      <c r="P45" s="201"/>
      <c r="Q45" s="201"/>
      <c r="R45" s="278"/>
    </row>
    <row r="46" spans="2:24" s="33" customFormat="1" ht="25.5">
      <c r="B46" s="195" t="s">
        <v>187</v>
      </c>
      <c r="H46" s="33" t="s">
        <v>159</v>
      </c>
      <c r="L46" s="259"/>
      <c r="N46" s="33" t="s">
        <v>160</v>
      </c>
      <c r="R46" s="279"/>
      <c r="T46" s="33" t="s">
        <v>161</v>
      </c>
    </row>
    <row r="47" spans="2:24" s="36" customFormat="1">
      <c r="B47" s="36" t="s">
        <v>188</v>
      </c>
      <c r="H47" s="36" t="s">
        <v>163</v>
      </c>
      <c r="I47" s="36" t="s">
        <v>164</v>
      </c>
      <c r="J47" s="36" t="s">
        <v>165</v>
      </c>
      <c r="K47" s="36" t="s">
        <v>166</v>
      </c>
      <c r="L47" s="260" t="s">
        <v>167</v>
      </c>
      <c r="N47" s="36" t="s">
        <v>163</v>
      </c>
      <c r="O47" s="36" t="s">
        <v>164</v>
      </c>
      <c r="P47" s="36" t="s">
        <v>165</v>
      </c>
      <c r="Q47" s="36" t="s">
        <v>166</v>
      </c>
      <c r="R47" s="280" t="s">
        <v>167</v>
      </c>
      <c r="T47" s="36" t="s">
        <v>163</v>
      </c>
      <c r="U47" s="36" t="s">
        <v>164</v>
      </c>
      <c r="V47" s="36" t="s">
        <v>165</v>
      </c>
      <c r="W47" s="36" t="s">
        <v>166</v>
      </c>
      <c r="X47" s="36" t="s">
        <v>167</v>
      </c>
    </row>
    <row r="48" spans="2:24" s="34" customFormat="1">
      <c r="H48" s="34" t="s">
        <v>168</v>
      </c>
      <c r="I48" s="34" t="s">
        <v>169</v>
      </c>
      <c r="J48" s="34" t="s">
        <v>170</v>
      </c>
      <c r="K48" s="34" t="s">
        <v>171</v>
      </c>
      <c r="L48" s="261" t="s">
        <v>172</v>
      </c>
      <c r="N48" s="34" t="s">
        <v>168</v>
      </c>
      <c r="O48" s="34" t="s">
        <v>169</v>
      </c>
      <c r="P48" s="34" t="s">
        <v>170</v>
      </c>
      <c r="Q48" s="34" t="s">
        <v>171</v>
      </c>
      <c r="R48" s="281" t="s">
        <v>172</v>
      </c>
      <c r="T48" s="34" t="s">
        <v>168</v>
      </c>
      <c r="U48" s="34" t="s">
        <v>169</v>
      </c>
      <c r="V48" s="34" t="s">
        <v>170</v>
      </c>
      <c r="W48" s="34" t="s">
        <v>171</v>
      </c>
      <c r="X48" s="34" t="s">
        <v>172</v>
      </c>
    </row>
    <row r="49" spans="2:24">
      <c r="J49" s="88"/>
      <c r="L49" s="258"/>
      <c r="R49" s="282"/>
    </row>
    <row r="50" spans="2:24">
      <c r="B50" s="3" t="s">
        <v>173</v>
      </c>
      <c r="H50" s="347">
        <f>'27. Entry- en exittarieven '!H133</f>
        <v>5.6225404599999997</v>
      </c>
      <c r="I50" s="350">
        <f>'27. Entry- en exittarieven '!I133</f>
        <v>2.5682686499999998</v>
      </c>
      <c r="J50" s="87">
        <f>'27. Entry- en exittarieven '!J133</f>
        <v>1.22844807</v>
      </c>
      <c r="K50" s="87">
        <f>'27. Entry- en exittarieven '!K133</f>
        <v>4.7795440000000002E-2</v>
      </c>
      <c r="L50" s="272">
        <f>'27. Entry- en exittarieven '!L133</f>
        <v>1.9914799999999999E-3</v>
      </c>
      <c r="N50" s="352">
        <f>'27. Entry- en exittarieven '!N133</f>
        <v>1.40563511</v>
      </c>
      <c r="O50" s="353">
        <f>'27. Entry- en exittarieven '!O133</f>
        <v>0.64206715999999997</v>
      </c>
      <c r="P50" s="235">
        <f>'27. Entry- en exittarieven '!P133</f>
        <v>0.30711201999999999</v>
      </c>
      <c r="Q50" s="235">
        <f>'27. Entry- en exittarieven '!Q133</f>
        <v>1.194886E-2</v>
      </c>
      <c r="R50" s="335">
        <f>'27. Entry- en exittarieven '!R133</f>
        <v>4.9787000000000008E-4</v>
      </c>
      <c r="T50" s="351">
        <f>'27. Entry- en exittarieven '!T133</f>
        <v>4.4980323699999998</v>
      </c>
      <c r="U50" s="351">
        <f>'27. Entry- en exittarieven '!U133</f>
        <v>2.0546149200000001</v>
      </c>
      <c r="V50" s="56">
        <f>'27. Entry- en exittarieven '!V133</f>
        <v>0.98275846</v>
      </c>
      <c r="W50" s="56">
        <f>'27. Entry- en exittarieven '!W133</f>
        <v>3.8236359999999997E-2</v>
      </c>
      <c r="X50" s="272">
        <f>'27. Entry- en exittarieven '!X133</f>
        <v>1.59319E-3</v>
      </c>
    </row>
    <row r="51" spans="2:24">
      <c r="B51" s="3" t="s">
        <v>174</v>
      </c>
      <c r="H51" s="347"/>
      <c r="I51" s="350"/>
      <c r="J51" s="87">
        <f>'27. Entry- en exittarieven '!J134</f>
        <v>0.99181613999999996</v>
      </c>
      <c r="K51" s="87">
        <f>'27. Entry- en exittarieven '!K134</f>
        <v>4.2727460000000002E-2</v>
      </c>
      <c r="L51" s="272">
        <f>'27. Entry- en exittarieven '!L134</f>
        <v>1.7803199999999999E-3</v>
      </c>
      <c r="N51" s="352"/>
      <c r="O51" s="353"/>
      <c r="P51" s="235">
        <f>'27. Entry- en exittarieven '!P134</f>
        <v>0.24795402999999999</v>
      </c>
      <c r="Q51" s="235">
        <f>'27. Entry- en exittarieven '!Q134</f>
        <v>1.068186E-2</v>
      </c>
      <c r="R51" s="335">
        <f>'27. Entry- en exittarieven '!R134</f>
        <v>4.4507999999999999E-4</v>
      </c>
      <c r="T51" s="351"/>
      <c r="U51" s="351"/>
      <c r="V51" s="56">
        <f>'27. Entry- en exittarieven '!V134</f>
        <v>0.79345290999999996</v>
      </c>
      <c r="W51" s="56">
        <f>'27. Entry- en exittarieven '!W134</f>
        <v>3.4181969999999999E-2</v>
      </c>
      <c r="X51" s="272">
        <f>'27. Entry- en exittarieven '!X134</f>
        <v>1.42425E-3</v>
      </c>
    </row>
    <row r="52" spans="2:24">
      <c r="B52" s="3" t="s">
        <v>175</v>
      </c>
      <c r="H52" s="347"/>
      <c r="I52" s="350"/>
      <c r="J52" s="87">
        <f>'27. Entry- en exittarieven '!J135</f>
        <v>0.85883920000000002</v>
      </c>
      <c r="K52" s="87">
        <f>'27. Entry- en exittarieven '!K135</f>
        <v>3.3400199999999998E-2</v>
      </c>
      <c r="L52" s="272">
        <f>'27. Entry- en exittarieven '!L135</f>
        <v>1.39168E-3</v>
      </c>
      <c r="N52" s="352"/>
      <c r="O52" s="353"/>
      <c r="P52" s="235">
        <f>'27. Entry- en exittarieven '!P135</f>
        <v>0.21470980000000001</v>
      </c>
      <c r="Q52" s="235">
        <f>'27. Entry- en exittarieven '!Q135</f>
        <v>8.3500499999999995E-3</v>
      </c>
      <c r="R52" s="335">
        <f>'27. Entry- en exittarieven '!R135</f>
        <v>3.4791999999999999E-4</v>
      </c>
      <c r="T52" s="351"/>
      <c r="U52" s="351"/>
      <c r="V52" s="56">
        <f>'27. Entry- en exittarieven '!V135</f>
        <v>0.68707136000000002</v>
      </c>
      <c r="W52" s="56">
        <f>'27. Entry- en exittarieven '!W135</f>
        <v>2.672016E-2</v>
      </c>
      <c r="X52" s="272">
        <f>'27. Entry- en exittarieven '!X135</f>
        <v>1.1133499999999999E-3</v>
      </c>
    </row>
    <row r="53" spans="2:24">
      <c r="B53" s="3" t="s">
        <v>176</v>
      </c>
      <c r="H53" s="347"/>
      <c r="I53" s="350">
        <f>'27. Entry- en exittarieven '!I136</f>
        <v>1.3737483800000001</v>
      </c>
      <c r="J53" s="87">
        <f>'27. Entry- en exittarieven '!J136</f>
        <v>0.61971178999999998</v>
      </c>
      <c r="K53" s="87">
        <f>'27. Entry- en exittarieven '!K136</f>
        <v>2.4908619999999999E-2</v>
      </c>
      <c r="L53" s="272">
        <f>'27. Entry- en exittarieven '!L136</f>
        <v>1.03786E-3</v>
      </c>
      <c r="N53" s="352"/>
      <c r="O53" s="353">
        <f>'27. Entry- en exittarieven '!O136</f>
        <v>0.34343709</v>
      </c>
      <c r="P53" s="235">
        <f>'27. Entry- en exittarieven '!P136</f>
        <v>0.15492795000000001</v>
      </c>
      <c r="Q53" s="235">
        <f>'27. Entry- en exittarieven '!Q136</f>
        <v>6.2271599999999998E-3</v>
      </c>
      <c r="R53" s="335">
        <f>'27. Entry- en exittarieven '!R136</f>
        <v>2.5946999999999998E-4</v>
      </c>
      <c r="T53" s="351"/>
      <c r="U53" s="351">
        <f>'27. Entry- en exittarieven '!U136</f>
        <v>1.0989987000000001</v>
      </c>
      <c r="V53" s="56">
        <f>'27. Entry- en exittarieven '!V136</f>
        <v>0.49576943000000001</v>
      </c>
      <c r="W53" s="56">
        <f>'27. Entry- en exittarieven '!W136</f>
        <v>1.9926900000000001E-2</v>
      </c>
      <c r="X53" s="272">
        <f>'27. Entry- en exittarieven '!X136</f>
        <v>8.3029000000000002E-4</v>
      </c>
    </row>
    <row r="54" spans="2:24">
      <c r="B54" s="3" t="s">
        <v>177</v>
      </c>
      <c r="H54" s="347"/>
      <c r="I54" s="350"/>
      <c r="J54" s="87">
        <f>'27. Entry- en exittarieven '!J137</f>
        <v>0.56730663000000003</v>
      </c>
      <c r="K54" s="87">
        <f>'27. Entry- en exittarieven '!K137</f>
        <v>2.20781E-2</v>
      </c>
      <c r="L54" s="272">
        <f>'27. Entry- en exittarieven '!L137</f>
        <v>9.1993000000000001E-4</v>
      </c>
      <c r="N54" s="352"/>
      <c r="O54" s="353"/>
      <c r="P54" s="235">
        <f>'27. Entry- en exittarieven '!P137</f>
        <v>0.14182665999999999</v>
      </c>
      <c r="Q54" s="235">
        <f>'27. Entry- en exittarieven '!Q137</f>
        <v>5.51952E-3</v>
      </c>
      <c r="R54" s="335">
        <f>'27. Entry- en exittarieven '!R137</f>
        <v>2.2998999999999999E-4</v>
      </c>
      <c r="T54" s="351"/>
      <c r="U54" s="351"/>
      <c r="V54" s="56">
        <f>'27. Entry- en exittarieven '!V137</f>
        <v>0.45384530000000001</v>
      </c>
      <c r="W54" s="56">
        <f>'27. Entry- en exittarieven '!W137</f>
        <v>1.7662480000000001E-2</v>
      </c>
      <c r="X54" s="272">
        <f>'27. Entry- en exittarieven '!X137</f>
        <v>7.3594000000000003E-4</v>
      </c>
    </row>
    <row r="55" spans="2:24">
      <c r="B55" s="3" t="s">
        <v>178</v>
      </c>
      <c r="H55" s="347"/>
      <c r="I55" s="350"/>
      <c r="J55" s="87">
        <f>'27. Entry- en exittarieven '!J138</f>
        <v>0.46097129999999997</v>
      </c>
      <c r="K55" s="87">
        <f>'27. Entry- en exittarieven '!K138</f>
        <v>1.8546679999999999E-2</v>
      </c>
      <c r="L55" s="272">
        <f>'27. Entry- en exittarieven '!L138</f>
        <v>7.7278000000000004E-4</v>
      </c>
      <c r="N55" s="352"/>
      <c r="O55" s="353"/>
      <c r="P55" s="235">
        <f>'27. Entry- en exittarieven '!P138</f>
        <v>0.11524282</v>
      </c>
      <c r="Q55" s="235">
        <f>'27. Entry- en exittarieven '!Q138</f>
        <v>4.6366699999999999E-3</v>
      </c>
      <c r="R55" s="335">
        <f>'27. Entry- en exittarieven '!R138</f>
        <v>1.9320000000000001E-4</v>
      </c>
      <c r="T55" s="351"/>
      <c r="U55" s="351"/>
      <c r="V55" s="56">
        <f>'27. Entry- en exittarieven '!V138</f>
        <v>0.36877704</v>
      </c>
      <c r="W55" s="56">
        <f>'27. Entry- en exittarieven '!W138</f>
        <v>1.4837349999999999E-2</v>
      </c>
      <c r="X55" s="272">
        <f>'27. Entry- en exittarieven '!X138</f>
        <v>6.182300000000001E-4</v>
      </c>
    </row>
    <row r="56" spans="2:24">
      <c r="B56" s="3" t="s">
        <v>179</v>
      </c>
      <c r="H56" s="347"/>
      <c r="I56" s="350">
        <f>'27. Entry- en exittarieven '!I139</f>
        <v>1.1142642899999999</v>
      </c>
      <c r="J56" s="87">
        <f>'27. Entry- en exittarieven '!J139</f>
        <v>0.44983404999999999</v>
      </c>
      <c r="K56" s="87">
        <f>'27. Entry- en exittarieven '!K139</f>
        <v>1.7495340000000002E-2</v>
      </c>
      <c r="L56" s="272">
        <f>'27. Entry- en exittarieven '!L139</f>
        <v>7.2898000000000006E-4</v>
      </c>
      <c r="N56" s="352"/>
      <c r="O56" s="353">
        <f>'27. Entry- en exittarieven '!O139</f>
        <v>0.27856607</v>
      </c>
      <c r="P56" s="235">
        <f>'27. Entry- en exittarieven '!P139</f>
        <v>0.11245851</v>
      </c>
      <c r="Q56" s="235">
        <f>'27. Entry- en exittarieven '!Q139</f>
        <v>4.3738400000000004E-3</v>
      </c>
      <c r="R56" s="335">
        <f>'27. Entry- en exittarieven '!R139</f>
        <v>1.8224999999999998E-4</v>
      </c>
      <c r="T56" s="351"/>
      <c r="U56" s="351">
        <f>'27. Entry- en exittarieven '!U139</f>
        <v>0.89141143</v>
      </c>
      <c r="V56" s="56">
        <f>'27. Entry- en exittarieven '!V139</f>
        <v>0.35986723999999998</v>
      </c>
      <c r="W56" s="56">
        <f>'27. Entry- en exittarieven '!W139</f>
        <v>1.399627E-2</v>
      </c>
      <c r="X56" s="272">
        <f>'27. Entry- en exittarieven '!X139</f>
        <v>5.8318000000000009E-4</v>
      </c>
    </row>
    <row r="57" spans="2:24">
      <c r="B57" s="3" t="s">
        <v>180</v>
      </c>
      <c r="H57" s="347"/>
      <c r="I57" s="350"/>
      <c r="J57" s="87">
        <f>'27. Entry- en exittarieven '!J140</f>
        <v>0.42762886</v>
      </c>
      <c r="K57" s="87">
        <f>'27. Entry- en exittarieven '!K140</f>
        <v>1.665966E-2</v>
      </c>
      <c r="L57" s="272">
        <f>'27. Entry- en exittarieven '!L140</f>
        <v>6.9416000000000009E-4</v>
      </c>
      <c r="N57" s="352"/>
      <c r="O57" s="353"/>
      <c r="P57" s="235">
        <f>'27. Entry- en exittarieven '!P140</f>
        <v>0.10690722</v>
      </c>
      <c r="Q57" s="235">
        <f>'27. Entry- en exittarieven '!Q140</f>
        <v>4.1649199999999999E-3</v>
      </c>
      <c r="R57" s="335">
        <f>'27. Entry- en exittarieven '!R140</f>
        <v>1.7354E-4</v>
      </c>
      <c r="T57" s="351"/>
      <c r="U57" s="351"/>
      <c r="V57" s="56">
        <f>'27. Entry- en exittarieven '!V140</f>
        <v>0.34210309</v>
      </c>
      <c r="W57" s="56">
        <f>'27. Entry- en exittarieven '!W140</f>
        <v>1.3327729999999999E-2</v>
      </c>
      <c r="X57" s="272">
        <f>'27. Entry- en exittarieven '!X140</f>
        <v>5.5533000000000004E-4</v>
      </c>
    </row>
    <row r="58" spans="2:24">
      <c r="B58" s="3" t="s">
        <v>181</v>
      </c>
      <c r="H58" s="347"/>
      <c r="I58" s="350"/>
      <c r="J58" s="87">
        <f>'27. Entry- en exittarieven '!J141</f>
        <v>0.45958492000000001</v>
      </c>
      <c r="K58" s="87">
        <f>'27. Entry- en exittarieven '!K141</f>
        <v>1.8492769999999999E-2</v>
      </c>
      <c r="L58" s="272">
        <f>'27. Entry- en exittarieven '!L141</f>
        <v>7.7054000000000001E-4</v>
      </c>
      <c r="N58" s="352"/>
      <c r="O58" s="353"/>
      <c r="P58" s="235">
        <f>'27. Entry- en exittarieven '!P141</f>
        <v>0.11489623</v>
      </c>
      <c r="Q58" s="235">
        <f>'27. Entry- en exittarieven '!Q141</f>
        <v>4.6231900000000001E-3</v>
      </c>
      <c r="R58" s="335">
        <f>'27. Entry- en exittarieven '!R141</f>
        <v>1.9264E-4</v>
      </c>
      <c r="T58" s="351"/>
      <c r="U58" s="351"/>
      <c r="V58" s="56">
        <f>'27. Entry- en exittarieven '!V141</f>
        <v>0.36766792999999998</v>
      </c>
      <c r="W58" s="56">
        <f>'27. Entry- en exittarieven '!W141</f>
        <v>1.479421E-2</v>
      </c>
      <c r="X58" s="272">
        <f>'27. Entry- en exittarieven '!X141</f>
        <v>6.1643000000000006E-4</v>
      </c>
    </row>
    <row r="59" spans="2:24">
      <c r="B59" s="3" t="s">
        <v>182</v>
      </c>
      <c r="H59" s="347"/>
      <c r="I59" s="350">
        <f>'27. Entry- en exittarieven '!I142</f>
        <v>1.95749131</v>
      </c>
      <c r="J59" s="87">
        <f>'27. Entry- en exittarieven '!J142</f>
        <v>0.54510144999999999</v>
      </c>
      <c r="K59" s="87">
        <f>'27. Entry- en exittarieven '!K142</f>
        <v>2.1215459999999998E-2</v>
      </c>
      <c r="L59" s="272">
        <f>'27. Entry- en exittarieven '!L142</f>
        <v>8.8398000000000003E-4</v>
      </c>
      <c r="N59" s="352"/>
      <c r="O59" s="353">
        <f>'27. Entry- en exittarieven '!O142</f>
        <v>0.48937282999999998</v>
      </c>
      <c r="P59" s="235">
        <f>'27. Entry- en exittarieven '!P142</f>
        <v>0.13627536000000001</v>
      </c>
      <c r="Q59" s="235">
        <f>'27. Entry- en exittarieven '!Q142</f>
        <v>5.3038699999999996E-3</v>
      </c>
      <c r="R59" s="335">
        <f>'27. Entry- en exittarieven '!R142</f>
        <v>2.2100000000000001E-4</v>
      </c>
      <c r="T59" s="351"/>
      <c r="U59" s="351">
        <f>'27. Entry- en exittarieven '!U142</f>
        <v>1.5659930500000001</v>
      </c>
      <c r="V59" s="56">
        <f>'27. Entry- en exittarieven '!V142</f>
        <v>0.43608116000000002</v>
      </c>
      <c r="W59" s="56">
        <f>'27. Entry- en exittarieven '!W142</f>
        <v>1.6972370000000001E-2</v>
      </c>
      <c r="X59" s="272">
        <f>'27. Entry- en exittarieven '!X142</f>
        <v>7.0719000000000001E-4</v>
      </c>
    </row>
    <row r="60" spans="2:24">
      <c r="B60" s="3" t="s">
        <v>183</v>
      </c>
      <c r="H60" s="347"/>
      <c r="I60" s="350"/>
      <c r="J60" s="87">
        <f>'27. Entry- en exittarieven '!J143</f>
        <v>0.78330460999999996</v>
      </c>
      <c r="K60" s="87">
        <f>'27. Entry- en exittarieven '!K143</f>
        <v>3.1486229999999997E-2</v>
      </c>
      <c r="L60" s="272">
        <f>'27. Entry- en exittarieven '!L143</f>
        <v>1.31193E-3</v>
      </c>
      <c r="N60" s="352"/>
      <c r="O60" s="353"/>
      <c r="P60" s="235">
        <f>'27. Entry- en exittarieven '!P143</f>
        <v>0.19582615</v>
      </c>
      <c r="Q60" s="235">
        <f>'27. Entry- en exittarieven '!Q143</f>
        <v>7.8715599999999997E-3</v>
      </c>
      <c r="R60" s="335">
        <f>'27. Entry- en exittarieven '!R143</f>
        <v>3.2799000000000001E-4</v>
      </c>
      <c r="T60" s="351"/>
      <c r="U60" s="351"/>
      <c r="V60" s="56">
        <f>'27. Entry- en exittarieven '!V143</f>
        <v>0.62664368999999998</v>
      </c>
      <c r="W60" s="56">
        <f>'27. Entry- en exittarieven '!W143</f>
        <v>2.518898E-2</v>
      </c>
      <c r="X60" s="272">
        <f>'27. Entry- en exittarieven '!X143</f>
        <v>1.04955E-3</v>
      </c>
    </row>
    <row r="61" spans="2:24">
      <c r="B61" s="3" t="s">
        <v>184</v>
      </c>
      <c r="H61" s="347"/>
      <c r="I61" s="350"/>
      <c r="J61" s="87">
        <f>'27. Entry- en exittarieven '!J144</f>
        <v>1.0200058599999999</v>
      </c>
      <c r="K61" s="87">
        <f>'27. Entry- en exittarieven '!K144</f>
        <v>3.9681269999999998E-2</v>
      </c>
      <c r="L61" s="272">
        <f>'27. Entry- en exittarieven '!L144</f>
        <v>1.65339E-3</v>
      </c>
      <c r="N61" s="352"/>
      <c r="O61" s="353"/>
      <c r="P61" s="235">
        <f>'27. Entry- en exittarieven '!P144</f>
        <v>0.25500147000000001</v>
      </c>
      <c r="Q61" s="235">
        <f>'27. Entry- en exittarieven '!Q144</f>
        <v>9.9203199999999998E-3</v>
      </c>
      <c r="R61" s="335">
        <f>'27. Entry- en exittarieven '!R144</f>
        <v>4.1334999999999999E-4</v>
      </c>
      <c r="T61" s="351"/>
      <c r="U61" s="351"/>
      <c r="V61" s="56">
        <f>'27. Entry- en exittarieven '!V144</f>
        <v>0.81600468999999998</v>
      </c>
      <c r="W61" s="56">
        <f>'27. Entry- en exittarieven '!W144</f>
        <v>3.1745019999999999E-2</v>
      </c>
      <c r="X61" s="272">
        <f>'27. Entry- en exittarieven '!X144</f>
        <v>1.3227099999999999E-3</v>
      </c>
    </row>
    <row r="62" spans="2:24">
      <c r="L62" s="258"/>
      <c r="R62" s="282"/>
    </row>
    <row r="63" spans="2:24" s="33" customFormat="1" ht="25.5">
      <c r="B63" s="195" t="s">
        <v>189</v>
      </c>
      <c r="H63" s="33" t="s">
        <v>159</v>
      </c>
      <c r="L63" s="259"/>
      <c r="N63" s="33" t="s">
        <v>160</v>
      </c>
      <c r="R63" s="279"/>
    </row>
    <row r="64" spans="2:24" s="36" customFormat="1">
      <c r="B64" s="36" t="s">
        <v>190</v>
      </c>
      <c r="H64" s="36" t="s">
        <v>163</v>
      </c>
      <c r="I64" s="36" t="s">
        <v>164</v>
      </c>
      <c r="J64" s="36" t="s">
        <v>165</v>
      </c>
      <c r="K64" s="36" t="s">
        <v>166</v>
      </c>
      <c r="L64" s="260" t="s">
        <v>167</v>
      </c>
      <c r="N64" s="36" t="s">
        <v>163</v>
      </c>
      <c r="O64" s="36" t="s">
        <v>164</v>
      </c>
      <c r="P64" s="36" t="s">
        <v>165</v>
      </c>
      <c r="Q64" s="36" t="s">
        <v>166</v>
      </c>
      <c r="R64" s="280" t="s">
        <v>167</v>
      </c>
    </row>
    <row r="65" spans="2:18" s="34" customFormat="1">
      <c r="H65" s="34" t="s">
        <v>168</v>
      </c>
      <c r="I65" s="34" t="s">
        <v>169</v>
      </c>
      <c r="J65" s="34" t="s">
        <v>170</v>
      </c>
      <c r="K65" s="34" t="s">
        <v>171</v>
      </c>
      <c r="L65" s="261" t="s">
        <v>172</v>
      </c>
      <c r="N65" s="34" t="s">
        <v>168</v>
      </c>
      <c r="O65" s="34" t="s">
        <v>169</v>
      </c>
      <c r="P65" s="34" t="s">
        <v>170</v>
      </c>
      <c r="Q65" s="34" t="s">
        <v>171</v>
      </c>
      <c r="R65" s="281" t="s">
        <v>172</v>
      </c>
    </row>
    <row r="66" spans="2:18">
      <c r="L66" s="258"/>
      <c r="R66" s="282"/>
    </row>
    <row r="67" spans="2:18">
      <c r="B67" s="3" t="s">
        <v>173</v>
      </c>
      <c r="H67" s="347">
        <f>'27. Entry- en exittarieven '!H150</f>
        <v>4.8222563000000003</v>
      </c>
      <c r="I67" s="350">
        <f>'27. Entry- en exittarieven '!I150</f>
        <v>2.20271419</v>
      </c>
      <c r="J67" s="87">
        <f>'27. Entry- en exittarieven '!J150</f>
        <v>1.05359694</v>
      </c>
      <c r="K67" s="87">
        <f>'27. Entry- en exittarieven '!K150</f>
        <v>4.0992479999999998E-2</v>
      </c>
      <c r="L67" s="272">
        <f>'27. Entry- en exittarieven '!L150</f>
        <v>1.7080299999999999E-3</v>
      </c>
      <c r="N67" s="347">
        <f>'27. Entry- en exittarieven '!N150</f>
        <v>1.2055640700000001</v>
      </c>
      <c r="O67" s="350">
        <f>'27. Entry- en exittarieven '!O150</f>
        <v>0.55067854999999999</v>
      </c>
      <c r="P67" s="87">
        <f>'27. Entry- en exittarieven '!P150</f>
        <v>0.26339923999999998</v>
      </c>
      <c r="Q67" s="87">
        <f>'27. Entry- en exittarieven '!Q150</f>
        <v>1.0248119999999999E-2</v>
      </c>
      <c r="R67" s="272">
        <f>'27. Entry- en exittarieven '!R150</f>
        <v>4.2701000000000002E-4</v>
      </c>
    </row>
    <row r="68" spans="2:18">
      <c r="B68" s="3" t="s">
        <v>174</v>
      </c>
      <c r="H68" s="347"/>
      <c r="I68" s="350"/>
      <c r="J68" s="87">
        <f>'27. Entry- en exittarieven '!J151</f>
        <v>0.85064600999999995</v>
      </c>
      <c r="K68" s="87">
        <f>'27. Entry- en exittarieven '!K151</f>
        <v>3.6645839999999999E-2</v>
      </c>
      <c r="L68" s="272">
        <f>'27. Entry- en exittarieven '!L151</f>
        <v>1.52692E-3</v>
      </c>
      <c r="N68" s="347"/>
      <c r="O68" s="350"/>
      <c r="P68" s="87">
        <f>'27. Entry- en exittarieven '!P151</f>
        <v>0.2126615</v>
      </c>
      <c r="Q68" s="87">
        <f>'27. Entry- en exittarieven '!Q151</f>
        <v>9.1614599999999997E-3</v>
      </c>
      <c r="R68" s="272">
        <f>'27. Entry- en exittarieven '!R151</f>
        <v>3.8172999999999999E-4</v>
      </c>
    </row>
    <row r="69" spans="2:18">
      <c r="B69" s="3" t="s">
        <v>175</v>
      </c>
      <c r="H69" s="347"/>
      <c r="I69" s="350"/>
      <c r="J69" s="87">
        <f>'27. Entry- en exittarieven '!J152</f>
        <v>0.73659635000000001</v>
      </c>
      <c r="K69" s="87">
        <f>'27. Entry- en exittarieven '!K152</f>
        <v>2.864618E-2</v>
      </c>
      <c r="L69" s="272">
        <f>'27. Entry- en exittarieven '!L152</f>
        <v>1.1936E-3</v>
      </c>
      <c r="N69" s="347"/>
      <c r="O69" s="350"/>
      <c r="P69" s="87">
        <f>'27. Entry- en exittarieven '!P152</f>
        <v>0.18414908999999999</v>
      </c>
      <c r="Q69" s="87">
        <f>'27. Entry- en exittarieven '!Q152</f>
        <v>7.16155E-3</v>
      </c>
      <c r="R69" s="272">
        <f>'27. Entry- en exittarieven '!R152</f>
        <v>2.9839999999999999E-4</v>
      </c>
    </row>
    <row r="70" spans="2:18">
      <c r="B70" s="3" t="s">
        <v>176</v>
      </c>
      <c r="H70" s="347"/>
      <c r="I70" s="350">
        <f>'27. Entry- en exittarieven '!I153</f>
        <v>1.1782159400000001</v>
      </c>
      <c r="J70" s="87">
        <f>'27. Entry- en exittarieven '!J153</f>
        <v>0.53150512999999999</v>
      </c>
      <c r="K70" s="87">
        <f>'27. Entry- en exittarieven '!K153</f>
        <v>2.1363259999999999E-2</v>
      </c>
      <c r="L70" s="272">
        <f>'27. Entry- en exittarieven '!L153</f>
        <v>8.9014000000000009E-4</v>
      </c>
      <c r="N70" s="347"/>
      <c r="O70" s="350">
        <f>'27. Entry- en exittarieven '!O153</f>
        <v>0.29455397999999999</v>
      </c>
      <c r="P70" s="87">
        <f>'27. Entry- en exittarieven '!P153</f>
        <v>0.13287628000000001</v>
      </c>
      <c r="Q70" s="87">
        <f>'27. Entry- en exittarieven '!Q153</f>
        <v>5.3408099999999997E-3</v>
      </c>
      <c r="R70" s="272">
        <f>'27. Entry- en exittarieven '!R153</f>
        <v>2.2253999999999999E-4</v>
      </c>
    </row>
    <row r="71" spans="2:18">
      <c r="B71" s="3" t="s">
        <v>177</v>
      </c>
      <c r="H71" s="347"/>
      <c r="I71" s="350"/>
      <c r="J71" s="87">
        <f>'27. Entry- en exittarieven '!J154</f>
        <v>0.48655904999999999</v>
      </c>
      <c r="K71" s="87">
        <f>'27. Entry- en exittarieven '!K154</f>
        <v>1.8935609999999999E-2</v>
      </c>
      <c r="L71" s="272">
        <f>'27. Entry- en exittarieven '!L154</f>
        <v>7.8899000000000005E-4</v>
      </c>
      <c r="N71" s="347"/>
      <c r="O71" s="350"/>
      <c r="P71" s="87">
        <f>'27. Entry- en exittarieven '!P154</f>
        <v>0.12163976</v>
      </c>
      <c r="Q71" s="87">
        <f>'27. Entry- en exittarieven '!Q154</f>
        <v>4.7339000000000001E-3</v>
      </c>
      <c r="R71" s="272">
        <f>'27. Entry- en exittarieven '!R154</f>
        <v>1.9725E-4</v>
      </c>
    </row>
    <row r="72" spans="2:18">
      <c r="B72" s="3" t="s">
        <v>178</v>
      </c>
      <c r="H72" s="347"/>
      <c r="I72" s="350"/>
      <c r="J72" s="87">
        <f>'27. Entry- en exittarieven '!J155</f>
        <v>0.39535895999999998</v>
      </c>
      <c r="K72" s="87">
        <f>'27. Entry- en exittarieven '!K155</f>
        <v>1.5906839999999998E-2</v>
      </c>
      <c r="L72" s="272">
        <f>'27. Entry- en exittarieven '!L155</f>
        <v>6.6279000000000002E-4</v>
      </c>
      <c r="N72" s="347"/>
      <c r="O72" s="350"/>
      <c r="P72" s="87">
        <f>'27. Entry- en exittarieven '!P155</f>
        <v>9.8839739999999995E-2</v>
      </c>
      <c r="Q72" s="87">
        <f>'27. Entry- en exittarieven '!Q155</f>
        <v>3.9767099999999996E-3</v>
      </c>
      <c r="R72" s="272">
        <f>'27. Entry- en exittarieven '!R155</f>
        <v>1.6569999999999999E-4</v>
      </c>
    </row>
    <row r="73" spans="2:18">
      <c r="B73" s="3" t="s">
        <v>179</v>
      </c>
      <c r="H73" s="347"/>
      <c r="I73" s="350">
        <f>'27. Entry- en exittarieven '!I156</f>
        <v>0.95566549999999995</v>
      </c>
      <c r="J73" s="87">
        <f>'27. Entry- en exittarieven '!J156</f>
        <v>0.38580692999999999</v>
      </c>
      <c r="K73" s="87">
        <f>'27. Entry- en exittarieven '!K156</f>
        <v>1.500514E-2</v>
      </c>
      <c r="L73" s="272">
        <f>'27. Entry- en exittarieven '!L156</f>
        <v>6.2522000000000001E-4</v>
      </c>
      <c r="N73" s="347"/>
      <c r="O73" s="350">
        <f>'27. Entry- en exittarieven '!O156</f>
        <v>0.23891638000000001</v>
      </c>
      <c r="P73" s="87">
        <f>'27. Entry- en exittarieven '!P156</f>
        <v>9.6451729999999999E-2</v>
      </c>
      <c r="Q73" s="87">
        <f>'27. Entry- en exittarieven '!Q156</f>
        <v>3.75129E-3</v>
      </c>
      <c r="R73" s="272">
        <f>'27. Entry- en exittarieven '!R156</f>
        <v>1.5631E-4</v>
      </c>
    </row>
    <row r="74" spans="2:18">
      <c r="B74" s="3" t="s">
        <v>180</v>
      </c>
      <c r="H74" s="347"/>
      <c r="I74" s="350"/>
      <c r="J74" s="87">
        <f>'27. Entry- en exittarieven '!J157</f>
        <v>0.36676231999999998</v>
      </c>
      <c r="K74" s="87">
        <f>'27. Entry- en exittarieven '!K157</f>
        <v>1.428841E-2</v>
      </c>
      <c r="L74" s="272">
        <f>'27. Entry- en exittarieven '!L157</f>
        <v>5.9536000000000007E-4</v>
      </c>
      <c r="N74" s="347"/>
      <c r="O74" s="350"/>
      <c r="P74" s="87">
        <f>'27. Entry- en exittarieven '!P157</f>
        <v>9.1690579999999994E-2</v>
      </c>
      <c r="Q74" s="87">
        <f>'27. Entry- en exittarieven '!Q157</f>
        <v>3.5720999999999999E-3</v>
      </c>
      <c r="R74" s="272">
        <f>'27. Entry- en exittarieven '!R157</f>
        <v>1.4883999999999999E-4</v>
      </c>
    </row>
    <row r="75" spans="2:18">
      <c r="B75" s="3" t="s">
        <v>181</v>
      </c>
      <c r="H75" s="347"/>
      <c r="I75" s="350"/>
      <c r="J75" s="87">
        <f>'27. Entry- en exittarieven '!J158</f>
        <v>0.39416991000000001</v>
      </c>
      <c r="K75" s="87">
        <f>'27. Entry- en exittarieven '!K158</f>
        <v>1.5860599999999999E-2</v>
      </c>
      <c r="L75" s="272">
        <f>'27. Entry- en exittarieven '!L158</f>
        <v>6.6086000000000009E-4</v>
      </c>
      <c r="N75" s="347"/>
      <c r="O75" s="350"/>
      <c r="P75" s="87">
        <f>'27. Entry- en exittarieven '!P158</f>
        <v>9.8542480000000002E-2</v>
      </c>
      <c r="Q75" s="87">
        <f>'27. Entry- en exittarieven '!Q158</f>
        <v>3.9651499999999998E-3</v>
      </c>
      <c r="R75" s="272">
        <f>'27. Entry- en exittarieven '!R158</f>
        <v>1.6521999999999999E-4</v>
      </c>
    </row>
    <row r="76" spans="2:18">
      <c r="B76" s="3" t="s">
        <v>182</v>
      </c>
      <c r="H76" s="347"/>
      <c r="I76" s="350">
        <f>'27. Entry- en exittarieven '!I159</f>
        <v>1.6788718300000001</v>
      </c>
      <c r="J76" s="87">
        <f>'27. Entry- en exittarieven '!J159</f>
        <v>0.46751445000000003</v>
      </c>
      <c r="K76" s="87">
        <f>'27. Entry- en exittarieven '!K159</f>
        <v>1.8195759999999998E-2</v>
      </c>
      <c r="L76" s="272">
        <f>'27. Entry- en exittarieven '!L159</f>
        <v>7.5816000000000002E-4</v>
      </c>
      <c r="N76" s="347"/>
      <c r="O76" s="350">
        <f>'27. Entry- en exittarieven '!O159</f>
        <v>0.41971796</v>
      </c>
      <c r="P76" s="87">
        <f>'27. Entry- en exittarieven '!P159</f>
        <v>0.11687860999999999</v>
      </c>
      <c r="Q76" s="87">
        <f>'27. Entry- en exittarieven '!Q159</f>
        <v>4.5489399999999996E-3</v>
      </c>
      <c r="R76" s="272">
        <f>'27. Entry- en exittarieven '!R159</f>
        <v>1.8954E-4</v>
      </c>
    </row>
    <row r="77" spans="2:18">
      <c r="B77" s="3" t="s">
        <v>183</v>
      </c>
      <c r="H77" s="347"/>
      <c r="I77" s="350"/>
      <c r="J77" s="87">
        <f>'27. Entry- en exittarieven '!J160</f>
        <v>0.67181296999999995</v>
      </c>
      <c r="K77" s="87">
        <f>'27. Entry- en exittarieven '!K160</f>
        <v>2.700464E-2</v>
      </c>
      <c r="L77" s="272">
        <f>'27. Entry- en exittarieven '!L160</f>
        <v>1.1252E-3</v>
      </c>
      <c r="N77" s="347"/>
      <c r="O77" s="350"/>
      <c r="P77" s="87">
        <f>'27. Entry- en exittarieven '!P160</f>
        <v>0.16795324</v>
      </c>
      <c r="Q77" s="87">
        <f>'27. Entry- en exittarieven '!Q160</f>
        <v>6.75116E-3</v>
      </c>
      <c r="R77" s="272">
        <f>'27. Entry- en exittarieven '!R160</f>
        <v>2.8130000000000001E-4</v>
      </c>
    </row>
    <row r="78" spans="2:18">
      <c r="B78" s="3" t="s">
        <v>184</v>
      </c>
      <c r="H78" s="347"/>
      <c r="I78" s="350"/>
      <c r="J78" s="87">
        <f>'27. Entry- en exittarieven '!J161</f>
        <v>0.87482335</v>
      </c>
      <c r="K78" s="87">
        <f>'27. Entry- en exittarieven '!K161</f>
        <v>3.4033239999999999E-2</v>
      </c>
      <c r="L78" s="272">
        <f>'27. Entry- en exittarieven '!L161</f>
        <v>1.4180599999999999E-3</v>
      </c>
      <c r="N78" s="347"/>
      <c r="O78" s="350"/>
      <c r="P78" s="87">
        <f>'27. Entry- en exittarieven '!P161</f>
        <v>0.21870584000000001</v>
      </c>
      <c r="Q78" s="87">
        <f>'27. Entry- en exittarieven '!Q161</f>
        <v>8.5083099999999998E-3</v>
      </c>
      <c r="R78" s="272">
        <f>'27. Entry- en exittarieven '!R161</f>
        <v>3.5451999999999999E-4</v>
      </c>
    </row>
    <row r="79" spans="2:18">
      <c r="L79" s="258"/>
      <c r="R79" s="282"/>
    </row>
    <row r="80" spans="2:18" s="33" customFormat="1">
      <c r="B80" s="33" t="s">
        <v>191</v>
      </c>
      <c r="H80" s="33" t="s">
        <v>192</v>
      </c>
      <c r="L80" s="259"/>
      <c r="N80" s="33" t="s">
        <v>193</v>
      </c>
      <c r="R80" s="279"/>
    </row>
    <row r="81" spans="2:18" s="36" customFormat="1">
      <c r="H81" s="36" t="s">
        <v>163</v>
      </c>
      <c r="I81" s="36" t="s">
        <v>164</v>
      </c>
      <c r="J81" s="36" t="s">
        <v>165</v>
      </c>
      <c r="K81" s="36" t="s">
        <v>166</v>
      </c>
      <c r="L81" s="260" t="s">
        <v>167</v>
      </c>
      <c r="N81" s="36" t="s">
        <v>163</v>
      </c>
      <c r="O81" s="36" t="s">
        <v>164</v>
      </c>
      <c r="P81" s="36" t="s">
        <v>165</v>
      </c>
      <c r="Q81" s="36" t="s">
        <v>166</v>
      </c>
      <c r="R81" s="280" t="s">
        <v>167</v>
      </c>
    </row>
    <row r="82" spans="2:18" s="34" customFormat="1">
      <c r="H82" s="34" t="s">
        <v>168</v>
      </c>
      <c r="I82" s="34" t="s">
        <v>169</v>
      </c>
      <c r="J82" s="34" t="s">
        <v>170</v>
      </c>
      <c r="K82" s="34" t="s">
        <v>171</v>
      </c>
      <c r="L82" s="261" t="s">
        <v>172</v>
      </c>
      <c r="N82" s="34" t="s">
        <v>168</v>
      </c>
      <c r="O82" s="34" t="s">
        <v>169</v>
      </c>
      <c r="P82" s="34" t="s">
        <v>170</v>
      </c>
      <c r="Q82" s="34" t="s">
        <v>171</v>
      </c>
      <c r="R82" s="281" t="s">
        <v>172</v>
      </c>
    </row>
    <row r="83" spans="2:18">
      <c r="L83" s="258"/>
      <c r="R83" s="282"/>
    </row>
    <row r="84" spans="2:18">
      <c r="B84" s="3" t="s">
        <v>173</v>
      </c>
      <c r="H84" s="347">
        <f>'27. Entry- en exittarieven '!H167</f>
        <v>0.62675048</v>
      </c>
      <c r="I84" s="348">
        <f>'27. Entry- en exittarieven '!I167</f>
        <v>0.28628759999999998</v>
      </c>
      <c r="J84" s="234">
        <f>'27. Entry- en exittarieven '!J167</f>
        <v>0.13693638999999999</v>
      </c>
      <c r="K84" s="236"/>
      <c r="L84" s="273"/>
      <c r="M84" s="237"/>
      <c r="N84" s="347">
        <f>'27. Entry- en exittarieven '!N167</f>
        <v>0.40972723999999999</v>
      </c>
      <c r="O84" s="348">
        <f>'27. Entry- en exittarieven '!O167</f>
        <v>0.18715555</v>
      </c>
      <c r="P84" s="234">
        <f>'27. Entry- en exittarieven '!P167</f>
        <v>8.9519790000000002E-2</v>
      </c>
      <c r="Q84" s="236"/>
      <c r="R84" s="283"/>
    </row>
    <row r="85" spans="2:18">
      <c r="B85" s="3" t="s">
        <v>174</v>
      </c>
      <c r="H85" s="347"/>
      <c r="I85" s="348"/>
      <c r="J85" s="234">
        <f>'27. Entry- en exittarieven '!J168</f>
        <v>0.11055878</v>
      </c>
      <c r="K85" s="236"/>
      <c r="L85" s="273"/>
      <c r="M85" s="237"/>
      <c r="N85" s="347"/>
      <c r="O85" s="348"/>
      <c r="P85" s="234">
        <f>'27. Entry- en exittarieven '!P168</f>
        <v>7.2275889999999995E-2</v>
      </c>
      <c r="Q85" s="236"/>
      <c r="R85" s="283"/>
    </row>
    <row r="86" spans="2:18">
      <c r="B86" s="3" t="s">
        <v>175</v>
      </c>
      <c r="H86" s="347"/>
      <c r="I86" s="348"/>
      <c r="J86" s="234">
        <f>'27. Entry- en exittarieven '!J169</f>
        <v>9.5735710000000002E-2</v>
      </c>
      <c r="K86" s="236"/>
      <c r="L86" s="273"/>
      <c r="M86" s="237"/>
      <c r="N86" s="347"/>
      <c r="O86" s="348"/>
      <c r="P86" s="234">
        <f>'27. Entry- en exittarieven '!P169</f>
        <v>6.2585559999999998E-2</v>
      </c>
      <c r="Q86" s="236"/>
      <c r="R86" s="283"/>
    </row>
    <row r="87" spans="2:18">
      <c r="B87" s="3" t="s">
        <v>176</v>
      </c>
      <c r="H87" s="347"/>
      <c r="I87" s="348">
        <f>'27. Entry- en exittarieven '!I170</f>
        <v>0.15313317000000001</v>
      </c>
      <c r="J87" s="234">
        <f>'27. Entry- en exittarieven '!J170</f>
        <v>6.9079920000000003E-2</v>
      </c>
      <c r="K87" s="236"/>
      <c r="L87" s="273"/>
      <c r="M87" s="237"/>
      <c r="N87" s="347"/>
      <c r="O87" s="348">
        <f>'27. Entry- en exittarieven '!O170</f>
        <v>0.10010815000000001</v>
      </c>
      <c r="P87" s="234">
        <f>'27. Entry- en exittarieven '!P170</f>
        <v>4.51598E-2</v>
      </c>
      <c r="Q87" s="236"/>
      <c r="R87" s="283"/>
    </row>
    <row r="88" spans="2:18">
      <c r="B88" s="3" t="s">
        <v>177</v>
      </c>
      <c r="H88" s="347"/>
      <c r="I88" s="348"/>
      <c r="J88" s="234">
        <f>'27. Entry- en exittarieven '!J171</f>
        <v>6.3238260000000004E-2</v>
      </c>
      <c r="K88" s="236"/>
      <c r="L88" s="273"/>
      <c r="M88" s="237"/>
      <c r="N88" s="347"/>
      <c r="O88" s="348"/>
      <c r="P88" s="234">
        <f>'27. Entry- en exittarieven '!P171</f>
        <v>4.1340920000000003E-2</v>
      </c>
      <c r="Q88" s="236"/>
      <c r="R88" s="283"/>
    </row>
    <row r="89" spans="2:18">
      <c r="B89" s="3" t="s">
        <v>178</v>
      </c>
      <c r="H89" s="347"/>
      <c r="I89" s="348"/>
      <c r="J89" s="234">
        <f>'27. Entry- en exittarieven '!J172</f>
        <v>5.1384949999999999E-2</v>
      </c>
      <c r="K89" s="236"/>
      <c r="L89" s="273"/>
      <c r="M89" s="237"/>
      <c r="N89" s="347"/>
      <c r="O89" s="348"/>
      <c r="P89" s="234">
        <f>'27. Entry- en exittarieven '!P172</f>
        <v>3.359202E-2</v>
      </c>
      <c r="Q89" s="236"/>
      <c r="R89" s="283"/>
    </row>
    <row r="90" spans="2:18">
      <c r="B90" s="3" t="s">
        <v>179</v>
      </c>
      <c r="H90" s="347"/>
      <c r="I90" s="348">
        <f>'27. Entry- en exittarieven '!I173</f>
        <v>0.12420821</v>
      </c>
      <c r="J90" s="234">
        <f>'27. Entry- en exittarieven '!J173</f>
        <v>5.0143470000000002E-2</v>
      </c>
      <c r="K90" s="236"/>
      <c r="L90" s="273"/>
      <c r="M90" s="237"/>
      <c r="N90" s="347"/>
      <c r="O90" s="348">
        <f>'27. Entry- en exittarieven '!O173</f>
        <v>8.1198960000000001E-2</v>
      </c>
      <c r="P90" s="234">
        <f>'27. Entry- en exittarieven '!P173</f>
        <v>3.2780419999999998E-2</v>
      </c>
      <c r="Q90" s="236"/>
      <c r="R90" s="283"/>
    </row>
    <row r="91" spans="2:18">
      <c r="B91" s="3" t="s">
        <v>180</v>
      </c>
      <c r="H91" s="347"/>
      <c r="I91" s="348"/>
      <c r="J91" s="234">
        <f>'27. Entry- en exittarieven '!J174</f>
        <v>4.7668240000000001E-2</v>
      </c>
      <c r="K91" s="236"/>
      <c r="L91" s="273"/>
      <c r="M91" s="237"/>
      <c r="N91" s="347"/>
      <c r="O91" s="348"/>
      <c r="P91" s="234">
        <f>'27. Entry- en exittarieven '!P174</f>
        <v>3.1162280000000001E-2</v>
      </c>
      <c r="Q91" s="236"/>
      <c r="R91" s="283"/>
    </row>
    <row r="92" spans="2:18">
      <c r="B92" s="3" t="s">
        <v>181</v>
      </c>
      <c r="H92" s="347"/>
      <c r="I92" s="348"/>
      <c r="J92" s="234">
        <f>'27. Entry- en exittarieven '!J175</f>
        <v>5.1230409999999997E-2</v>
      </c>
      <c r="K92" s="236"/>
      <c r="L92" s="273"/>
      <c r="M92" s="237"/>
      <c r="N92" s="347"/>
      <c r="O92" s="348"/>
      <c r="P92" s="234">
        <f>'27. Entry- en exittarieven '!P175</f>
        <v>3.3490989999999998E-2</v>
      </c>
      <c r="Q92" s="236"/>
      <c r="R92" s="283"/>
    </row>
    <row r="93" spans="2:18">
      <c r="B93" s="3" t="s">
        <v>182</v>
      </c>
      <c r="H93" s="347"/>
      <c r="I93" s="348">
        <f>'27. Entry- en exittarieven '!I176</f>
        <v>0.21820360999999999</v>
      </c>
      <c r="J93" s="234">
        <f>'27. Entry- en exittarieven '!J176</f>
        <v>6.0763030000000003E-2</v>
      </c>
      <c r="K93" s="236"/>
      <c r="L93" s="273"/>
      <c r="M93" s="237"/>
      <c r="N93" s="347"/>
      <c r="O93" s="348">
        <f>'27. Entry- en exittarieven '!O176</f>
        <v>0.14264682000000001</v>
      </c>
      <c r="P93" s="234">
        <f>'27. Entry- en exittarieven '!P176</f>
        <v>3.9722779999999999E-2</v>
      </c>
      <c r="Q93" s="236"/>
      <c r="R93" s="283"/>
    </row>
    <row r="94" spans="2:18">
      <c r="B94" s="3" t="s">
        <v>183</v>
      </c>
      <c r="H94" s="347"/>
      <c r="I94" s="348"/>
      <c r="J94" s="234">
        <f>'27. Entry- en exittarieven '!J177</f>
        <v>8.7315790000000004E-2</v>
      </c>
      <c r="K94" s="236"/>
      <c r="L94" s="273"/>
      <c r="M94" s="237"/>
      <c r="N94" s="347"/>
      <c r="O94" s="348"/>
      <c r="P94" s="234">
        <f>'27. Entry- en exittarieven '!P177</f>
        <v>5.7081180000000002E-2</v>
      </c>
      <c r="Q94" s="236"/>
      <c r="R94" s="283"/>
    </row>
    <row r="95" spans="2:18">
      <c r="B95" s="3" t="s">
        <v>184</v>
      </c>
      <c r="H95" s="347"/>
      <c r="I95" s="348"/>
      <c r="J95" s="234">
        <f>'27. Entry- en exittarieven '!J178</f>
        <v>0.11370112</v>
      </c>
      <c r="K95" s="236"/>
      <c r="L95" s="273"/>
      <c r="M95" s="237"/>
      <c r="N95" s="347"/>
      <c r="O95" s="348"/>
      <c r="P95" s="234">
        <f>'27. Entry- en exittarieven '!P178</f>
        <v>7.4330129999999994E-2</v>
      </c>
      <c r="Q95" s="236"/>
      <c r="R95" s="283"/>
    </row>
    <row r="96" spans="2:18">
      <c r="L96" s="258"/>
      <c r="R96" s="282"/>
    </row>
    <row r="97" spans="2:18" s="33" customFormat="1">
      <c r="B97" s="33" t="s">
        <v>191</v>
      </c>
      <c r="H97" s="33" t="s">
        <v>194</v>
      </c>
      <c r="L97" s="259"/>
      <c r="N97" s="33" t="s">
        <v>195</v>
      </c>
      <c r="R97" s="279"/>
    </row>
    <row r="98" spans="2:18" s="36" customFormat="1">
      <c r="H98" s="36" t="s">
        <v>163</v>
      </c>
      <c r="I98" s="36" t="s">
        <v>164</v>
      </c>
      <c r="J98" s="36" t="s">
        <v>165</v>
      </c>
      <c r="K98" s="36" t="s">
        <v>166</v>
      </c>
      <c r="L98" s="260" t="s">
        <v>167</v>
      </c>
      <c r="N98" s="36" t="s">
        <v>163</v>
      </c>
      <c r="O98" s="36" t="s">
        <v>164</v>
      </c>
      <c r="P98" s="36" t="s">
        <v>165</v>
      </c>
      <c r="Q98" s="36" t="s">
        <v>166</v>
      </c>
      <c r="R98" s="280" t="s">
        <v>167</v>
      </c>
    </row>
    <row r="99" spans="2:18" s="34" customFormat="1">
      <c r="H99" s="34" t="s">
        <v>168</v>
      </c>
      <c r="I99" s="34" t="s">
        <v>169</v>
      </c>
      <c r="J99" s="34" t="s">
        <v>170</v>
      </c>
      <c r="K99" s="34" t="s">
        <v>171</v>
      </c>
      <c r="L99" s="261" t="s">
        <v>172</v>
      </c>
      <c r="N99" s="34" t="s">
        <v>168</v>
      </c>
      <c r="O99" s="34" t="s">
        <v>169</v>
      </c>
      <c r="P99" s="34" t="s">
        <v>170</v>
      </c>
      <c r="Q99" s="34" t="s">
        <v>171</v>
      </c>
      <c r="R99" s="281" t="s">
        <v>172</v>
      </c>
    </row>
    <row r="100" spans="2:18">
      <c r="L100" s="258"/>
      <c r="R100" s="282"/>
    </row>
    <row r="101" spans="2:18">
      <c r="B101" s="3" t="s">
        <v>173</v>
      </c>
      <c r="H101" s="347">
        <f>'27. Entry- en exittarieven '!H184</f>
        <v>0.37371085999999998</v>
      </c>
      <c r="I101" s="348">
        <f>'27. Entry- en exittarieven '!I184</f>
        <v>0.17070394999999999</v>
      </c>
      <c r="J101" s="234">
        <f>'27. Entry- en exittarieven '!J184</f>
        <v>8.1650700000000007E-2</v>
      </c>
      <c r="K101" s="236"/>
      <c r="L101" s="273"/>
      <c r="M101" s="237"/>
      <c r="N101" s="347">
        <f>'27. Entry- en exittarieven '!N184</f>
        <v>0.15668762</v>
      </c>
      <c r="O101" s="348">
        <f>'27. Entry- en exittarieven '!O184</f>
        <v>7.1571899999999994E-2</v>
      </c>
      <c r="P101" s="234">
        <f>'27. Entry- en exittarieven '!P184</f>
        <v>3.4234100000000003E-2</v>
      </c>
      <c r="Q101" s="236"/>
      <c r="R101" s="283"/>
    </row>
    <row r="102" spans="2:18">
      <c r="B102" s="3" t="s">
        <v>174</v>
      </c>
      <c r="H102" s="347"/>
      <c r="I102" s="348"/>
      <c r="J102" s="234">
        <f>'27. Entry- en exittarieven '!J185</f>
        <v>6.5922590000000003E-2</v>
      </c>
      <c r="K102" s="236"/>
      <c r="L102" s="273"/>
      <c r="M102" s="237"/>
      <c r="N102" s="347"/>
      <c r="O102" s="348"/>
      <c r="P102" s="234">
        <f>'27. Entry- en exittarieven '!P185</f>
        <v>2.76397E-2</v>
      </c>
      <c r="Q102" s="236"/>
      <c r="R102" s="283"/>
    </row>
    <row r="103" spans="2:18">
      <c r="B103" s="3" t="s">
        <v>175</v>
      </c>
      <c r="H103" s="347"/>
      <c r="I103" s="348"/>
      <c r="J103" s="234">
        <f>'27. Entry- en exittarieven '!J186</f>
        <v>5.7084080000000002E-2</v>
      </c>
      <c r="K103" s="236"/>
      <c r="L103" s="273"/>
      <c r="M103" s="237"/>
      <c r="N103" s="347"/>
      <c r="O103" s="348"/>
      <c r="P103" s="234">
        <f>'27. Entry- en exittarieven '!P186</f>
        <v>2.3933929999999999E-2</v>
      </c>
      <c r="Q103" s="236"/>
      <c r="R103" s="283"/>
    </row>
    <row r="104" spans="2:18">
      <c r="B104" s="3" t="s">
        <v>176</v>
      </c>
      <c r="H104" s="347"/>
      <c r="I104" s="348">
        <f>'27. Entry- en exittarieven '!I187</f>
        <v>9.1308310000000004E-2</v>
      </c>
      <c r="J104" s="234">
        <f>'27. Entry- en exittarieven '!J187</f>
        <v>4.11901E-2</v>
      </c>
      <c r="K104" s="236"/>
      <c r="L104" s="273"/>
      <c r="M104" s="237"/>
      <c r="N104" s="347"/>
      <c r="O104" s="348">
        <f>'27. Entry- en exittarieven '!O187</f>
        <v>3.8283289999999998E-2</v>
      </c>
      <c r="P104" s="234">
        <f>'27. Entry- en exittarieven '!P187</f>
        <v>1.7269980000000001E-2</v>
      </c>
      <c r="Q104" s="236"/>
      <c r="R104" s="283"/>
    </row>
    <row r="105" spans="2:18">
      <c r="B105" s="3" t="s">
        <v>177</v>
      </c>
      <c r="H105" s="347"/>
      <c r="I105" s="348"/>
      <c r="J105" s="234">
        <f>'27. Entry- en exittarieven '!J188</f>
        <v>3.7706910000000003E-2</v>
      </c>
      <c r="K105" s="236"/>
      <c r="L105" s="273"/>
      <c r="M105" s="237"/>
      <c r="N105" s="347"/>
      <c r="O105" s="348"/>
      <c r="P105" s="234">
        <f>'27. Entry- en exittarieven '!P188</f>
        <v>1.5809569999999998E-2</v>
      </c>
      <c r="Q105" s="236"/>
      <c r="R105" s="283"/>
    </row>
    <row r="106" spans="2:18">
      <c r="B106" s="3" t="s">
        <v>178</v>
      </c>
      <c r="H106" s="347"/>
      <c r="I106" s="348"/>
      <c r="J106" s="234">
        <f>'27. Entry- en exittarieven '!J189</f>
        <v>3.063917E-2</v>
      </c>
      <c r="K106" s="236"/>
      <c r="L106" s="273"/>
      <c r="M106" s="237"/>
      <c r="N106" s="347"/>
      <c r="O106" s="348"/>
      <c r="P106" s="234">
        <f>'27. Entry- en exittarieven '!P189</f>
        <v>1.284624E-2</v>
      </c>
      <c r="Q106" s="236"/>
      <c r="R106" s="283"/>
    </row>
    <row r="107" spans="2:18">
      <c r="B107" s="3" t="s">
        <v>179</v>
      </c>
      <c r="H107" s="347"/>
      <c r="I107" s="348">
        <f>'27. Entry- en exittarieven '!I190</f>
        <v>7.4061299999999997E-2</v>
      </c>
      <c r="J107" s="234">
        <f>'27. Entry- en exittarieven '!J190</f>
        <v>2.9898919999999999E-2</v>
      </c>
      <c r="K107" s="236"/>
      <c r="L107" s="273"/>
      <c r="M107" s="237"/>
      <c r="N107" s="347"/>
      <c r="O107" s="348">
        <f>'27. Entry- en exittarieven '!O190</f>
        <v>3.1052050000000001E-2</v>
      </c>
      <c r="P107" s="234">
        <f>'27. Entry- en exittarieven '!P190</f>
        <v>1.2535869999999999E-2</v>
      </c>
      <c r="Q107" s="236"/>
      <c r="R107" s="283"/>
    </row>
    <row r="108" spans="2:18">
      <c r="B108" s="3" t="s">
        <v>180</v>
      </c>
      <c r="H108" s="347"/>
      <c r="I108" s="348"/>
      <c r="J108" s="234">
        <f>'27. Entry- en exittarieven '!J191</f>
        <v>2.8423009999999999E-2</v>
      </c>
      <c r="K108" s="236"/>
      <c r="L108" s="273"/>
      <c r="M108" s="237"/>
      <c r="N108" s="347"/>
      <c r="O108" s="348"/>
      <c r="P108" s="234">
        <f>'27. Entry- en exittarieven '!P191</f>
        <v>1.191706E-2</v>
      </c>
      <c r="Q108" s="236"/>
      <c r="R108" s="283"/>
    </row>
    <row r="109" spans="2:18">
      <c r="B109" s="3" t="s">
        <v>181</v>
      </c>
      <c r="H109" s="347"/>
      <c r="I109" s="348"/>
      <c r="J109" s="234">
        <f>'27. Entry- en exittarieven '!J192</f>
        <v>3.0547020000000001E-2</v>
      </c>
      <c r="K109" s="236"/>
      <c r="L109" s="273"/>
      <c r="M109" s="237"/>
      <c r="N109" s="347"/>
      <c r="O109" s="348"/>
      <c r="P109" s="234">
        <f>'27. Entry- en exittarieven '!P192</f>
        <v>1.2807600000000001E-2</v>
      </c>
      <c r="Q109" s="236"/>
      <c r="R109" s="283"/>
    </row>
    <row r="110" spans="2:18">
      <c r="B110" s="3" t="s">
        <v>182</v>
      </c>
      <c r="H110" s="347"/>
      <c r="I110" s="348">
        <f>'27. Entry- en exittarieven '!I193</f>
        <v>0.13010769</v>
      </c>
      <c r="J110" s="234">
        <f>'27. Entry- en exittarieven '!J193</f>
        <v>3.6231010000000001E-2</v>
      </c>
      <c r="K110" s="236"/>
      <c r="L110" s="273"/>
      <c r="M110" s="237"/>
      <c r="N110" s="347"/>
      <c r="O110" s="348">
        <f>'27. Entry- en exittarieven '!O193</f>
        <v>5.4550899999999999E-2</v>
      </c>
      <c r="P110" s="234">
        <f>'27. Entry- en exittarieven '!P193</f>
        <v>1.5190759999999999E-2</v>
      </c>
      <c r="Q110" s="236"/>
      <c r="R110" s="283"/>
    </row>
    <row r="111" spans="2:18">
      <c r="B111" s="3" t="s">
        <v>183</v>
      </c>
      <c r="H111" s="347"/>
      <c r="I111" s="348"/>
      <c r="J111" s="234">
        <f>'27. Entry- en exittarieven '!J194</f>
        <v>5.206355E-2</v>
      </c>
      <c r="K111" s="236"/>
      <c r="L111" s="273"/>
      <c r="M111" s="237"/>
      <c r="N111" s="347"/>
      <c r="O111" s="348"/>
      <c r="P111" s="234">
        <f>'27. Entry- en exittarieven '!P194</f>
        <v>2.182895E-2</v>
      </c>
      <c r="Q111" s="236"/>
      <c r="R111" s="283"/>
    </row>
    <row r="112" spans="2:18">
      <c r="B112" s="3" t="s">
        <v>184</v>
      </c>
      <c r="H112" s="347"/>
      <c r="I112" s="348"/>
      <c r="J112" s="234">
        <f>'27. Entry- en exittarieven '!J195</f>
        <v>6.7796270000000006E-2</v>
      </c>
      <c r="K112" s="236"/>
      <c r="L112" s="273"/>
      <c r="M112" s="237"/>
      <c r="N112" s="347"/>
      <c r="O112" s="348"/>
      <c r="P112" s="234">
        <f>'27. Entry- en exittarieven '!P195</f>
        <v>2.8425280000000001E-2</v>
      </c>
      <c r="Q112" s="236"/>
      <c r="R112" s="283"/>
    </row>
  </sheetData>
  <mergeCells count="7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N16:N27"/>
    <mergeCell ref="I16:I18"/>
    <mergeCell ref="I19:I21"/>
    <mergeCell ref="I22:I24"/>
    <mergeCell ref="I25:I27"/>
    <mergeCell ref="O87:O89"/>
    <mergeCell ref="I90:I92"/>
    <mergeCell ref="O90:O92"/>
    <mergeCell ref="I93:I95"/>
    <mergeCell ref="O93:O95"/>
    <mergeCell ref="B8:F8"/>
    <mergeCell ref="H101:H112"/>
    <mergeCell ref="I101:I103"/>
    <mergeCell ref="N101:N112"/>
    <mergeCell ref="O101:O103"/>
    <mergeCell ref="I104:I106"/>
    <mergeCell ref="O104:O106"/>
    <mergeCell ref="I107:I109"/>
    <mergeCell ref="O107:O109"/>
    <mergeCell ref="I110:I112"/>
    <mergeCell ref="O110:O112"/>
    <mergeCell ref="H84:H95"/>
    <mergeCell ref="I84:I86"/>
    <mergeCell ref="N84:N95"/>
    <mergeCell ref="O84:O86"/>
    <mergeCell ref="I87:I89"/>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Parameters'!$B$187:$B$201</xm:f>
          </x14:formula1>
          <xm:sqref>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CH218"/>
  <sheetViews>
    <sheetView showGridLines="0" zoomScale="90" zoomScaleNormal="90" workbookViewId="0">
      <pane xSplit="4" ySplit="7" topLeftCell="E172" activePane="bottomRight" state="frozen"/>
      <selection pane="topRight"/>
      <selection pane="bottomLeft"/>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7" width="12.5703125" style="3" customWidth="1"/>
    <col min="18" max="18" width="2.5703125" style="3" customWidth="1"/>
    <col min="19" max="19" width="40.140625" style="3" bestFit="1" customWidth="1"/>
    <col min="20" max="20" width="2.5703125" style="3" customWidth="1"/>
    <col min="21" max="34" width="13.5703125" style="3" customWidth="1"/>
    <col min="35" max="16384" width="9.140625" style="3"/>
  </cols>
  <sheetData>
    <row r="2" spans="2:21" s="12" customFormat="1" ht="18">
      <c r="B2" s="12" t="s">
        <v>196</v>
      </c>
    </row>
    <row r="4" spans="2:21">
      <c r="B4" s="16" t="s">
        <v>197</v>
      </c>
      <c r="C4" s="2"/>
      <c r="I4"/>
      <c r="K4"/>
    </row>
    <row r="5" spans="2:21" ht="28.5" customHeight="1">
      <c r="B5" s="346" t="s">
        <v>198</v>
      </c>
      <c r="C5" s="346"/>
      <c r="D5" s="346"/>
      <c r="F5" s="13"/>
    </row>
    <row r="7" spans="2:21" s="8" customFormat="1">
      <c r="B7" s="8" t="s">
        <v>157</v>
      </c>
      <c r="D7" s="8" t="s">
        <v>199</v>
      </c>
      <c r="F7" s="8" t="s">
        <v>200</v>
      </c>
      <c r="H7" s="46">
        <v>2017</v>
      </c>
      <c r="I7" s="53">
        <v>2018</v>
      </c>
      <c r="J7" s="46">
        <v>2019</v>
      </c>
      <c r="K7" s="53">
        <v>2020</v>
      </c>
      <c r="L7" s="46">
        <v>2021</v>
      </c>
      <c r="M7" s="46">
        <v>2022</v>
      </c>
      <c r="N7" s="46">
        <v>2023</v>
      </c>
      <c r="O7" s="46">
        <v>2024</v>
      </c>
      <c r="P7" s="46">
        <v>2025</v>
      </c>
      <c r="Q7" s="46">
        <v>2026</v>
      </c>
      <c r="S7" s="8" t="s">
        <v>201</v>
      </c>
      <c r="U7" s="8" t="s">
        <v>202</v>
      </c>
    </row>
    <row r="9" spans="2:21" s="8" customFormat="1">
      <c r="B9" s="8" t="s">
        <v>203</v>
      </c>
    </row>
    <row r="11" spans="2:21">
      <c r="B11" s="3" t="s">
        <v>203</v>
      </c>
      <c r="D11" s="3" t="s">
        <v>204</v>
      </c>
      <c r="F11" s="134">
        <v>3.78E-2</v>
      </c>
      <c r="S11" s="3" t="s">
        <v>109</v>
      </c>
    </row>
    <row r="12" spans="2:21">
      <c r="B12" s="3" t="s">
        <v>205</v>
      </c>
      <c r="D12" s="3" t="s">
        <v>204</v>
      </c>
      <c r="F12" s="134">
        <v>3.1800000000000002E-2</v>
      </c>
      <c r="S12" s="3" t="s">
        <v>206</v>
      </c>
    </row>
    <row r="14" spans="2:21" s="8" customFormat="1">
      <c r="B14" s="8" t="s">
        <v>207</v>
      </c>
    </row>
    <row r="16" spans="2:21">
      <c r="B16" s="3" t="s">
        <v>208</v>
      </c>
      <c r="D16" s="3" t="s">
        <v>209</v>
      </c>
      <c r="F16" s="85"/>
      <c r="H16" s="10"/>
      <c r="I16" s="10"/>
      <c r="J16" s="10"/>
      <c r="K16" s="10"/>
      <c r="L16" s="325">
        <v>948654045.67944181</v>
      </c>
      <c r="M16" s="10"/>
      <c r="N16" s="10"/>
      <c r="O16" s="10"/>
      <c r="P16" s="10"/>
      <c r="Q16" s="10"/>
      <c r="S16" s="3" t="s">
        <v>109</v>
      </c>
    </row>
    <row r="17" spans="2:27">
      <c r="B17" s="3" t="s">
        <v>210</v>
      </c>
      <c r="D17" s="3" t="s">
        <v>209</v>
      </c>
      <c r="F17" s="85"/>
      <c r="H17" s="10"/>
      <c r="I17" s="10"/>
      <c r="J17" s="10"/>
      <c r="K17" s="10"/>
      <c r="L17" s="325">
        <v>1007936348.9723855</v>
      </c>
      <c r="M17" s="10"/>
      <c r="N17" s="10"/>
      <c r="O17" s="10"/>
      <c r="P17" s="10"/>
      <c r="Q17" s="10"/>
      <c r="S17" s="3" t="s">
        <v>206</v>
      </c>
    </row>
    <row r="19" spans="2:27" s="8" customFormat="1">
      <c r="B19" s="8" t="s">
        <v>211</v>
      </c>
    </row>
    <row r="21" spans="2:27">
      <c r="B21" s="16" t="s">
        <v>212</v>
      </c>
    </row>
    <row r="22" spans="2:27">
      <c r="B22" s="28" t="s">
        <v>213</v>
      </c>
      <c r="D22" s="3" t="s">
        <v>204</v>
      </c>
      <c r="H22" s="249">
        <v>4.2000000000000003E-2</v>
      </c>
      <c r="I22" s="249">
        <v>3.9E-2</v>
      </c>
      <c r="J22" s="249">
        <v>3.5999999999999997E-2</v>
      </c>
      <c r="K22" s="249">
        <v>3.3000000000000002E-2</v>
      </c>
      <c r="L22" s="249">
        <v>0.03</v>
      </c>
      <c r="M22" s="105"/>
      <c r="N22" s="105"/>
      <c r="O22" s="105"/>
      <c r="P22" s="105"/>
      <c r="Q22" s="105"/>
      <c r="S22" s="3" t="s">
        <v>214</v>
      </c>
    </row>
    <row r="23" spans="2:27">
      <c r="B23" s="28" t="s">
        <v>215</v>
      </c>
      <c r="D23" s="3" t="s">
        <v>204</v>
      </c>
      <c r="H23" s="134">
        <v>3.7999999999999999E-2</v>
      </c>
      <c r="I23" s="134">
        <v>3.5999999999999997E-2</v>
      </c>
      <c r="J23" s="134">
        <v>3.4000000000000002E-2</v>
      </c>
      <c r="K23" s="134">
        <v>3.2000000000000001E-2</v>
      </c>
      <c r="L23" s="134">
        <v>0.03</v>
      </c>
      <c r="M23" s="105"/>
      <c r="N23" s="105"/>
      <c r="O23" s="105"/>
      <c r="P23" s="105"/>
      <c r="Q23" s="105"/>
      <c r="S23" s="3" t="s">
        <v>214</v>
      </c>
    </row>
    <row r="24" spans="2:27">
      <c r="B24" s="146" t="s">
        <v>216</v>
      </c>
      <c r="D24" s="3" t="s">
        <v>204</v>
      </c>
      <c r="F24" s="86"/>
      <c r="H24" s="105"/>
      <c r="I24" s="105"/>
      <c r="J24" s="105"/>
      <c r="K24" s="105"/>
      <c r="L24" s="105"/>
      <c r="M24" s="134">
        <v>3.4000000000000002E-2</v>
      </c>
      <c r="N24" s="134">
        <v>3.3000000000000002E-2</v>
      </c>
      <c r="O24" s="134">
        <v>3.7999999999999999E-2</v>
      </c>
      <c r="P24" s="134">
        <v>3.7999999999999999E-2</v>
      </c>
      <c r="Q24" s="134">
        <v>3.7999999999999999E-2</v>
      </c>
      <c r="S24" s="80" t="s">
        <v>217</v>
      </c>
      <c r="U24" s="346"/>
      <c r="V24" s="346"/>
      <c r="W24" s="346"/>
      <c r="X24" s="346"/>
      <c r="Y24" s="346"/>
      <c r="Z24" s="346"/>
      <c r="AA24" s="346"/>
    </row>
    <row r="25" spans="2:27">
      <c r="B25" s="146" t="s">
        <v>218</v>
      </c>
      <c r="D25" s="3" t="s">
        <v>204</v>
      </c>
      <c r="F25" s="86"/>
      <c r="H25" s="105"/>
      <c r="I25" s="105"/>
      <c r="J25" s="105"/>
      <c r="K25" s="105"/>
      <c r="L25" s="105"/>
      <c r="M25" s="134">
        <v>3.2000000000000001E-2</v>
      </c>
      <c r="N25" s="134">
        <v>3.2000000000000001E-2</v>
      </c>
      <c r="O25" s="134">
        <v>3.7999999999999999E-2</v>
      </c>
      <c r="P25" s="134">
        <v>3.7999999999999999E-2</v>
      </c>
      <c r="Q25" s="134">
        <v>3.7999999999999999E-2</v>
      </c>
      <c r="S25" s="80" t="s">
        <v>217</v>
      </c>
      <c r="U25" s="346"/>
      <c r="V25" s="346"/>
      <c r="W25" s="346"/>
      <c r="X25" s="346"/>
      <c r="Y25" s="346"/>
      <c r="Z25" s="346"/>
      <c r="AA25" s="346"/>
    </row>
    <row r="26" spans="2:27">
      <c r="H26" s="23"/>
      <c r="I26" s="23"/>
      <c r="J26" s="23"/>
      <c r="K26" s="23"/>
      <c r="L26" s="23"/>
      <c r="M26" s="23"/>
      <c r="N26" s="23"/>
      <c r="O26" s="23"/>
      <c r="P26" s="23"/>
      <c r="Q26" s="23"/>
    </row>
    <row r="27" spans="2:27">
      <c r="B27" s="2" t="s">
        <v>219</v>
      </c>
      <c r="H27" s="23"/>
      <c r="I27" s="23"/>
      <c r="J27" s="23"/>
      <c r="K27" s="23"/>
      <c r="L27" s="23"/>
      <c r="M27" s="23"/>
      <c r="N27" s="23"/>
      <c r="O27" s="23"/>
      <c r="P27" s="23"/>
      <c r="Q27" s="23"/>
    </row>
    <row r="28" spans="2:27">
      <c r="B28" s="146" t="s">
        <v>216</v>
      </c>
      <c r="D28" s="3" t="s">
        <v>204</v>
      </c>
      <c r="F28" s="86"/>
      <c r="H28" s="105"/>
      <c r="I28" s="105"/>
      <c r="J28" s="105"/>
      <c r="K28" s="105"/>
      <c r="L28" s="105"/>
      <c r="M28" s="134">
        <v>4.1000000000000002E-2</v>
      </c>
      <c r="N28" s="134">
        <v>5.0999999999999997E-2</v>
      </c>
      <c r="O28" s="134">
        <v>5.0999999999999997E-2</v>
      </c>
      <c r="P28" s="105"/>
      <c r="Q28" s="105"/>
      <c r="S28" s="3" t="s">
        <v>220</v>
      </c>
    </row>
    <row r="30" spans="2:27" s="8" customFormat="1">
      <c r="B30" s="8" t="s">
        <v>221</v>
      </c>
    </row>
    <row r="32" spans="2:27">
      <c r="B32" s="3" t="s">
        <v>222</v>
      </c>
      <c r="D32" s="3" t="s">
        <v>204</v>
      </c>
      <c r="F32" s="135">
        <v>0.01</v>
      </c>
      <c r="S32" s="80" t="s">
        <v>217</v>
      </c>
    </row>
    <row r="34" spans="2:27" s="8" customFormat="1">
      <c r="B34" s="8" t="s">
        <v>223</v>
      </c>
    </row>
    <row r="36" spans="2:27">
      <c r="B36" s="16" t="s">
        <v>223</v>
      </c>
    </row>
    <row r="37" spans="2:27" ht="12.75" customHeight="1">
      <c r="B37" s="3" t="s">
        <v>223</v>
      </c>
      <c r="D37" s="3" t="s">
        <v>204</v>
      </c>
      <c r="F37" s="23"/>
      <c r="H37" s="133">
        <v>2E-3</v>
      </c>
      <c r="I37" s="133">
        <v>1.4E-2</v>
      </c>
      <c r="J37" s="133">
        <v>1.2E-2</v>
      </c>
      <c r="K37" s="134">
        <v>2.5999999999999999E-2</v>
      </c>
      <c r="L37" s="134">
        <v>1.6E-2</v>
      </c>
      <c r="M37" s="134">
        <v>1.7999999999999999E-2</v>
      </c>
      <c r="N37" s="134">
        <v>6.2E-2</v>
      </c>
      <c r="O37" s="249">
        <v>0.08</v>
      </c>
      <c r="P37" s="134">
        <v>2.8000000000000001E-2</v>
      </c>
      <c r="Q37" s="134">
        <v>1.7000000000000001E-2</v>
      </c>
      <c r="S37" s="3" t="s">
        <v>114</v>
      </c>
      <c r="U37" s="346" t="s">
        <v>224</v>
      </c>
      <c r="V37" s="346"/>
      <c r="W37" s="346"/>
      <c r="X37" s="346"/>
      <c r="Y37" s="346"/>
      <c r="Z37" s="346"/>
      <c r="AA37" s="346"/>
    </row>
    <row r="39" spans="2:27">
      <c r="B39" s="16" t="s">
        <v>225</v>
      </c>
    </row>
    <row r="40" spans="2:27">
      <c r="B40" s="3" t="s">
        <v>226</v>
      </c>
      <c r="D40" s="3" t="s">
        <v>227</v>
      </c>
      <c r="H40" s="3">
        <v>1</v>
      </c>
      <c r="I40" s="27">
        <f>H40*(1+I$37)</f>
        <v>1.014</v>
      </c>
      <c r="J40" s="27">
        <f t="shared" ref="J40:Q40" si="0">I40*(1+J$37)</f>
        <v>1.026168</v>
      </c>
      <c r="K40" s="27">
        <f t="shared" si="0"/>
        <v>1.052848368</v>
      </c>
      <c r="L40" s="27">
        <f t="shared" si="0"/>
        <v>1.069693941888</v>
      </c>
      <c r="M40" s="27">
        <f t="shared" si="0"/>
        <v>1.0889484328419841</v>
      </c>
      <c r="N40" s="27">
        <f t="shared" si="0"/>
        <v>1.1564632356781872</v>
      </c>
      <c r="O40" s="27">
        <f t="shared" si="0"/>
        <v>1.2489802945324422</v>
      </c>
      <c r="P40" s="27">
        <f t="shared" si="0"/>
        <v>1.2839517427793505</v>
      </c>
      <c r="Q40" s="27">
        <f t="shared" si="0"/>
        <v>1.3057789224065994</v>
      </c>
    </row>
    <row r="41" spans="2:27">
      <c r="B41" s="28" t="s">
        <v>228</v>
      </c>
      <c r="D41" s="3" t="s">
        <v>227</v>
      </c>
      <c r="H41" s="10"/>
      <c r="I41" s="3">
        <v>1</v>
      </c>
      <c r="J41" s="27">
        <f>I41*(1+J$37)</f>
        <v>1.012</v>
      </c>
      <c r="K41" s="27">
        <f t="shared" ref="K41:Q41" si="1">J41*(1+K$37)</f>
        <v>1.0383120000000001</v>
      </c>
      <c r="L41" s="27">
        <f t="shared" si="1"/>
        <v>1.0549249920000001</v>
      </c>
      <c r="M41" s="27">
        <f t="shared" si="1"/>
        <v>1.0739136418560002</v>
      </c>
      <c r="N41" s="27">
        <f t="shared" si="1"/>
        <v>1.1404962876510722</v>
      </c>
      <c r="O41" s="27">
        <f t="shared" si="1"/>
        <v>1.2317359906631582</v>
      </c>
      <c r="P41" s="27">
        <f t="shared" si="1"/>
        <v>1.2662245984017266</v>
      </c>
      <c r="Q41" s="27">
        <f t="shared" si="1"/>
        <v>1.2877504165745559</v>
      </c>
    </row>
    <row r="42" spans="2:27">
      <c r="B42" s="28" t="s">
        <v>229</v>
      </c>
      <c r="D42" s="3" t="s">
        <v>227</v>
      </c>
      <c r="H42" s="10"/>
      <c r="I42" s="10"/>
      <c r="J42" s="3">
        <v>1</v>
      </c>
      <c r="K42" s="27">
        <f>J42*(1+K$37)</f>
        <v>1.026</v>
      </c>
      <c r="L42" s="27">
        <f>K42*(1+L$37)</f>
        <v>1.042416</v>
      </c>
      <c r="M42" s="27">
        <f t="shared" ref="M42:Q42" si="2">L42*(1+M$37)</f>
        <v>1.0611794880000001</v>
      </c>
      <c r="N42" s="27">
        <f t="shared" si="2"/>
        <v>1.1269726162560001</v>
      </c>
      <c r="O42" s="27">
        <f t="shared" si="2"/>
        <v>1.2171304255564801</v>
      </c>
      <c r="P42" s="27">
        <f t="shared" si="2"/>
        <v>1.2512100774720616</v>
      </c>
      <c r="Q42" s="27">
        <f t="shared" si="2"/>
        <v>1.2724806487890865</v>
      </c>
    </row>
    <row r="43" spans="2:27">
      <c r="B43" s="28" t="s">
        <v>230</v>
      </c>
      <c r="D43" s="3" t="s">
        <v>227</v>
      </c>
      <c r="H43" s="10"/>
      <c r="I43" s="10"/>
      <c r="J43" s="10"/>
      <c r="K43" s="3">
        <v>1</v>
      </c>
      <c r="L43" s="27">
        <f>K43*(1+L$37)</f>
        <v>1.016</v>
      </c>
      <c r="M43" s="27">
        <f t="shared" ref="M43:Q43" si="3">L43*(1+M$37)</f>
        <v>1.0342880000000001</v>
      </c>
      <c r="N43" s="27">
        <f t="shared" si="3"/>
        <v>1.0984138560000001</v>
      </c>
      <c r="O43" s="27">
        <f t="shared" si="3"/>
        <v>1.1862869644800003</v>
      </c>
      <c r="P43" s="27">
        <f t="shared" si="3"/>
        <v>1.2195029994854403</v>
      </c>
      <c r="Q43" s="27">
        <f t="shared" si="3"/>
        <v>1.2402345504766927</v>
      </c>
    </row>
    <row r="44" spans="2:27">
      <c r="B44" s="28" t="s">
        <v>231</v>
      </c>
      <c r="D44" s="3" t="s">
        <v>227</v>
      </c>
      <c r="H44" s="10"/>
      <c r="I44" s="10"/>
      <c r="J44" s="10"/>
      <c r="K44" s="10"/>
      <c r="L44" s="3">
        <v>1</v>
      </c>
      <c r="M44" s="27">
        <f>L44*(1+M$37)</f>
        <v>1.018</v>
      </c>
      <c r="N44" s="27">
        <f t="shared" ref="N44:O44" si="4">M44*(1+N$37)</f>
        <v>1.081116</v>
      </c>
      <c r="O44" s="27">
        <f t="shared" si="4"/>
        <v>1.1676052800000001</v>
      </c>
      <c r="P44" s="27">
        <f t="shared" ref="P44:Q47" si="5">O44*(1+P$37)</f>
        <v>1.2002982278400001</v>
      </c>
      <c r="Q44" s="27">
        <f t="shared" si="5"/>
        <v>1.2207032977132799</v>
      </c>
    </row>
    <row r="45" spans="2:27">
      <c r="B45" s="28" t="s">
        <v>232</v>
      </c>
      <c r="D45" s="3" t="s">
        <v>227</v>
      </c>
      <c r="H45" s="10"/>
      <c r="I45" s="10"/>
      <c r="J45" s="10"/>
      <c r="K45" s="10"/>
      <c r="L45" s="10"/>
      <c r="M45" s="3">
        <v>1</v>
      </c>
      <c r="N45" s="27">
        <f t="shared" ref="N45:O45" si="6">M45*(1+N$37)</f>
        <v>1.0620000000000001</v>
      </c>
      <c r="O45" s="27">
        <f t="shared" si="6"/>
        <v>1.1469600000000002</v>
      </c>
      <c r="P45" s="27">
        <f t="shared" si="5"/>
        <v>1.1790748800000002</v>
      </c>
      <c r="Q45" s="27">
        <f t="shared" si="5"/>
        <v>1.19911915296</v>
      </c>
    </row>
    <row r="46" spans="2:27">
      <c r="B46" s="28" t="s">
        <v>233</v>
      </c>
      <c r="D46" s="3" t="s">
        <v>227</v>
      </c>
      <c r="H46" s="10"/>
      <c r="I46" s="10"/>
      <c r="J46" s="10"/>
      <c r="K46" s="10"/>
      <c r="L46" s="10"/>
      <c r="M46" s="10"/>
      <c r="N46" s="3">
        <v>1</v>
      </c>
      <c r="O46" s="27">
        <f>N46*(1+O$37)</f>
        <v>1.08</v>
      </c>
      <c r="P46" s="27">
        <f>O46*(1+P$37)</f>
        <v>1.1102400000000001</v>
      </c>
      <c r="Q46" s="27">
        <f t="shared" si="5"/>
        <v>1.1291140799999999</v>
      </c>
    </row>
    <row r="47" spans="2:27">
      <c r="B47" s="28" t="s">
        <v>234</v>
      </c>
      <c r="D47" s="3" t="s">
        <v>227</v>
      </c>
      <c r="H47" s="10"/>
      <c r="I47" s="10"/>
      <c r="J47" s="10"/>
      <c r="K47" s="10"/>
      <c r="L47" s="10"/>
      <c r="M47" s="10"/>
      <c r="N47" s="10"/>
      <c r="O47" s="3">
        <v>1</v>
      </c>
      <c r="P47" s="27">
        <f t="shared" si="5"/>
        <v>1.028</v>
      </c>
      <c r="Q47" s="27">
        <f t="shared" si="5"/>
        <v>1.0454759999999998</v>
      </c>
    </row>
    <row r="48" spans="2:27">
      <c r="B48" s="28" t="s">
        <v>235</v>
      </c>
      <c r="D48" s="3" t="s">
        <v>227</v>
      </c>
      <c r="H48" s="10"/>
      <c r="I48" s="10"/>
      <c r="J48" s="10"/>
      <c r="K48" s="10"/>
      <c r="L48" s="10"/>
      <c r="M48" s="10"/>
      <c r="N48" s="10"/>
      <c r="O48" s="10"/>
      <c r="P48" s="3">
        <v>1</v>
      </c>
      <c r="Q48" s="27">
        <f>P48*(1+Q$37)</f>
        <v>1.0169999999999999</v>
      </c>
    </row>
    <row r="49" spans="2:19">
      <c r="B49" s="28" t="s">
        <v>236</v>
      </c>
      <c r="D49" s="3" t="s">
        <v>227</v>
      </c>
      <c r="H49" s="10"/>
      <c r="I49" s="10"/>
      <c r="J49" s="10"/>
      <c r="K49" s="10"/>
      <c r="L49" s="10"/>
      <c r="M49" s="10"/>
      <c r="N49" s="10"/>
      <c r="O49" s="10"/>
      <c r="P49" s="10"/>
      <c r="Q49" s="3">
        <v>1</v>
      </c>
    </row>
    <row r="51" spans="2:19" s="8" customFormat="1">
      <c r="B51" s="8" t="s">
        <v>237</v>
      </c>
    </row>
    <row r="53" spans="2:19">
      <c r="B53" s="16" t="s">
        <v>237</v>
      </c>
    </row>
    <row r="54" spans="2:19">
      <c r="B54" s="3" t="s">
        <v>238</v>
      </c>
      <c r="D54" s="3" t="s">
        <v>204</v>
      </c>
      <c r="F54" s="86"/>
      <c r="H54" s="135">
        <v>1E-3</v>
      </c>
      <c r="I54" s="135">
        <v>1E-3</v>
      </c>
      <c r="J54" s="135">
        <v>1E-3</v>
      </c>
      <c r="K54" s="135">
        <v>1E-3</v>
      </c>
      <c r="L54" s="135">
        <v>1E-3</v>
      </c>
      <c r="M54" s="135">
        <v>4.0000000000000001E-3</v>
      </c>
      <c r="N54" s="135">
        <v>4.0000000000000001E-3</v>
      </c>
      <c r="O54" s="135">
        <v>4.0000000000000001E-3</v>
      </c>
      <c r="P54" s="135">
        <v>4.0000000000000001E-3</v>
      </c>
      <c r="Q54" s="135">
        <v>4.0000000000000001E-3</v>
      </c>
      <c r="S54" s="3" t="s">
        <v>239</v>
      </c>
    </row>
    <row r="56" spans="2:19">
      <c r="B56" s="16" t="s">
        <v>240</v>
      </c>
    </row>
    <row r="57" spans="2:19">
      <c r="B57" s="3" t="s">
        <v>226</v>
      </c>
      <c r="D57" s="3" t="s">
        <v>241</v>
      </c>
      <c r="H57" s="3">
        <v>1</v>
      </c>
      <c r="I57" s="27">
        <f>H57*(1-I$54)</f>
        <v>0.999</v>
      </c>
      <c r="J57" s="27">
        <f t="shared" ref="J57" si="7">I57*(1-J$54)</f>
        <v>0.99800100000000003</v>
      </c>
      <c r="K57" s="27">
        <f>J57*(1-K$54)</f>
        <v>0.997002999</v>
      </c>
      <c r="L57" s="27">
        <f t="shared" ref="L57:M57" si="8">K57*(1-L$54)</f>
        <v>0.99600599600100004</v>
      </c>
      <c r="M57" s="27">
        <f t="shared" si="8"/>
        <v>0.99202197201699605</v>
      </c>
      <c r="N57" s="27">
        <f t="shared" ref="N57:O57" si="9">M57*(1-N$54)</f>
        <v>0.98805388412892803</v>
      </c>
      <c r="O57" s="27">
        <f t="shared" si="9"/>
        <v>0.98410166859241233</v>
      </c>
      <c r="P57" s="27">
        <f t="shared" ref="P57:Q64" si="10">O57*(1-P$54)</f>
        <v>0.98016526191804265</v>
      </c>
      <c r="Q57" s="27">
        <f t="shared" si="10"/>
        <v>0.97624460087037046</v>
      </c>
    </row>
    <row r="58" spans="2:19">
      <c r="B58" s="28" t="s">
        <v>228</v>
      </c>
      <c r="D58" s="3" t="s">
        <v>241</v>
      </c>
      <c r="H58" s="10"/>
      <c r="I58" s="3">
        <v>1</v>
      </c>
      <c r="J58" s="27">
        <f t="shared" ref="J58:K58" si="11">I58*(1-J$54)</f>
        <v>0.999</v>
      </c>
      <c r="K58" s="27">
        <f t="shared" si="11"/>
        <v>0.99800100000000003</v>
      </c>
      <c r="L58" s="27">
        <f t="shared" ref="L58:M58" si="12">K58*(1-L$54)</f>
        <v>0.997002999</v>
      </c>
      <c r="M58" s="27">
        <f t="shared" si="12"/>
        <v>0.99301498700400004</v>
      </c>
      <c r="N58" s="27">
        <f t="shared" ref="N58:O58" si="13">M58*(1-N$54)</f>
        <v>0.98904292705598407</v>
      </c>
      <c r="O58" s="27">
        <f t="shared" si="13"/>
        <v>0.98508675534776013</v>
      </c>
      <c r="P58" s="27">
        <f t="shared" si="10"/>
        <v>0.98114640832636912</v>
      </c>
      <c r="Q58" s="27">
        <f t="shared" si="10"/>
        <v>0.97722182269306368</v>
      </c>
    </row>
    <row r="59" spans="2:19">
      <c r="B59" s="28" t="s">
        <v>229</v>
      </c>
      <c r="D59" s="3" t="s">
        <v>241</v>
      </c>
      <c r="H59" s="10"/>
      <c r="I59" s="10"/>
      <c r="J59" s="3">
        <v>1</v>
      </c>
      <c r="K59" s="27">
        <f>J59*(1-K$54)</f>
        <v>0.999</v>
      </c>
      <c r="L59" s="27">
        <f t="shared" ref="L59:M59" si="14">K59*(1-L$54)</f>
        <v>0.99800100000000003</v>
      </c>
      <c r="M59" s="27">
        <f t="shared" si="14"/>
        <v>0.99400899600000003</v>
      </c>
      <c r="N59" s="27">
        <f t="shared" ref="N59:O59" si="15">M59*(1-N$54)</f>
        <v>0.99003296001600005</v>
      </c>
      <c r="O59" s="27">
        <f t="shared" si="15"/>
        <v>0.986072828175936</v>
      </c>
      <c r="P59" s="27">
        <f t="shared" si="10"/>
        <v>0.9821285368632322</v>
      </c>
      <c r="Q59" s="27">
        <f t="shared" si="10"/>
        <v>0.97820002271577933</v>
      </c>
    </row>
    <row r="60" spans="2:19">
      <c r="B60" s="28" t="s">
        <v>230</v>
      </c>
      <c r="D60" s="3" t="s">
        <v>241</v>
      </c>
      <c r="H60" s="10"/>
      <c r="I60" s="10"/>
      <c r="J60" s="10"/>
      <c r="K60" s="3">
        <v>1</v>
      </c>
      <c r="L60" s="27">
        <f t="shared" ref="L60:M60" si="16">K60*(1-L$54)</f>
        <v>0.999</v>
      </c>
      <c r="M60" s="27">
        <f t="shared" si="16"/>
        <v>0.995004</v>
      </c>
      <c r="N60" s="27">
        <f t="shared" ref="N60:O60" si="17">M60*(1-N$54)</f>
        <v>0.99102398400000002</v>
      </c>
      <c r="O60" s="27">
        <f t="shared" si="17"/>
        <v>0.98705988806400002</v>
      </c>
      <c r="P60" s="27">
        <f t="shared" si="10"/>
        <v>0.98311164851174404</v>
      </c>
      <c r="Q60" s="27">
        <f t="shared" si="10"/>
        <v>0.97917920191769703</v>
      </c>
    </row>
    <row r="61" spans="2:19">
      <c r="B61" s="28" t="s">
        <v>231</v>
      </c>
      <c r="D61" s="3" t="s">
        <v>241</v>
      </c>
      <c r="H61" s="10"/>
      <c r="I61" s="10"/>
      <c r="J61" s="10"/>
      <c r="K61" s="10"/>
      <c r="L61" s="3">
        <v>1</v>
      </c>
      <c r="M61" s="27">
        <f t="shared" ref="M61" si="18">L61*(1-M$54)</f>
        <v>0.996</v>
      </c>
      <c r="N61" s="27">
        <f t="shared" ref="N61:O61" si="19">M61*(1-N$54)</f>
        <v>0.99201600000000001</v>
      </c>
      <c r="O61" s="27">
        <f t="shared" si="19"/>
        <v>0.98804793599999996</v>
      </c>
      <c r="P61" s="27">
        <f t="shared" si="10"/>
        <v>0.98409574425599999</v>
      </c>
      <c r="Q61" s="27">
        <f t="shared" si="10"/>
        <v>0.98015936127897596</v>
      </c>
    </row>
    <row r="62" spans="2:19">
      <c r="B62" s="28" t="s">
        <v>232</v>
      </c>
      <c r="D62" s="3" t="s">
        <v>241</v>
      </c>
      <c r="H62" s="10"/>
      <c r="I62" s="10"/>
      <c r="J62" s="10"/>
      <c r="K62" s="10"/>
      <c r="L62" s="10"/>
      <c r="M62" s="3">
        <v>1</v>
      </c>
      <c r="N62" s="27">
        <f t="shared" ref="N62:O62" si="20">M62*(1-N$54)</f>
        <v>0.996</v>
      </c>
      <c r="O62" s="27">
        <f t="shared" si="20"/>
        <v>0.99201600000000001</v>
      </c>
      <c r="P62" s="27">
        <f t="shared" si="10"/>
        <v>0.98804793599999996</v>
      </c>
      <c r="Q62" s="27">
        <f t="shared" si="10"/>
        <v>0.98409574425599999</v>
      </c>
    </row>
    <row r="63" spans="2:19">
      <c r="B63" s="28" t="s">
        <v>233</v>
      </c>
      <c r="D63" s="3" t="s">
        <v>241</v>
      </c>
      <c r="H63" s="10"/>
      <c r="I63" s="10"/>
      <c r="J63" s="10"/>
      <c r="K63" s="10"/>
      <c r="L63" s="10"/>
      <c r="M63" s="10"/>
      <c r="N63" s="3">
        <v>1</v>
      </c>
      <c r="O63" s="27">
        <f t="shared" ref="O63" si="21">N63*(1-O$54)</f>
        <v>0.996</v>
      </c>
      <c r="P63" s="27">
        <f t="shared" si="10"/>
        <v>0.99201600000000001</v>
      </c>
      <c r="Q63" s="27">
        <f t="shared" si="10"/>
        <v>0.98804793599999996</v>
      </c>
    </row>
    <row r="64" spans="2:19">
      <c r="B64" s="28" t="s">
        <v>234</v>
      </c>
      <c r="D64" s="3" t="s">
        <v>241</v>
      </c>
      <c r="H64" s="10"/>
      <c r="I64" s="10"/>
      <c r="J64" s="10"/>
      <c r="K64" s="10"/>
      <c r="L64" s="10"/>
      <c r="M64" s="10"/>
      <c r="N64" s="10"/>
      <c r="O64" s="3">
        <v>1</v>
      </c>
      <c r="P64" s="27">
        <f t="shared" si="10"/>
        <v>0.996</v>
      </c>
      <c r="Q64" s="27">
        <f t="shared" si="10"/>
        <v>0.99201600000000001</v>
      </c>
    </row>
    <row r="65" spans="2:21">
      <c r="B65" s="28" t="s">
        <v>235</v>
      </c>
      <c r="D65" s="3" t="s">
        <v>241</v>
      </c>
      <c r="H65" s="10"/>
      <c r="I65" s="10"/>
      <c r="J65" s="10"/>
      <c r="K65" s="10"/>
      <c r="L65" s="10"/>
      <c r="M65" s="10"/>
      <c r="N65" s="10"/>
      <c r="O65" s="10"/>
      <c r="P65" s="3">
        <v>1</v>
      </c>
      <c r="Q65" s="27">
        <f>P65*(1-Q$54)</f>
        <v>0.996</v>
      </c>
    </row>
    <row r="66" spans="2:21">
      <c r="B66" s="28" t="s">
        <v>236</v>
      </c>
      <c r="D66" s="3" t="s">
        <v>241</v>
      </c>
      <c r="H66" s="10"/>
      <c r="I66" s="10"/>
      <c r="J66" s="10"/>
      <c r="K66" s="10"/>
      <c r="L66" s="10"/>
      <c r="M66" s="10"/>
      <c r="N66" s="10"/>
      <c r="O66" s="10"/>
      <c r="P66" s="10"/>
      <c r="Q66" s="3">
        <v>1</v>
      </c>
    </row>
    <row r="67" spans="2:21" ht="13.5" customHeight="1"/>
    <row r="68" spans="2:21" s="8" customFormat="1">
      <c r="B68" s="8" t="s">
        <v>242</v>
      </c>
    </row>
    <row r="70" spans="2:21">
      <c r="B70" s="142" t="s">
        <v>242</v>
      </c>
    </row>
    <row r="71" spans="2:21">
      <c r="B71" s="3" t="s">
        <v>123</v>
      </c>
      <c r="L71" s="133">
        <v>0.02</v>
      </c>
      <c r="M71" s="133">
        <v>0.02</v>
      </c>
      <c r="N71" s="133">
        <v>0.02</v>
      </c>
      <c r="O71" s="133">
        <v>0.04</v>
      </c>
      <c r="P71" s="322">
        <v>7.0000000000000007E-2</v>
      </c>
      <c r="Q71" s="322">
        <v>0.05</v>
      </c>
      <c r="S71" s="3" t="s">
        <v>243</v>
      </c>
      <c r="U71" s="3" t="s">
        <v>244</v>
      </c>
    </row>
    <row r="73" spans="2:21">
      <c r="B73" s="2" t="s">
        <v>245</v>
      </c>
    </row>
    <row r="74" spans="2:21">
      <c r="B74" s="28" t="s">
        <v>230</v>
      </c>
      <c r="D74" s="3" t="s">
        <v>246</v>
      </c>
      <c r="H74" s="10"/>
      <c r="I74" s="10"/>
      <c r="J74" s="10"/>
      <c r="K74" s="3">
        <v>1</v>
      </c>
      <c r="L74" s="27">
        <f t="shared" ref="L74:Q74" si="22">K74*(1+L$71)</f>
        <v>1.02</v>
      </c>
      <c r="M74" s="27">
        <f t="shared" si="22"/>
        <v>1.0404</v>
      </c>
      <c r="N74" s="27">
        <f t="shared" si="22"/>
        <v>1.0612079999999999</v>
      </c>
      <c r="O74" s="27">
        <f t="shared" si="22"/>
        <v>1.10365632</v>
      </c>
      <c r="P74" s="27">
        <f t="shared" si="22"/>
        <v>1.1809122624000001</v>
      </c>
      <c r="Q74" s="27">
        <f t="shared" si="22"/>
        <v>1.2399578755200003</v>
      </c>
    </row>
    <row r="75" spans="2:21">
      <c r="B75" s="28" t="s">
        <v>231</v>
      </c>
      <c r="D75" s="3" t="s">
        <v>246</v>
      </c>
      <c r="H75" s="10"/>
      <c r="I75" s="10"/>
      <c r="J75" s="10"/>
      <c r="K75" s="10"/>
      <c r="L75" s="3">
        <v>1</v>
      </c>
      <c r="M75" s="27">
        <f>L75*(1+M$71)</f>
        <v>1.02</v>
      </c>
      <c r="N75" s="27">
        <f>M75*(1+N$71)</f>
        <v>1.0404</v>
      </c>
      <c r="O75" s="27">
        <f>N75*(1+O$71)</f>
        <v>1.0820160000000001</v>
      </c>
      <c r="P75" s="27">
        <f>O75*(1+P$71)</f>
        <v>1.1577571200000001</v>
      </c>
      <c r="Q75" s="27">
        <f>P75*(1+Q$71)</f>
        <v>1.2156449760000001</v>
      </c>
    </row>
    <row r="76" spans="2:21">
      <c r="B76" s="28" t="s">
        <v>232</v>
      </c>
      <c r="D76" s="3" t="s">
        <v>246</v>
      </c>
      <c r="H76" s="10"/>
      <c r="I76" s="10"/>
      <c r="J76" s="10"/>
      <c r="K76" s="10"/>
      <c r="L76" s="10"/>
      <c r="M76" s="3">
        <v>1</v>
      </c>
      <c r="N76" s="27">
        <f>M76*(1+N$71)</f>
        <v>1.02</v>
      </c>
      <c r="O76" s="27">
        <f>N76*(1+O$71)</f>
        <v>1.0608</v>
      </c>
      <c r="P76" s="27">
        <f>O76*(1+P$71)</f>
        <v>1.1350560000000001</v>
      </c>
      <c r="Q76" s="27">
        <f>P76*(1+Q$71)</f>
        <v>1.1918088000000002</v>
      </c>
    </row>
    <row r="77" spans="2:21">
      <c r="B77" s="28" t="s">
        <v>233</v>
      </c>
      <c r="D77" s="3" t="s">
        <v>246</v>
      </c>
      <c r="H77" s="10"/>
      <c r="I77" s="10"/>
      <c r="J77" s="10"/>
      <c r="K77" s="10"/>
      <c r="L77" s="10"/>
      <c r="M77" s="10"/>
      <c r="N77" s="3">
        <v>1</v>
      </c>
      <c r="O77" s="27">
        <f>N77*(1+O$71)</f>
        <v>1.04</v>
      </c>
      <c r="P77" s="27">
        <f>O77*(1+P$71)</f>
        <v>1.1128</v>
      </c>
      <c r="Q77" s="27">
        <f>P77*(1+Q$71)</f>
        <v>1.1684400000000001</v>
      </c>
    </row>
    <row r="78" spans="2:21">
      <c r="B78" s="28" t="s">
        <v>234</v>
      </c>
      <c r="D78" s="3" t="s">
        <v>246</v>
      </c>
      <c r="H78" s="10"/>
      <c r="I78" s="10"/>
      <c r="J78" s="10"/>
      <c r="K78" s="10"/>
      <c r="L78" s="10"/>
      <c r="M78" s="10"/>
      <c r="N78" s="10"/>
      <c r="O78" s="3">
        <v>1</v>
      </c>
      <c r="P78" s="27">
        <f>O78*(1+P$71)</f>
        <v>1.07</v>
      </c>
      <c r="Q78" s="27">
        <f>P78*(1+Q$71)</f>
        <v>1.1235000000000002</v>
      </c>
    </row>
    <row r="79" spans="2:21">
      <c r="B79" s="28" t="s">
        <v>235</v>
      </c>
      <c r="D79" s="3" t="s">
        <v>246</v>
      </c>
      <c r="H79" s="10"/>
      <c r="I79" s="10"/>
      <c r="J79" s="10"/>
      <c r="K79" s="10"/>
      <c r="L79" s="10"/>
      <c r="M79" s="10"/>
      <c r="N79" s="10"/>
      <c r="O79" s="10"/>
      <c r="P79" s="3">
        <v>1</v>
      </c>
      <c r="Q79" s="27">
        <f>P79*(1+Q$71)</f>
        <v>1.05</v>
      </c>
    </row>
    <row r="80" spans="2:21">
      <c r="B80" s="28" t="s">
        <v>236</v>
      </c>
      <c r="D80" s="3" t="s">
        <v>246</v>
      </c>
      <c r="H80" s="10"/>
      <c r="I80" s="10"/>
      <c r="J80" s="10"/>
      <c r="K80" s="10"/>
      <c r="L80" s="10"/>
      <c r="M80" s="10"/>
      <c r="N80" s="10"/>
      <c r="O80" s="10"/>
      <c r="P80" s="10"/>
      <c r="Q80" s="3">
        <v>1</v>
      </c>
    </row>
    <row r="82" spans="2:86" s="8" customFormat="1">
      <c r="B82" s="8" t="s">
        <v>247</v>
      </c>
    </row>
    <row r="84" spans="2:86">
      <c r="B84" s="3" t="s">
        <v>247</v>
      </c>
      <c r="D84" s="3" t="s">
        <v>204</v>
      </c>
      <c r="F84" s="135">
        <v>1</v>
      </c>
      <c r="S84" s="3" t="s">
        <v>217</v>
      </c>
    </row>
    <row r="86" spans="2:86" s="8" customFormat="1">
      <c r="B86" s="8" t="s">
        <v>248</v>
      </c>
    </row>
    <row r="88" spans="2:86">
      <c r="B88" s="3" t="s">
        <v>248</v>
      </c>
      <c r="D88" s="3" t="s">
        <v>204</v>
      </c>
      <c r="F88" s="139">
        <v>1.3</v>
      </c>
      <c r="S88" s="3" t="s">
        <v>217</v>
      </c>
    </row>
    <row r="89" spans="2:86">
      <c r="F89" s="94"/>
    </row>
    <row r="90" spans="2:86" s="8" customFormat="1">
      <c r="B90" s="8" t="s">
        <v>249</v>
      </c>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2"/>
      <c r="CA90" s="112"/>
      <c r="CB90" s="112"/>
      <c r="CC90" s="112"/>
      <c r="CD90" s="112"/>
      <c r="CE90" s="112"/>
      <c r="CF90" s="112"/>
      <c r="CG90" s="112"/>
      <c r="CH90" s="112"/>
    </row>
    <row r="92" spans="2:86">
      <c r="B92" s="3" t="s">
        <v>249</v>
      </c>
      <c r="D92" s="3" t="s">
        <v>204</v>
      </c>
      <c r="F92" s="143">
        <v>0.1</v>
      </c>
      <c r="S92" s="3" t="s">
        <v>217</v>
      </c>
    </row>
    <row r="93" spans="2:86" s="144" customFormat="1">
      <c r="D93" s="145"/>
    </row>
    <row r="94" spans="2:86" s="8" customFormat="1">
      <c r="B94" s="8" t="s">
        <v>250</v>
      </c>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row>
    <row r="96" spans="2:86">
      <c r="B96" s="3" t="s">
        <v>250</v>
      </c>
      <c r="D96" s="3" t="s">
        <v>204</v>
      </c>
      <c r="F96" s="143">
        <v>0.9</v>
      </c>
      <c r="S96" s="3" t="s">
        <v>217</v>
      </c>
      <c r="AQ96"/>
      <c r="AR96"/>
      <c r="AS96"/>
      <c r="AT96"/>
      <c r="AU96"/>
      <c r="AV96"/>
      <c r="AW96"/>
    </row>
    <row r="97" spans="2:86">
      <c r="AQ97"/>
      <c r="AR97"/>
      <c r="AS97"/>
      <c r="AT97"/>
      <c r="AU97"/>
      <c r="AV97"/>
      <c r="AW97"/>
    </row>
    <row r="98" spans="2:86" s="8" customFormat="1">
      <c r="B98" s="8" t="s">
        <v>251</v>
      </c>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row>
    <row r="99" spans="2:86" s="90" customFormat="1">
      <c r="B99" s="107"/>
    </row>
    <row r="100" spans="2:86" s="90" customFormat="1">
      <c r="B100" s="90" t="s">
        <v>252</v>
      </c>
      <c r="D100" s="90" t="s">
        <v>204</v>
      </c>
      <c r="F100" s="143">
        <v>0.25</v>
      </c>
      <c r="S100" s="3" t="s">
        <v>217</v>
      </c>
    </row>
    <row r="101" spans="2:86">
      <c r="B101" s="3" t="s">
        <v>253</v>
      </c>
      <c r="D101" s="3" t="s">
        <v>204</v>
      </c>
      <c r="F101" s="143">
        <v>0.2</v>
      </c>
      <c r="S101" s="3" t="s">
        <v>217</v>
      </c>
    </row>
    <row r="103" spans="2:86" s="8" customFormat="1">
      <c r="B103" s="8" t="s">
        <v>254</v>
      </c>
    </row>
    <row r="105" spans="2:86">
      <c r="B105" s="3" t="s">
        <v>255</v>
      </c>
      <c r="D105" s="3" t="s">
        <v>204</v>
      </c>
      <c r="F105" s="133">
        <v>0.4</v>
      </c>
      <c r="S105" s="3" t="s">
        <v>130</v>
      </c>
    </row>
    <row r="106" spans="2:86">
      <c r="B106" s="3" t="s">
        <v>256</v>
      </c>
      <c r="D106" s="3" t="s">
        <v>204</v>
      </c>
      <c r="F106" s="30">
        <f>1-F105</f>
        <v>0.6</v>
      </c>
      <c r="S106" s="3" t="s">
        <v>130</v>
      </c>
    </row>
    <row r="108" spans="2:86" s="8" customFormat="1">
      <c r="B108" s="8" t="s">
        <v>257</v>
      </c>
    </row>
    <row r="110" spans="2:86">
      <c r="B110" s="3" t="s">
        <v>258</v>
      </c>
      <c r="D110" s="3" t="s">
        <v>204</v>
      </c>
      <c r="F110" s="133">
        <v>0.75</v>
      </c>
      <c r="S110" s="3" t="s">
        <v>130</v>
      </c>
    </row>
    <row r="111" spans="2:86">
      <c r="B111" s="3" t="s">
        <v>259</v>
      </c>
      <c r="D111" s="3" t="s">
        <v>204</v>
      </c>
      <c r="F111" s="133">
        <v>0.94</v>
      </c>
      <c r="S111" s="3" t="s">
        <v>130</v>
      </c>
    </row>
    <row r="112" spans="2:86">
      <c r="B112" s="3" t="s">
        <v>260</v>
      </c>
      <c r="D112" s="3" t="s">
        <v>204</v>
      </c>
      <c r="F112" s="133">
        <v>0.2</v>
      </c>
      <c r="S112" s="3" t="s">
        <v>130</v>
      </c>
    </row>
    <row r="114" spans="2:19" s="8" customFormat="1">
      <c r="B114" s="8" t="s">
        <v>261</v>
      </c>
    </row>
    <row r="116" spans="2:19">
      <c r="B116" s="3" t="s">
        <v>262</v>
      </c>
      <c r="F116" s="93">
        <v>1.25</v>
      </c>
      <c r="S116" s="3" t="s">
        <v>130</v>
      </c>
    </row>
    <row r="117" spans="2:19">
      <c r="B117" s="3" t="s">
        <v>263</v>
      </c>
      <c r="F117" s="93">
        <v>1.5</v>
      </c>
      <c r="S117" s="3" t="s">
        <v>130</v>
      </c>
    </row>
    <row r="118" spans="2:19">
      <c r="B118" s="3" t="s">
        <v>264</v>
      </c>
      <c r="F118" s="93">
        <v>1.75</v>
      </c>
      <c r="S118" s="3" t="s">
        <v>130</v>
      </c>
    </row>
    <row r="119" spans="2:19">
      <c r="B119" s="3" t="s">
        <v>265</v>
      </c>
      <c r="F119" s="93">
        <v>1.75</v>
      </c>
      <c r="S119" s="3" t="s">
        <v>130</v>
      </c>
    </row>
    <row r="121" spans="2:19" s="8" customFormat="1">
      <c r="B121" s="8" t="s">
        <v>266</v>
      </c>
    </row>
    <row r="123" spans="2:19">
      <c r="B123" s="2" t="s">
        <v>267</v>
      </c>
      <c r="F123" s="25"/>
    </row>
    <row r="124" spans="2:19">
      <c r="B124" s="3" t="s">
        <v>268</v>
      </c>
      <c r="F124" s="93">
        <v>1.482</v>
      </c>
      <c r="S124" s="3" t="s">
        <v>130</v>
      </c>
    </row>
    <row r="125" spans="2:19">
      <c r="B125" s="3" t="s">
        <v>269</v>
      </c>
      <c r="F125" s="93">
        <v>0.78400000000000003</v>
      </c>
      <c r="S125" s="3" t="s">
        <v>130</v>
      </c>
    </row>
    <row r="126" spans="2:19">
      <c r="B126" s="3" t="s">
        <v>270</v>
      </c>
      <c r="F126" s="93">
        <v>0.629</v>
      </c>
      <c r="S126" s="3" t="s">
        <v>130</v>
      </c>
    </row>
    <row r="127" spans="2:19">
      <c r="B127" s="3" t="s">
        <v>271</v>
      </c>
      <c r="F127" s="93">
        <v>1.105</v>
      </c>
      <c r="S127" s="3" t="s">
        <v>130</v>
      </c>
    </row>
    <row r="129" spans="2:19">
      <c r="B129" s="2" t="s">
        <v>272</v>
      </c>
    </row>
    <row r="130" spans="2:19">
      <c r="B130" s="3" t="s">
        <v>173</v>
      </c>
      <c r="F130" s="93">
        <v>1.7150000000000001</v>
      </c>
      <c r="S130" s="3" t="s">
        <v>130</v>
      </c>
    </row>
    <row r="131" spans="2:19">
      <c r="B131" s="3" t="s">
        <v>174</v>
      </c>
      <c r="F131" s="93">
        <v>1.5329999999999999</v>
      </c>
      <c r="S131" s="3" t="s">
        <v>130</v>
      </c>
    </row>
    <row r="132" spans="2:19">
      <c r="B132" s="3" t="s">
        <v>175</v>
      </c>
      <c r="F132" s="93">
        <v>1.1990000000000001</v>
      </c>
      <c r="S132" s="3" t="s">
        <v>130</v>
      </c>
    </row>
    <row r="133" spans="2:19">
      <c r="B133" s="3" t="s">
        <v>176</v>
      </c>
      <c r="F133" s="93">
        <v>0.89400000000000002</v>
      </c>
      <c r="S133" s="3" t="s">
        <v>130</v>
      </c>
    </row>
    <row r="134" spans="2:19">
      <c r="B134" s="3" t="s">
        <v>177</v>
      </c>
      <c r="F134" s="93">
        <v>0.79200000000000004</v>
      </c>
      <c r="S134" s="3" t="s">
        <v>130</v>
      </c>
    </row>
    <row r="135" spans="2:19">
      <c r="B135" s="3" t="s">
        <v>178</v>
      </c>
      <c r="F135" s="93">
        <v>0.66500000000000004</v>
      </c>
      <c r="S135" s="3" t="s">
        <v>130</v>
      </c>
    </row>
    <row r="136" spans="2:19">
      <c r="B136" s="3" t="s">
        <v>179</v>
      </c>
      <c r="F136" s="93">
        <v>0.628</v>
      </c>
      <c r="S136" s="3" t="s">
        <v>130</v>
      </c>
    </row>
    <row r="137" spans="2:19">
      <c r="B137" s="3" t="s">
        <v>180</v>
      </c>
      <c r="F137" s="93">
        <v>0.59699999999999998</v>
      </c>
      <c r="S137" s="3" t="s">
        <v>130</v>
      </c>
    </row>
    <row r="138" spans="2:19">
      <c r="B138" s="3" t="s">
        <v>181</v>
      </c>
      <c r="F138" s="93">
        <v>0.66300000000000003</v>
      </c>
      <c r="S138" s="3" t="s">
        <v>130</v>
      </c>
    </row>
    <row r="139" spans="2:19">
      <c r="B139" s="3" t="s">
        <v>182</v>
      </c>
      <c r="F139" s="93">
        <v>0.76100000000000001</v>
      </c>
      <c r="S139" s="3" t="s">
        <v>130</v>
      </c>
    </row>
    <row r="140" spans="2:19">
      <c r="B140" s="3" t="s">
        <v>183</v>
      </c>
      <c r="F140" s="309">
        <v>1.1299999999999999</v>
      </c>
      <c r="S140" s="3" t="s">
        <v>130</v>
      </c>
    </row>
    <row r="141" spans="2:19">
      <c r="B141" s="3" t="s">
        <v>184</v>
      </c>
      <c r="F141" s="93">
        <v>1.4239999999999999</v>
      </c>
      <c r="S141" s="3" t="s">
        <v>130</v>
      </c>
    </row>
    <row r="143" spans="2:19">
      <c r="B143" s="2" t="s">
        <v>273</v>
      </c>
    </row>
    <row r="144" spans="2:19">
      <c r="B144" s="3" t="s">
        <v>173</v>
      </c>
      <c r="F144" s="93">
        <v>1.7729999999999999</v>
      </c>
      <c r="S144" s="3" t="s">
        <v>130</v>
      </c>
    </row>
    <row r="145" spans="2:19">
      <c r="B145" s="3" t="s">
        <v>174</v>
      </c>
      <c r="F145" s="93">
        <v>1.585</v>
      </c>
      <c r="S145" s="3" t="s">
        <v>130</v>
      </c>
    </row>
    <row r="146" spans="2:19">
      <c r="B146" s="3" t="s">
        <v>175</v>
      </c>
      <c r="F146" s="93">
        <v>1.2390000000000001</v>
      </c>
      <c r="S146" s="3" t="s">
        <v>130</v>
      </c>
    </row>
    <row r="147" spans="2:19">
      <c r="B147" s="3" t="s">
        <v>176</v>
      </c>
      <c r="F147" s="93">
        <v>0.92400000000000004</v>
      </c>
      <c r="S147" s="3" t="s">
        <v>130</v>
      </c>
    </row>
    <row r="148" spans="2:19">
      <c r="B148" s="3" t="s">
        <v>177</v>
      </c>
      <c r="F148" s="93">
        <v>0.81899999999999995</v>
      </c>
      <c r="S148" s="3" t="s">
        <v>130</v>
      </c>
    </row>
    <row r="149" spans="2:19">
      <c r="B149" s="3" t="s">
        <v>178</v>
      </c>
      <c r="F149" s="93">
        <v>0.68799999999999994</v>
      </c>
      <c r="S149" s="3" t="s">
        <v>130</v>
      </c>
    </row>
    <row r="150" spans="2:19">
      <c r="B150" s="3" t="s">
        <v>179</v>
      </c>
      <c r="F150" s="93">
        <v>0.64900000000000002</v>
      </c>
      <c r="S150" s="3" t="s">
        <v>130</v>
      </c>
    </row>
    <row r="151" spans="2:19">
      <c r="B151" s="3" t="s">
        <v>180</v>
      </c>
      <c r="F151" s="93">
        <v>0.61799999999999999</v>
      </c>
      <c r="S151" s="3" t="s">
        <v>130</v>
      </c>
    </row>
    <row r="152" spans="2:19">
      <c r="B152" s="3" t="s">
        <v>181</v>
      </c>
      <c r="F152" s="93">
        <v>0.68600000000000005</v>
      </c>
      <c r="S152" s="3" t="s">
        <v>130</v>
      </c>
    </row>
    <row r="153" spans="2:19">
      <c r="B153" s="3" t="s">
        <v>182</v>
      </c>
      <c r="F153" s="93">
        <v>0.78700000000000003</v>
      </c>
      <c r="S153" s="3" t="s">
        <v>130</v>
      </c>
    </row>
    <row r="154" spans="2:19">
      <c r="B154" s="3" t="s">
        <v>183</v>
      </c>
      <c r="F154" s="93">
        <v>1.1679999999999999</v>
      </c>
      <c r="S154" s="3" t="s">
        <v>130</v>
      </c>
    </row>
    <row r="155" spans="2:19">
      <c r="B155" s="3" t="s">
        <v>184</v>
      </c>
      <c r="F155" s="93">
        <v>1.472</v>
      </c>
      <c r="S155" s="3" t="s">
        <v>130</v>
      </c>
    </row>
    <row r="157" spans="2:19" s="8" customFormat="1">
      <c r="B157" s="8" t="s">
        <v>274</v>
      </c>
    </row>
    <row r="159" spans="2:19">
      <c r="B159" s="2" t="s">
        <v>275</v>
      </c>
      <c r="F159" s="25"/>
    </row>
    <row r="160" spans="2:19">
      <c r="B160" s="3" t="s">
        <v>173</v>
      </c>
      <c r="F160" s="93">
        <v>31</v>
      </c>
    </row>
    <row r="161" spans="2:6">
      <c r="B161" s="3" t="s">
        <v>174</v>
      </c>
      <c r="F161" s="93">
        <v>28</v>
      </c>
    </row>
    <row r="162" spans="2:6">
      <c r="B162" s="3" t="s">
        <v>175</v>
      </c>
      <c r="F162" s="93">
        <v>31</v>
      </c>
    </row>
    <row r="163" spans="2:6">
      <c r="B163" s="3" t="s">
        <v>176</v>
      </c>
      <c r="F163" s="93">
        <v>30</v>
      </c>
    </row>
    <row r="164" spans="2:6">
      <c r="B164" s="3" t="s">
        <v>177</v>
      </c>
      <c r="F164" s="93">
        <v>31</v>
      </c>
    </row>
    <row r="165" spans="2:6">
      <c r="B165" s="3" t="s">
        <v>178</v>
      </c>
      <c r="F165" s="93">
        <v>30</v>
      </c>
    </row>
    <row r="166" spans="2:6">
      <c r="B166" s="3" t="s">
        <v>179</v>
      </c>
      <c r="F166" s="93">
        <v>31</v>
      </c>
    </row>
    <row r="167" spans="2:6">
      <c r="B167" s="3" t="s">
        <v>180</v>
      </c>
      <c r="F167" s="93">
        <v>31</v>
      </c>
    </row>
    <row r="168" spans="2:6">
      <c r="B168" s="3" t="s">
        <v>181</v>
      </c>
      <c r="F168" s="93">
        <v>30</v>
      </c>
    </row>
    <row r="169" spans="2:6">
      <c r="B169" s="3" t="s">
        <v>182</v>
      </c>
      <c r="F169" s="93">
        <v>31</v>
      </c>
    </row>
    <row r="170" spans="2:6">
      <c r="B170" s="3" t="s">
        <v>183</v>
      </c>
      <c r="F170" s="93">
        <v>30</v>
      </c>
    </row>
    <row r="171" spans="2:6">
      <c r="B171" s="3" t="s">
        <v>184</v>
      </c>
      <c r="F171" s="93">
        <v>31</v>
      </c>
    </row>
    <row r="173" spans="2:6">
      <c r="B173" s="2" t="s">
        <v>276</v>
      </c>
    </row>
    <row r="174" spans="2:6">
      <c r="B174" s="3" t="s">
        <v>268</v>
      </c>
      <c r="F174" s="31">
        <f>SUM(F160:F162)</f>
        <v>90</v>
      </c>
    </row>
    <row r="175" spans="2:6">
      <c r="B175" s="3" t="s">
        <v>269</v>
      </c>
      <c r="F175" s="31">
        <f>SUM(F163:F165)</f>
        <v>91</v>
      </c>
    </row>
    <row r="176" spans="2:6">
      <c r="B176" s="3" t="s">
        <v>270</v>
      </c>
      <c r="F176" s="31">
        <f>SUM(F166:F168)</f>
        <v>92</v>
      </c>
    </row>
    <row r="177" spans="2:19">
      <c r="B177" s="3" t="s">
        <v>271</v>
      </c>
      <c r="F177" s="31">
        <f>SUM(F169:F171)</f>
        <v>92</v>
      </c>
    </row>
    <row r="179" spans="2:19">
      <c r="B179" s="2" t="s">
        <v>277</v>
      </c>
    </row>
    <row r="180" spans="2:19">
      <c r="B180" s="3" t="s">
        <v>278</v>
      </c>
      <c r="F180" s="93">
        <v>24</v>
      </c>
    </row>
    <row r="181" spans="2:19">
      <c r="B181" s="3" t="s">
        <v>279</v>
      </c>
      <c r="F181" s="31">
        <f>SUM(F160:F171)</f>
        <v>365</v>
      </c>
    </row>
    <row r="182" spans="2:19">
      <c r="B182" s="3" t="s">
        <v>280</v>
      </c>
      <c r="F182" s="31">
        <f>F180*F181</f>
        <v>8760</v>
      </c>
    </row>
    <row r="184" spans="2:19" s="8" customFormat="1">
      <c r="B184" s="8" t="s">
        <v>281</v>
      </c>
    </row>
    <row r="186" spans="2:19">
      <c r="B186" s="2" t="s">
        <v>282</v>
      </c>
    </row>
    <row r="187" spans="2:19">
      <c r="B187" s="3" t="s">
        <v>283</v>
      </c>
      <c r="F187" s="135">
        <v>8.9999999999999998E-4</v>
      </c>
      <c r="H187" s="5"/>
      <c r="S187" s="3" t="s">
        <v>130</v>
      </c>
    </row>
    <row r="188" spans="2:19">
      <c r="B188" s="3" t="s">
        <v>284</v>
      </c>
      <c r="F188" s="135">
        <v>0.25779999999999997</v>
      </c>
      <c r="H188" s="5"/>
      <c r="S188" s="3" t="s">
        <v>130</v>
      </c>
    </row>
    <row r="189" spans="2:19">
      <c r="B189" s="3" t="s">
        <v>285</v>
      </c>
      <c r="F189" s="135">
        <v>0.97950000000000004</v>
      </c>
      <c r="S189" s="3" t="s">
        <v>130</v>
      </c>
    </row>
    <row r="190" spans="2:19">
      <c r="B190" s="3" t="s">
        <v>286</v>
      </c>
      <c r="F190" s="135">
        <v>1E-4</v>
      </c>
      <c r="S190" s="3" t="s">
        <v>130</v>
      </c>
    </row>
    <row r="191" spans="2:19">
      <c r="B191" s="3" t="s">
        <v>287</v>
      </c>
      <c r="F191" s="135">
        <v>1E-4</v>
      </c>
      <c r="S191" s="3" t="s">
        <v>130</v>
      </c>
    </row>
    <row r="192" spans="2:19">
      <c r="B192" s="3" t="s">
        <v>288</v>
      </c>
      <c r="F192" s="135">
        <v>1E-4</v>
      </c>
      <c r="S192" s="3" t="s">
        <v>130</v>
      </c>
    </row>
    <row r="193" spans="2:19">
      <c r="B193" s="3" t="s">
        <v>289</v>
      </c>
      <c r="F193" s="135">
        <v>1E-4</v>
      </c>
      <c r="S193" s="3" t="s">
        <v>130</v>
      </c>
    </row>
    <row r="194" spans="2:19">
      <c r="B194" s="3" t="s">
        <v>290</v>
      </c>
      <c r="F194" s="135">
        <v>1E-4</v>
      </c>
      <c r="S194" s="3" t="s">
        <v>130</v>
      </c>
    </row>
    <row r="195" spans="2:19">
      <c r="B195" s="3" t="s">
        <v>291</v>
      </c>
      <c r="F195" s="135">
        <v>0.51200000000000001</v>
      </c>
      <c r="S195" s="3" t="s">
        <v>130</v>
      </c>
    </row>
    <row r="196" spans="2:19">
      <c r="B196" s="3" t="s">
        <v>292</v>
      </c>
      <c r="F196" s="135">
        <v>0.64590000000000003</v>
      </c>
      <c r="S196" s="3" t="s">
        <v>130</v>
      </c>
    </row>
    <row r="197" spans="2:19">
      <c r="B197" s="3" t="s">
        <v>293</v>
      </c>
      <c r="F197" s="135">
        <v>0.625</v>
      </c>
      <c r="S197" s="3" t="s">
        <v>130</v>
      </c>
    </row>
    <row r="198" spans="2:19">
      <c r="B198" s="3" t="s">
        <v>294</v>
      </c>
      <c r="F198" s="135">
        <v>1E-4</v>
      </c>
      <c r="S198" s="3" t="s">
        <v>130</v>
      </c>
    </row>
    <row r="199" spans="2:19">
      <c r="B199" s="3" t="s">
        <v>295</v>
      </c>
      <c r="F199" s="135">
        <v>0.31780000000000003</v>
      </c>
      <c r="S199" s="3" t="s">
        <v>130</v>
      </c>
    </row>
    <row r="200" spans="2:19">
      <c r="B200" s="3" t="s">
        <v>296</v>
      </c>
      <c r="F200" s="135">
        <v>5.1700000000000003E-2</v>
      </c>
      <c r="S200" s="3" t="s">
        <v>130</v>
      </c>
    </row>
    <row r="201" spans="2:19">
      <c r="B201" s="3" t="s">
        <v>156</v>
      </c>
      <c r="F201" s="135">
        <v>1E-4</v>
      </c>
      <c r="S201" s="3" t="s">
        <v>130</v>
      </c>
    </row>
    <row r="203" spans="2:19">
      <c r="B203" s="2" t="s">
        <v>297</v>
      </c>
    </row>
    <row r="204" spans="2:19">
      <c r="B204" s="3" t="s">
        <v>283</v>
      </c>
      <c r="F204" s="135">
        <v>1E-4</v>
      </c>
      <c r="S204" s="3" t="s">
        <v>130</v>
      </c>
    </row>
    <row r="205" spans="2:19">
      <c r="B205" s="3" t="s">
        <v>284</v>
      </c>
      <c r="F205" s="135">
        <v>1E-4</v>
      </c>
      <c r="S205" s="3" t="s">
        <v>130</v>
      </c>
    </row>
    <row r="206" spans="2:19">
      <c r="B206" s="3" t="s">
        <v>285</v>
      </c>
      <c r="F206" s="135">
        <v>1E-4</v>
      </c>
      <c r="S206" s="3" t="s">
        <v>130</v>
      </c>
    </row>
    <row r="207" spans="2:19">
      <c r="B207" s="3" t="s">
        <v>286</v>
      </c>
      <c r="F207" s="135">
        <v>0.71899999999999997</v>
      </c>
      <c r="S207" s="3" t="s">
        <v>130</v>
      </c>
    </row>
    <row r="208" spans="2:19">
      <c r="B208" s="3" t="s">
        <v>287</v>
      </c>
      <c r="F208" s="135">
        <v>0.49359999999999998</v>
      </c>
      <c r="S208" s="3" t="s">
        <v>130</v>
      </c>
    </row>
    <row r="209" spans="2:19">
      <c r="B209" s="3" t="s">
        <v>288</v>
      </c>
      <c r="F209" s="135">
        <v>0.33329999999999999</v>
      </c>
      <c r="S209" s="3" t="s">
        <v>130</v>
      </c>
    </row>
    <row r="210" spans="2:19">
      <c r="B210" s="3" t="s">
        <v>289</v>
      </c>
      <c r="F210" s="135">
        <v>0.95730000000000004</v>
      </c>
      <c r="S210" s="3" t="s">
        <v>130</v>
      </c>
    </row>
    <row r="211" spans="2:19">
      <c r="B211" s="3" t="s">
        <v>290</v>
      </c>
      <c r="F211" s="135">
        <v>0.1525</v>
      </c>
      <c r="S211" s="3" t="s">
        <v>130</v>
      </c>
    </row>
    <row r="212" spans="2:19">
      <c r="B212" s="3" t="s">
        <v>291</v>
      </c>
      <c r="F212" s="135">
        <v>0.15459999999999999</v>
      </c>
      <c r="S212" s="3" t="s">
        <v>130</v>
      </c>
    </row>
    <row r="213" spans="2:19">
      <c r="B213" s="3" t="s">
        <v>292</v>
      </c>
      <c r="F213" s="135">
        <v>1E-4</v>
      </c>
      <c r="S213" s="3" t="s">
        <v>130</v>
      </c>
    </row>
    <row r="214" spans="2:19">
      <c r="B214" s="3" t="s">
        <v>293</v>
      </c>
      <c r="F214" s="135">
        <v>0.374</v>
      </c>
      <c r="S214" s="3" t="s">
        <v>130</v>
      </c>
    </row>
    <row r="215" spans="2:19">
      <c r="B215" s="3" t="s">
        <v>294</v>
      </c>
      <c r="F215" s="135">
        <v>1.3299999999999999E-2</v>
      </c>
      <c r="S215" s="3" t="s">
        <v>130</v>
      </c>
    </row>
    <row r="216" spans="2:19">
      <c r="B216" s="3" t="s">
        <v>295</v>
      </c>
      <c r="F216" s="135">
        <v>1E-4</v>
      </c>
      <c r="S216" s="3" t="s">
        <v>130</v>
      </c>
    </row>
    <row r="217" spans="2:19">
      <c r="B217" s="3" t="s">
        <v>296</v>
      </c>
      <c r="F217" s="135">
        <v>0.36770000000000003</v>
      </c>
      <c r="S217" s="3" t="s">
        <v>130</v>
      </c>
    </row>
    <row r="218" spans="2:19">
      <c r="B218" s="3" t="s">
        <v>156</v>
      </c>
      <c r="F218" s="135">
        <v>1E-4</v>
      </c>
      <c r="S218" s="3" t="s">
        <v>130</v>
      </c>
    </row>
  </sheetData>
  <mergeCells count="4">
    <mergeCell ref="B5:D5"/>
    <mergeCell ref="U24:AA24"/>
    <mergeCell ref="U25:AA25"/>
    <mergeCell ref="U37:AA37"/>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174:F177"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0450-B3CE-412D-81EA-E09D98F7AE70}">
  <sheetPr>
    <tabColor rgb="FFCCFFCC"/>
  </sheetPr>
  <dimension ref="A2:CH229"/>
  <sheetViews>
    <sheetView showGridLines="0" zoomScale="85" zoomScaleNormal="85" workbookViewId="0"/>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6" width="20" style="3" bestFit="1" customWidth="1"/>
    <col min="7" max="7" width="68.5703125" style="3" bestFit="1" customWidth="1"/>
    <col min="8" max="8" width="25.42578125" style="3" customWidth="1"/>
    <col min="9" max="16384" width="13.5703125" style="3"/>
  </cols>
  <sheetData>
    <row r="2" spans="1:12" s="12" customFormat="1" ht="18">
      <c r="B2" s="12" t="s">
        <v>298</v>
      </c>
    </row>
    <row r="4" spans="1:12">
      <c r="B4" s="16" t="s">
        <v>299</v>
      </c>
    </row>
    <row r="5" spans="1:12" ht="58.5" customHeight="1">
      <c r="B5" s="346" t="s">
        <v>300</v>
      </c>
      <c r="C5" s="346"/>
      <c r="D5" s="346"/>
      <c r="E5" s="346"/>
    </row>
    <row r="7" spans="1:12" s="8" customFormat="1">
      <c r="A7" s="150"/>
      <c r="B7" s="8" t="s">
        <v>157</v>
      </c>
      <c r="G7" s="46"/>
      <c r="H7" s="46"/>
      <c r="I7" s="46"/>
      <c r="J7" s="46"/>
      <c r="K7" s="46"/>
      <c r="L7" s="46"/>
    </row>
    <row r="8" spans="1:12" ht="12" customHeight="1"/>
    <row r="9" spans="1:12" s="8" customFormat="1">
      <c r="A9" s="150"/>
      <c r="B9" s="8" t="s">
        <v>301</v>
      </c>
      <c r="D9" s="8" t="s">
        <v>302</v>
      </c>
      <c r="E9" s="8" t="s">
        <v>303</v>
      </c>
      <c r="G9" s="8" t="s">
        <v>201</v>
      </c>
      <c r="H9" s="182"/>
      <c r="I9" s="182"/>
    </row>
    <row r="11" spans="1:12">
      <c r="B11" s="93" t="s">
        <v>304</v>
      </c>
      <c r="D11" s="93">
        <v>55</v>
      </c>
      <c r="E11" s="93">
        <v>1</v>
      </c>
      <c r="G11" s="3" t="s">
        <v>305</v>
      </c>
    </row>
    <row r="12" spans="1:12">
      <c r="B12" s="93" t="s">
        <v>306</v>
      </c>
      <c r="D12" s="93">
        <v>55</v>
      </c>
      <c r="E12" s="93">
        <v>0</v>
      </c>
      <c r="G12" s="3" t="s">
        <v>305</v>
      </c>
    </row>
    <row r="13" spans="1:12">
      <c r="B13" s="93" t="s">
        <v>307</v>
      </c>
      <c r="D13" s="93">
        <v>55</v>
      </c>
      <c r="E13" s="93">
        <v>0</v>
      </c>
      <c r="G13" s="3" t="s">
        <v>305</v>
      </c>
    </row>
    <row r="14" spans="1:12">
      <c r="B14" s="93" t="s">
        <v>308</v>
      </c>
      <c r="D14" s="93">
        <v>30</v>
      </c>
      <c r="E14" s="93">
        <v>0</v>
      </c>
      <c r="G14" s="3" t="s">
        <v>305</v>
      </c>
    </row>
    <row r="15" spans="1:12">
      <c r="B15" s="93" t="s">
        <v>309</v>
      </c>
      <c r="D15" s="93">
        <v>30</v>
      </c>
      <c r="E15" s="93">
        <v>0</v>
      </c>
      <c r="G15" s="3" t="s">
        <v>305</v>
      </c>
    </row>
    <row r="16" spans="1:12">
      <c r="B16" s="93" t="s">
        <v>310</v>
      </c>
      <c r="D16" s="93">
        <v>5</v>
      </c>
      <c r="E16" s="93">
        <v>1</v>
      </c>
      <c r="G16" s="3" t="s">
        <v>305</v>
      </c>
    </row>
    <row r="17" spans="2:7">
      <c r="B17" s="93" t="s">
        <v>311</v>
      </c>
      <c r="D17" s="93">
        <v>0</v>
      </c>
      <c r="E17" s="93">
        <v>0</v>
      </c>
      <c r="G17" s="3" t="s">
        <v>305</v>
      </c>
    </row>
    <row r="18" spans="2:7">
      <c r="B18" s="93" t="s">
        <v>312</v>
      </c>
      <c r="D18" s="93">
        <v>0</v>
      </c>
      <c r="E18" s="93">
        <v>0</v>
      </c>
      <c r="G18" s="3" t="s">
        <v>305</v>
      </c>
    </row>
    <row r="19" spans="2:7">
      <c r="B19" s="93" t="s">
        <v>313</v>
      </c>
      <c r="D19" s="93">
        <v>10</v>
      </c>
      <c r="E19" s="93">
        <v>0</v>
      </c>
      <c r="G19" s="3" t="s">
        <v>305</v>
      </c>
    </row>
    <row r="20" spans="2:7">
      <c r="B20" s="293" t="s">
        <v>314</v>
      </c>
      <c r="C20" s="293"/>
      <c r="D20" s="293">
        <v>10</v>
      </c>
      <c r="E20" s="293">
        <v>0</v>
      </c>
      <c r="G20" s="3" t="s">
        <v>315</v>
      </c>
    </row>
    <row r="21" spans="2:7">
      <c r="B21" s="93" t="s">
        <v>316</v>
      </c>
      <c r="D21" s="93">
        <v>10</v>
      </c>
      <c r="E21" s="93">
        <v>0</v>
      </c>
      <c r="G21" s="3" t="s">
        <v>305</v>
      </c>
    </row>
    <row r="22" spans="2:7">
      <c r="B22" s="93" t="s">
        <v>317</v>
      </c>
      <c r="D22" s="93">
        <v>30</v>
      </c>
      <c r="E22" s="93">
        <v>0</v>
      </c>
      <c r="G22" s="3" t="s">
        <v>305</v>
      </c>
    </row>
    <row r="23" spans="2:7">
      <c r="B23" s="93" t="s">
        <v>318</v>
      </c>
      <c r="D23" s="93">
        <v>30</v>
      </c>
      <c r="E23" s="93">
        <v>0</v>
      </c>
      <c r="G23" s="3" t="s">
        <v>305</v>
      </c>
    </row>
    <row r="24" spans="2:7">
      <c r="B24" s="93" t="s">
        <v>319</v>
      </c>
      <c r="D24" s="93">
        <v>30</v>
      </c>
      <c r="E24" s="93">
        <v>0</v>
      </c>
      <c r="G24" s="3" t="s">
        <v>305</v>
      </c>
    </row>
    <row r="25" spans="2:7">
      <c r="B25" s="93" t="s">
        <v>320</v>
      </c>
      <c r="D25" s="93">
        <v>55</v>
      </c>
      <c r="E25" s="93">
        <v>0</v>
      </c>
      <c r="G25" s="3" t="s">
        <v>305</v>
      </c>
    </row>
    <row r="26" spans="2:7">
      <c r="B26" s="93" t="s">
        <v>321</v>
      </c>
      <c r="D26" s="93">
        <v>10</v>
      </c>
      <c r="E26" s="93">
        <v>0</v>
      </c>
      <c r="G26" s="3" t="s">
        <v>305</v>
      </c>
    </row>
    <row r="27" spans="2:7">
      <c r="B27" s="93" t="s">
        <v>322</v>
      </c>
      <c r="D27" s="93">
        <v>10</v>
      </c>
      <c r="E27" s="93">
        <v>1</v>
      </c>
      <c r="G27" s="3" t="s">
        <v>305</v>
      </c>
    </row>
    <row r="28" spans="2:7">
      <c r="B28" s="93" t="s">
        <v>323</v>
      </c>
      <c r="D28" s="93">
        <v>10</v>
      </c>
      <c r="E28" s="93">
        <v>1</v>
      </c>
      <c r="G28" s="3" t="s">
        <v>305</v>
      </c>
    </row>
    <row r="29" spans="2:7">
      <c r="B29" s="93" t="s">
        <v>324</v>
      </c>
      <c r="D29" s="93">
        <v>10</v>
      </c>
      <c r="E29" s="93">
        <v>0</v>
      </c>
      <c r="G29" s="3" t="s">
        <v>305</v>
      </c>
    </row>
    <row r="30" spans="2:7">
      <c r="B30" s="93" t="s">
        <v>325</v>
      </c>
      <c r="D30" s="93">
        <v>10</v>
      </c>
      <c r="E30" s="93">
        <v>0</v>
      </c>
      <c r="G30" s="3" t="s">
        <v>305</v>
      </c>
    </row>
    <row r="31" spans="2:7">
      <c r="B31" s="93" t="s">
        <v>326</v>
      </c>
      <c r="D31" s="93">
        <v>10</v>
      </c>
      <c r="E31" s="93">
        <v>0</v>
      </c>
      <c r="G31" s="3" t="s">
        <v>305</v>
      </c>
    </row>
    <row r="32" spans="2:7">
      <c r="B32" s="93" t="s">
        <v>327</v>
      </c>
      <c r="D32" s="93">
        <v>10</v>
      </c>
      <c r="E32" s="93">
        <v>1</v>
      </c>
      <c r="G32" s="3" t="s">
        <v>305</v>
      </c>
    </row>
    <row r="33" spans="2:7">
      <c r="B33" s="93" t="s">
        <v>328</v>
      </c>
      <c r="D33" s="93">
        <v>10</v>
      </c>
      <c r="E33" s="93">
        <v>0</v>
      </c>
      <c r="G33" s="3" t="s">
        <v>305</v>
      </c>
    </row>
    <row r="34" spans="2:7">
      <c r="B34" s="93" t="s">
        <v>329</v>
      </c>
      <c r="D34" s="93">
        <v>10</v>
      </c>
      <c r="E34" s="93">
        <v>0</v>
      </c>
      <c r="G34" s="3" t="s">
        <v>305</v>
      </c>
    </row>
    <row r="35" spans="2:7">
      <c r="B35" s="93" t="s">
        <v>330</v>
      </c>
      <c r="D35" s="93">
        <v>10</v>
      </c>
      <c r="E35" s="93">
        <v>0</v>
      </c>
      <c r="G35" s="3" t="s">
        <v>305</v>
      </c>
    </row>
    <row r="36" spans="2:7">
      <c r="B36" s="93" t="s">
        <v>331</v>
      </c>
      <c r="D36" s="93">
        <v>10</v>
      </c>
      <c r="E36" s="93">
        <v>1</v>
      </c>
      <c r="G36" s="3" t="s">
        <v>305</v>
      </c>
    </row>
    <row r="37" spans="2:7">
      <c r="B37" s="93" t="s">
        <v>332</v>
      </c>
      <c r="D37" s="93">
        <v>10</v>
      </c>
      <c r="E37" s="93">
        <v>1</v>
      </c>
      <c r="G37" s="3" t="s">
        <v>305</v>
      </c>
    </row>
    <row r="38" spans="2:7">
      <c r="B38" s="93" t="s">
        <v>333</v>
      </c>
      <c r="D38" s="93">
        <v>10</v>
      </c>
      <c r="E38" s="93">
        <v>0</v>
      </c>
      <c r="G38" s="3" t="s">
        <v>305</v>
      </c>
    </row>
    <row r="39" spans="2:7">
      <c r="B39" s="93" t="s">
        <v>334</v>
      </c>
      <c r="D39" s="93">
        <v>10</v>
      </c>
      <c r="E39" s="93">
        <v>1</v>
      </c>
      <c r="G39" s="3" t="s">
        <v>305</v>
      </c>
    </row>
    <row r="40" spans="2:7">
      <c r="B40" s="93" t="s">
        <v>335</v>
      </c>
      <c r="D40" s="93">
        <v>10</v>
      </c>
      <c r="E40" s="93">
        <v>0</v>
      </c>
      <c r="G40" s="3" t="s">
        <v>305</v>
      </c>
    </row>
    <row r="41" spans="2:7">
      <c r="B41" s="93" t="s">
        <v>336</v>
      </c>
      <c r="D41" s="93">
        <v>10</v>
      </c>
      <c r="E41" s="93">
        <v>0</v>
      </c>
      <c r="G41" s="3" t="s">
        <v>305</v>
      </c>
    </row>
    <row r="42" spans="2:7">
      <c r="B42" s="93" t="s">
        <v>337</v>
      </c>
      <c r="D42" s="93">
        <v>30</v>
      </c>
      <c r="E42" s="93">
        <v>1</v>
      </c>
      <c r="G42" s="3" t="s">
        <v>305</v>
      </c>
    </row>
    <row r="43" spans="2:7">
      <c r="B43" s="93" t="s">
        <v>338</v>
      </c>
      <c r="D43" s="93">
        <v>30</v>
      </c>
      <c r="E43" s="93">
        <v>0</v>
      </c>
      <c r="G43" s="3" t="s">
        <v>305</v>
      </c>
    </row>
    <row r="44" spans="2:7">
      <c r="B44" s="93" t="s">
        <v>339</v>
      </c>
      <c r="D44" s="93">
        <v>30</v>
      </c>
      <c r="E44" s="93">
        <v>0</v>
      </c>
      <c r="G44" s="3" t="s">
        <v>305</v>
      </c>
    </row>
    <row r="45" spans="2:7">
      <c r="B45" s="93" t="s">
        <v>340</v>
      </c>
      <c r="D45" s="93">
        <v>30</v>
      </c>
      <c r="E45" s="93">
        <v>0</v>
      </c>
      <c r="G45" s="3" t="s">
        <v>305</v>
      </c>
    </row>
    <row r="46" spans="2:7">
      <c r="B46" s="93" t="s">
        <v>341</v>
      </c>
      <c r="D46" s="93">
        <v>30</v>
      </c>
      <c r="E46" s="93">
        <v>0</v>
      </c>
      <c r="G46" s="3" t="s">
        <v>305</v>
      </c>
    </row>
    <row r="47" spans="2:7">
      <c r="B47" s="93" t="s">
        <v>342</v>
      </c>
      <c r="D47" s="93">
        <v>30</v>
      </c>
      <c r="E47" s="93">
        <v>1</v>
      </c>
      <c r="G47" s="3" t="s">
        <v>305</v>
      </c>
    </row>
    <row r="48" spans="2:7">
      <c r="B48" s="93" t="s">
        <v>343</v>
      </c>
      <c r="D48" s="93">
        <v>30</v>
      </c>
      <c r="E48" s="93">
        <v>1</v>
      </c>
      <c r="G48" s="3" t="s">
        <v>305</v>
      </c>
    </row>
    <row r="49" spans="2:7">
      <c r="B49" s="93" t="s">
        <v>344</v>
      </c>
      <c r="D49" s="93">
        <v>30</v>
      </c>
      <c r="E49" s="93">
        <v>0</v>
      </c>
      <c r="G49" s="3" t="s">
        <v>305</v>
      </c>
    </row>
    <row r="50" spans="2:7">
      <c r="B50" s="93" t="s">
        <v>345</v>
      </c>
      <c r="D50" s="93">
        <v>55</v>
      </c>
      <c r="E50" s="93">
        <v>1</v>
      </c>
      <c r="G50" s="3" t="s">
        <v>305</v>
      </c>
    </row>
    <row r="51" spans="2:7">
      <c r="B51" s="93" t="s">
        <v>346</v>
      </c>
      <c r="D51" s="93">
        <v>55</v>
      </c>
      <c r="E51" s="93">
        <v>0</v>
      </c>
      <c r="G51" s="3" t="s">
        <v>305</v>
      </c>
    </row>
    <row r="52" spans="2:7">
      <c r="B52" s="93" t="s">
        <v>347</v>
      </c>
      <c r="D52" s="93">
        <v>55</v>
      </c>
      <c r="E52" s="93">
        <v>0</v>
      </c>
      <c r="G52" s="3" t="s">
        <v>305</v>
      </c>
    </row>
    <row r="53" spans="2:7">
      <c r="B53" s="93" t="s">
        <v>348</v>
      </c>
      <c r="D53" s="93">
        <v>55</v>
      </c>
      <c r="E53" s="93">
        <v>0</v>
      </c>
      <c r="G53" s="3" t="s">
        <v>305</v>
      </c>
    </row>
    <row r="54" spans="2:7">
      <c r="B54" s="93" t="s">
        <v>349</v>
      </c>
      <c r="D54" s="93">
        <v>55</v>
      </c>
      <c r="E54" s="93">
        <v>1</v>
      </c>
      <c r="G54" s="3" t="s">
        <v>305</v>
      </c>
    </row>
    <row r="55" spans="2:7">
      <c r="B55" s="93" t="s">
        <v>350</v>
      </c>
      <c r="D55" s="93">
        <v>55</v>
      </c>
      <c r="E55" s="93">
        <v>1</v>
      </c>
      <c r="G55" s="3" t="s">
        <v>305</v>
      </c>
    </row>
    <row r="56" spans="2:7">
      <c r="B56" s="93" t="s">
        <v>351</v>
      </c>
      <c r="D56" s="93">
        <v>30</v>
      </c>
      <c r="E56" s="93">
        <v>1</v>
      </c>
      <c r="G56" s="3" t="s">
        <v>305</v>
      </c>
    </row>
    <row r="57" spans="2:7">
      <c r="B57" s="93" t="s">
        <v>352</v>
      </c>
      <c r="D57" s="93">
        <v>30</v>
      </c>
      <c r="E57" s="93">
        <v>0</v>
      </c>
      <c r="G57" s="3" t="s">
        <v>305</v>
      </c>
    </row>
    <row r="58" spans="2:7">
      <c r="B58" s="93" t="s">
        <v>353</v>
      </c>
      <c r="D58" s="93">
        <v>30</v>
      </c>
      <c r="E58" s="93">
        <v>0</v>
      </c>
      <c r="G58" s="3" t="s">
        <v>305</v>
      </c>
    </row>
    <row r="59" spans="2:7">
      <c r="B59" s="93" t="s">
        <v>354</v>
      </c>
      <c r="D59" s="93">
        <v>30</v>
      </c>
      <c r="E59" s="93">
        <v>1</v>
      </c>
      <c r="G59" s="3" t="s">
        <v>305</v>
      </c>
    </row>
    <row r="60" spans="2:7">
      <c r="B60" s="93" t="s">
        <v>355</v>
      </c>
      <c r="D60" s="93">
        <v>30</v>
      </c>
      <c r="E60" s="93">
        <v>0</v>
      </c>
      <c r="G60" s="3" t="s">
        <v>305</v>
      </c>
    </row>
    <row r="61" spans="2:7">
      <c r="B61" s="93" t="s">
        <v>356</v>
      </c>
      <c r="D61" s="93">
        <v>30</v>
      </c>
      <c r="E61" s="93">
        <v>1</v>
      </c>
      <c r="G61" s="3" t="s">
        <v>305</v>
      </c>
    </row>
    <row r="62" spans="2:7">
      <c r="B62" s="93" t="s">
        <v>357</v>
      </c>
      <c r="D62" s="93">
        <v>30</v>
      </c>
      <c r="E62" s="93">
        <v>0</v>
      </c>
      <c r="G62" s="3" t="s">
        <v>305</v>
      </c>
    </row>
    <row r="63" spans="2:7">
      <c r="B63" s="93" t="s">
        <v>358</v>
      </c>
      <c r="D63" s="93">
        <v>30</v>
      </c>
      <c r="E63" s="93">
        <v>0</v>
      </c>
      <c r="G63" s="3" t="s">
        <v>305</v>
      </c>
    </row>
    <row r="64" spans="2:7">
      <c r="B64" s="93" t="s">
        <v>359</v>
      </c>
      <c r="D64" s="93">
        <v>30</v>
      </c>
      <c r="E64" s="93">
        <v>1</v>
      </c>
      <c r="G64" s="3" t="s">
        <v>305</v>
      </c>
    </row>
    <row r="65" spans="2:7">
      <c r="B65" s="93" t="s">
        <v>360</v>
      </c>
      <c r="D65" s="93">
        <v>30</v>
      </c>
      <c r="E65" s="93">
        <v>0</v>
      </c>
      <c r="G65" s="3" t="s">
        <v>305</v>
      </c>
    </row>
    <row r="66" spans="2:7">
      <c r="B66" s="93" t="s">
        <v>361</v>
      </c>
      <c r="D66" s="93">
        <v>5</v>
      </c>
      <c r="E66" s="93">
        <v>1</v>
      </c>
      <c r="G66" s="3" t="s">
        <v>305</v>
      </c>
    </row>
    <row r="67" spans="2:7">
      <c r="B67" s="93" t="s">
        <v>362</v>
      </c>
      <c r="D67" s="93">
        <v>5</v>
      </c>
      <c r="E67" s="93">
        <v>0</v>
      </c>
      <c r="G67" s="3" t="s">
        <v>305</v>
      </c>
    </row>
    <row r="68" spans="2:7">
      <c r="B68" s="93" t="s">
        <v>363</v>
      </c>
      <c r="D68" s="93">
        <v>5</v>
      </c>
      <c r="E68" s="93">
        <v>0</v>
      </c>
      <c r="G68" s="3" t="s">
        <v>305</v>
      </c>
    </row>
    <row r="69" spans="2:7">
      <c r="B69" s="93" t="s">
        <v>364</v>
      </c>
      <c r="D69" s="93">
        <v>5</v>
      </c>
      <c r="E69" s="93">
        <v>0</v>
      </c>
      <c r="G69" s="3" t="s">
        <v>305</v>
      </c>
    </row>
    <row r="70" spans="2:7">
      <c r="B70" s="93" t="s">
        <v>365</v>
      </c>
      <c r="D70" s="93">
        <v>5</v>
      </c>
      <c r="E70" s="93">
        <v>0</v>
      </c>
      <c r="G70" s="3" t="s">
        <v>305</v>
      </c>
    </row>
    <row r="71" spans="2:7">
      <c r="B71" s="93" t="s">
        <v>366</v>
      </c>
      <c r="D71" s="93">
        <v>10</v>
      </c>
      <c r="E71" s="93">
        <v>1</v>
      </c>
      <c r="G71" s="3" t="s">
        <v>305</v>
      </c>
    </row>
    <row r="72" spans="2:7">
      <c r="B72" s="93" t="s">
        <v>367</v>
      </c>
      <c r="D72" s="93">
        <v>15</v>
      </c>
      <c r="E72" s="93">
        <v>1</v>
      </c>
      <c r="G72" s="3" t="s">
        <v>305</v>
      </c>
    </row>
    <row r="73" spans="2:7">
      <c r="B73" s="93" t="s">
        <v>368</v>
      </c>
      <c r="D73" s="93">
        <v>15</v>
      </c>
      <c r="E73" s="93">
        <v>0</v>
      </c>
      <c r="G73" s="3" t="s">
        <v>305</v>
      </c>
    </row>
    <row r="74" spans="2:7">
      <c r="B74" s="93" t="s">
        <v>369</v>
      </c>
      <c r="D74" s="93">
        <v>15</v>
      </c>
      <c r="E74" s="93">
        <v>0</v>
      </c>
      <c r="G74" s="3" t="s">
        <v>305</v>
      </c>
    </row>
    <row r="75" spans="2:7">
      <c r="B75" s="93" t="s">
        <v>370</v>
      </c>
      <c r="D75" s="93">
        <v>55</v>
      </c>
      <c r="E75" s="93">
        <v>1</v>
      </c>
      <c r="G75" s="3" t="s">
        <v>305</v>
      </c>
    </row>
    <row r="76" spans="2:7">
      <c r="B76" s="93" t="s">
        <v>371</v>
      </c>
      <c r="D76" s="93">
        <v>30</v>
      </c>
      <c r="E76" s="93">
        <v>0</v>
      </c>
      <c r="G76" s="3" t="s">
        <v>305</v>
      </c>
    </row>
    <row r="77" spans="2:7">
      <c r="B77" s="93" t="s">
        <v>372</v>
      </c>
      <c r="D77" s="93">
        <v>0</v>
      </c>
      <c r="E77" s="93">
        <v>0</v>
      </c>
      <c r="G77" s="3" t="s">
        <v>305</v>
      </c>
    </row>
    <row r="78" spans="2:7">
      <c r="B78" s="93" t="s">
        <v>373</v>
      </c>
      <c r="D78" s="93">
        <v>0</v>
      </c>
      <c r="E78" s="93">
        <v>0</v>
      </c>
      <c r="G78" s="3" t="s">
        <v>305</v>
      </c>
    </row>
    <row r="79" spans="2:7">
      <c r="B79" s="93" t="s">
        <v>374</v>
      </c>
      <c r="D79" s="93">
        <v>0</v>
      </c>
      <c r="E79" s="93">
        <v>0</v>
      </c>
      <c r="G79" s="3" t="s">
        <v>305</v>
      </c>
    </row>
    <row r="80" spans="2:7">
      <c r="B80" s="93" t="s">
        <v>375</v>
      </c>
      <c r="D80" s="93">
        <v>55</v>
      </c>
      <c r="E80" s="93">
        <v>0</v>
      </c>
      <c r="G80" s="3" t="s">
        <v>305</v>
      </c>
    </row>
    <row r="81" spans="2:11">
      <c r="B81" s="93" t="s">
        <v>376</v>
      </c>
      <c r="D81" s="93">
        <v>30</v>
      </c>
      <c r="E81" s="93">
        <v>0</v>
      </c>
      <c r="G81" s="3" t="s">
        <v>305</v>
      </c>
    </row>
    <row r="83" spans="2:11" s="33" customFormat="1">
      <c r="B83" s="33" t="s">
        <v>377</v>
      </c>
    </row>
    <row r="84" spans="2:11" s="39" customFormat="1">
      <c r="B84" s="39" t="s">
        <v>378</v>
      </c>
      <c r="D84" s="39" t="s">
        <v>379</v>
      </c>
      <c r="F84" s="40" t="s">
        <v>380</v>
      </c>
      <c r="G84" s="39" t="s">
        <v>301</v>
      </c>
      <c r="H84" s="40" t="s">
        <v>302</v>
      </c>
      <c r="I84" s="41" t="s">
        <v>381</v>
      </c>
      <c r="J84" s="41"/>
      <c r="K84" s="34" t="s">
        <v>201</v>
      </c>
    </row>
    <row r="85" spans="2:11" s="48" customFormat="1">
      <c r="F85" s="49"/>
      <c r="H85" s="49"/>
      <c r="I85" s="50"/>
    </row>
    <row r="86" spans="2:11">
      <c r="B86" s="294">
        <v>1529</v>
      </c>
      <c r="D86" s="147">
        <v>0</v>
      </c>
      <c r="F86" s="93">
        <v>2020</v>
      </c>
      <c r="G86" s="93" t="s">
        <v>382</v>
      </c>
      <c r="H86" s="93">
        <v>0</v>
      </c>
      <c r="I86" s="93">
        <v>1</v>
      </c>
      <c r="K86" s="3" t="s">
        <v>124</v>
      </c>
    </row>
    <row r="87" spans="2:11">
      <c r="B87" s="294">
        <v>1530</v>
      </c>
      <c r="D87" s="147">
        <v>16428371.587765666</v>
      </c>
      <c r="F87" s="93">
        <v>2020</v>
      </c>
      <c r="G87" s="93" t="s">
        <v>382</v>
      </c>
      <c r="H87" s="93">
        <v>5</v>
      </c>
      <c r="I87" s="93">
        <v>1</v>
      </c>
      <c r="K87" s="3" t="s">
        <v>124</v>
      </c>
    </row>
    <row r="88" spans="2:11">
      <c r="B88" s="294">
        <v>1531</v>
      </c>
      <c r="D88" s="147">
        <v>4983079.8391110003</v>
      </c>
      <c r="F88" s="93">
        <v>2020</v>
      </c>
      <c r="G88" s="93" t="s">
        <v>382</v>
      </c>
      <c r="H88" s="93">
        <v>10</v>
      </c>
      <c r="I88" s="93">
        <v>1</v>
      </c>
      <c r="K88" s="3" t="s">
        <v>124</v>
      </c>
    </row>
    <row r="89" spans="2:11">
      <c r="B89" s="294">
        <v>1532</v>
      </c>
      <c r="D89" s="147">
        <v>23504856.52408703</v>
      </c>
      <c r="F89" s="93">
        <v>2020</v>
      </c>
      <c r="G89" s="93" t="s">
        <v>382</v>
      </c>
      <c r="H89" s="93">
        <v>15</v>
      </c>
      <c r="I89" s="93">
        <v>1</v>
      </c>
      <c r="K89" s="3" t="s">
        <v>124</v>
      </c>
    </row>
    <row r="90" spans="2:11">
      <c r="B90" s="294">
        <v>1533</v>
      </c>
      <c r="D90" s="147">
        <v>28868891.250722278</v>
      </c>
      <c r="F90" s="93">
        <v>2020</v>
      </c>
      <c r="G90" s="93" t="s">
        <v>382</v>
      </c>
      <c r="H90" s="93">
        <v>30</v>
      </c>
      <c r="I90" s="93">
        <v>1</v>
      </c>
      <c r="K90" s="3" t="s">
        <v>124</v>
      </c>
    </row>
    <row r="91" spans="2:11">
      <c r="B91" s="294">
        <v>1534</v>
      </c>
      <c r="D91" s="147">
        <v>79913166.073822603</v>
      </c>
      <c r="F91" s="93">
        <v>2020</v>
      </c>
      <c r="G91" s="93" t="s">
        <v>382</v>
      </c>
      <c r="H91" s="93">
        <v>55</v>
      </c>
      <c r="I91" s="93">
        <v>1</v>
      </c>
      <c r="K91" s="3" t="s">
        <v>124</v>
      </c>
    </row>
    <row r="92" spans="2:11">
      <c r="B92" s="294">
        <v>1535</v>
      </c>
      <c r="D92" s="147">
        <v>-30502.390165910823</v>
      </c>
      <c r="F92" s="93">
        <v>2020</v>
      </c>
      <c r="G92" s="93" t="s">
        <v>382</v>
      </c>
      <c r="H92" s="93">
        <v>0</v>
      </c>
      <c r="I92" s="93">
        <v>0</v>
      </c>
      <c r="K92" s="3" t="s">
        <v>124</v>
      </c>
    </row>
    <row r="93" spans="2:11">
      <c r="B93" s="294">
        <v>1536</v>
      </c>
      <c r="D93" s="147">
        <v>429610.71824132768</v>
      </c>
      <c r="F93" s="93">
        <v>2020</v>
      </c>
      <c r="G93" s="93" t="s">
        <v>382</v>
      </c>
      <c r="H93" s="93">
        <v>5</v>
      </c>
      <c r="I93" s="93">
        <v>0</v>
      </c>
      <c r="K93" s="3" t="s">
        <v>124</v>
      </c>
    </row>
    <row r="94" spans="2:11">
      <c r="B94" s="294">
        <v>1537</v>
      </c>
      <c r="D94" s="147">
        <v>1540614.7503467209</v>
      </c>
      <c r="F94" s="93">
        <v>2020</v>
      </c>
      <c r="G94" s="93" t="s">
        <v>382</v>
      </c>
      <c r="H94" s="93">
        <v>10</v>
      </c>
      <c r="I94" s="93">
        <v>0</v>
      </c>
      <c r="K94" s="3" t="s">
        <v>124</v>
      </c>
    </row>
    <row r="95" spans="2:11">
      <c r="B95" s="294">
        <v>1538</v>
      </c>
      <c r="D95" s="147">
        <v>4629744.6502016177</v>
      </c>
      <c r="F95" s="93">
        <v>2020</v>
      </c>
      <c r="G95" s="93" t="s">
        <v>382</v>
      </c>
      <c r="H95" s="93">
        <v>15</v>
      </c>
      <c r="I95" s="93">
        <v>0</v>
      </c>
      <c r="K95" s="3" t="s">
        <v>124</v>
      </c>
    </row>
    <row r="96" spans="2:11">
      <c r="B96" s="294">
        <v>1539</v>
      </c>
      <c r="D96" s="147">
        <v>26259145.971940324</v>
      </c>
      <c r="F96" s="93">
        <v>2020</v>
      </c>
      <c r="G96" s="93" t="s">
        <v>382</v>
      </c>
      <c r="H96" s="93">
        <v>30</v>
      </c>
      <c r="I96" s="93">
        <v>0</v>
      </c>
      <c r="K96" s="3" t="s">
        <v>124</v>
      </c>
    </row>
    <row r="97" spans="2:11">
      <c r="B97" s="294">
        <v>1540</v>
      </c>
      <c r="D97" s="147">
        <v>37094.77163904941</v>
      </c>
      <c r="F97" s="93">
        <v>2020</v>
      </c>
      <c r="G97" s="93" t="s">
        <v>382</v>
      </c>
      <c r="H97" s="93">
        <v>55</v>
      </c>
      <c r="I97" s="93">
        <v>0</v>
      </c>
      <c r="K97" s="3" t="s">
        <v>124</v>
      </c>
    </row>
    <row r="98" spans="2:11">
      <c r="B98" s="294">
        <v>1541</v>
      </c>
      <c r="D98" s="147">
        <v>0</v>
      </c>
      <c r="F98" s="93">
        <v>2020</v>
      </c>
      <c r="G98" s="93" t="s">
        <v>382</v>
      </c>
      <c r="H98" s="93">
        <v>0</v>
      </c>
      <c r="I98" s="93">
        <v>0</v>
      </c>
      <c r="K98" s="3" t="s">
        <v>124</v>
      </c>
    </row>
    <row r="99" spans="2:11" ht="12" customHeight="1">
      <c r="B99" s="294">
        <v>1542</v>
      </c>
      <c r="D99" s="147">
        <v>617395.17786534363</v>
      </c>
      <c r="F99" s="93">
        <v>2020</v>
      </c>
      <c r="G99" s="93" t="s">
        <v>382</v>
      </c>
      <c r="H99" s="93">
        <v>5</v>
      </c>
      <c r="I99" s="93">
        <v>0</v>
      </c>
      <c r="K99" s="3" t="s">
        <v>124</v>
      </c>
    </row>
    <row r="100" spans="2:11">
      <c r="B100" s="294">
        <v>1543</v>
      </c>
      <c r="D100" s="147">
        <v>4570297.1729062358</v>
      </c>
      <c r="F100" s="93">
        <v>2020</v>
      </c>
      <c r="G100" s="93" t="s">
        <v>382</v>
      </c>
      <c r="H100" s="93">
        <v>10</v>
      </c>
      <c r="I100" s="93">
        <v>0</v>
      </c>
      <c r="K100" s="3" t="s">
        <v>124</v>
      </c>
    </row>
    <row r="101" spans="2:11">
      <c r="B101" s="294">
        <v>1544</v>
      </c>
      <c r="D101" s="147">
        <v>7478818.3856429011</v>
      </c>
      <c r="F101" s="93">
        <v>2020</v>
      </c>
      <c r="G101" s="93" t="s">
        <v>382</v>
      </c>
      <c r="H101" s="93">
        <v>15</v>
      </c>
      <c r="I101" s="93">
        <v>0</v>
      </c>
      <c r="K101" s="3" t="s">
        <v>124</v>
      </c>
    </row>
    <row r="102" spans="2:11">
      <c r="B102" s="294">
        <v>1545</v>
      </c>
      <c r="D102" s="147">
        <v>7420552.1500870837</v>
      </c>
      <c r="F102" s="93">
        <v>2020</v>
      </c>
      <c r="G102" s="93" t="s">
        <v>382</v>
      </c>
      <c r="H102" s="93">
        <v>30</v>
      </c>
      <c r="I102" s="93">
        <v>0</v>
      </c>
      <c r="K102" s="3" t="s">
        <v>124</v>
      </c>
    </row>
    <row r="103" spans="2:11">
      <c r="B103" s="294">
        <v>1546</v>
      </c>
      <c r="D103" s="147">
        <v>0</v>
      </c>
      <c r="F103" s="93">
        <v>2020</v>
      </c>
      <c r="G103" s="93" t="s">
        <v>382</v>
      </c>
      <c r="H103" s="93">
        <v>55</v>
      </c>
      <c r="I103" s="93">
        <v>0</v>
      </c>
      <c r="K103" s="3" t="s">
        <v>124</v>
      </c>
    </row>
    <row r="104" spans="2:11">
      <c r="B104" s="294">
        <v>1547</v>
      </c>
      <c r="D104" s="147">
        <v>0</v>
      </c>
      <c r="F104" s="93">
        <v>2021</v>
      </c>
      <c r="G104" s="93" t="s">
        <v>382</v>
      </c>
      <c r="H104" s="93">
        <v>0</v>
      </c>
      <c r="I104" s="93">
        <v>1</v>
      </c>
      <c r="K104" s="3" t="s">
        <v>124</v>
      </c>
    </row>
    <row r="105" spans="2:11">
      <c r="B105" s="294">
        <v>1548</v>
      </c>
      <c r="D105" s="147">
        <v>16674534.307636745</v>
      </c>
      <c r="F105" s="93">
        <v>2021</v>
      </c>
      <c r="G105" s="93" t="s">
        <v>382</v>
      </c>
      <c r="H105" s="93">
        <v>5</v>
      </c>
      <c r="I105" s="93">
        <v>1</v>
      </c>
      <c r="K105" s="3" t="s">
        <v>124</v>
      </c>
    </row>
    <row r="106" spans="2:11">
      <c r="B106" s="294">
        <v>1549</v>
      </c>
      <c r="D106" s="147">
        <v>5057746.3074202398</v>
      </c>
      <c r="F106" s="93">
        <v>2021</v>
      </c>
      <c r="G106" s="93" t="s">
        <v>382</v>
      </c>
      <c r="H106" s="93">
        <v>10</v>
      </c>
      <c r="I106" s="93">
        <v>1</v>
      </c>
      <c r="K106" s="3" t="s">
        <v>124</v>
      </c>
    </row>
    <row r="107" spans="2:11">
      <c r="B107" s="294">
        <v>1550</v>
      </c>
      <c r="D107" s="147">
        <v>23857053.29424395</v>
      </c>
      <c r="F107" s="93">
        <v>2021</v>
      </c>
      <c r="G107" s="93" t="s">
        <v>382</v>
      </c>
      <c r="H107" s="93">
        <v>15</v>
      </c>
      <c r="I107" s="93">
        <v>1</v>
      </c>
      <c r="K107" s="3" t="s">
        <v>124</v>
      </c>
    </row>
    <row r="108" spans="2:11">
      <c r="B108" s="294">
        <v>1551</v>
      </c>
      <c r="D108" s="147">
        <v>29301462.7172231</v>
      </c>
      <c r="F108" s="93">
        <v>2021</v>
      </c>
      <c r="G108" s="93" t="s">
        <v>382</v>
      </c>
      <c r="H108" s="93">
        <v>30</v>
      </c>
      <c r="I108" s="93">
        <v>1</v>
      </c>
      <c r="K108" s="3" t="s">
        <v>124</v>
      </c>
    </row>
    <row r="109" spans="2:11">
      <c r="B109" s="294">
        <v>1552</v>
      </c>
      <c r="D109" s="147">
        <v>81110584.954272762</v>
      </c>
      <c r="F109" s="93">
        <v>2021</v>
      </c>
      <c r="G109" s="93" t="s">
        <v>382</v>
      </c>
      <c r="H109" s="93">
        <v>55</v>
      </c>
      <c r="I109" s="93">
        <v>1</v>
      </c>
      <c r="K109" s="3" t="s">
        <v>124</v>
      </c>
    </row>
    <row r="110" spans="2:11">
      <c r="B110" s="294">
        <v>1553</v>
      </c>
      <c r="D110" s="147">
        <v>-30959.437980156832</v>
      </c>
      <c r="F110" s="93">
        <v>2021</v>
      </c>
      <c r="G110" s="93" t="s">
        <v>382</v>
      </c>
      <c r="H110" s="93">
        <v>0</v>
      </c>
      <c r="I110" s="93">
        <v>0</v>
      </c>
      <c r="K110" s="3" t="s">
        <v>124</v>
      </c>
    </row>
    <row r="111" spans="2:11">
      <c r="B111" s="294">
        <v>1554</v>
      </c>
      <c r="D111" s="147">
        <v>436048.00524345576</v>
      </c>
      <c r="F111" s="93">
        <v>2021</v>
      </c>
      <c r="G111" s="93" t="s">
        <v>382</v>
      </c>
      <c r="H111" s="93">
        <v>5</v>
      </c>
      <c r="I111" s="93">
        <v>0</v>
      </c>
      <c r="K111" s="3" t="s">
        <v>124</v>
      </c>
    </row>
    <row r="112" spans="2:11">
      <c r="B112" s="294">
        <v>1555</v>
      </c>
      <c r="D112" s="147">
        <v>1563699.3217659162</v>
      </c>
      <c r="F112" s="93">
        <v>2021</v>
      </c>
      <c r="G112" s="93" t="s">
        <v>382</v>
      </c>
      <c r="H112" s="93">
        <v>10</v>
      </c>
      <c r="I112" s="93">
        <v>0</v>
      </c>
      <c r="K112" s="3" t="s">
        <v>124</v>
      </c>
    </row>
    <row r="113" spans="2:11">
      <c r="B113" s="294">
        <v>1556</v>
      </c>
      <c r="D113" s="147">
        <v>4699116.7440402387</v>
      </c>
      <c r="F113" s="93">
        <v>2021</v>
      </c>
      <c r="G113" s="93" t="s">
        <v>382</v>
      </c>
      <c r="H113" s="93">
        <v>15</v>
      </c>
      <c r="I113" s="93">
        <v>0</v>
      </c>
      <c r="K113" s="3" t="s">
        <v>124</v>
      </c>
    </row>
    <row r="114" spans="2:11">
      <c r="B114" s="294">
        <v>1557</v>
      </c>
      <c r="D114" s="147">
        <v>26652613.015183877</v>
      </c>
      <c r="F114" s="93">
        <v>2021</v>
      </c>
      <c r="G114" s="93" t="s">
        <v>382</v>
      </c>
      <c r="H114" s="93">
        <v>30</v>
      </c>
      <c r="I114" s="93">
        <v>0</v>
      </c>
      <c r="K114" s="3" t="s">
        <v>124</v>
      </c>
    </row>
    <row r="115" spans="2:11">
      <c r="B115" s="294">
        <v>1558</v>
      </c>
      <c r="D115" s="147">
        <v>37650.599697288933</v>
      </c>
      <c r="F115" s="93">
        <v>2021</v>
      </c>
      <c r="G115" s="93" t="s">
        <v>382</v>
      </c>
      <c r="H115" s="93">
        <v>55</v>
      </c>
      <c r="I115" s="93">
        <v>0</v>
      </c>
      <c r="K115" s="3" t="s">
        <v>124</v>
      </c>
    </row>
    <row r="116" spans="2:11">
      <c r="B116" s="294">
        <v>1559</v>
      </c>
      <c r="D116" s="147">
        <v>0</v>
      </c>
      <c r="F116" s="93">
        <v>2021</v>
      </c>
      <c r="G116" s="93" t="s">
        <v>382</v>
      </c>
      <c r="H116" s="93">
        <v>0</v>
      </c>
      <c r="I116" s="93">
        <v>0</v>
      </c>
      <c r="K116" s="3" t="s">
        <v>124</v>
      </c>
    </row>
    <row r="117" spans="2:11">
      <c r="B117" s="294">
        <v>1560</v>
      </c>
      <c r="D117" s="147">
        <v>626646.22721047793</v>
      </c>
      <c r="F117" s="93">
        <v>2021</v>
      </c>
      <c r="G117" s="93" t="s">
        <v>382</v>
      </c>
      <c r="H117" s="93">
        <v>5</v>
      </c>
      <c r="I117" s="93">
        <v>0</v>
      </c>
      <c r="K117" s="3" t="s">
        <v>124</v>
      </c>
    </row>
    <row r="118" spans="2:11">
      <c r="B118" s="294">
        <v>1561</v>
      </c>
      <c r="D118" s="147">
        <v>4638778.5057450626</v>
      </c>
      <c r="F118" s="93">
        <v>2021</v>
      </c>
      <c r="G118" s="93" t="s">
        <v>382</v>
      </c>
      <c r="H118" s="93">
        <v>10</v>
      </c>
      <c r="I118" s="93">
        <v>0</v>
      </c>
      <c r="K118" s="3" t="s">
        <v>124</v>
      </c>
    </row>
    <row r="119" spans="2:11">
      <c r="B119" s="294">
        <v>1562</v>
      </c>
      <c r="D119" s="147">
        <v>7590881.0003333744</v>
      </c>
      <c r="F119" s="93">
        <v>2021</v>
      </c>
      <c r="G119" s="93" t="s">
        <v>382</v>
      </c>
      <c r="H119" s="93">
        <v>15</v>
      </c>
      <c r="I119" s="93">
        <v>0</v>
      </c>
      <c r="K119" s="3" t="s">
        <v>124</v>
      </c>
    </row>
    <row r="120" spans="2:11">
      <c r="B120" s="294">
        <v>1563</v>
      </c>
      <c r="D120" s="147">
        <v>7531741.7035039887</v>
      </c>
      <c r="F120" s="93">
        <v>2021</v>
      </c>
      <c r="G120" s="93" t="s">
        <v>382</v>
      </c>
      <c r="H120" s="93">
        <v>30</v>
      </c>
      <c r="I120" s="93">
        <v>0</v>
      </c>
      <c r="K120" s="3" t="s">
        <v>124</v>
      </c>
    </row>
    <row r="121" spans="2:11">
      <c r="B121" s="294">
        <v>1564</v>
      </c>
      <c r="D121" s="147">
        <v>0</v>
      </c>
      <c r="F121" s="93">
        <v>2021</v>
      </c>
      <c r="G121" s="93" t="s">
        <v>382</v>
      </c>
      <c r="H121" s="93">
        <v>55</v>
      </c>
      <c r="I121" s="93">
        <v>0</v>
      </c>
      <c r="K121" s="3" t="s">
        <v>124</v>
      </c>
    </row>
    <row r="122" spans="2:11">
      <c r="B122" s="294">
        <v>1565</v>
      </c>
      <c r="D122" s="147">
        <v>0</v>
      </c>
      <c r="F122" s="93">
        <v>2022</v>
      </c>
      <c r="G122" s="93" t="s">
        <v>382</v>
      </c>
      <c r="H122" s="93">
        <v>0</v>
      </c>
      <c r="I122" s="93">
        <v>1</v>
      </c>
      <c r="K122" s="3" t="s">
        <v>124</v>
      </c>
    </row>
    <row r="123" spans="2:11">
      <c r="B123" s="294">
        <v>1566</v>
      </c>
      <c r="D123" s="147">
        <v>16890169.385303106</v>
      </c>
      <c r="F123" s="93">
        <v>2022</v>
      </c>
      <c r="G123" s="93" t="s">
        <v>382</v>
      </c>
      <c r="H123" s="93">
        <v>5</v>
      </c>
      <c r="I123" s="93">
        <v>1</v>
      </c>
      <c r="K123" s="3" t="s">
        <v>124</v>
      </c>
    </row>
    <row r="124" spans="2:11">
      <c r="B124" s="294">
        <v>1567</v>
      </c>
      <c r="D124" s="147">
        <v>5123153.0826677978</v>
      </c>
      <c r="F124" s="93">
        <v>2022</v>
      </c>
      <c r="G124" s="93" t="s">
        <v>382</v>
      </c>
      <c r="H124" s="93">
        <v>10</v>
      </c>
      <c r="I124" s="93">
        <v>1</v>
      </c>
      <c r="K124" s="3" t="s">
        <v>124</v>
      </c>
    </row>
    <row r="125" spans="2:11">
      <c r="B125" s="294">
        <v>1568</v>
      </c>
      <c r="D125" s="147">
        <v>24165572.707445111</v>
      </c>
      <c r="F125" s="93">
        <v>2022</v>
      </c>
      <c r="G125" s="93" t="s">
        <v>382</v>
      </c>
      <c r="H125" s="93">
        <v>15</v>
      </c>
      <c r="I125" s="93">
        <v>1</v>
      </c>
      <c r="K125" s="3" t="s">
        <v>124</v>
      </c>
    </row>
    <row r="126" spans="2:11">
      <c r="B126" s="294">
        <v>1569</v>
      </c>
      <c r="D126" s="147">
        <v>29680389.233082227</v>
      </c>
      <c r="F126" s="93">
        <v>2022</v>
      </c>
      <c r="G126" s="93" t="s">
        <v>382</v>
      </c>
      <c r="H126" s="93">
        <v>30</v>
      </c>
      <c r="I126" s="93">
        <v>1</v>
      </c>
      <c r="K126" s="3" t="s">
        <v>124</v>
      </c>
    </row>
    <row r="127" spans="2:11">
      <c r="B127" s="294">
        <v>1570</v>
      </c>
      <c r="D127" s="147">
        <v>82159507.038901418</v>
      </c>
      <c r="F127" s="93">
        <v>2022</v>
      </c>
      <c r="G127" s="93" t="s">
        <v>382</v>
      </c>
      <c r="H127" s="93">
        <v>55</v>
      </c>
      <c r="I127" s="93">
        <v>1</v>
      </c>
      <c r="K127" s="3" t="s">
        <v>124</v>
      </c>
    </row>
    <row r="128" spans="2:11">
      <c r="B128" s="294">
        <v>1571</v>
      </c>
      <c r="D128" s="147">
        <v>-31359.805432116216</v>
      </c>
      <c r="F128" s="93">
        <v>2022</v>
      </c>
      <c r="G128" s="93" t="s">
        <v>382</v>
      </c>
      <c r="H128" s="93">
        <v>0</v>
      </c>
      <c r="I128" s="93">
        <v>0</v>
      </c>
      <c r="K128" s="3" t="s">
        <v>124</v>
      </c>
    </row>
    <row r="129" spans="2:11">
      <c r="B129" s="294">
        <v>1572</v>
      </c>
      <c r="D129" s="147">
        <v>441686.97804726404</v>
      </c>
      <c r="F129" s="93">
        <v>2022</v>
      </c>
      <c r="G129" s="93" t="s">
        <v>382</v>
      </c>
      <c r="H129" s="93">
        <v>5</v>
      </c>
      <c r="I129" s="93">
        <v>0</v>
      </c>
      <c r="K129" s="3" t="s">
        <v>124</v>
      </c>
    </row>
    <row r="130" spans="2:11">
      <c r="B130" s="294">
        <v>1573</v>
      </c>
      <c r="D130" s="147">
        <v>1583921.081394993</v>
      </c>
      <c r="F130" s="93">
        <v>2022</v>
      </c>
      <c r="G130" s="93" t="s">
        <v>382</v>
      </c>
      <c r="H130" s="93">
        <v>10</v>
      </c>
      <c r="I130" s="93">
        <v>0</v>
      </c>
      <c r="K130" s="3" t="s">
        <v>124</v>
      </c>
    </row>
    <row r="131" spans="2:11">
      <c r="B131" s="294">
        <v>1574</v>
      </c>
      <c r="D131" s="147">
        <v>4759885.7217741664</v>
      </c>
      <c r="F131" s="93">
        <v>2022</v>
      </c>
      <c r="G131" s="93" t="s">
        <v>382</v>
      </c>
      <c r="H131" s="93">
        <v>15</v>
      </c>
      <c r="I131" s="93">
        <v>0</v>
      </c>
      <c r="K131" s="3" t="s">
        <v>124</v>
      </c>
    </row>
    <row r="132" spans="2:11">
      <c r="B132" s="294">
        <v>1575</v>
      </c>
      <c r="D132" s="147">
        <v>26997284.606696233</v>
      </c>
      <c r="F132" s="93">
        <v>2022</v>
      </c>
      <c r="G132" s="93" t="s">
        <v>382</v>
      </c>
      <c r="H132" s="93">
        <v>30</v>
      </c>
      <c r="I132" s="93">
        <v>0</v>
      </c>
      <c r="K132" s="3" t="s">
        <v>124</v>
      </c>
    </row>
    <row r="133" spans="2:11">
      <c r="B133" s="294">
        <v>1576</v>
      </c>
      <c r="D133" s="147">
        <v>38137.497252574271</v>
      </c>
      <c r="F133" s="93">
        <v>2022</v>
      </c>
      <c r="G133" s="93" t="s">
        <v>382</v>
      </c>
      <c r="H133" s="93">
        <v>55</v>
      </c>
      <c r="I133" s="93">
        <v>0</v>
      </c>
      <c r="K133" s="3" t="s">
        <v>124</v>
      </c>
    </row>
    <row r="134" spans="2:11">
      <c r="B134" s="294">
        <v>1577</v>
      </c>
      <c r="D134" s="147">
        <v>0</v>
      </c>
      <c r="F134" s="93">
        <v>2022</v>
      </c>
      <c r="G134" s="93" t="s">
        <v>382</v>
      </c>
      <c r="H134" s="93">
        <v>0</v>
      </c>
      <c r="I134" s="93">
        <v>0</v>
      </c>
      <c r="K134" s="3" t="s">
        <v>124</v>
      </c>
    </row>
    <row r="135" spans="2:11">
      <c r="B135" s="294">
        <v>1578</v>
      </c>
      <c r="D135" s="147">
        <v>634750.01622076391</v>
      </c>
      <c r="F135" s="93">
        <v>2022</v>
      </c>
      <c r="G135" s="93" t="s">
        <v>382</v>
      </c>
      <c r="H135" s="93">
        <v>5</v>
      </c>
      <c r="I135" s="93">
        <v>0</v>
      </c>
      <c r="K135" s="3" t="s">
        <v>124</v>
      </c>
    </row>
    <row r="136" spans="2:11">
      <c r="B136" s="294">
        <v>1579</v>
      </c>
      <c r="D136" s="147">
        <v>4698767.1893813582</v>
      </c>
      <c r="F136" s="93">
        <v>2022</v>
      </c>
      <c r="G136" s="93" t="s">
        <v>382</v>
      </c>
      <c r="H136" s="93">
        <v>10</v>
      </c>
      <c r="I136" s="93">
        <v>0</v>
      </c>
      <c r="K136" s="3" t="s">
        <v>124</v>
      </c>
    </row>
    <row r="137" spans="2:11">
      <c r="B137" s="294">
        <v>1580</v>
      </c>
      <c r="D137" s="147">
        <v>7689046.2734296853</v>
      </c>
      <c r="F137" s="93">
        <v>2022</v>
      </c>
      <c r="G137" s="93" t="s">
        <v>382</v>
      </c>
      <c r="H137" s="93">
        <v>15</v>
      </c>
      <c r="I137" s="93">
        <v>0</v>
      </c>
      <c r="K137" s="3" t="s">
        <v>124</v>
      </c>
    </row>
    <row r="138" spans="2:11">
      <c r="B138" s="294">
        <v>1581</v>
      </c>
      <c r="D138" s="147">
        <v>7629142.1872137021</v>
      </c>
      <c r="F138" s="93">
        <v>2022</v>
      </c>
      <c r="G138" s="93" t="s">
        <v>382</v>
      </c>
      <c r="H138" s="93">
        <v>30</v>
      </c>
      <c r="I138" s="93">
        <v>0</v>
      </c>
      <c r="K138" s="3" t="s">
        <v>124</v>
      </c>
    </row>
    <row r="139" spans="2:11">
      <c r="B139" s="294">
        <v>1582</v>
      </c>
      <c r="D139" s="147">
        <v>0</v>
      </c>
      <c r="F139" s="93">
        <v>2022</v>
      </c>
      <c r="G139" s="93" t="s">
        <v>382</v>
      </c>
      <c r="H139" s="93">
        <v>55</v>
      </c>
      <c r="I139" s="93">
        <v>0</v>
      </c>
      <c r="K139" s="3" t="s">
        <v>124</v>
      </c>
    </row>
    <row r="140" spans="2:11">
      <c r="B140" s="294">
        <v>1583</v>
      </c>
      <c r="D140" s="147">
        <v>0</v>
      </c>
      <c r="F140" s="93">
        <v>2023</v>
      </c>
      <c r="G140" s="93" t="s">
        <v>382</v>
      </c>
      <c r="H140" s="93">
        <v>0</v>
      </c>
      <c r="I140" s="93">
        <v>1</v>
      </c>
      <c r="K140" s="3" t="s">
        <v>124</v>
      </c>
    </row>
    <row r="141" spans="2:11">
      <c r="B141" s="294">
        <v>1584</v>
      </c>
      <c r="D141" s="147">
        <v>17108593.055793844</v>
      </c>
      <c r="F141" s="93">
        <v>2023</v>
      </c>
      <c r="G141" s="93" t="s">
        <v>382</v>
      </c>
      <c r="H141" s="93">
        <v>5</v>
      </c>
      <c r="I141" s="93">
        <v>1</v>
      </c>
      <c r="K141" s="3" t="s">
        <v>124</v>
      </c>
    </row>
    <row r="142" spans="2:11">
      <c r="B142" s="294">
        <v>1585</v>
      </c>
      <c r="D142" s="147">
        <v>5189405.6983328583</v>
      </c>
      <c r="F142" s="93">
        <v>2023</v>
      </c>
      <c r="G142" s="93" t="s">
        <v>382</v>
      </c>
      <c r="H142" s="93">
        <v>10</v>
      </c>
      <c r="I142" s="93">
        <v>1</v>
      </c>
      <c r="K142" s="3" t="s">
        <v>124</v>
      </c>
    </row>
    <row r="143" spans="2:11">
      <c r="B143" s="294">
        <v>1586</v>
      </c>
      <c r="D143" s="147">
        <v>24478081.893697795</v>
      </c>
      <c r="F143" s="93">
        <v>2023</v>
      </c>
      <c r="G143" s="93" t="s">
        <v>382</v>
      </c>
      <c r="H143" s="93">
        <v>15</v>
      </c>
      <c r="I143" s="93">
        <v>1</v>
      </c>
      <c r="K143" s="3" t="s">
        <v>124</v>
      </c>
    </row>
    <row r="144" spans="2:11">
      <c r="B144" s="294">
        <v>1587</v>
      </c>
      <c r="D144" s="147">
        <v>30064216.026644446</v>
      </c>
      <c r="F144" s="93">
        <v>2023</v>
      </c>
      <c r="G144" s="93" t="s">
        <v>382</v>
      </c>
      <c r="H144" s="93">
        <v>30</v>
      </c>
      <c r="I144" s="93">
        <v>1</v>
      </c>
      <c r="K144" s="3" t="s">
        <v>124</v>
      </c>
    </row>
    <row r="145" spans="2:11">
      <c r="B145" s="294">
        <v>1588</v>
      </c>
      <c r="D145" s="147">
        <v>83221993.783928484</v>
      </c>
      <c r="F145" s="93">
        <v>2023</v>
      </c>
      <c r="G145" s="93" t="s">
        <v>382</v>
      </c>
      <c r="H145" s="93">
        <v>55</v>
      </c>
      <c r="I145" s="93">
        <v>1</v>
      </c>
      <c r="K145" s="3" t="s">
        <v>124</v>
      </c>
    </row>
    <row r="146" spans="2:11">
      <c r="B146" s="294">
        <v>1589</v>
      </c>
      <c r="D146" s="147">
        <v>-31765.350435964345</v>
      </c>
      <c r="F146" s="93">
        <v>2023</v>
      </c>
      <c r="G146" s="93" t="s">
        <v>382</v>
      </c>
      <c r="H146" s="93">
        <v>0</v>
      </c>
      <c r="I146" s="93">
        <v>0</v>
      </c>
      <c r="K146" s="3" t="s">
        <v>124</v>
      </c>
    </row>
    <row r="147" spans="2:11">
      <c r="B147" s="294">
        <v>1590</v>
      </c>
      <c r="D147" s="147">
        <v>447398.87404737127</v>
      </c>
      <c r="F147" s="93">
        <v>2023</v>
      </c>
      <c r="G147" s="93" t="s">
        <v>382</v>
      </c>
      <c r="H147" s="93">
        <v>5</v>
      </c>
      <c r="I147" s="93">
        <v>0</v>
      </c>
      <c r="K147" s="3" t="s">
        <v>124</v>
      </c>
    </row>
    <row r="148" spans="2:11">
      <c r="B148" s="294">
        <v>1591</v>
      </c>
      <c r="D148" s="147">
        <v>1604404.348819593</v>
      </c>
      <c r="F148" s="93">
        <v>2023</v>
      </c>
      <c r="G148" s="93" t="s">
        <v>382</v>
      </c>
      <c r="H148" s="93">
        <v>10</v>
      </c>
      <c r="I148" s="93">
        <v>0</v>
      </c>
      <c r="K148" s="3" t="s">
        <v>124</v>
      </c>
    </row>
    <row r="149" spans="2:11">
      <c r="B149" s="294">
        <v>1592</v>
      </c>
      <c r="D149" s="147">
        <v>4821440.5639281506</v>
      </c>
      <c r="F149" s="93">
        <v>2023</v>
      </c>
      <c r="G149" s="93" t="s">
        <v>382</v>
      </c>
      <c r="H149" s="93">
        <v>15</v>
      </c>
      <c r="I149" s="93">
        <v>0</v>
      </c>
      <c r="K149" s="3" t="s">
        <v>124</v>
      </c>
    </row>
    <row r="150" spans="2:11">
      <c r="B150" s="294">
        <v>1593</v>
      </c>
      <c r="D150" s="147">
        <v>27346413.49123003</v>
      </c>
      <c r="F150" s="93">
        <v>2023</v>
      </c>
      <c r="G150" s="93" t="s">
        <v>382</v>
      </c>
      <c r="H150" s="93">
        <v>30</v>
      </c>
      <c r="I150" s="93">
        <v>0</v>
      </c>
      <c r="K150" s="3" t="s">
        <v>124</v>
      </c>
    </row>
    <row r="151" spans="2:11">
      <c r="B151" s="294">
        <v>1594</v>
      </c>
      <c r="D151" s="147">
        <v>38630.691367044557</v>
      </c>
      <c r="F151" s="93">
        <v>2023</v>
      </c>
      <c r="G151" s="93" t="s">
        <v>382</v>
      </c>
      <c r="H151" s="93">
        <v>55</v>
      </c>
      <c r="I151" s="93">
        <v>0</v>
      </c>
      <c r="K151" s="3" t="s">
        <v>124</v>
      </c>
    </row>
    <row r="152" spans="2:11">
      <c r="B152" s="294">
        <v>1595</v>
      </c>
      <c r="D152" s="147">
        <v>0</v>
      </c>
      <c r="F152" s="93">
        <v>2023</v>
      </c>
      <c r="G152" s="93" t="s">
        <v>382</v>
      </c>
      <c r="H152" s="93">
        <v>0</v>
      </c>
      <c r="I152" s="93">
        <v>0</v>
      </c>
      <c r="K152" s="3" t="s">
        <v>124</v>
      </c>
    </row>
    <row r="153" spans="2:11">
      <c r="B153" s="294">
        <v>1596</v>
      </c>
      <c r="D153" s="147">
        <v>642958.60343053075</v>
      </c>
      <c r="F153" s="93">
        <v>2023</v>
      </c>
      <c r="G153" s="93" t="s">
        <v>382</v>
      </c>
      <c r="H153" s="93">
        <v>5</v>
      </c>
      <c r="I153" s="93">
        <v>0</v>
      </c>
      <c r="K153" s="3" t="s">
        <v>124</v>
      </c>
    </row>
    <row r="154" spans="2:11">
      <c r="B154" s="294">
        <v>1597</v>
      </c>
      <c r="D154" s="147">
        <v>4759531.6466744374</v>
      </c>
      <c r="F154" s="93">
        <v>2023</v>
      </c>
      <c r="G154" s="93" t="s">
        <v>382</v>
      </c>
      <c r="H154" s="93">
        <v>10</v>
      </c>
      <c r="I154" s="93">
        <v>0</v>
      </c>
      <c r="K154" s="3" t="s">
        <v>124</v>
      </c>
    </row>
    <row r="155" spans="2:11">
      <c r="B155" s="294">
        <v>1598</v>
      </c>
      <c r="D155" s="147">
        <v>7788481.0198376775</v>
      </c>
      <c r="F155" s="93">
        <v>2023</v>
      </c>
      <c r="G155" s="93" t="s">
        <v>382</v>
      </c>
      <c r="H155" s="93">
        <v>15</v>
      </c>
      <c r="I155" s="93">
        <v>0</v>
      </c>
      <c r="K155" s="3" t="s">
        <v>124</v>
      </c>
    </row>
    <row r="156" spans="2:11">
      <c r="B156" s="294">
        <v>1599</v>
      </c>
      <c r="D156" s="147">
        <v>7727802.2539787497</v>
      </c>
      <c r="F156" s="93">
        <v>2023</v>
      </c>
      <c r="G156" s="93" t="s">
        <v>382</v>
      </c>
      <c r="H156" s="93">
        <v>30</v>
      </c>
      <c r="I156" s="93">
        <v>0</v>
      </c>
      <c r="K156" s="3" t="s">
        <v>124</v>
      </c>
    </row>
    <row r="157" spans="2:11">
      <c r="B157" s="294">
        <v>1600</v>
      </c>
      <c r="D157" s="147">
        <v>0</v>
      </c>
      <c r="F157" s="93">
        <v>2023</v>
      </c>
      <c r="G157" s="93" t="s">
        <v>382</v>
      </c>
      <c r="H157" s="93">
        <v>55</v>
      </c>
      <c r="I157" s="93">
        <v>0</v>
      </c>
      <c r="K157" s="3" t="s">
        <v>124</v>
      </c>
    </row>
    <row r="158" spans="2:11">
      <c r="B158" s="294">
        <v>1601</v>
      </c>
      <c r="D158" s="147">
        <v>0</v>
      </c>
      <c r="F158" s="93">
        <v>2024</v>
      </c>
      <c r="G158" s="93" t="s">
        <v>382</v>
      </c>
      <c r="H158" s="93">
        <v>0</v>
      </c>
      <c r="I158" s="93">
        <v>1</v>
      </c>
      <c r="K158" s="3" t="s">
        <v>124</v>
      </c>
    </row>
    <row r="159" spans="2:11">
      <c r="B159" s="294">
        <v>1602</v>
      </c>
      <c r="D159" s="147">
        <v>17329841.381191369</v>
      </c>
      <c r="F159" s="93">
        <v>2024</v>
      </c>
      <c r="G159" s="93" t="s">
        <v>382</v>
      </c>
      <c r="H159" s="93">
        <v>5</v>
      </c>
      <c r="I159" s="93">
        <v>1</v>
      </c>
      <c r="K159" s="3" t="s">
        <v>124</v>
      </c>
    </row>
    <row r="160" spans="2:11">
      <c r="B160" s="294">
        <v>1603</v>
      </c>
      <c r="D160" s="147">
        <v>5256515.0928236982</v>
      </c>
      <c r="F160" s="93">
        <v>2024</v>
      </c>
      <c r="G160" s="93" t="s">
        <v>382</v>
      </c>
      <c r="H160" s="93">
        <v>10</v>
      </c>
      <c r="I160" s="93">
        <v>1</v>
      </c>
      <c r="K160" s="3" t="s">
        <v>124</v>
      </c>
    </row>
    <row r="161" spans="2:11">
      <c r="B161" s="294">
        <v>1604</v>
      </c>
      <c r="D161" s="147">
        <v>24794632.448747091</v>
      </c>
      <c r="F161" s="93">
        <v>2024</v>
      </c>
      <c r="G161" s="93" t="s">
        <v>382</v>
      </c>
      <c r="H161" s="93">
        <v>15</v>
      </c>
      <c r="I161" s="93">
        <v>1</v>
      </c>
      <c r="K161" s="3" t="s">
        <v>124</v>
      </c>
    </row>
    <row r="162" spans="2:11">
      <c r="B162" s="294">
        <v>1605</v>
      </c>
      <c r="D162" s="147">
        <v>30453006.468301013</v>
      </c>
      <c r="F162" s="93">
        <v>2024</v>
      </c>
      <c r="G162" s="93" t="s">
        <v>382</v>
      </c>
      <c r="H162" s="93">
        <v>30</v>
      </c>
      <c r="I162" s="93">
        <v>1</v>
      </c>
      <c r="K162" s="3" t="s">
        <v>124</v>
      </c>
    </row>
    <row r="163" spans="2:11">
      <c r="B163" s="294">
        <v>1606</v>
      </c>
      <c r="D163" s="147">
        <v>84298220.607542247</v>
      </c>
      <c r="F163" s="93">
        <v>2024</v>
      </c>
      <c r="G163" s="93" t="s">
        <v>382</v>
      </c>
      <c r="H163" s="93">
        <v>55</v>
      </c>
      <c r="I163" s="93">
        <v>1</v>
      </c>
      <c r="K163" s="3" t="s">
        <v>124</v>
      </c>
    </row>
    <row r="164" spans="2:11">
      <c r="B164" s="294">
        <v>1607</v>
      </c>
      <c r="D164" s="147">
        <v>-32176.139947802236</v>
      </c>
      <c r="F164" s="93">
        <v>2024</v>
      </c>
      <c r="G164" s="93" t="s">
        <v>382</v>
      </c>
      <c r="H164" s="93">
        <v>0</v>
      </c>
      <c r="I164" s="93">
        <v>0</v>
      </c>
      <c r="K164" s="3" t="s">
        <v>124</v>
      </c>
    </row>
    <row r="165" spans="2:11">
      <c r="B165" s="294">
        <v>1608</v>
      </c>
      <c r="D165" s="147">
        <v>453184.63628655189</v>
      </c>
      <c r="F165" s="93">
        <v>2024</v>
      </c>
      <c r="G165" s="93" t="s">
        <v>382</v>
      </c>
      <c r="H165" s="93">
        <v>5</v>
      </c>
      <c r="I165" s="93">
        <v>0</v>
      </c>
      <c r="K165" s="3" t="s">
        <v>124</v>
      </c>
    </row>
    <row r="166" spans="2:11">
      <c r="B166" s="294">
        <v>1609</v>
      </c>
      <c r="D166" s="147">
        <v>1625152.505858528</v>
      </c>
      <c r="F166" s="93">
        <v>2024</v>
      </c>
      <c r="G166" s="93" t="s">
        <v>382</v>
      </c>
      <c r="H166" s="93">
        <v>10</v>
      </c>
      <c r="I166" s="93">
        <v>0</v>
      </c>
      <c r="K166" s="3" t="s">
        <v>124</v>
      </c>
    </row>
    <row r="167" spans="2:11">
      <c r="B167" s="294">
        <v>1610</v>
      </c>
      <c r="D167" s="147">
        <v>4883791.4333008695</v>
      </c>
      <c r="F167" s="93">
        <v>2024</v>
      </c>
      <c r="G167" s="93" t="s">
        <v>382</v>
      </c>
      <c r="H167" s="93">
        <v>15</v>
      </c>
      <c r="I167" s="93">
        <v>0</v>
      </c>
      <c r="K167" s="3" t="s">
        <v>124</v>
      </c>
    </row>
    <row r="168" spans="2:11">
      <c r="B168" s="294">
        <v>1611</v>
      </c>
      <c r="D168" s="147">
        <v>27700057.310498618</v>
      </c>
      <c r="F168" s="93">
        <v>2024</v>
      </c>
      <c r="G168" s="93" t="s">
        <v>382</v>
      </c>
      <c r="H168" s="93">
        <v>30</v>
      </c>
      <c r="I168" s="93">
        <v>0</v>
      </c>
      <c r="K168" s="3" t="s">
        <v>124</v>
      </c>
    </row>
    <row r="169" spans="2:11">
      <c r="B169" s="294">
        <v>1612</v>
      </c>
      <c r="D169" s="147">
        <v>39130.263467803168</v>
      </c>
      <c r="F169" s="93">
        <v>2024</v>
      </c>
      <c r="G169" s="93" t="s">
        <v>382</v>
      </c>
      <c r="H169" s="93">
        <v>55</v>
      </c>
      <c r="I169" s="93">
        <v>0</v>
      </c>
      <c r="K169" s="3" t="s">
        <v>124</v>
      </c>
    </row>
    <row r="170" spans="2:11">
      <c r="B170" s="294">
        <v>1613</v>
      </c>
      <c r="D170" s="147">
        <v>0</v>
      </c>
      <c r="F170" s="93">
        <v>2024</v>
      </c>
      <c r="G170" s="93" t="s">
        <v>382</v>
      </c>
      <c r="H170" s="93">
        <v>0</v>
      </c>
      <c r="I170" s="93">
        <v>0</v>
      </c>
      <c r="K170" s="3" t="s">
        <v>124</v>
      </c>
    </row>
    <row r="171" spans="2:11">
      <c r="B171" s="294">
        <v>1614</v>
      </c>
      <c r="D171" s="147">
        <v>651273.34409009432</v>
      </c>
      <c r="F171" s="93">
        <v>2024</v>
      </c>
      <c r="G171" s="93" t="s">
        <v>382</v>
      </c>
      <c r="H171" s="93">
        <v>5</v>
      </c>
      <c r="I171" s="93">
        <v>0</v>
      </c>
      <c r="K171" s="3" t="s">
        <v>124</v>
      </c>
    </row>
    <row r="172" spans="2:11">
      <c r="B172" s="294">
        <v>1615</v>
      </c>
      <c r="D172" s="147">
        <v>4821081.9099292308</v>
      </c>
      <c r="F172" s="93">
        <v>2024</v>
      </c>
      <c r="G172" s="93" t="s">
        <v>382</v>
      </c>
      <c r="H172" s="93">
        <v>10</v>
      </c>
      <c r="I172" s="93">
        <v>0</v>
      </c>
      <c r="K172" s="3" t="s">
        <v>124</v>
      </c>
    </row>
    <row r="173" spans="2:11">
      <c r="B173" s="294">
        <v>1616</v>
      </c>
      <c r="D173" s="147">
        <v>7889201.656386218</v>
      </c>
      <c r="F173" s="93">
        <v>2024</v>
      </c>
      <c r="G173" s="93" t="s">
        <v>382</v>
      </c>
      <c r="H173" s="93">
        <v>15</v>
      </c>
      <c r="I173" s="93">
        <v>0</v>
      </c>
      <c r="K173" s="3" t="s">
        <v>124</v>
      </c>
    </row>
    <row r="174" spans="2:11">
      <c r="B174" s="294">
        <v>1617</v>
      </c>
      <c r="D174" s="147">
        <v>7827738.1927272025</v>
      </c>
      <c r="F174" s="93">
        <v>2024</v>
      </c>
      <c r="G174" s="93" t="s">
        <v>382</v>
      </c>
      <c r="H174" s="93">
        <v>30</v>
      </c>
      <c r="I174" s="93">
        <v>0</v>
      </c>
      <c r="K174" s="3" t="s">
        <v>124</v>
      </c>
    </row>
    <row r="175" spans="2:11">
      <c r="B175" s="294">
        <v>1618</v>
      </c>
      <c r="D175" s="147">
        <v>0</v>
      </c>
      <c r="F175" s="93">
        <v>2024</v>
      </c>
      <c r="G175" s="93" t="s">
        <v>382</v>
      </c>
      <c r="H175" s="93">
        <v>55</v>
      </c>
      <c r="I175" s="93">
        <v>0</v>
      </c>
      <c r="K175" s="3" t="s">
        <v>124</v>
      </c>
    </row>
    <row r="176" spans="2:11">
      <c r="B176" s="294">
        <v>1619</v>
      </c>
      <c r="D176" s="147">
        <v>0</v>
      </c>
      <c r="F176" s="93">
        <v>2025</v>
      </c>
      <c r="G176" s="93" t="s">
        <v>382</v>
      </c>
      <c r="H176" s="93">
        <v>0</v>
      </c>
      <c r="I176" s="93">
        <v>1</v>
      </c>
      <c r="K176" s="3" t="s">
        <v>124</v>
      </c>
    </row>
    <row r="177" spans="2:11">
      <c r="B177" s="294">
        <v>1620</v>
      </c>
      <c r="D177" s="147">
        <v>17553950.889932934</v>
      </c>
      <c r="F177" s="93">
        <v>2025</v>
      </c>
      <c r="G177" s="93" t="s">
        <v>382</v>
      </c>
      <c r="H177" s="93">
        <v>5</v>
      </c>
      <c r="I177" s="93">
        <v>1</v>
      </c>
      <c r="K177" s="3" t="s">
        <v>124</v>
      </c>
    </row>
    <row r="178" spans="2:11">
      <c r="B178" s="294">
        <v>1621</v>
      </c>
      <c r="D178" s="147">
        <v>5324492.346004094</v>
      </c>
      <c r="F178" s="93">
        <v>2025</v>
      </c>
      <c r="G178" s="93" t="s">
        <v>382</v>
      </c>
      <c r="H178" s="93">
        <v>10</v>
      </c>
      <c r="I178" s="93">
        <v>1</v>
      </c>
      <c r="K178" s="3" t="s">
        <v>124</v>
      </c>
    </row>
    <row r="179" spans="2:11">
      <c r="B179" s="294">
        <v>1622</v>
      </c>
      <c r="D179" s="147">
        <v>25115276.635574285</v>
      </c>
      <c r="F179" s="93">
        <v>2025</v>
      </c>
      <c r="G179" s="93" t="s">
        <v>382</v>
      </c>
      <c r="H179" s="93">
        <v>15</v>
      </c>
      <c r="I179" s="93">
        <v>1</v>
      </c>
      <c r="K179" s="3" t="s">
        <v>124</v>
      </c>
    </row>
    <row r="180" spans="2:11">
      <c r="B180" s="294">
        <v>1623</v>
      </c>
      <c r="D180" s="147">
        <v>30846824.747949079</v>
      </c>
      <c r="F180" s="93">
        <v>2025</v>
      </c>
      <c r="G180" s="93" t="s">
        <v>382</v>
      </c>
      <c r="H180" s="93">
        <v>30</v>
      </c>
      <c r="I180" s="93">
        <v>1</v>
      </c>
      <c r="K180" s="3" t="s">
        <v>124</v>
      </c>
    </row>
    <row r="181" spans="2:11">
      <c r="B181" s="294">
        <v>1624</v>
      </c>
      <c r="D181" s="147">
        <v>85388365.196438983</v>
      </c>
      <c r="F181" s="93">
        <v>2025</v>
      </c>
      <c r="G181" s="93" t="s">
        <v>382</v>
      </c>
      <c r="H181" s="93">
        <v>55</v>
      </c>
      <c r="I181" s="93">
        <v>1</v>
      </c>
      <c r="K181" s="3" t="s">
        <v>124</v>
      </c>
    </row>
    <row r="182" spans="2:11">
      <c r="B182" s="294">
        <v>1625</v>
      </c>
      <c r="D182" s="147">
        <v>-32592.241789607215</v>
      </c>
      <c r="F182" s="93">
        <v>2025</v>
      </c>
      <c r="G182" s="93" t="s">
        <v>382</v>
      </c>
      <c r="H182" s="93">
        <v>0</v>
      </c>
      <c r="I182" s="93">
        <v>0</v>
      </c>
      <c r="K182" s="3" t="s">
        <v>124</v>
      </c>
    </row>
    <row r="183" spans="2:11">
      <c r="B183" s="294">
        <v>1626</v>
      </c>
      <c r="D183" s="147">
        <v>459045.22000300954</v>
      </c>
      <c r="F183" s="93">
        <v>2025</v>
      </c>
      <c r="G183" s="93" t="s">
        <v>382</v>
      </c>
      <c r="H183" s="93">
        <v>5</v>
      </c>
      <c r="I183" s="93">
        <v>0</v>
      </c>
      <c r="K183" s="3" t="s">
        <v>124</v>
      </c>
    </row>
    <row r="184" spans="2:11">
      <c r="B184" s="294">
        <v>1627</v>
      </c>
      <c r="D184" s="147">
        <v>1646168.9780642902</v>
      </c>
      <c r="F184" s="93">
        <v>2025</v>
      </c>
      <c r="G184" s="93" t="s">
        <v>382</v>
      </c>
      <c r="H184" s="93">
        <v>10</v>
      </c>
      <c r="I184" s="93">
        <v>0</v>
      </c>
      <c r="K184" s="3" t="s">
        <v>124</v>
      </c>
    </row>
    <row r="185" spans="2:11">
      <c r="B185" s="294">
        <v>1628</v>
      </c>
      <c r="D185" s="147">
        <v>4946948.6241163164</v>
      </c>
      <c r="F185" s="93">
        <v>2025</v>
      </c>
      <c r="G185" s="93" t="s">
        <v>382</v>
      </c>
      <c r="H185" s="93">
        <v>15</v>
      </c>
      <c r="I185" s="93">
        <v>0</v>
      </c>
      <c r="K185" s="3" t="s">
        <v>124</v>
      </c>
    </row>
    <row r="186" spans="2:11">
      <c r="B186" s="294">
        <v>1629</v>
      </c>
      <c r="D186" s="147">
        <v>28058274.451637983</v>
      </c>
      <c r="F186" s="93">
        <v>2025</v>
      </c>
      <c r="G186" s="93" t="s">
        <v>382</v>
      </c>
      <c r="H186" s="93">
        <v>30</v>
      </c>
      <c r="I186" s="93">
        <v>0</v>
      </c>
      <c r="K186" s="3" t="s">
        <v>124</v>
      </c>
    </row>
    <row r="187" spans="2:11">
      <c r="B187" s="294">
        <v>1630</v>
      </c>
      <c r="D187" s="147">
        <v>39636.2960349688</v>
      </c>
      <c r="F187" s="93">
        <v>2025</v>
      </c>
      <c r="G187" s="93" t="s">
        <v>382</v>
      </c>
      <c r="H187" s="93">
        <v>55</v>
      </c>
      <c r="I187" s="93">
        <v>0</v>
      </c>
      <c r="K187" s="3" t="s">
        <v>124</v>
      </c>
    </row>
    <row r="188" spans="2:11">
      <c r="B188" s="294">
        <v>1631</v>
      </c>
      <c r="D188" s="147">
        <v>0</v>
      </c>
      <c r="F188" s="93">
        <v>2025</v>
      </c>
      <c r="G188" s="93" t="s">
        <v>382</v>
      </c>
      <c r="H188" s="93">
        <v>0</v>
      </c>
      <c r="I188" s="93">
        <v>0</v>
      </c>
      <c r="K188" s="3" t="s">
        <v>124</v>
      </c>
    </row>
    <row r="189" spans="2:11">
      <c r="B189" s="294">
        <v>1632</v>
      </c>
      <c r="D189" s="147">
        <v>659695.61097586737</v>
      </c>
      <c r="F189" s="93">
        <v>2025</v>
      </c>
      <c r="G189" s="93" t="s">
        <v>382</v>
      </c>
      <c r="H189" s="93">
        <v>5</v>
      </c>
      <c r="I189" s="93">
        <v>0</v>
      </c>
      <c r="K189" s="3" t="s">
        <v>124</v>
      </c>
    </row>
    <row r="190" spans="2:11">
      <c r="B190" s="294">
        <v>1633</v>
      </c>
      <c r="D190" s="147">
        <v>4883428.1411884353</v>
      </c>
      <c r="F190" s="93">
        <v>2025</v>
      </c>
      <c r="G190" s="93" t="s">
        <v>382</v>
      </c>
      <c r="H190" s="93">
        <v>10</v>
      </c>
      <c r="I190" s="93">
        <v>0</v>
      </c>
      <c r="K190" s="3" t="s">
        <v>124</v>
      </c>
    </row>
    <row r="191" spans="2:11">
      <c r="B191" s="294">
        <v>1634</v>
      </c>
      <c r="D191" s="147">
        <v>7991224.8122066045</v>
      </c>
      <c r="F191" s="93">
        <v>2025</v>
      </c>
      <c r="G191" s="93" t="s">
        <v>382</v>
      </c>
      <c r="H191" s="93">
        <v>15</v>
      </c>
      <c r="I191" s="93">
        <v>0</v>
      </c>
      <c r="K191" s="3" t="s">
        <v>124</v>
      </c>
    </row>
    <row r="192" spans="2:11">
      <c r="B192" s="294">
        <v>1635</v>
      </c>
      <c r="D192" s="147">
        <v>7928966.50303555</v>
      </c>
      <c r="F192" s="93">
        <v>2025</v>
      </c>
      <c r="G192" s="93" t="s">
        <v>382</v>
      </c>
      <c r="H192" s="93">
        <v>30</v>
      </c>
      <c r="I192" s="93">
        <v>0</v>
      </c>
      <c r="K192" s="3" t="s">
        <v>124</v>
      </c>
    </row>
    <row r="193" spans="2:11">
      <c r="B193" s="294">
        <v>1636</v>
      </c>
      <c r="D193" s="147">
        <v>0</v>
      </c>
      <c r="F193" s="93">
        <v>2025</v>
      </c>
      <c r="G193" s="93" t="s">
        <v>382</v>
      </c>
      <c r="H193" s="93">
        <v>55</v>
      </c>
      <c r="I193" s="93">
        <v>0</v>
      </c>
      <c r="K193" s="3" t="s">
        <v>124</v>
      </c>
    </row>
    <row r="194" spans="2:11">
      <c r="B194" s="294">
        <v>1637</v>
      </c>
      <c r="D194" s="147">
        <v>0</v>
      </c>
      <c r="F194" s="93">
        <v>2026</v>
      </c>
      <c r="G194" s="93" t="s">
        <v>382</v>
      </c>
      <c r="H194" s="93">
        <v>0</v>
      </c>
      <c r="I194" s="93">
        <v>1</v>
      </c>
      <c r="K194" s="3" t="s">
        <v>124</v>
      </c>
    </row>
    <row r="195" spans="2:11">
      <c r="B195" s="294">
        <v>1638</v>
      </c>
      <c r="D195" s="147">
        <v>17780958.582841545</v>
      </c>
      <c r="F195" s="93">
        <v>2026</v>
      </c>
      <c r="G195" s="93" t="s">
        <v>382</v>
      </c>
      <c r="H195" s="93">
        <v>5</v>
      </c>
      <c r="I195" s="93">
        <v>1</v>
      </c>
      <c r="K195" s="3" t="s">
        <v>124</v>
      </c>
    </row>
    <row r="196" spans="2:11">
      <c r="B196" s="294">
        <v>1639</v>
      </c>
      <c r="D196" s="147">
        <v>5393348.681022618</v>
      </c>
      <c r="F196" s="93">
        <v>2026</v>
      </c>
      <c r="G196" s="93" t="s">
        <v>382</v>
      </c>
      <c r="H196" s="93">
        <v>10</v>
      </c>
      <c r="I196" s="93">
        <v>1</v>
      </c>
      <c r="K196" s="3" t="s">
        <v>124</v>
      </c>
    </row>
    <row r="197" spans="2:11">
      <c r="B197" s="294">
        <v>1640</v>
      </c>
      <c r="D197" s="147">
        <v>25440067.393025532</v>
      </c>
      <c r="F197" s="93">
        <v>2026</v>
      </c>
      <c r="G197" s="93" t="s">
        <v>382</v>
      </c>
      <c r="H197" s="93">
        <v>15</v>
      </c>
      <c r="I197" s="93">
        <v>1</v>
      </c>
      <c r="K197" s="3" t="s">
        <v>124</v>
      </c>
    </row>
    <row r="198" spans="2:11">
      <c r="B198" s="294">
        <v>1641</v>
      </c>
      <c r="D198" s="147">
        <v>31245735.885589555</v>
      </c>
      <c r="F198" s="93">
        <v>2026</v>
      </c>
      <c r="G198" s="93" t="s">
        <v>382</v>
      </c>
      <c r="H198" s="93">
        <v>30</v>
      </c>
      <c r="I198" s="93">
        <v>1</v>
      </c>
      <c r="K198" s="3" t="s">
        <v>124</v>
      </c>
    </row>
    <row r="199" spans="2:11">
      <c r="B199" s="294">
        <v>1642</v>
      </c>
      <c r="D199" s="147">
        <v>86492607.535159335</v>
      </c>
      <c r="F199" s="93">
        <v>2026</v>
      </c>
      <c r="G199" s="93" t="s">
        <v>382</v>
      </c>
      <c r="H199" s="93">
        <v>55</v>
      </c>
      <c r="I199" s="93">
        <v>1</v>
      </c>
      <c r="K199" s="3" t="s">
        <v>124</v>
      </c>
    </row>
    <row r="200" spans="2:11">
      <c r="B200" s="294">
        <v>1643</v>
      </c>
      <c r="D200" s="147">
        <v>-33013.724660430409</v>
      </c>
      <c r="F200" s="93">
        <v>2026</v>
      </c>
      <c r="G200" s="93" t="s">
        <v>382</v>
      </c>
      <c r="H200" s="93">
        <v>0</v>
      </c>
      <c r="I200" s="93">
        <v>0</v>
      </c>
      <c r="K200" s="3" t="s">
        <v>124</v>
      </c>
    </row>
    <row r="201" spans="2:11">
      <c r="B201" s="294">
        <v>1644</v>
      </c>
      <c r="D201" s="147">
        <v>464981.59278808843</v>
      </c>
      <c r="F201" s="93">
        <v>2026</v>
      </c>
      <c r="G201" s="93" t="s">
        <v>382</v>
      </c>
      <c r="H201" s="93">
        <v>5</v>
      </c>
      <c r="I201" s="93">
        <v>0</v>
      </c>
      <c r="K201" s="3" t="s">
        <v>124</v>
      </c>
    </row>
    <row r="202" spans="2:11">
      <c r="B202" s="294">
        <v>1645</v>
      </c>
      <c r="D202" s="147">
        <v>1667457.2352886177</v>
      </c>
      <c r="F202" s="93">
        <v>2026</v>
      </c>
      <c r="G202" s="93" t="s">
        <v>382</v>
      </c>
      <c r="H202" s="93">
        <v>10</v>
      </c>
      <c r="I202" s="93">
        <v>0</v>
      </c>
      <c r="K202" s="3" t="s">
        <v>124</v>
      </c>
    </row>
    <row r="203" spans="2:11">
      <c r="B203" s="294">
        <v>1646</v>
      </c>
      <c r="D203" s="147">
        <v>5010922.5637233881</v>
      </c>
      <c r="F203" s="93">
        <v>2026</v>
      </c>
      <c r="G203" s="93" t="s">
        <v>382</v>
      </c>
      <c r="H203" s="93">
        <v>15</v>
      </c>
      <c r="I203" s="93">
        <v>0</v>
      </c>
      <c r="K203" s="3" t="s">
        <v>124</v>
      </c>
    </row>
    <row r="204" spans="2:11">
      <c r="B204" s="294">
        <v>1647</v>
      </c>
      <c r="D204" s="147">
        <v>28421124.056846563</v>
      </c>
      <c r="F204" s="93">
        <v>2026</v>
      </c>
      <c r="G204" s="93" t="s">
        <v>382</v>
      </c>
      <c r="H204" s="93">
        <v>30</v>
      </c>
      <c r="I204" s="93">
        <v>0</v>
      </c>
      <c r="K204" s="3" t="s">
        <v>124</v>
      </c>
    </row>
    <row r="205" spans="2:11">
      <c r="B205" s="294">
        <v>1648</v>
      </c>
      <c r="D205" s="147">
        <v>40148.872615293018</v>
      </c>
      <c r="F205" s="93">
        <v>2026</v>
      </c>
      <c r="G205" s="93" t="s">
        <v>382</v>
      </c>
      <c r="H205" s="93">
        <v>55</v>
      </c>
      <c r="I205" s="93">
        <v>0</v>
      </c>
      <c r="K205" s="3" t="s">
        <v>124</v>
      </c>
    </row>
    <row r="206" spans="2:11">
      <c r="B206" s="294">
        <v>1649</v>
      </c>
      <c r="D206" s="147">
        <v>0</v>
      </c>
      <c r="F206" s="93">
        <v>2026</v>
      </c>
      <c r="G206" s="93" t="s">
        <v>382</v>
      </c>
      <c r="H206" s="93">
        <v>0</v>
      </c>
      <c r="I206" s="93">
        <v>0</v>
      </c>
      <c r="K206" s="3" t="s">
        <v>124</v>
      </c>
    </row>
    <row r="207" spans="2:11">
      <c r="B207" s="294">
        <v>1650</v>
      </c>
      <c r="D207" s="147">
        <v>668226.79461700725</v>
      </c>
      <c r="F207" s="93">
        <v>2026</v>
      </c>
      <c r="G207" s="93" t="s">
        <v>382</v>
      </c>
      <c r="H207" s="93">
        <v>5</v>
      </c>
      <c r="I207" s="93">
        <v>0</v>
      </c>
      <c r="K207" s="3" t="s">
        <v>124</v>
      </c>
    </row>
    <row r="208" spans="2:11">
      <c r="B208" s="294">
        <v>1651</v>
      </c>
      <c r="D208" s="147">
        <v>4946580.6339102844</v>
      </c>
      <c r="F208" s="93">
        <v>2026</v>
      </c>
      <c r="G208" s="93" t="s">
        <v>382</v>
      </c>
      <c r="H208" s="93">
        <v>10</v>
      </c>
      <c r="I208" s="93">
        <v>0</v>
      </c>
      <c r="K208" s="3" t="s">
        <v>124</v>
      </c>
    </row>
    <row r="209" spans="2:11">
      <c r="B209" s="294">
        <v>1652</v>
      </c>
      <c r="D209" s="147">
        <v>8094567.3314780593</v>
      </c>
      <c r="F209" s="93">
        <v>2026</v>
      </c>
      <c r="G209" s="93" t="s">
        <v>382</v>
      </c>
      <c r="H209" s="93">
        <v>15</v>
      </c>
      <c r="I209" s="93">
        <v>0</v>
      </c>
      <c r="K209" s="3" t="s">
        <v>124</v>
      </c>
    </row>
    <row r="210" spans="2:11">
      <c r="B210" s="294">
        <v>1653</v>
      </c>
      <c r="D210" s="147">
        <v>8031503.8978528045</v>
      </c>
      <c r="F210" s="93">
        <v>2026</v>
      </c>
      <c r="G210" s="93" t="s">
        <v>382</v>
      </c>
      <c r="H210" s="93">
        <v>30</v>
      </c>
      <c r="I210" s="93">
        <v>0</v>
      </c>
      <c r="K210" s="3" t="s">
        <v>124</v>
      </c>
    </row>
    <row r="211" spans="2:11">
      <c r="B211" s="294">
        <v>1654</v>
      </c>
      <c r="D211" s="147">
        <v>0</v>
      </c>
      <c r="F211" s="93">
        <v>2026</v>
      </c>
      <c r="G211" s="93" t="s">
        <v>382</v>
      </c>
      <c r="H211" s="93">
        <v>55</v>
      </c>
      <c r="I211" s="93">
        <v>0</v>
      </c>
      <c r="K211" s="3" t="s">
        <v>124</v>
      </c>
    </row>
    <row r="212" spans="2:11">
      <c r="B212" s="294">
        <v>1655</v>
      </c>
      <c r="D212" s="147">
        <v>1823110</v>
      </c>
      <c r="F212" s="93">
        <v>2020</v>
      </c>
      <c r="G212" s="93" t="s">
        <v>304</v>
      </c>
      <c r="H212" s="93">
        <v>55</v>
      </c>
      <c r="I212" s="93">
        <v>1</v>
      </c>
      <c r="K212" s="3" t="s">
        <v>124</v>
      </c>
    </row>
    <row r="213" spans="2:11">
      <c r="B213" s="294">
        <v>1656</v>
      </c>
      <c r="D213" s="147">
        <v>1850427.4802399999</v>
      </c>
      <c r="F213" s="93">
        <v>2021</v>
      </c>
      <c r="G213" s="93" t="s">
        <v>304</v>
      </c>
      <c r="H213" s="93">
        <v>55</v>
      </c>
      <c r="I213" s="93">
        <v>1</v>
      </c>
      <c r="K213" s="3" t="s">
        <v>124</v>
      </c>
    </row>
    <row r="214" spans="2:11">
      <c r="B214" s="294">
        <v>1657</v>
      </c>
      <c r="D214" s="147">
        <v>1874357.2084144636</v>
      </c>
      <c r="F214" s="93">
        <v>2022</v>
      </c>
      <c r="G214" s="93" t="s">
        <v>304</v>
      </c>
      <c r="H214" s="93">
        <v>55</v>
      </c>
      <c r="I214" s="93">
        <v>1</v>
      </c>
      <c r="K214" s="3" t="s">
        <v>124</v>
      </c>
    </row>
    <row r="215" spans="2:11">
      <c r="B215" s="294">
        <v>1658</v>
      </c>
      <c r="D215" s="147">
        <v>1898596.3958336795</v>
      </c>
      <c r="F215" s="93">
        <v>2023</v>
      </c>
      <c r="G215" s="93" t="s">
        <v>304</v>
      </c>
      <c r="H215" s="93">
        <v>55</v>
      </c>
      <c r="I215" s="93">
        <v>1</v>
      </c>
      <c r="K215" s="3" t="s">
        <v>124</v>
      </c>
    </row>
    <row r="216" spans="2:11">
      <c r="B216" s="294">
        <v>1659</v>
      </c>
      <c r="D216" s="147">
        <v>1923149.0444246007</v>
      </c>
      <c r="F216" s="93">
        <v>2024</v>
      </c>
      <c r="G216" s="93" t="s">
        <v>304</v>
      </c>
      <c r="H216" s="93">
        <v>55</v>
      </c>
      <c r="I216" s="93">
        <v>1</v>
      </c>
      <c r="K216" s="3" t="s">
        <v>124</v>
      </c>
    </row>
    <row r="217" spans="2:11">
      <c r="B217" s="294">
        <v>1660</v>
      </c>
      <c r="D217" s="147">
        <v>1948019.2078670992</v>
      </c>
      <c r="F217" s="93">
        <v>2025</v>
      </c>
      <c r="G217" s="93" t="s">
        <v>304</v>
      </c>
      <c r="H217" s="93">
        <v>55</v>
      </c>
      <c r="I217" s="93">
        <v>1</v>
      </c>
      <c r="K217" s="3" t="s">
        <v>124</v>
      </c>
    </row>
    <row r="218" spans="2:11">
      <c r="B218" s="294">
        <v>1661</v>
      </c>
      <c r="D218" s="147">
        <v>1973210.9922632365</v>
      </c>
      <c r="F218" s="93">
        <v>2026</v>
      </c>
      <c r="G218" s="93" t="s">
        <v>304</v>
      </c>
      <c r="H218" s="93">
        <v>55</v>
      </c>
      <c r="I218" s="93">
        <v>1</v>
      </c>
      <c r="K218" s="3" t="s">
        <v>124</v>
      </c>
    </row>
    <row r="219" spans="2:11">
      <c r="B219" s="294">
        <v>1662</v>
      </c>
      <c r="D219" s="147">
        <v>463333.33333333337</v>
      </c>
      <c r="F219" s="93">
        <v>2020</v>
      </c>
      <c r="G219" s="93" t="s">
        <v>308</v>
      </c>
      <c r="H219" s="93">
        <v>30</v>
      </c>
      <c r="I219" s="93">
        <v>0</v>
      </c>
      <c r="K219" s="3" t="s">
        <v>124</v>
      </c>
    </row>
    <row r="220" spans="2:11">
      <c r="B220" s="294">
        <v>1663</v>
      </c>
      <c r="D220" s="147">
        <v>470275.92000000004</v>
      </c>
      <c r="F220" s="93">
        <v>2021</v>
      </c>
      <c r="G220" s="93" t="s">
        <v>308</v>
      </c>
      <c r="H220" s="93">
        <v>30</v>
      </c>
      <c r="I220" s="93">
        <v>0</v>
      </c>
      <c r="K220" s="3" t="s">
        <v>124</v>
      </c>
    </row>
    <row r="221" spans="2:11">
      <c r="B221" s="294">
        <v>1664</v>
      </c>
      <c r="D221" s="147">
        <v>476357.52819743997</v>
      </c>
      <c r="F221" s="93">
        <v>2022</v>
      </c>
      <c r="G221" s="93" t="s">
        <v>308</v>
      </c>
      <c r="H221" s="93">
        <v>30</v>
      </c>
      <c r="I221" s="93">
        <v>0</v>
      </c>
      <c r="K221" s="3" t="s">
        <v>124</v>
      </c>
    </row>
    <row r="222" spans="2:11">
      <c r="B222" s="294">
        <v>1665</v>
      </c>
      <c r="D222" s="147">
        <v>482517.78375208931</v>
      </c>
      <c r="F222" s="93">
        <v>2023</v>
      </c>
      <c r="G222" s="93" t="s">
        <v>308</v>
      </c>
      <c r="H222" s="93">
        <v>30</v>
      </c>
      <c r="I222" s="93">
        <v>0</v>
      </c>
      <c r="K222" s="3" t="s">
        <v>124</v>
      </c>
    </row>
    <row r="223" spans="2:11">
      <c r="B223" s="294">
        <v>1666</v>
      </c>
      <c r="D223" s="147">
        <v>488757.70373157132</v>
      </c>
      <c r="F223" s="93">
        <v>2024</v>
      </c>
      <c r="G223" s="93" t="s">
        <v>308</v>
      </c>
      <c r="H223" s="93">
        <v>30</v>
      </c>
      <c r="I223" s="93">
        <v>0</v>
      </c>
      <c r="K223" s="3" t="s">
        <v>124</v>
      </c>
    </row>
    <row r="224" spans="2:11">
      <c r="B224" s="294">
        <v>1667</v>
      </c>
      <c r="D224" s="147">
        <v>495078.31835622794</v>
      </c>
      <c r="F224" s="93">
        <v>2025</v>
      </c>
      <c r="G224" s="93" t="s">
        <v>308</v>
      </c>
      <c r="H224" s="93">
        <v>30</v>
      </c>
      <c r="I224" s="93">
        <v>0</v>
      </c>
      <c r="K224" s="3" t="s">
        <v>124</v>
      </c>
    </row>
    <row r="225" spans="2:86">
      <c r="B225" s="294">
        <v>1668</v>
      </c>
      <c r="D225" s="147">
        <v>501480.67116921069</v>
      </c>
      <c r="F225" s="93">
        <v>2026</v>
      </c>
      <c r="G225" s="93" t="s">
        <v>308</v>
      </c>
      <c r="H225" s="93">
        <v>30</v>
      </c>
      <c r="I225" s="93">
        <v>0</v>
      </c>
      <c r="K225" s="3" t="s">
        <v>124</v>
      </c>
    </row>
    <row r="227" spans="2:86" s="8" customFormat="1">
      <c r="B227" s="8" t="s">
        <v>383</v>
      </c>
      <c r="D227" s="8" t="s">
        <v>199</v>
      </c>
      <c r="F227" s="111" t="s">
        <v>384</v>
      </c>
      <c r="G227" s="111" t="s">
        <v>385</v>
      </c>
      <c r="H227" s="111" t="s">
        <v>386</v>
      </c>
      <c r="I227" s="111" t="s">
        <v>387</v>
      </c>
      <c r="J227" s="111" t="s">
        <v>388</v>
      </c>
      <c r="K227" s="111" t="s">
        <v>389</v>
      </c>
      <c r="L227" s="111" t="s">
        <v>390</v>
      </c>
      <c r="M227" s="111" t="s">
        <v>391</v>
      </c>
      <c r="N227" s="111" t="s">
        <v>392</v>
      </c>
      <c r="O227" s="111" t="s">
        <v>393</v>
      </c>
      <c r="P227" s="111" t="s">
        <v>394</v>
      </c>
      <c r="Q227" s="111" t="s">
        <v>395</v>
      </c>
      <c r="R227" s="111" t="s">
        <v>396</v>
      </c>
      <c r="S227" s="111" t="s">
        <v>397</v>
      </c>
      <c r="T227" s="111" t="s">
        <v>398</v>
      </c>
      <c r="U227" s="111" t="s">
        <v>399</v>
      </c>
      <c r="V227" s="111" t="s">
        <v>400</v>
      </c>
      <c r="W227" s="111" t="s">
        <v>401</v>
      </c>
      <c r="X227" s="111" t="s">
        <v>402</v>
      </c>
      <c r="Y227" s="111" t="s">
        <v>403</v>
      </c>
      <c r="Z227" s="111" t="s">
        <v>404</v>
      </c>
      <c r="AA227" s="111" t="s">
        <v>405</v>
      </c>
      <c r="AB227" s="111" t="s">
        <v>406</v>
      </c>
      <c r="AC227" s="111" t="s">
        <v>407</v>
      </c>
      <c r="AD227" s="111" t="s">
        <v>408</v>
      </c>
      <c r="AE227" s="111" t="s">
        <v>409</v>
      </c>
      <c r="AF227" s="111" t="s">
        <v>410</v>
      </c>
      <c r="AG227" s="111" t="s">
        <v>411</v>
      </c>
      <c r="AH227" s="111" t="s">
        <v>412</v>
      </c>
      <c r="AI227" s="111" t="s">
        <v>413</v>
      </c>
      <c r="AJ227" s="111" t="s">
        <v>414</v>
      </c>
      <c r="AK227" s="111" t="s">
        <v>415</v>
      </c>
      <c r="AL227" s="111" t="s">
        <v>416</v>
      </c>
      <c r="AM227" s="111" t="s">
        <v>417</v>
      </c>
      <c r="AN227" s="111" t="s">
        <v>418</v>
      </c>
      <c r="AO227" s="111" t="s">
        <v>419</v>
      </c>
      <c r="AP227" s="111" t="s">
        <v>420</v>
      </c>
      <c r="AQ227" s="111" t="s">
        <v>421</v>
      </c>
      <c r="AR227" s="111" t="s">
        <v>422</v>
      </c>
      <c r="AS227" s="111" t="s">
        <v>423</v>
      </c>
      <c r="AT227" s="111" t="s">
        <v>424</v>
      </c>
      <c r="AU227" s="111" t="s">
        <v>425</v>
      </c>
      <c r="AV227" s="111" t="s">
        <v>426</v>
      </c>
      <c r="AW227" s="111" t="s">
        <v>427</v>
      </c>
      <c r="AX227" s="111" t="s">
        <v>428</v>
      </c>
      <c r="AY227" s="111" t="s">
        <v>429</v>
      </c>
      <c r="AZ227" s="111" t="s">
        <v>430</v>
      </c>
      <c r="BA227" s="111" t="s">
        <v>431</v>
      </c>
      <c r="BB227" s="111" t="s">
        <v>432</v>
      </c>
      <c r="BC227" s="111" t="s">
        <v>433</v>
      </c>
      <c r="BD227" s="111" t="s">
        <v>434</v>
      </c>
      <c r="BE227" s="111" t="s">
        <v>435</v>
      </c>
      <c r="BF227" s="111" t="s">
        <v>436</v>
      </c>
      <c r="BG227" s="111" t="s">
        <v>437</v>
      </c>
      <c r="BH227" s="111" t="s">
        <v>438</v>
      </c>
      <c r="BI227" s="111" t="s">
        <v>439</v>
      </c>
      <c r="BJ227" s="111" t="s">
        <v>440</v>
      </c>
      <c r="BK227" s="111" t="s">
        <v>441</v>
      </c>
      <c r="BL227" s="111" t="s">
        <v>442</v>
      </c>
      <c r="BM227" s="111" t="s">
        <v>443</v>
      </c>
      <c r="BN227" s="111" t="s">
        <v>444</v>
      </c>
      <c r="BO227" s="111" t="s">
        <v>445</v>
      </c>
      <c r="BP227" s="111" t="s">
        <v>446</v>
      </c>
      <c r="BQ227" s="111" t="s">
        <v>447</v>
      </c>
      <c r="BR227" s="111" t="s">
        <v>448</v>
      </c>
      <c r="BS227" s="111" t="s">
        <v>449</v>
      </c>
      <c r="BT227" s="111" t="s">
        <v>450</v>
      </c>
      <c r="BU227" s="111" t="s">
        <v>451</v>
      </c>
      <c r="BV227" s="111" t="s">
        <v>452</v>
      </c>
      <c r="BW227" s="111" t="s">
        <v>453</v>
      </c>
      <c r="BX227" s="111" t="s">
        <v>454</v>
      </c>
      <c r="BY227" s="111" t="s">
        <v>455</v>
      </c>
      <c r="BZ227" s="111" t="s">
        <v>456</v>
      </c>
      <c r="CA227" s="111" t="s">
        <v>457</v>
      </c>
      <c r="CB227" s="111" t="s">
        <v>458</v>
      </c>
      <c r="CC227" s="111" t="s">
        <v>459</v>
      </c>
      <c r="CD227" s="111" t="s">
        <v>460</v>
      </c>
      <c r="CE227" s="111" t="s">
        <v>461</v>
      </c>
      <c r="CF227" s="111" t="s">
        <v>462</v>
      </c>
      <c r="CG227" s="111" t="s">
        <v>463</v>
      </c>
      <c r="CH227" s="111" t="s">
        <v>464</v>
      </c>
    </row>
    <row r="229" spans="2:86">
      <c r="B229" s="3" t="s">
        <v>465</v>
      </c>
      <c r="D229" s="3" t="s">
        <v>204</v>
      </c>
      <c r="F229" s="133">
        <v>9.0830073880921361E-2</v>
      </c>
      <c r="G229" s="133">
        <v>3.6254980079681365E-2</v>
      </c>
      <c r="H229" s="133">
        <v>3.5371011149557818E-2</v>
      </c>
      <c r="I229" s="133">
        <v>6.3126624582250282E-2</v>
      </c>
      <c r="J229" s="133">
        <v>9.1163115612993242E-2</v>
      </c>
      <c r="K229" s="133">
        <v>9.6350832266325306E-2</v>
      </c>
      <c r="L229" s="133">
        <v>0</v>
      </c>
      <c r="M229" s="133">
        <v>0</v>
      </c>
      <c r="N229" s="133">
        <v>0.04</v>
      </c>
      <c r="O229" s="133">
        <v>1.909039865244248E-2</v>
      </c>
      <c r="P229" s="133">
        <v>1.9008264462809853E-2</v>
      </c>
      <c r="Q229" s="133">
        <v>6.4882400648824015E-2</v>
      </c>
      <c r="R229" s="133">
        <v>1.7263264788017294E-2</v>
      </c>
      <c r="S229" s="133">
        <v>8.4851509857749793E-3</v>
      </c>
      <c r="T229" s="133">
        <v>2.5488740410789294E-2</v>
      </c>
      <c r="U229" s="133">
        <v>1.6650579150579235E-2</v>
      </c>
      <c r="V229" s="133">
        <v>1.92262046047946E-2</v>
      </c>
      <c r="W229" s="133">
        <v>3.8192827200745308E-2</v>
      </c>
      <c r="X229" s="133">
        <v>1.9E-2</v>
      </c>
      <c r="Y229" s="133">
        <v>8.4000000000000005E-2</v>
      </c>
      <c r="Z229" s="133">
        <v>4.2999999999999997E-2</v>
      </c>
      <c r="AA229" s="133">
        <v>5.7999999999999996E-2</v>
      </c>
      <c r="AB229" s="133">
        <v>3.9E-2</v>
      </c>
      <c r="AC229" s="133">
        <v>3.3000000000000002E-2</v>
      </c>
      <c r="AD229" s="133">
        <v>6.9000000000000006E-2</v>
      </c>
      <c r="AE229" s="133">
        <v>5.4000000000000006E-2</v>
      </c>
      <c r="AF229" s="133">
        <v>7.5999999999999998E-2</v>
      </c>
      <c r="AG229" s="133">
        <v>7.400000000000001E-2</v>
      </c>
      <c r="AH229" s="133">
        <v>8.1000000000000003E-2</v>
      </c>
      <c r="AI229" s="133">
        <v>9.8000000000000004E-2</v>
      </c>
      <c r="AJ229" s="133">
        <v>0.107</v>
      </c>
      <c r="AK229" s="133">
        <v>8.3000000000000004E-2</v>
      </c>
      <c r="AL229" s="133">
        <v>6.8000000000000005E-2</v>
      </c>
      <c r="AM229" s="133">
        <v>4.2000000000000003E-2</v>
      </c>
      <c r="AN229" s="133">
        <v>3.7999999999999999E-2</v>
      </c>
      <c r="AO229" s="133">
        <v>7.0999999999999994E-2</v>
      </c>
      <c r="AP229" s="133">
        <v>6.4000000000000001E-2</v>
      </c>
      <c r="AQ229" s="133">
        <v>5.9000000000000004E-2</v>
      </c>
      <c r="AR229" s="133">
        <v>2.6000000000000002E-2</v>
      </c>
      <c r="AS229" s="133">
        <v>2.7999999999999997E-2</v>
      </c>
      <c r="AT229" s="133">
        <v>2.3E-2</v>
      </c>
      <c r="AU229" s="133">
        <v>-5.0000000000000001E-3</v>
      </c>
      <c r="AV229" s="133">
        <v>2E-3</v>
      </c>
      <c r="AW229" s="133">
        <v>9.0000000000000011E-3</v>
      </c>
      <c r="AX229" s="133">
        <v>1.1000000000000001E-2</v>
      </c>
      <c r="AY229" s="133">
        <v>2.4E-2</v>
      </c>
      <c r="AZ229" s="133">
        <v>4.5999999999999999E-2</v>
      </c>
      <c r="BA229" s="133">
        <v>3.5000000000000003E-2</v>
      </c>
      <c r="BB229" s="133">
        <v>0.02</v>
      </c>
      <c r="BC229" s="133">
        <v>2.6000000000000002E-2</v>
      </c>
      <c r="BD229" s="133">
        <v>1.4999999999999999E-2</v>
      </c>
      <c r="BE229" s="133">
        <v>1.9E-2</v>
      </c>
      <c r="BF229" s="133">
        <v>2.6000000000000002E-2</v>
      </c>
      <c r="BG229" s="133">
        <v>1.7000000000000001E-2</v>
      </c>
      <c r="BH229" s="133">
        <v>2.6000000000000002E-2</v>
      </c>
      <c r="BI229" s="133">
        <v>2.5000000000000001E-2</v>
      </c>
      <c r="BJ229" s="133">
        <v>4.7E-2</v>
      </c>
      <c r="BK229" s="133">
        <v>3.3000000000000002E-2</v>
      </c>
      <c r="BL229" s="133">
        <v>2.1000000000000001E-2</v>
      </c>
      <c r="BM229" s="133">
        <v>1.1000000000000001E-2</v>
      </c>
      <c r="BN229" s="133">
        <v>1.7999999999999999E-2</v>
      </c>
      <c r="BO229" s="133">
        <v>1.4E-2</v>
      </c>
      <c r="BP229" s="133">
        <v>1.0999999999999999E-2</v>
      </c>
      <c r="BQ229" s="133">
        <v>3.2000000000000001E-2</v>
      </c>
      <c r="BR229" s="133">
        <v>3.0000000000000001E-3</v>
      </c>
      <c r="BS229" s="133">
        <v>1.4999999999999999E-2</v>
      </c>
      <c r="BT229" s="133">
        <v>2.5999999999999999E-2</v>
      </c>
      <c r="BU229" s="133">
        <v>2.3E-2</v>
      </c>
      <c r="BV229" s="133">
        <v>2.8000000000000001E-2</v>
      </c>
      <c r="BW229" s="133">
        <v>0.01</v>
      </c>
      <c r="BX229" s="133">
        <v>8.0000000000000002E-3</v>
      </c>
      <c r="BY229" s="133">
        <v>2E-3</v>
      </c>
      <c r="BZ229" s="133">
        <v>1.4E-2</v>
      </c>
      <c r="CA229" s="133">
        <v>1.2E-2</v>
      </c>
      <c r="CB229" s="133">
        <v>2.5999999999999999E-2</v>
      </c>
      <c r="CC229" s="133">
        <v>1.6E-2</v>
      </c>
      <c r="CD229" s="55">
        <f>'2. Parameters'!M37</f>
        <v>1.7999999999999999E-2</v>
      </c>
      <c r="CE229" s="55">
        <f>'2. Parameters'!N37</f>
        <v>6.2E-2</v>
      </c>
      <c r="CF229" s="55">
        <f>'2. Parameters'!O37</f>
        <v>0.08</v>
      </c>
      <c r="CG229" s="55">
        <f>'2. Parameters'!P37</f>
        <v>2.8000000000000001E-2</v>
      </c>
      <c r="CH229" s="55">
        <f>'2. Parameters'!Q37</f>
        <v>1.7000000000000001E-2</v>
      </c>
    </row>
  </sheetData>
  <mergeCells count="1">
    <mergeCell ref="B5:E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Y58"/>
  <sheetViews>
    <sheetView showGridLines="0" zoomScale="85" zoomScaleNormal="85" workbookViewId="0">
      <pane xSplit="4" ySplit="7" topLeftCell="E8" activePane="bottomRight" state="frozen"/>
      <selection pane="topRight"/>
      <selection pane="bottomLeft"/>
      <selection pane="bottomRight" activeCell="Q36" sqref="Q36:Q55"/>
    </sheetView>
  </sheetViews>
  <sheetFormatPr defaultColWidth="9.140625" defaultRowHeight="12.75"/>
  <cols>
    <col min="1" max="1" width="2.5703125" style="3" customWidth="1"/>
    <col min="2" max="2" width="79.85546875" style="3" customWidth="1"/>
    <col min="3" max="3" width="2.5703125" style="3" customWidth="1"/>
    <col min="4" max="4" width="13.5703125" style="3" customWidth="1"/>
    <col min="5" max="5" width="2.5703125" style="3" customWidth="1"/>
    <col min="6" max="6" width="9.5703125" style="3" customWidth="1"/>
    <col min="7" max="7" width="2.5703125" style="3" customWidth="1"/>
    <col min="8" max="8" width="7.140625" style="3" customWidth="1"/>
    <col min="9" max="11" width="11.5703125" style="3" customWidth="1"/>
    <col min="12" max="12" width="10.85546875" style="3" customWidth="1"/>
    <col min="13" max="13" width="9" style="3" customWidth="1"/>
    <col min="14" max="16" width="14.85546875" style="3" bestFit="1" customWidth="1"/>
    <col min="17" max="17" width="16.42578125" style="3" bestFit="1" customWidth="1"/>
    <col min="18" max="18" width="14.85546875" style="3" bestFit="1" customWidth="1"/>
    <col min="19" max="19" width="2.5703125" style="3" customWidth="1"/>
    <col min="20" max="20" width="30.140625" style="3" customWidth="1"/>
    <col min="21" max="21" width="2.5703125" style="3" customWidth="1"/>
    <col min="22" max="32" width="13.5703125" style="3" customWidth="1"/>
    <col min="33" max="16384" width="9.140625" style="3"/>
  </cols>
  <sheetData>
    <row r="2" spans="2:22" s="12" customFormat="1" ht="18">
      <c r="B2" s="12" t="s">
        <v>466</v>
      </c>
    </row>
    <row r="4" spans="2:22">
      <c r="B4" s="16" t="s">
        <v>197</v>
      </c>
      <c r="C4" s="2"/>
    </row>
    <row r="5" spans="2:22" ht="27.75" customHeight="1">
      <c r="B5" s="346" t="s">
        <v>467</v>
      </c>
      <c r="C5" s="346"/>
      <c r="D5" s="346"/>
      <c r="F5" s="13"/>
    </row>
    <row r="6" spans="2:22" ht="12" customHeight="1"/>
    <row r="7" spans="2:22" s="8" customFormat="1" ht="12" customHeight="1">
      <c r="B7" s="8" t="s">
        <v>157</v>
      </c>
      <c r="D7" s="8" t="s">
        <v>199</v>
      </c>
      <c r="F7" s="8" t="s">
        <v>200</v>
      </c>
      <c r="H7" s="53">
        <v>2016</v>
      </c>
      <c r="I7" s="46">
        <v>2017</v>
      </c>
      <c r="J7" s="53">
        <v>2018</v>
      </c>
      <c r="K7" s="46">
        <v>2019</v>
      </c>
      <c r="L7" s="53">
        <v>2020</v>
      </c>
      <c r="M7" s="46">
        <v>2021</v>
      </c>
      <c r="N7" s="46">
        <v>2022</v>
      </c>
      <c r="O7" s="46">
        <v>2023</v>
      </c>
      <c r="P7" s="46">
        <v>2024</v>
      </c>
      <c r="Q7" s="46">
        <v>2025</v>
      </c>
      <c r="R7" s="46">
        <v>2026</v>
      </c>
      <c r="T7" s="8" t="s">
        <v>201</v>
      </c>
      <c r="V7" s="8" t="s">
        <v>202</v>
      </c>
    </row>
    <row r="9" spans="2:22" s="8" customFormat="1">
      <c r="B9" s="8" t="s">
        <v>468</v>
      </c>
    </row>
    <row r="11" spans="2:22">
      <c r="B11" s="3" t="s">
        <v>469</v>
      </c>
      <c r="D11" s="3" t="s">
        <v>209</v>
      </c>
      <c r="H11" s="10"/>
      <c r="I11" s="10"/>
      <c r="J11" s="10"/>
      <c r="K11" s="10"/>
      <c r="L11" s="10"/>
      <c r="M11" s="10"/>
      <c r="N11" s="10"/>
      <c r="O11" s="10"/>
      <c r="P11" s="310">
        <v>849966694.07252169</v>
      </c>
      <c r="Q11" s="10"/>
      <c r="R11" s="10"/>
      <c r="T11" s="3" t="s">
        <v>470</v>
      </c>
    </row>
    <row r="13" spans="2:22" s="8" customFormat="1">
      <c r="B13" s="8" t="s">
        <v>471</v>
      </c>
    </row>
    <row r="15" spans="2:22">
      <c r="B15" s="3" t="s">
        <v>472</v>
      </c>
      <c r="D15" s="3" t="s">
        <v>209</v>
      </c>
      <c r="H15" s="10"/>
      <c r="I15" s="10"/>
      <c r="J15" s="10"/>
      <c r="K15" s="10"/>
      <c r="L15" s="10"/>
      <c r="M15" s="10"/>
      <c r="N15" s="10"/>
      <c r="O15" s="10"/>
      <c r="P15" s="10"/>
      <c r="Q15" s="165">
        <v>0</v>
      </c>
      <c r="R15" s="10"/>
      <c r="T15" s="3" t="s">
        <v>473</v>
      </c>
    </row>
    <row r="16" spans="2:22">
      <c r="B16" s="3" t="s">
        <v>474</v>
      </c>
      <c r="D16" s="3" t="s">
        <v>209</v>
      </c>
      <c r="H16" s="10"/>
      <c r="I16" s="10"/>
      <c r="J16" s="10"/>
      <c r="K16" s="10"/>
      <c r="L16" s="10"/>
      <c r="M16" s="10"/>
      <c r="N16" s="10"/>
      <c r="O16" s="10"/>
      <c r="P16" s="10"/>
      <c r="Q16" s="10"/>
      <c r="R16" s="167">
        <f>'20. Nacalculaties'!Q90</f>
        <v>54292976.244045004</v>
      </c>
      <c r="V16" s="3" t="s">
        <v>475</v>
      </c>
    </row>
    <row r="17" spans="2:22">
      <c r="B17" s="3" t="s">
        <v>476</v>
      </c>
      <c r="D17" s="3" t="s">
        <v>209</v>
      </c>
      <c r="H17" s="10"/>
      <c r="I17" s="10"/>
      <c r="J17" s="10"/>
      <c r="K17" s="10"/>
      <c r="L17" s="10"/>
      <c r="M17" s="10"/>
      <c r="N17" s="10"/>
      <c r="O17" s="10"/>
      <c r="P17" s="10"/>
      <c r="Q17" s="10"/>
      <c r="R17" s="132">
        <v>0</v>
      </c>
    </row>
    <row r="18" spans="2:22">
      <c r="B18" s="3" t="s">
        <v>477</v>
      </c>
      <c r="D18" s="3" t="s">
        <v>209</v>
      </c>
      <c r="H18" s="10"/>
      <c r="I18" s="10"/>
      <c r="J18" s="10"/>
      <c r="K18" s="10"/>
      <c r="L18" s="10"/>
      <c r="M18" s="10"/>
      <c r="N18" s="10"/>
      <c r="O18" s="10"/>
      <c r="P18" s="10"/>
      <c r="Q18" s="10"/>
      <c r="R18" s="284">
        <v>-54292976.244045004</v>
      </c>
    </row>
    <row r="20" spans="2:22" s="8" customFormat="1">
      <c r="B20" s="8" t="s">
        <v>478</v>
      </c>
    </row>
    <row r="22" spans="2:22">
      <c r="B22" s="3" t="s">
        <v>479</v>
      </c>
      <c r="D22" s="3" t="s">
        <v>209</v>
      </c>
      <c r="H22" s="10"/>
      <c r="I22" s="10"/>
      <c r="J22" s="10"/>
      <c r="K22" s="10"/>
      <c r="L22" s="10"/>
      <c r="M22" s="10"/>
      <c r="N22" s="165">
        <v>5268139756.0391312</v>
      </c>
      <c r="O22" s="165">
        <v>5115634665.0918875</v>
      </c>
      <c r="P22" s="165">
        <v>4980890118.9719696</v>
      </c>
      <c r="Q22" s="165">
        <v>4857675740.1304922</v>
      </c>
      <c r="R22" s="165">
        <v>4748752834.5466137</v>
      </c>
      <c r="T22" s="3" t="s">
        <v>480</v>
      </c>
    </row>
    <row r="23" spans="2:22">
      <c r="B23" s="3" t="s">
        <v>481</v>
      </c>
      <c r="D23" s="3" t="s">
        <v>209</v>
      </c>
      <c r="H23" s="10"/>
      <c r="I23" s="10"/>
      <c r="J23" s="10"/>
      <c r="K23" s="10"/>
      <c r="L23" s="10"/>
      <c r="M23" s="10"/>
      <c r="N23" s="165">
        <v>1236767462.5833061</v>
      </c>
      <c r="O23" s="165">
        <v>1207881645.0947828</v>
      </c>
      <c r="P23" s="165">
        <v>1182417569.8607492</v>
      </c>
      <c r="Q23" s="165">
        <v>1160937568.2311876</v>
      </c>
      <c r="R23" s="165">
        <v>1143786642.7114766</v>
      </c>
      <c r="T23" s="3" t="s">
        <v>480</v>
      </c>
    </row>
    <row r="24" spans="2:22">
      <c r="N24" s="89"/>
      <c r="O24" s="89"/>
      <c r="P24" s="89"/>
      <c r="Q24" s="89"/>
      <c r="R24" s="89"/>
    </row>
    <row r="25" spans="2:22" s="8" customFormat="1">
      <c r="B25" s="8" t="s">
        <v>482</v>
      </c>
    </row>
    <row r="26" spans="2:22">
      <c r="N26" s="89"/>
      <c r="O26" s="89"/>
      <c r="P26" s="89"/>
      <c r="Q26" s="89"/>
      <c r="R26" s="89"/>
    </row>
    <row r="27" spans="2:22">
      <c r="B27" s="3" t="s">
        <v>483</v>
      </c>
      <c r="H27" s="10"/>
      <c r="I27" s="251">
        <v>44821191.142850496</v>
      </c>
      <c r="J27" s="251">
        <v>58525786.829999998</v>
      </c>
      <c r="K27" s="251">
        <v>58366350.850000001</v>
      </c>
      <c r="L27" s="10"/>
      <c r="M27" s="10"/>
      <c r="N27" s="10"/>
      <c r="O27" s="10"/>
      <c r="P27" s="10"/>
      <c r="Q27" s="10"/>
      <c r="R27" s="10"/>
      <c r="T27" s="3" t="s">
        <v>484</v>
      </c>
    </row>
    <row r="28" spans="2:22">
      <c r="B28" s="3" t="s">
        <v>485</v>
      </c>
      <c r="H28" s="10"/>
      <c r="I28" s="251">
        <v>51772596.931449495</v>
      </c>
      <c r="J28" s="251">
        <v>57577907.726399995</v>
      </c>
      <c r="K28" s="251">
        <v>46608188.220100001</v>
      </c>
      <c r="L28" s="10"/>
      <c r="M28" s="10"/>
      <c r="N28" s="10"/>
      <c r="O28" s="10"/>
      <c r="P28" s="10"/>
      <c r="Q28" s="10"/>
      <c r="R28" s="10"/>
      <c r="T28" s="3" t="s">
        <v>480</v>
      </c>
    </row>
    <row r="30" spans="2:22" s="8" customFormat="1">
      <c r="B30" s="8" t="s">
        <v>486</v>
      </c>
    </row>
    <row r="32" spans="2:22">
      <c r="B32" s="3" t="s">
        <v>487</v>
      </c>
      <c r="H32" s="10"/>
      <c r="I32" s="10"/>
      <c r="J32" s="10"/>
      <c r="K32" s="10"/>
      <c r="L32" s="251">
        <v>2227061.457252</v>
      </c>
      <c r="M32" s="10"/>
      <c r="N32" s="10"/>
      <c r="O32" s="10"/>
      <c r="P32" s="10"/>
      <c r="Q32" s="10"/>
      <c r="R32" s="10"/>
      <c r="T32" s="3" t="s">
        <v>488</v>
      </c>
      <c r="V32" s="3" t="s">
        <v>489</v>
      </c>
    </row>
    <row r="34" spans="2:20" s="8" customFormat="1">
      <c r="B34" s="8" t="s">
        <v>490</v>
      </c>
    </row>
    <row r="36" spans="2:20">
      <c r="B36" s="3" t="s">
        <v>491</v>
      </c>
      <c r="D36" s="3" t="s">
        <v>209</v>
      </c>
      <c r="H36" s="10"/>
      <c r="I36" s="10"/>
      <c r="J36" s="10"/>
      <c r="K36" s="10"/>
      <c r="L36" s="10"/>
      <c r="M36" s="10"/>
      <c r="N36" s="285">
        <v>0</v>
      </c>
      <c r="O36" s="285">
        <v>0</v>
      </c>
      <c r="P36" s="310">
        <v>0</v>
      </c>
      <c r="Q36" s="285">
        <v>53053730.542234212</v>
      </c>
      <c r="R36" s="10"/>
      <c r="T36" s="3" t="s">
        <v>492</v>
      </c>
    </row>
    <row r="37" spans="2:20">
      <c r="B37" s="3" t="s">
        <v>493</v>
      </c>
      <c r="D37" s="3" t="s">
        <v>209</v>
      </c>
      <c r="H37" s="10"/>
      <c r="I37" s="10"/>
      <c r="J37" s="10"/>
      <c r="K37" s="10"/>
      <c r="L37" s="10"/>
      <c r="M37" s="10"/>
      <c r="N37" s="285">
        <v>119072.05535743562</v>
      </c>
      <c r="O37" s="285">
        <v>43971.119724233969</v>
      </c>
      <c r="P37" s="310">
        <v>2404144.6778045101</v>
      </c>
      <c r="Q37" s="285">
        <v>2407837.6116711642</v>
      </c>
      <c r="R37" s="10"/>
      <c r="T37" s="3" t="s">
        <v>492</v>
      </c>
    </row>
    <row r="38" spans="2:20">
      <c r="B38" s="3" t="s">
        <v>494</v>
      </c>
      <c r="D38" s="3" t="s">
        <v>209</v>
      </c>
      <c r="H38" s="10"/>
      <c r="I38" s="10"/>
      <c r="J38" s="10"/>
      <c r="K38" s="10"/>
      <c r="L38" s="10"/>
      <c r="M38" s="10"/>
      <c r="N38" s="285">
        <v>-2514124.5400079801</v>
      </c>
      <c r="O38" s="285">
        <v>-892610.16077459906</v>
      </c>
      <c r="P38" s="310">
        <v>-418587875.91763008</v>
      </c>
      <c r="Q38" s="285">
        <v>-31230124.495261651</v>
      </c>
      <c r="R38" s="10"/>
      <c r="T38" s="3" t="s">
        <v>492</v>
      </c>
    </row>
    <row r="39" spans="2:20">
      <c r="B39" s="3" t="s">
        <v>495</v>
      </c>
      <c r="D39" s="3" t="s">
        <v>209</v>
      </c>
      <c r="H39" s="10"/>
      <c r="I39" s="10"/>
      <c r="J39" s="10"/>
      <c r="K39" s="10"/>
      <c r="L39" s="10"/>
      <c r="M39" s="10"/>
      <c r="N39" s="285">
        <v>-3840127.8443999998</v>
      </c>
      <c r="O39" s="285">
        <v>-7019622.9493739996</v>
      </c>
      <c r="P39" s="310">
        <v>-17676502.662623998</v>
      </c>
      <c r="Q39" s="285">
        <v>-20334638.624196</v>
      </c>
      <c r="R39" s="10"/>
      <c r="T39" s="3" t="s">
        <v>492</v>
      </c>
    </row>
    <row r="40" spans="2:20">
      <c r="B40" s="3" t="s">
        <v>496</v>
      </c>
      <c r="D40" s="3" t="s">
        <v>209</v>
      </c>
      <c r="H40" s="10"/>
      <c r="I40" s="10"/>
      <c r="J40" s="10"/>
      <c r="K40" s="10"/>
      <c r="L40" s="10"/>
      <c r="M40" s="10"/>
      <c r="N40" s="285">
        <v>-1510375</v>
      </c>
      <c r="O40" s="285">
        <v>-1091840.3578679999</v>
      </c>
      <c r="P40" s="310">
        <v>0</v>
      </c>
      <c r="Q40" s="285">
        <v>-430850783.87126899</v>
      </c>
      <c r="R40" s="10"/>
      <c r="T40" s="3" t="s">
        <v>492</v>
      </c>
    </row>
    <row r="41" spans="2:20">
      <c r="B41" s="3" t="s">
        <v>497</v>
      </c>
      <c r="D41" s="3" t="s">
        <v>209</v>
      </c>
      <c r="H41" s="10"/>
      <c r="I41" s="10"/>
      <c r="J41" s="10"/>
      <c r="K41" s="10"/>
      <c r="L41" s="10"/>
      <c r="M41" s="10"/>
      <c r="N41" s="285">
        <v>37459989.57773035</v>
      </c>
      <c r="O41" s="285">
        <v>94853547.603668377</v>
      </c>
      <c r="P41" s="10"/>
      <c r="Q41" s="285">
        <v>218988596.2163403</v>
      </c>
      <c r="R41" s="10"/>
      <c r="T41" s="3" t="s">
        <v>492</v>
      </c>
    </row>
    <row r="42" spans="2:20">
      <c r="B42" s="3" t="s">
        <v>498</v>
      </c>
      <c r="D42" s="3" t="s">
        <v>209</v>
      </c>
      <c r="H42" s="10"/>
      <c r="I42" s="10"/>
      <c r="J42" s="10"/>
      <c r="K42" s="10"/>
      <c r="L42" s="10"/>
      <c r="M42" s="10"/>
      <c r="N42" s="285">
        <v>7429834.5300000003</v>
      </c>
      <c r="O42" s="285">
        <v>22739593.510152001</v>
      </c>
      <c r="P42" s="310">
        <v>2370440.480303999</v>
      </c>
      <c r="Q42" s="285">
        <v>84987160.105392396</v>
      </c>
      <c r="R42" s="10"/>
      <c r="T42" s="3" t="s">
        <v>492</v>
      </c>
    </row>
    <row r="43" spans="2:20">
      <c r="B43" s="3" t="s">
        <v>499</v>
      </c>
      <c r="D43" s="3" t="s">
        <v>209</v>
      </c>
      <c r="H43" s="10"/>
      <c r="I43" s="10"/>
      <c r="J43" s="10"/>
      <c r="K43" s="10"/>
      <c r="L43" s="10"/>
      <c r="M43" s="10"/>
      <c r="N43" s="285">
        <v>-6987581.421986118</v>
      </c>
      <c r="O43" s="285">
        <v>-26590510.266268313</v>
      </c>
      <c r="P43" s="310">
        <v>-37620979.270649046</v>
      </c>
      <c r="Q43" s="285">
        <v>-85362788.83980006</v>
      </c>
      <c r="R43" s="10"/>
      <c r="T43" s="3" t="s">
        <v>492</v>
      </c>
    </row>
    <row r="44" spans="2:20">
      <c r="B44" s="3" t="s">
        <v>500</v>
      </c>
      <c r="D44" s="3" t="s">
        <v>209</v>
      </c>
      <c r="H44" s="10"/>
      <c r="I44" s="10"/>
      <c r="J44" s="10"/>
      <c r="K44" s="10"/>
      <c r="L44" s="10"/>
      <c r="M44" s="10"/>
      <c r="N44" s="306"/>
      <c r="O44" s="306"/>
      <c r="P44" s="310">
        <v>2363403.9056672235</v>
      </c>
      <c r="Q44" s="285">
        <v>14755154.906724626</v>
      </c>
      <c r="R44" s="10"/>
      <c r="T44" s="3" t="s">
        <v>492</v>
      </c>
    </row>
    <row r="45" spans="2:20">
      <c r="B45" s="3" t="s">
        <v>501</v>
      </c>
      <c r="D45" s="3" t="s">
        <v>209</v>
      </c>
      <c r="H45" s="10"/>
      <c r="I45" s="10"/>
      <c r="J45" s="10"/>
      <c r="K45" s="10"/>
      <c r="L45" s="10"/>
      <c r="M45" s="10"/>
      <c r="N45" s="306"/>
      <c r="O45" s="306"/>
      <c r="P45" s="310">
        <v>14652295.895247623</v>
      </c>
      <c r="Q45" s="285">
        <v>16724582.409155497</v>
      </c>
      <c r="R45" s="10"/>
      <c r="T45" s="3" t="s">
        <v>492</v>
      </c>
    </row>
    <row r="46" spans="2:20">
      <c r="B46" s="3" t="s">
        <v>502</v>
      </c>
      <c r="D46" s="3" t="s">
        <v>209</v>
      </c>
      <c r="H46" s="10"/>
      <c r="I46" s="10"/>
      <c r="J46" s="10"/>
      <c r="K46" s="10"/>
      <c r="L46" s="10"/>
      <c r="M46" s="10"/>
      <c r="N46" s="285">
        <v>-651743.81498073554</v>
      </c>
      <c r="O46" s="285">
        <v>-2713634.922561896</v>
      </c>
      <c r="P46" s="310">
        <v>-6263691.195662085</v>
      </c>
      <c r="Q46" s="285">
        <v>-7178437.7711590901</v>
      </c>
      <c r="R46" s="10"/>
      <c r="T46" s="3" t="s">
        <v>492</v>
      </c>
    </row>
    <row r="47" spans="2:20">
      <c r="B47" s="3" t="s">
        <v>503</v>
      </c>
      <c r="D47" s="3" t="s">
        <v>209</v>
      </c>
      <c r="H47" s="10"/>
      <c r="I47" s="10"/>
      <c r="J47" s="10"/>
      <c r="K47" s="10"/>
      <c r="L47" s="10"/>
      <c r="M47" s="10"/>
      <c r="N47" s="306"/>
      <c r="O47" s="306"/>
      <c r="P47" s="310">
        <v>56578492.792342328</v>
      </c>
      <c r="Q47" s="285">
        <v>122315270.04842561</v>
      </c>
      <c r="R47" s="10"/>
      <c r="T47" s="3" t="s">
        <v>492</v>
      </c>
    </row>
    <row r="48" spans="2:20">
      <c r="B48" s="3" t="s">
        <v>504</v>
      </c>
      <c r="D48" s="3" t="s">
        <v>209</v>
      </c>
      <c r="H48" s="10"/>
      <c r="I48" s="10"/>
      <c r="J48" s="10"/>
      <c r="K48" s="10"/>
      <c r="L48" s="10"/>
      <c r="M48" s="10"/>
      <c r="N48" s="306"/>
      <c r="O48" s="306"/>
      <c r="P48" s="310">
        <v>5993118.6408960866</v>
      </c>
      <c r="Q48" s="285">
        <v>6269821.1828594869</v>
      </c>
      <c r="R48" s="10"/>
      <c r="T48" s="3" t="s">
        <v>492</v>
      </c>
    </row>
    <row r="49" spans="2:25">
      <c r="B49" s="3" t="s">
        <v>505</v>
      </c>
      <c r="D49" s="3" t="s">
        <v>209</v>
      </c>
      <c r="H49" s="10"/>
      <c r="I49" s="10"/>
      <c r="J49" s="10"/>
      <c r="K49" s="10"/>
      <c r="L49" s="10"/>
      <c r="M49" s="10"/>
      <c r="N49" s="285">
        <v>109745.32379785551</v>
      </c>
      <c r="O49" s="10"/>
      <c r="P49" s="10"/>
      <c r="Q49" s="10"/>
      <c r="R49" s="10"/>
      <c r="T49" s="3" t="s">
        <v>492</v>
      </c>
    </row>
    <row r="50" spans="2:25">
      <c r="B50" s="3" t="s">
        <v>506</v>
      </c>
      <c r="D50" s="3" t="s">
        <v>209</v>
      </c>
      <c r="H50" s="10"/>
      <c r="I50" s="10"/>
      <c r="J50" s="10"/>
      <c r="K50" s="10"/>
      <c r="L50" s="10"/>
      <c r="M50" s="10"/>
      <c r="N50" s="306"/>
      <c r="O50" s="306"/>
      <c r="P50" s="310">
        <v>270388092.45989364</v>
      </c>
      <c r="Q50" s="10"/>
      <c r="R50" s="10"/>
      <c r="T50" s="3" t="s">
        <v>492</v>
      </c>
    </row>
    <row r="51" spans="2:25">
      <c r="B51" s="3" t="s">
        <v>507</v>
      </c>
      <c r="D51" s="3" t="s">
        <v>209</v>
      </c>
      <c r="H51" s="10"/>
      <c r="I51" s="10"/>
      <c r="J51" s="10"/>
      <c r="K51" s="10"/>
      <c r="L51" s="10"/>
      <c r="M51" s="10"/>
      <c r="N51" s="10"/>
      <c r="O51" s="285">
        <v>-6549650.4501419598</v>
      </c>
      <c r="P51" s="310">
        <v>1236097.6837258562</v>
      </c>
      <c r="Q51" s="285">
        <v>14624633.370419957</v>
      </c>
      <c r="R51" s="10"/>
      <c r="T51" s="3" t="s">
        <v>492</v>
      </c>
      <c r="Y51" s="155"/>
    </row>
    <row r="52" spans="2:25">
      <c r="B52" s="3" t="s">
        <v>508</v>
      </c>
      <c r="D52" s="3" t="s">
        <v>209</v>
      </c>
      <c r="H52" s="10"/>
      <c r="I52" s="10"/>
      <c r="J52" s="10"/>
      <c r="K52" s="10"/>
      <c r="L52" s="10"/>
      <c r="M52" s="10"/>
      <c r="N52" s="306"/>
      <c r="O52" s="306"/>
      <c r="P52" s="310">
        <v>-18434074.327111505</v>
      </c>
      <c r="Q52" s="285">
        <v>-19829873.659733675</v>
      </c>
      <c r="R52" s="10"/>
      <c r="T52" s="3" t="s">
        <v>492</v>
      </c>
    </row>
    <row r="53" spans="2:25">
      <c r="B53" s="3" t="s">
        <v>509</v>
      </c>
      <c r="D53" s="3" t="s">
        <v>209</v>
      </c>
      <c r="H53" s="10"/>
      <c r="I53" s="10"/>
      <c r="J53" s="10"/>
      <c r="K53" s="10"/>
      <c r="L53" s="10"/>
      <c r="M53" s="10"/>
      <c r="N53" s="306"/>
      <c r="O53" s="306"/>
      <c r="P53" s="306"/>
      <c r="Q53" s="285">
        <v>177577613.12560752</v>
      </c>
      <c r="R53" s="10"/>
      <c r="T53" s="3" t="s">
        <v>492</v>
      </c>
    </row>
    <row r="54" spans="2:25">
      <c r="B54" s="3" t="s">
        <v>510</v>
      </c>
      <c r="D54" s="3" t="s">
        <v>209</v>
      </c>
      <c r="H54" s="10"/>
      <c r="I54" s="10"/>
      <c r="J54" s="10"/>
      <c r="K54" s="10"/>
      <c r="L54" s="10"/>
      <c r="M54" s="10"/>
      <c r="N54" s="306"/>
      <c r="O54" s="306"/>
      <c r="P54" s="306"/>
      <c r="Q54" s="285">
        <v>-106774394.81170595</v>
      </c>
      <c r="R54" s="10"/>
      <c r="T54" s="3" t="s">
        <v>492</v>
      </c>
    </row>
    <row r="55" spans="2:25">
      <c r="B55" s="3" t="s">
        <v>511</v>
      </c>
      <c r="D55" s="3" t="s">
        <v>209</v>
      </c>
      <c r="H55" s="10"/>
      <c r="I55" s="10"/>
      <c r="J55" s="10"/>
      <c r="K55" s="10"/>
      <c r="L55" s="10"/>
      <c r="M55" s="10"/>
      <c r="N55" s="306"/>
      <c r="O55" s="306"/>
      <c r="P55" s="306"/>
      <c r="Q55" s="285">
        <v>-10000000</v>
      </c>
      <c r="R55" s="10"/>
      <c r="T55" s="3" t="s">
        <v>492</v>
      </c>
    </row>
    <row r="56" spans="2:25">
      <c r="N56" s="155"/>
      <c r="O56" s="155"/>
      <c r="P56" s="155"/>
      <c r="Q56" s="155"/>
    </row>
    <row r="57" spans="2:25">
      <c r="B57" s="28"/>
      <c r="S57" s="155"/>
    </row>
    <row r="58" spans="2:25">
      <c r="B58" s="28"/>
      <c r="S58" s="155"/>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89D6-977C-4043-B9CC-F60F585E2D52}">
  <sheetPr>
    <tabColor rgb="FFCCFFCC"/>
  </sheetPr>
  <dimension ref="A2:J426"/>
  <sheetViews>
    <sheetView showGridLines="0" zoomScale="85" zoomScaleNormal="85" workbookViewId="0">
      <pane ySplit="10" topLeftCell="A279" activePane="bottomLeft" state="frozen"/>
      <selection pane="bottomLeft" activeCell="D227" sqref="D227:D343"/>
    </sheetView>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16384" width="13.5703125" style="3"/>
  </cols>
  <sheetData>
    <row r="2" spans="1:10" s="12" customFormat="1" ht="18">
      <c r="B2" s="12" t="s">
        <v>512</v>
      </c>
    </row>
    <row r="4" spans="1:10">
      <c r="B4" s="16" t="s">
        <v>299</v>
      </c>
    </row>
    <row r="5" spans="1:10" ht="46.35" customHeight="1">
      <c r="B5" s="346" t="s">
        <v>513</v>
      </c>
      <c r="C5" s="346"/>
      <c r="D5" s="346"/>
      <c r="E5" s="346"/>
    </row>
    <row r="7" spans="1:10" s="8" customFormat="1">
      <c r="A7" s="150"/>
      <c r="B7" s="8" t="s">
        <v>157</v>
      </c>
      <c r="F7" s="46"/>
      <c r="G7" s="46"/>
    </row>
    <row r="8" spans="1:10" s="48" customFormat="1"/>
    <row r="9" spans="1:10" s="136" customFormat="1">
      <c r="A9" s="239"/>
      <c r="B9" s="136" t="s">
        <v>514</v>
      </c>
      <c r="D9" s="136" t="s">
        <v>515</v>
      </c>
      <c r="F9" s="8" t="s">
        <v>201</v>
      </c>
    </row>
    <row r="10" spans="1:10" s="48" customFormat="1"/>
    <row r="11" spans="1:10">
      <c r="B11" s="93" cm="1">
        <f t="array" ref="B11:B102">'13. Desinvesteringen'!B335:B426</f>
        <v>316</v>
      </c>
      <c r="D11" s="240">
        <v>0</v>
      </c>
      <c r="F11" s="3" t="s">
        <v>516</v>
      </c>
      <c r="J11" s="89"/>
    </row>
    <row r="12" spans="1:10">
      <c r="B12" s="93">
        <v>317</v>
      </c>
      <c r="D12" s="240">
        <v>0</v>
      </c>
      <c r="F12" s="3" t="s">
        <v>516</v>
      </c>
      <c r="J12" s="89"/>
    </row>
    <row r="13" spans="1:10">
      <c r="B13" s="93">
        <v>318</v>
      </c>
      <c r="D13" s="240">
        <v>0</v>
      </c>
      <c r="F13" s="3" t="s">
        <v>516</v>
      </c>
      <c r="J13" s="89"/>
    </row>
    <row r="14" spans="1:10">
      <c r="B14" s="93">
        <v>319</v>
      </c>
      <c r="D14" s="240">
        <v>0</v>
      </c>
      <c r="F14" s="3" t="s">
        <v>516</v>
      </c>
      <c r="J14" s="89"/>
    </row>
    <row r="15" spans="1:10">
      <c r="B15" s="93">
        <v>320</v>
      </c>
      <c r="D15" s="240">
        <v>0</v>
      </c>
      <c r="F15" s="3" t="s">
        <v>516</v>
      </c>
      <c r="J15" s="89"/>
    </row>
    <row r="16" spans="1:10">
      <c r="B16" s="93">
        <v>321</v>
      </c>
      <c r="D16" s="240">
        <v>0</v>
      </c>
      <c r="F16" s="3" t="s">
        <v>516</v>
      </c>
      <c r="J16" s="89"/>
    </row>
    <row r="17" spans="2:10">
      <c r="B17" s="93">
        <v>322</v>
      </c>
      <c r="D17" s="240">
        <v>0</v>
      </c>
      <c r="F17" s="3" t="s">
        <v>516</v>
      </c>
      <c r="J17" s="89"/>
    </row>
    <row r="18" spans="2:10">
      <c r="B18" s="93">
        <v>323</v>
      </c>
      <c r="D18" s="147">
        <v>4800.0618690721003</v>
      </c>
      <c r="F18" s="3" t="s">
        <v>516</v>
      </c>
      <c r="J18" s="89"/>
    </row>
    <row r="19" spans="2:10">
      <c r="B19" s="93">
        <v>324</v>
      </c>
      <c r="D19" s="147">
        <v>7362.4523493487277</v>
      </c>
      <c r="F19" s="3" t="s">
        <v>516</v>
      </c>
      <c r="J19" s="89"/>
    </row>
    <row r="20" spans="2:10">
      <c r="B20" s="93">
        <v>325</v>
      </c>
      <c r="D20" s="147">
        <v>19106.465971183679</v>
      </c>
      <c r="F20" s="3" t="s">
        <v>516</v>
      </c>
      <c r="J20" s="89"/>
    </row>
    <row r="21" spans="2:10">
      <c r="B21" s="93">
        <v>326</v>
      </c>
      <c r="D21" s="147">
        <v>34361.047919882221</v>
      </c>
      <c r="F21" s="3" t="s">
        <v>516</v>
      </c>
      <c r="J21" s="89"/>
    </row>
    <row r="22" spans="2:10">
      <c r="B22" s="93">
        <v>327</v>
      </c>
      <c r="D22" s="147">
        <v>24689.78297700132</v>
      </c>
      <c r="F22" s="3" t="s">
        <v>516</v>
      </c>
      <c r="J22" s="89"/>
    </row>
    <row r="23" spans="2:10">
      <c r="B23" s="93">
        <v>328</v>
      </c>
      <c r="D23" s="147">
        <v>84795.96142136406</v>
      </c>
      <c r="F23" s="3" t="s">
        <v>516</v>
      </c>
      <c r="J23" s="89"/>
    </row>
    <row r="24" spans="2:10" ht="12" customHeight="1">
      <c r="B24" s="93">
        <v>329</v>
      </c>
      <c r="D24" s="147">
        <v>73143.543504977206</v>
      </c>
      <c r="F24" s="3" t="s">
        <v>516</v>
      </c>
      <c r="J24" s="89"/>
    </row>
    <row r="25" spans="2:10">
      <c r="B25" s="93">
        <v>330</v>
      </c>
      <c r="D25" s="147">
        <v>28650.688160986421</v>
      </c>
      <c r="F25" s="3" t="s">
        <v>516</v>
      </c>
      <c r="J25" s="89"/>
    </row>
    <row r="26" spans="2:10">
      <c r="B26" s="93">
        <v>331</v>
      </c>
      <c r="D26" s="147">
        <v>22915.340357348177</v>
      </c>
      <c r="F26" s="3" t="s">
        <v>516</v>
      </c>
      <c r="J26" s="89"/>
    </row>
    <row r="27" spans="2:10">
      <c r="B27" s="93">
        <v>332</v>
      </c>
      <c r="D27" s="147">
        <v>52322.526677778427</v>
      </c>
      <c r="F27" s="3" t="s">
        <v>516</v>
      </c>
      <c r="J27" s="89"/>
    </row>
    <row r="28" spans="2:10">
      <c r="B28" s="93">
        <v>333</v>
      </c>
      <c r="D28" s="147">
        <v>22168.241432612802</v>
      </c>
      <c r="F28" s="3" t="s">
        <v>516</v>
      </c>
      <c r="J28" s="89"/>
    </row>
    <row r="29" spans="2:10">
      <c r="B29" s="93">
        <v>334</v>
      </c>
      <c r="D29" s="147">
        <v>74293.951826154895</v>
      </c>
      <c r="F29" s="3" t="s">
        <v>516</v>
      </c>
      <c r="J29" s="89"/>
    </row>
    <row r="30" spans="2:10">
      <c r="B30" s="93">
        <v>335</v>
      </c>
      <c r="D30" s="147">
        <v>357.48421114725051</v>
      </c>
      <c r="F30" s="3" t="s">
        <v>516</v>
      </c>
      <c r="J30" s="89"/>
    </row>
    <row r="31" spans="2:10">
      <c r="B31" s="93">
        <v>336</v>
      </c>
      <c r="D31" s="147">
        <v>38915.650783577308</v>
      </c>
      <c r="F31" s="3" t="s">
        <v>516</v>
      </c>
      <c r="J31" s="89"/>
    </row>
    <row r="32" spans="2:10">
      <c r="B32" s="93">
        <v>337</v>
      </c>
      <c r="D32" s="147">
        <v>22545.342886393813</v>
      </c>
      <c r="F32" s="3" t="s">
        <v>516</v>
      </c>
      <c r="J32" s="89"/>
    </row>
    <row r="33" spans="2:10">
      <c r="B33" s="93">
        <v>338</v>
      </c>
      <c r="D33" s="147">
        <v>91128.347042326975</v>
      </c>
      <c r="F33" s="3" t="s">
        <v>516</v>
      </c>
      <c r="J33" s="89"/>
    </row>
    <row r="34" spans="2:10">
      <c r="B34" s="93">
        <v>339</v>
      </c>
      <c r="D34" s="147">
        <v>19475.506076320318</v>
      </c>
      <c r="F34" s="3" t="s">
        <v>516</v>
      </c>
      <c r="J34" s="89"/>
    </row>
    <row r="35" spans="2:10">
      <c r="B35" s="93">
        <v>340</v>
      </c>
      <c r="D35" s="147">
        <v>4265.7894840755598</v>
      </c>
      <c r="F35" s="3" t="s">
        <v>516</v>
      </c>
      <c r="J35" s="89"/>
    </row>
    <row r="36" spans="2:10">
      <c r="B36" s="93">
        <v>341</v>
      </c>
      <c r="D36" s="147">
        <v>6065.0353725967525</v>
      </c>
      <c r="F36" s="3" t="s">
        <v>516</v>
      </c>
      <c r="J36" s="89"/>
    </row>
    <row r="37" spans="2:10">
      <c r="B37" s="93">
        <v>342</v>
      </c>
      <c r="D37" s="147">
        <v>3963.0132452867715</v>
      </c>
      <c r="F37" s="3" t="s">
        <v>516</v>
      </c>
      <c r="J37" s="89"/>
    </row>
    <row r="38" spans="2:10">
      <c r="B38" s="93">
        <v>343</v>
      </c>
      <c r="D38" s="147">
        <v>99386.826026262308</v>
      </c>
      <c r="F38" s="3" t="s">
        <v>516</v>
      </c>
      <c r="J38" s="89"/>
    </row>
    <row r="39" spans="2:10">
      <c r="B39" s="93">
        <v>344</v>
      </c>
      <c r="D39" s="147">
        <v>21724.935672167638</v>
      </c>
      <c r="F39" s="3" t="s">
        <v>516</v>
      </c>
      <c r="J39" s="89"/>
    </row>
    <row r="40" spans="2:10">
      <c r="B40" s="93">
        <v>345</v>
      </c>
      <c r="D40" s="147">
        <v>354150.64233630133</v>
      </c>
      <c r="F40" s="3" t="s">
        <v>516</v>
      </c>
      <c r="J40" s="89"/>
    </row>
    <row r="41" spans="2:10">
      <c r="B41" s="93">
        <v>346</v>
      </c>
      <c r="D41" s="147">
        <v>152476.71374613314</v>
      </c>
      <c r="F41" s="3" t="s">
        <v>516</v>
      </c>
      <c r="J41" s="89"/>
    </row>
    <row r="42" spans="2:10">
      <c r="B42" s="93">
        <v>347</v>
      </c>
      <c r="D42" s="147">
        <v>56089.001773568591</v>
      </c>
      <c r="F42" s="3" t="s">
        <v>516</v>
      </c>
      <c r="J42" s="89"/>
    </row>
    <row r="43" spans="2:10">
      <c r="B43" s="93">
        <v>348</v>
      </c>
      <c r="D43" s="147">
        <v>89195.270846924876</v>
      </c>
      <c r="F43" s="3" t="s">
        <v>516</v>
      </c>
      <c r="J43" s="89"/>
    </row>
    <row r="44" spans="2:10">
      <c r="B44" s="93">
        <v>349</v>
      </c>
      <c r="D44" s="147">
        <v>160239.08891040052</v>
      </c>
      <c r="F44" s="3" t="s">
        <v>516</v>
      </c>
      <c r="J44" s="89"/>
    </row>
    <row r="45" spans="2:10">
      <c r="B45" s="93">
        <v>350</v>
      </c>
      <c r="D45" s="240">
        <v>0</v>
      </c>
      <c r="F45" s="3" t="s">
        <v>516</v>
      </c>
      <c r="J45" s="89"/>
    </row>
    <row r="46" spans="2:10">
      <c r="B46" s="93">
        <v>351</v>
      </c>
      <c r="D46" s="240">
        <v>0</v>
      </c>
      <c r="F46" s="3" t="s">
        <v>516</v>
      </c>
      <c r="J46" s="89"/>
    </row>
    <row r="47" spans="2:10">
      <c r="B47" s="93">
        <v>352</v>
      </c>
      <c r="D47" s="240">
        <v>0</v>
      </c>
      <c r="F47" s="3" t="s">
        <v>516</v>
      </c>
      <c r="J47" s="89"/>
    </row>
    <row r="48" spans="2:10">
      <c r="B48" s="93">
        <v>353</v>
      </c>
      <c r="D48" s="240">
        <v>0</v>
      </c>
      <c r="F48" s="3" t="s">
        <v>516</v>
      </c>
      <c r="J48" s="89"/>
    </row>
    <row r="49" spans="2:10">
      <c r="B49" s="93">
        <v>354</v>
      </c>
      <c r="D49" s="240">
        <v>0</v>
      </c>
      <c r="F49" s="3" t="s">
        <v>516</v>
      </c>
      <c r="J49" s="89"/>
    </row>
    <row r="50" spans="2:10">
      <c r="B50" s="93">
        <v>355</v>
      </c>
      <c r="D50" s="240">
        <v>0</v>
      </c>
      <c r="F50" s="3" t="s">
        <v>516</v>
      </c>
      <c r="J50" s="89"/>
    </row>
    <row r="51" spans="2:10">
      <c r="B51" s="93">
        <v>356</v>
      </c>
      <c r="D51" s="240">
        <v>0</v>
      </c>
      <c r="F51" s="3" t="s">
        <v>516</v>
      </c>
      <c r="J51" s="89"/>
    </row>
    <row r="52" spans="2:10">
      <c r="B52" s="93">
        <v>357</v>
      </c>
      <c r="D52" s="240">
        <v>0</v>
      </c>
      <c r="F52" s="3" t="s">
        <v>516</v>
      </c>
      <c r="J52" s="89"/>
    </row>
    <row r="53" spans="2:10">
      <c r="B53" s="93">
        <v>358</v>
      </c>
      <c r="D53" s="240">
        <v>0</v>
      </c>
      <c r="F53" s="3" t="s">
        <v>516</v>
      </c>
      <c r="J53" s="89"/>
    </row>
    <row r="54" spans="2:10">
      <c r="B54" s="93">
        <v>359</v>
      </c>
      <c r="D54" s="240">
        <v>0</v>
      </c>
      <c r="F54" s="3" t="s">
        <v>516</v>
      </c>
      <c r="J54" s="89"/>
    </row>
    <row r="55" spans="2:10">
      <c r="B55" s="93">
        <v>360</v>
      </c>
      <c r="D55" s="240">
        <v>0</v>
      </c>
      <c r="F55" s="3" t="s">
        <v>516</v>
      </c>
      <c r="J55" s="89"/>
    </row>
    <row r="56" spans="2:10">
      <c r="B56" s="93">
        <v>361</v>
      </c>
      <c r="D56" s="240">
        <v>0</v>
      </c>
      <c r="F56" s="3" t="s">
        <v>516</v>
      </c>
      <c r="J56" s="89"/>
    </row>
    <row r="57" spans="2:10">
      <c r="B57" s="93">
        <v>362</v>
      </c>
      <c r="D57" s="240">
        <v>0</v>
      </c>
      <c r="F57" s="3" t="s">
        <v>516</v>
      </c>
      <c r="J57" s="89"/>
    </row>
    <row r="58" spans="2:10">
      <c r="B58" s="93">
        <v>363</v>
      </c>
      <c r="D58" s="240">
        <v>0</v>
      </c>
      <c r="F58" s="3" t="s">
        <v>516</v>
      </c>
      <c r="J58" s="89"/>
    </row>
    <row r="59" spans="2:10">
      <c r="B59" s="93">
        <v>364</v>
      </c>
      <c r="D59" s="240">
        <v>0</v>
      </c>
      <c r="F59" s="3" t="s">
        <v>516</v>
      </c>
      <c r="J59" s="89"/>
    </row>
    <row r="60" spans="2:10">
      <c r="B60" s="93">
        <v>365</v>
      </c>
      <c r="D60" s="240">
        <v>0</v>
      </c>
      <c r="F60" s="3" t="s">
        <v>516</v>
      </c>
      <c r="J60" s="89"/>
    </row>
    <row r="61" spans="2:10">
      <c r="B61" s="93">
        <v>366</v>
      </c>
      <c r="D61" s="240">
        <v>0</v>
      </c>
      <c r="F61" s="3" t="s">
        <v>516</v>
      </c>
      <c r="J61" s="89"/>
    </row>
    <row r="62" spans="2:10">
      <c r="B62" s="93">
        <v>367</v>
      </c>
      <c r="D62" s="240">
        <v>0</v>
      </c>
      <c r="F62" s="3" t="s">
        <v>516</v>
      </c>
      <c r="J62" s="89"/>
    </row>
    <row r="63" spans="2:10">
      <c r="B63" s="93">
        <v>368</v>
      </c>
      <c r="D63" s="240">
        <v>0</v>
      </c>
      <c r="F63" s="3" t="s">
        <v>516</v>
      </c>
      <c r="J63" s="89"/>
    </row>
    <row r="64" spans="2:10">
      <c r="B64" s="93">
        <v>369</v>
      </c>
      <c r="D64" s="240">
        <v>0</v>
      </c>
      <c r="F64" s="3" t="s">
        <v>516</v>
      </c>
      <c r="J64" s="89"/>
    </row>
    <row r="65" spans="2:10">
      <c r="B65" s="93">
        <v>370</v>
      </c>
      <c r="D65" s="240">
        <v>0</v>
      </c>
      <c r="F65" s="3" t="s">
        <v>516</v>
      </c>
      <c r="J65" s="89"/>
    </row>
    <row r="66" spans="2:10">
      <c r="B66" s="93">
        <v>371</v>
      </c>
      <c r="D66" s="147">
        <v>646.89002615775189</v>
      </c>
      <c r="F66" s="3" t="s">
        <v>516</v>
      </c>
      <c r="J66" s="89"/>
    </row>
    <row r="67" spans="2:10">
      <c r="B67" s="93">
        <v>372</v>
      </c>
      <c r="D67" s="147">
        <v>1357.7574875549008</v>
      </c>
      <c r="F67" s="3" t="s">
        <v>516</v>
      </c>
      <c r="J67" s="89"/>
    </row>
    <row r="68" spans="2:10">
      <c r="B68" s="93">
        <v>373</v>
      </c>
      <c r="D68" s="147">
        <v>7195.5569834638591</v>
      </c>
      <c r="F68" s="3" t="s">
        <v>516</v>
      </c>
      <c r="J68" s="89"/>
    </row>
    <row r="69" spans="2:10">
      <c r="B69" s="93">
        <v>374</v>
      </c>
      <c r="D69" s="147">
        <v>11931.605633190833</v>
      </c>
      <c r="F69" s="3" t="s">
        <v>516</v>
      </c>
      <c r="J69" s="89"/>
    </row>
    <row r="70" spans="2:10">
      <c r="B70" s="93">
        <v>375</v>
      </c>
      <c r="D70" s="147">
        <v>4008.6360537194205</v>
      </c>
      <c r="F70" s="3" t="s">
        <v>516</v>
      </c>
      <c r="J70" s="89"/>
    </row>
    <row r="71" spans="2:10">
      <c r="B71" s="93">
        <v>376</v>
      </c>
      <c r="D71" s="147">
        <v>4682.8462589200817</v>
      </c>
      <c r="F71" s="3" t="s">
        <v>516</v>
      </c>
      <c r="J71" s="89"/>
    </row>
    <row r="72" spans="2:10">
      <c r="B72" s="93">
        <v>377</v>
      </c>
      <c r="D72" s="147">
        <v>4626.8552263726942</v>
      </c>
      <c r="F72" s="3" t="s">
        <v>516</v>
      </c>
      <c r="J72" s="89"/>
    </row>
    <row r="73" spans="2:10">
      <c r="B73" s="93">
        <v>378</v>
      </c>
      <c r="D73" s="147">
        <v>4611.6740310663999</v>
      </c>
      <c r="F73" s="3" t="s">
        <v>516</v>
      </c>
      <c r="J73" s="89"/>
    </row>
    <row r="74" spans="2:10">
      <c r="B74" s="93">
        <v>379</v>
      </c>
      <c r="D74" s="147">
        <v>19084.802391040361</v>
      </c>
      <c r="F74" s="3" t="s">
        <v>516</v>
      </c>
      <c r="J74" s="89"/>
    </row>
    <row r="75" spans="2:10">
      <c r="B75" s="93">
        <v>380</v>
      </c>
      <c r="D75" s="147">
        <v>7912.0882258856245</v>
      </c>
      <c r="F75" s="3" t="s">
        <v>516</v>
      </c>
      <c r="J75" s="89"/>
    </row>
    <row r="76" spans="2:10">
      <c r="B76" s="93">
        <v>381</v>
      </c>
      <c r="D76" s="147">
        <v>204757.05379307119</v>
      </c>
      <c r="F76" s="3" t="s">
        <v>516</v>
      </c>
      <c r="J76" s="89"/>
    </row>
    <row r="77" spans="2:10">
      <c r="B77" s="93">
        <v>382</v>
      </c>
      <c r="D77" s="147">
        <v>114014.92388584625</v>
      </c>
      <c r="F77" s="3" t="s">
        <v>516</v>
      </c>
      <c r="J77" s="89"/>
    </row>
    <row r="78" spans="2:10">
      <c r="B78" s="93">
        <v>383</v>
      </c>
      <c r="D78" s="147">
        <v>32772.828513993481</v>
      </c>
      <c r="F78" s="3" t="s">
        <v>516</v>
      </c>
      <c r="J78" s="89"/>
    </row>
    <row r="79" spans="2:10">
      <c r="B79" s="93">
        <v>384</v>
      </c>
      <c r="D79" s="240">
        <v>0</v>
      </c>
      <c r="F79" s="3" t="s">
        <v>516</v>
      </c>
      <c r="J79" s="89"/>
    </row>
    <row r="80" spans="2:10">
      <c r="B80" s="93">
        <v>385</v>
      </c>
      <c r="D80" s="240">
        <v>0</v>
      </c>
      <c r="F80" s="3" t="s">
        <v>516</v>
      </c>
      <c r="J80" s="89"/>
    </row>
    <row r="81" spans="2:10">
      <c r="B81" s="93">
        <v>386</v>
      </c>
      <c r="D81" s="240">
        <v>0</v>
      </c>
      <c r="F81" s="3" t="s">
        <v>516</v>
      </c>
      <c r="J81" s="89"/>
    </row>
    <row r="82" spans="2:10">
      <c r="B82" s="93">
        <v>387</v>
      </c>
      <c r="D82" s="240">
        <v>0</v>
      </c>
      <c r="F82" s="3" t="s">
        <v>516</v>
      </c>
      <c r="J82" s="89"/>
    </row>
    <row r="83" spans="2:10">
      <c r="B83" s="93">
        <v>388</v>
      </c>
      <c r="D83" s="147">
        <v>4540.0402775800039</v>
      </c>
      <c r="F83" s="3" t="s">
        <v>516</v>
      </c>
      <c r="J83" s="89"/>
    </row>
    <row r="84" spans="2:10">
      <c r="B84" s="93">
        <v>389</v>
      </c>
      <c r="D84" s="147">
        <v>89847.095733059148</v>
      </c>
      <c r="F84" s="3" t="s">
        <v>516</v>
      </c>
      <c r="J84" s="89"/>
    </row>
    <row r="85" spans="2:10">
      <c r="B85" s="93">
        <v>390</v>
      </c>
      <c r="D85" s="240">
        <v>0</v>
      </c>
      <c r="F85" s="3" t="s">
        <v>516</v>
      </c>
      <c r="J85" s="89"/>
    </row>
    <row r="86" spans="2:10">
      <c r="B86" s="93">
        <v>391</v>
      </c>
      <c r="D86" s="147">
        <v>614953.64546122367</v>
      </c>
      <c r="F86" s="3" t="s">
        <v>516</v>
      </c>
      <c r="J86" s="89"/>
    </row>
    <row r="87" spans="2:10">
      <c r="B87" s="93">
        <v>392</v>
      </c>
      <c r="D87" s="147">
        <v>61437.139832305947</v>
      </c>
      <c r="F87" s="3" t="s">
        <v>516</v>
      </c>
      <c r="J87" s="89"/>
    </row>
    <row r="88" spans="2:10">
      <c r="B88" s="93">
        <v>393</v>
      </c>
      <c r="D88" s="240">
        <v>0</v>
      </c>
      <c r="F88" s="3" t="s">
        <v>516</v>
      </c>
      <c r="J88" s="89"/>
    </row>
    <row r="89" spans="2:10">
      <c r="B89" s="93">
        <v>394</v>
      </c>
      <c r="D89" s="147">
        <v>27710.301790765967</v>
      </c>
      <c r="F89" s="3" t="s">
        <v>516</v>
      </c>
      <c r="J89" s="89"/>
    </row>
    <row r="90" spans="2:10">
      <c r="B90" s="93">
        <v>395</v>
      </c>
      <c r="D90" s="147">
        <v>9353.7976978691713</v>
      </c>
      <c r="F90" s="3" t="s">
        <v>516</v>
      </c>
      <c r="J90" s="89"/>
    </row>
    <row r="91" spans="2:10">
      <c r="B91" s="93">
        <v>396</v>
      </c>
      <c r="D91" s="147">
        <v>27670.188323616749</v>
      </c>
      <c r="F91" s="3" t="s">
        <v>516</v>
      </c>
      <c r="J91" s="89"/>
    </row>
    <row r="92" spans="2:10">
      <c r="B92" s="93">
        <v>397</v>
      </c>
      <c r="D92" s="147">
        <v>65069.242178936642</v>
      </c>
      <c r="F92" s="3" t="s">
        <v>516</v>
      </c>
      <c r="J92" s="89"/>
    </row>
    <row r="93" spans="2:10">
      <c r="B93" s="93">
        <v>398</v>
      </c>
      <c r="D93" s="240">
        <v>0</v>
      </c>
      <c r="F93" s="3" t="s">
        <v>516</v>
      </c>
      <c r="J93" s="89"/>
    </row>
    <row r="94" spans="2:10">
      <c r="B94" s="93">
        <v>399</v>
      </c>
      <c r="D94" s="240">
        <v>0</v>
      </c>
      <c r="F94" s="3" t="s">
        <v>516</v>
      </c>
      <c r="J94" s="89"/>
    </row>
    <row r="95" spans="2:10">
      <c r="B95" s="93">
        <v>400</v>
      </c>
      <c r="D95" s="240">
        <v>0</v>
      </c>
      <c r="F95" s="3" t="s">
        <v>516</v>
      </c>
      <c r="J95" s="89"/>
    </row>
    <row r="96" spans="2:10">
      <c r="B96" s="93">
        <v>401</v>
      </c>
      <c r="D96" s="240">
        <v>0</v>
      </c>
      <c r="F96" s="3" t="s">
        <v>516</v>
      </c>
      <c r="J96" s="89"/>
    </row>
    <row r="97" spans="2:10">
      <c r="B97" s="93">
        <v>402</v>
      </c>
      <c r="D97" s="240">
        <v>0</v>
      </c>
      <c r="F97" s="3" t="s">
        <v>516</v>
      </c>
      <c r="J97" s="89"/>
    </row>
    <row r="98" spans="2:10">
      <c r="B98" s="93">
        <v>403</v>
      </c>
      <c r="D98" s="240">
        <v>0</v>
      </c>
      <c r="F98" s="3" t="s">
        <v>516</v>
      </c>
      <c r="J98" s="89"/>
    </row>
    <row r="99" spans="2:10">
      <c r="B99" s="93">
        <v>404</v>
      </c>
      <c r="D99" s="240">
        <v>0</v>
      </c>
      <c r="F99" s="3" t="s">
        <v>516</v>
      </c>
      <c r="J99" s="89"/>
    </row>
    <row r="100" spans="2:10">
      <c r="B100" s="93">
        <v>405</v>
      </c>
      <c r="D100" s="147">
        <v>3006.4882057138966</v>
      </c>
      <c r="F100" s="3" t="s">
        <v>516</v>
      </c>
      <c r="J100" s="89"/>
    </row>
    <row r="101" spans="2:10">
      <c r="B101" s="93">
        <v>406</v>
      </c>
      <c r="D101" s="147">
        <v>303439.87492153718</v>
      </c>
      <c r="F101" s="3" t="s">
        <v>516</v>
      </c>
      <c r="J101" s="89"/>
    </row>
    <row r="102" spans="2:10">
      <c r="B102" s="93">
        <v>407</v>
      </c>
      <c r="D102" s="240">
        <v>0</v>
      </c>
      <c r="F102" s="3" t="s">
        <v>516</v>
      </c>
      <c r="J102" s="89"/>
    </row>
    <row r="103" spans="2:10">
      <c r="B103" s="93">
        <v>408</v>
      </c>
      <c r="D103" s="147">
        <v>0</v>
      </c>
      <c r="F103" s="3" t="s">
        <v>517</v>
      </c>
      <c r="J103" s="89"/>
    </row>
    <row r="104" spans="2:10">
      <c r="B104" s="93">
        <v>409</v>
      </c>
      <c r="D104" s="147">
        <v>0</v>
      </c>
      <c r="F104" s="3" t="s">
        <v>517</v>
      </c>
      <c r="J104" s="89"/>
    </row>
    <row r="105" spans="2:10">
      <c r="B105" s="93">
        <v>410</v>
      </c>
      <c r="D105" s="147">
        <v>0</v>
      </c>
      <c r="F105" s="3" t="s">
        <v>517</v>
      </c>
      <c r="J105" s="89"/>
    </row>
    <row r="106" spans="2:10">
      <c r="B106" s="93">
        <v>411</v>
      </c>
      <c r="D106" s="147">
        <v>0</v>
      </c>
      <c r="F106" s="3" t="s">
        <v>517</v>
      </c>
      <c r="J106" s="89"/>
    </row>
    <row r="107" spans="2:10">
      <c r="B107" s="93">
        <v>412</v>
      </c>
      <c r="D107" s="147">
        <v>0</v>
      </c>
      <c r="F107" s="3" t="s">
        <v>517</v>
      </c>
      <c r="J107" s="89"/>
    </row>
    <row r="108" spans="2:10">
      <c r="B108" s="93">
        <v>413</v>
      </c>
      <c r="D108" s="147">
        <v>0</v>
      </c>
      <c r="F108" s="3" t="s">
        <v>517</v>
      </c>
      <c r="J108" s="89"/>
    </row>
    <row r="109" spans="2:10">
      <c r="B109" s="93">
        <v>414</v>
      </c>
      <c r="D109" s="147">
        <v>4066.6917785254955</v>
      </c>
      <c r="F109" s="3" t="s">
        <v>517</v>
      </c>
      <c r="J109" s="89"/>
    </row>
    <row r="110" spans="2:10">
      <c r="B110" s="93">
        <v>415</v>
      </c>
      <c r="D110" s="147">
        <v>72313.792532278865</v>
      </c>
      <c r="F110" s="3" t="s">
        <v>517</v>
      </c>
      <c r="J110" s="89"/>
    </row>
    <row r="111" spans="2:10">
      <c r="B111" s="93">
        <v>416</v>
      </c>
      <c r="D111" s="147">
        <v>39219.604478837689</v>
      </c>
      <c r="F111" s="3" t="s">
        <v>517</v>
      </c>
    </row>
    <row r="112" spans="2:10">
      <c r="B112" s="93">
        <v>417</v>
      </c>
      <c r="D112" s="147">
        <v>69808.707803642814</v>
      </c>
      <c r="F112" s="3" t="s">
        <v>517</v>
      </c>
    </row>
    <row r="113" spans="2:6">
      <c r="B113" s="93">
        <v>418</v>
      </c>
      <c r="D113" s="147">
        <v>38586.635084201873</v>
      </c>
      <c r="F113" s="3" t="s">
        <v>517</v>
      </c>
    </row>
    <row r="114" spans="2:6">
      <c r="B114" s="93">
        <v>419</v>
      </c>
      <c r="D114" s="147">
        <v>21904.077054372625</v>
      </c>
      <c r="F114" s="3" t="s">
        <v>517</v>
      </c>
    </row>
    <row r="115" spans="2:6">
      <c r="B115" s="93">
        <v>420</v>
      </c>
      <c r="D115" s="147">
        <v>17162.736023996706</v>
      </c>
      <c r="F115" s="3" t="s">
        <v>517</v>
      </c>
    </row>
    <row r="116" spans="2:6">
      <c r="B116" s="93">
        <v>421</v>
      </c>
      <c r="D116" s="147">
        <v>2951.3714473540831</v>
      </c>
      <c r="F116" s="3" t="s">
        <v>517</v>
      </c>
    </row>
    <row r="117" spans="2:6">
      <c r="B117" s="93">
        <v>422</v>
      </c>
      <c r="D117" s="147">
        <v>1042.7959463378704</v>
      </c>
      <c r="F117" s="3" t="s">
        <v>517</v>
      </c>
    </row>
    <row r="118" spans="2:6">
      <c r="B118" s="93">
        <v>423</v>
      </c>
      <c r="D118" s="147">
        <v>1583.1020339233444</v>
      </c>
      <c r="F118" s="3" t="s">
        <v>517</v>
      </c>
    </row>
    <row r="119" spans="2:6">
      <c r="B119" s="93">
        <v>424</v>
      </c>
      <c r="D119" s="147">
        <v>7373.2798573001292</v>
      </c>
      <c r="F119" s="3" t="s">
        <v>517</v>
      </c>
    </row>
    <row r="120" spans="2:6">
      <c r="B120" s="93">
        <v>425</v>
      </c>
      <c r="D120" s="147">
        <v>138596.0081293541</v>
      </c>
      <c r="F120" s="3" t="s">
        <v>517</v>
      </c>
    </row>
    <row r="121" spans="2:6">
      <c r="B121" s="93">
        <v>426</v>
      </c>
      <c r="D121" s="147">
        <v>0</v>
      </c>
      <c r="F121" s="3" t="s">
        <v>517</v>
      </c>
    </row>
    <row r="122" spans="2:6">
      <c r="B122" s="93">
        <v>427</v>
      </c>
      <c r="D122" s="147">
        <v>30711.765477463152</v>
      </c>
      <c r="F122" s="3" t="s">
        <v>517</v>
      </c>
    </row>
    <row r="123" spans="2:6">
      <c r="B123" s="93">
        <v>428</v>
      </c>
      <c r="D123" s="147">
        <v>13771.568761085329</v>
      </c>
      <c r="F123" s="3" t="s">
        <v>517</v>
      </c>
    </row>
    <row r="124" spans="2:6">
      <c r="B124" s="93">
        <v>429</v>
      </c>
      <c r="D124" s="147">
        <v>38953.348948547842</v>
      </c>
      <c r="F124" s="3" t="s">
        <v>517</v>
      </c>
    </row>
    <row r="125" spans="2:6">
      <c r="B125" s="93">
        <v>430</v>
      </c>
      <c r="D125" s="147">
        <v>49700.604054063915</v>
      </c>
      <c r="F125" s="3" t="s">
        <v>517</v>
      </c>
    </row>
    <row r="126" spans="2:6">
      <c r="B126" s="93">
        <v>431</v>
      </c>
      <c r="D126" s="147">
        <v>9176.6384417978097</v>
      </c>
      <c r="F126" s="3" t="s">
        <v>517</v>
      </c>
    </row>
    <row r="127" spans="2:6">
      <c r="B127" s="93">
        <v>432</v>
      </c>
      <c r="D127" s="147">
        <v>350173.006424536</v>
      </c>
      <c r="F127" s="3" t="s">
        <v>517</v>
      </c>
    </row>
    <row r="128" spans="2:6">
      <c r="B128" s="93">
        <v>433</v>
      </c>
      <c r="D128" s="147">
        <v>16791.944833574824</v>
      </c>
      <c r="F128" s="3" t="s">
        <v>517</v>
      </c>
    </row>
    <row r="129" spans="2:6">
      <c r="B129" s="93">
        <v>434</v>
      </c>
      <c r="D129" s="147">
        <v>368844.5346481328</v>
      </c>
      <c r="F129" s="3" t="s">
        <v>517</v>
      </c>
    </row>
    <row r="130" spans="2:6">
      <c r="B130" s="93">
        <v>435</v>
      </c>
      <c r="D130" s="147">
        <v>0</v>
      </c>
      <c r="F130" s="3" t="s">
        <v>517</v>
      </c>
    </row>
    <row r="131" spans="2:6">
      <c r="B131" s="93">
        <v>436</v>
      </c>
      <c r="D131" s="147">
        <v>0</v>
      </c>
      <c r="F131" s="3" t="s">
        <v>517</v>
      </c>
    </row>
    <row r="132" spans="2:6">
      <c r="B132" s="93">
        <v>437</v>
      </c>
      <c r="D132" s="147">
        <v>0</v>
      </c>
      <c r="F132" s="3" t="s">
        <v>517</v>
      </c>
    </row>
    <row r="133" spans="2:6">
      <c r="B133" s="93">
        <v>438</v>
      </c>
      <c r="D133" s="147">
        <v>0</v>
      </c>
      <c r="F133" s="3" t="s">
        <v>517</v>
      </c>
    </row>
    <row r="134" spans="2:6">
      <c r="B134" s="93">
        <v>439</v>
      </c>
      <c r="D134" s="147">
        <v>0</v>
      </c>
      <c r="F134" s="3" t="s">
        <v>517</v>
      </c>
    </row>
    <row r="135" spans="2:6">
      <c r="B135" s="93">
        <v>440</v>
      </c>
      <c r="D135" s="147">
        <v>0</v>
      </c>
      <c r="F135" s="3" t="s">
        <v>517</v>
      </c>
    </row>
    <row r="136" spans="2:6">
      <c r="B136" s="93">
        <v>441</v>
      </c>
      <c r="D136" s="147">
        <v>0</v>
      </c>
      <c r="F136" s="3" t="s">
        <v>517</v>
      </c>
    </row>
    <row r="137" spans="2:6">
      <c r="B137" s="93">
        <v>442</v>
      </c>
      <c r="D137" s="147">
        <v>0</v>
      </c>
      <c r="F137" s="3" t="s">
        <v>517</v>
      </c>
    </row>
    <row r="138" spans="2:6">
      <c r="B138" s="93">
        <v>443</v>
      </c>
      <c r="D138" s="147">
        <v>0</v>
      </c>
      <c r="F138" s="3" t="s">
        <v>517</v>
      </c>
    </row>
    <row r="139" spans="2:6">
      <c r="B139" s="93">
        <v>444</v>
      </c>
      <c r="D139" s="147">
        <v>0</v>
      </c>
      <c r="F139" s="3" t="s">
        <v>517</v>
      </c>
    </row>
    <row r="140" spans="2:6">
      <c r="B140" s="93">
        <v>445</v>
      </c>
      <c r="D140" s="147">
        <v>0</v>
      </c>
      <c r="F140" s="3" t="s">
        <v>517</v>
      </c>
    </row>
    <row r="141" spans="2:6">
      <c r="B141" s="93">
        <v>446</v>
      </c>
      <c r="D141" s="147">
        <v>0</v>
      </c>
      <c r="F141" s="3" t="s">
        <v>517</v>
      </c>
    </row>
    <row r="142" spans="2:6">
      <c r="B142" s="93">
        <v>447</v>
      </c>
      <c r="D142" s="147">
        <v>0</v>
      </c>
      <c r="F142" s="3" t="s">
        <v>517</v>
      </c>
    </row>
    <row r="143" spans="2:6">
      <c r="B143" s="93">
        <v>448</v>
      </c>
      <c r="D143" s="147">
        <v>0</v>
      </c>
      <c r="F143" s="3" t="s">
        <v>517</v>
      </c>
    </row>
    <row r="144" spans="2:6">
      <c r="B144" s="93">
        <v>449</v>
      </c>
      <c r="D144" s="147">
        <v>0</v>
      </c>
      <c r="F144" s="3" t="s">
        <v>517</v>
      </c>
    </row>
    <row r="145" spans="2:6">
      <c r="B145" s="93">
        <v>450</v>
      </c>
      <c r="D145" s="147">
        <v>0</v>
      </c>
      <c r="F145" s="3" t="s">
        <v>517</v>
      </c>
    </row>
    <row r="146" spans="2:6">
      <c r="B146" s="93">
        <v>451</v>
      </c>
      <c r="D146" s="147">
        <v>192.7950154920913</v>
      </c>
      <c r="F146" s="3" t="s">
        <v>517</v>
      </c>
    </row>
    <row r="147" spans="2:6">
      <c r="B147" s="93">
        <v>452</v>
      </c>
      <c r="D147" s="147">
        <v>17486.319304522516</v>
      </c>
      <c r="F147" s="3" t="s">
        <v>517</v>
      </c>
    </row>
    <row r="148" spans="2:6">
      <c r="B148" s="93">
        <v>453</v>
      </c>
      <c r="D148" s="147">
        <v>1732.4051614647706</v>
      </c>
      <c r="F148" s="3" t="s">
        <v>517</v>
      </c>
    </row>
    <row r="149" spans="2:6">
      <c r="B149" s="93">
        <v>454</v>
      </c>
      <c r="D149" s="147">
        <v>2852.1763921840106</v>
      </c>
      <c r="F149" s="3" t="s">
        <v>517</v>
      </c>
    </row>
    <row r="150" spans="2:6">
      <c r="B150" s="93">
        <v>455</v>
      </c>
      <c r="D150" s="147">
        <v>9316.2155574158933</v>
      </c>
      <c r="F150" s="3" t="s">
        <v>517</v>
      </c>
    </row>
    <row r="151" spans="2:6">
      <c r="B151" s="93">
        <v>456</v>
      </c>
      <c r="D151" s="147">
        <v>14209.467414292769</v>
      </c>
      <c r="F151" s="3" t="s">
        <v>517</v>
      </c>
    </row>
    <row r="152" spans="2:6">
      <c r="B152" s="93">
        <v>457</v>
      </c>
      <c r="D152" s="147">
        <v>37532.285815813477</v>
      </c>
      <c r="F152" s="3" t="s">
        <v>517</v>
      </c>
    </row>
    <row r="153" spans="2:6">
      <c r="B153" s="93">
        <v>458</v>
      </c>
      <c r="D153" s="147">
        <v>18395.575662272393</v>
      </c>
      <c r="F153" s="3" t="s">
        <v>517</v>
      </c>
    </row>
    <row r="154" spans="2:6">
      <c r="B154" s="93">
        <v>459</v>
      </c>
      <c r="D154" s="147">
        <v>45342.950536082608</v>
      </c>
      <c r="F154" s="3" t="s">
        <v>517</v>
      </c>
    </row>
    <row r="155" spans="2:6">
      <c r="B155" s="93">
        <v>460</v>
      </c>
      <c r="D155" s="147">
        <v>0</v>
      </c>
      <c r="F155" s="3" t="s">
        <v>517</v>
      </c>
    </row>
    <row r="156" spans="2:6">
      <c r="B156" s="93">
        <v>461</v>
      </c>
      <c r="D156" s="147">
        <v>0</v>
      </c>
      <c r="F156" s="3" t="s">
        <v>517</v>
      </c>
    </row>
    <row r="157" spans="2:6">
      <c r="B157" s="93">
        <v>462</v>
      </c>
      <c r="D157" s="147">
        <v>0</v>
      </c>
      <c r="F157" s="3" t="s">
        <v>517</v>
      </c>
    </row>
    <row r="158" spans="2:6">
      <c r="B158" s="93">
        <v>463</v>
      </c>
      <c r="D158" s="147">
        <v>0</v>
      </c>
      <c r="F158" s="3" t="s">
        <v>517</v>
      </c>
    </row>
    <row r="159" spans="2:6">
      <c r="B159" s="93">
        <v>464</v>
      </c>
      <c r="D159" s="147">
        <v>0</v>
      </c>
      <c r="F159" s="3" t="s">
        <v>517</v>
      </c>
    </row>
    <row r="160" spans="2:6">
      <c r="B160" s="93">
        <v>465</v>
      </c>
      <c r="D160" s="147">
        <v>0</v>
      </c>
      <c r="F160" s="3" t="s">
        <v>517</v>
      </c>
    </row>
    <row r="161" spans="2:6">
      <c r="B161" s="93">
        <v>466</v>
      </c>
      <c r="D161" s="147">
        <v>0</v>
      </c>
      <c r="F161" s="3" t="s">
        <v>517</v>
      </c>
    </row>
    <row r="162" spans="2:6">
      <c r="B162" s="93">
        <v>467</v>
      </c>
      <c r="D162" s="147">
        <v>0</v>
      </c>
      <c r="F162" s="3" t="s">
        <v>517</v>
      </c>
    </row>
    <row r="163" spans="2:6">
      <c r="B163" s="93">
        <v>468</v>
      </c>
      <c r="D163" s="147">
        <v>0</v>
      </c>
      <c r="F163" s="3" t="s">
        <v>517</v>
      </c>
    </row>
    <row r="164" spans="2:6">
      <c r="B164" s="93">
        <v>469</v>
      </c>
      <c r="D164" s="147">
        <v>0</v>
      </c>
      <c r="F164" s="3" t="s">
        <v>517</v>
      </c>
    </row>
    <row r="165" spans="2:6">
      <c r="B165" s="93">
        <v>470</v>
      </c>
      <c r="D165" s="147">
        <v>0</v>
      </c>
      <c r="F165" s="3" t="s">
        <v>517</v>
      </c>
    </row>
    <row r="166" spans="2:6">
      <c r="B166" s="93">
        <v>471</v>
      </c>
      <c r="D166" s="147">
        <v>0</v>
      </c>
      <c r="F166" s="3" t="s">
        <v>517</v>
      </c>
    </row>
    <row r="167" spans="2:6">
      <c r="B167" s="93">
        <v>472</v>
      </c>
      <c r="D167" s="147">
        <v>20595.049218865919</v>
      </c>
      <c r="F167" s="3" t="s">
        <v>517</v>
      </c>
    </row>
    <row r="168" spans="2:6">
      <c r="B168" s="93">
        <v>473</v>
      </c>
      <c r="D168" s="147">
        <v>6033.3008476088025</v>
      </c>
      <c r="F168" s="3" t="s">
        <v>517</v>
      </c>
    </row>
    <row r="169" spans="2:6">
      <c r="B169" s="93">
        <v>474</v>
      </c>
      <c r="D169" s="147">
        <v>114286.36357614314</v>
      </c>
      <c r="F169" s="3" t="s">
        <v>517</v>
      </c>
    </row>
    <row r="170" spans="2:6">
      <c r="B170" s="93">
        <v>475</v>
      </c>
      <c r="D170" s="147">
        <v>1010914.3326142207</v>
      </c>
      <c r="F170" s="3" t="s">
        <v>517</v>
      </c>
    </row>
    <row r="171" spans="2:6">
      <c r="B171" s="93">
        <v>476</v>
      </c>
      <c r="D171" s="147">
        <v>110113.496706638</v>
      </c>
      <c r="F171" s="3" t="s">
        <v>517</v>
      </c>
    </row>
    <row r="172" spans="2:6">
      <c r="B172" s="93">
        <v>477</v>
      </c>
      <c r="D172" s="147">
        <v>26631.619932073358</v>
      </c>
      <c r="F172" s="3" t="s">
        <v>517</v>
      </c>
    </row>
    <row r="173" spans="2:6">
      <c r="B173" s="93">
        <v>478</v>
      </c>
      <c r="D173" s="147">
        <v>1462385.1890917395</v>
      </c>
      <c r="F173" s="3" t="s">
        <v>517</v>
      </c>
    </row>
    <row r="174" spans="2:6">
      <c r="B174" s="93">
        <v>479</v>
      </c>
      <c r="D174" s="147">
        <v>26797.310321813446</v>
      </c>
      <c r="F174" s="3" t="s">
        <v>517</v>
      </c>
    </row>
    <row r="175" spans="2:6">
      <c r="B175" s="93">
        <v>480</v>
      </c>
      <c r="D175" s="147">
        <v>143440.45474083052</v>
      </c>
      <c r="F175" s="3" t="s">
        <v>517</v>
      </c>
    </row>
    <row r="176" spans="2:6">
      <c r="B176" s="93">
        <v>481</v>
      </c>
      <c r="D176" s="147">
        <v>37686.268046364217</v>
      </c>
      <c r="F176" s="3" t="s">
        <v>517</v>
      </c>
    </row>
    <row r="177" spans="2:6">
      <c r="B177" s="93">
        <v>482</v>
      </c>
      <c r="D177" s="147">
        <v>5687877.4465793725</v>
      </c>
      <c r="F177" s="3" t="s">
        <v>517</v>
      </c>
    </row>
    <row r="178" spans="2:6">
      <c r="B178" s="93">
        <v>483</v>
      </c>
      <c r="D178" s="147">
        <v>611283.63783680694</v>
      </c>
      <c r="F178" s="3" t="s">
        <v>517</v>
      </c>
    </row>
    <row r="179" spans="2:6">
      <c r="B179" s="93">
        <v>484</v>
      </c>
      <c r="D179" s="147">
        <v>348308.75445981714</v>
      </c>
      <c r="F179" s="3" t="s">
        <v>517</v>
      </c>
    </row>
    <row r="180" spans="2:6">
      <c r="B180" s="93">
        <v>485</v>
      </c>
      <c r="D180" s="147">
        <v>119705.82972723366</v>
      </c>
      <c r="F180" s="3" t="s">
        <v>517</v>
      </c>
    </row>
    <row r="181" spans="2:6">
      <c r="B181" s="93">
        <v>486</v>
      </c>
      <c r="D181" s="147">
        <v>0</v>
      </c>
      <c r="F181" s="3" t="s">
        <v>517</v>
      </c>
    </row>
    <row r="182" spans="2:6">
      <c r="B182" s="93">
        <v>487</v>
      </c>
      <c r="D182" s="147">
        <v>0</v>
      </c>
      <c r="F182" s="3" t="s">
        <v>517</v>
      </c>
    </row>
    <row r="183" spans="2:6">
      <c r="B183" s="93">
        <v>488</v>
      </c>
      <c r="D183" s="147">
        <v>0</v>
      </c>
      <c r="F183" s="3" t="s">
        <v>517</v>
      </c>
    </row>
    <row r="184" spans="2:6">
      <c r="B184" s="93">
        <v>489</v>
      </c>
      <c r="D184" s="147">
        <v>0</v>
      </c>
      <c r="F184" s="3" t="s">
        <v>517</v>
      </c>
    </row>
    <row r="185" spans="2:6">
      <c r="B185" s="93">
        <v>490</v>
      </c>
      <c r="D185" s="147">
        <v>165539.3694759488</v>
      </c>
      <c r="F185" s="3" t="s">
        <v>517</v>
      </c>
    </row>
    <row r="186" spans="2:6">
      <c r="B186" s="93">
        <v>491</v>
      </c>
      <c r="D186" s="147">
        <v>487022.63956122473</v>
      </c>
      <c r="F186" s="3" t="s">
        <v>517</v>
      </c>
    </row>
    <row r="187" spans="2:6">
      <c r="B187" s="93">
        <v>492</v>
      </c>
      <c r="D187" s="147">
        <v>2791.7858330904492</v>
      </c>
      <c r="F187" s="3" t="s">
        <v>517</v>
      </c>
    </row>
    <row r="188" spans="2:6">
      <c r="B188" s="93">
        <v>493</v>
      </c>
      <c r="D188" s="147">
        <v>9448.553239950219</v>
      </c>
      <c r="F188" s="3" t="s">
        <v>517</v>
      </c>
    </row>
    <row r="189" spans="2:6">
      <c r="B189" s="93">
        <v>494</v>
      </c>
      <c r="D189" s="147">
        <v>124976.62709455805</v>
      </c>
      <c r="F189" s="3" t="s">
        <v>517</v>
      </c>
    </row>
    <row r="190" spans="2:6">
      <c r="B190" s="93">
        <v>495</v>
      </c>
      <c r="D190" s="147">
        <v>18067.471447845164</v>
      </c>
      <c r="F190" s="3" t="s">
        <v>517</v>
      </c>
    </row>
    <row r="191" spans="2:6">
      <c r="B191" s="93">
        <v>496</v>
      </c>
      <c r="D191" s="147">
        <v>24745.075221292602</v>
      </c>
      <c r="F191" s="3" t="s">
        <v>517</v>
      </c>
    </row>
    <row r="192" spans="2:6">
      <c r="B192" s="93">
        <v>497</v>
      </c>
      <c r="D192" s="147">
        <v>96007.434247363446</v>
      </c>
      <c r="F192" s="3" t="s">
        <v>517</v>
      </c>
    </row>
    <row r="193" spans="2:6">
      <c r="B193" s="93">
        <v>498</v>
      </c>
      <c r="D193" s="147">
        <v>256937.21086962681</v>
      </c>
      <c r="F193" s="3" t="s">
        <v>517</v>
      </c>
    </row>
    <row r="194" spans="2:6">
      <c r="B194" s="93">
        <v>499</v>
      </c>
      <c r="D194" s="147">
        <v>702049.39906389359</v>
      </c>
      <c r="F194" s="3" t="s">
        <v>517</v>
      </c>
    </row>
    <row r="195" spans="2:6">
      <c r="B195" s="93">
        <v>500</v>
      </c>
      <c r="D195" s="147">
        <v>1042957.4504958389</v>
      </c>
      <c r="F195" s="3" t="s">
        <v>517</v>
      </c>
    </row>
    <row r="196" spans="2:6">
      <c r="B196" s="93">
        <v>501</v>
      </c>
      <c r="D196" s="147">
        <v>70079.94837897965</v>
      </c>
      <c r="F196" s="3" t="s">
        <v>517</v>
      </c>
    </row>
    <row r="197" spans="2:6">
      <c r="B197" s="93">
        <v>502</v>
      </c>
      <c r="D197" s="147">
        <v>704771.29332217178</v>
      </c>
      <c r="F197" s="3" t="s">
        <v>517</v>
      </c>
    </row>
    <row r="198" spans="2:6">
      <c r="B198" s="93">
        <v>503</v>
      </c>
      <c r="D198" s="147">
        <v>1024239.4945113533</v>
      </c>
      <c r="F198" s="3" t="s">
        <v>517</v>
      </c>
    </row>
    <row r="199" spans="2:6">
      <c r="B199" s="93">
        <v>504</v>
      </c>
      <c r="D199" s="147">
        <v>376397.15055039537</v>
      </c>
      <c r="F199" s="3" t="s">
        <v>517</v>
      </c>
    </row>
    <row r="200" spans="2:6">
      <c r="B200" s="93">
        <v>505</v>
      </c>
      <c r="D200" s="147">
        <v>514916.23301467963</v>
      </c>
      <c r="F200" s="3" t="s">
        <v>517</v>
      </c>
    </row>
    <row r="201" spans="2:6">
      <c r="B201" s="93">
        <v>506</v>
      </c>
      <c r="D201" s="147">
        <v>1302.0888101333342</v>
      </c>
      <c r="F201" s="3" t="s">
        <v>517</v>
      </c>
    </row>
    <row r="202" spans="2:6">
      <c r="B202" s="93">
        <v>507</v>
      </c>
      <c r="D202" s="147">
        <v>32369.723836884237</v>
      </c>
      <c r="F202" s="3" t="s">
        <v>517</v>
      </c>
    </row>
    <row r="203" spans="2:6">
      <c r="B203" s="93">
        <v>508</v>
      </c>
      <c r="D203" s="147">
        <v>0</v>
      </c>
      <c r="F203" s="3" t="s">
        <v>517</v>
      </c>
    </row>
    <row r="204" spans="2:6">
      <c r="B204" s="93">
        <v>509</v>
      </c>
      <c r="D204" s="147">
        <v>0</v>
      </c>
      <c r="F204" s="3" t="s">
        <v>517</v>
      </c>
    </row>
    <row r="205" spans="2:6">
      <c r="B205" s="93">
        <v>510</v>
      </c>
      <c r="D205" s="147">
        <v>391.2500930325707</v>
      </c>
      <c r="F205" s="3" t="s">
        <v>517</v>
      </c>
    </row>
    <row r="206" spans="2:6">
      <c r="B206" s="93">
        <v>511</v>
      </c>
      <c r="D206" s="147">
        <v>5807.0127406390793</v>
      </c>
      <c r="F206" s="3" t="s">
        <v>517</v>
      </c>
    </row>
    <row r="207" spans="2:6">
      <c r="B207" s="93">
        <v>512</v>
      </c>
      <c r="D207" s="147">
        <v>3846.4772684956265</v>
      </c>
      <c r="F207" s="3" t="s">
        <v>517</v>
      </c>
    </row>
    <row r="208" spans="2:6">
      <c r="B208" s="93">
        <v>513</v>
      </c>
      <c r="D208" s="147">
        <v>68227.138320870654</v>
      </c>
      <c r="F208" s="3" t="s">
        <v>517</v>
      </c>
    </row>
    <row r="209" spans="2:6">
      <c r="B209" s="93">
        <v>514</v>
      </c>
      <c r="D209" s="147">
        <v>18541.10836769961</v>
      </c>
      <c r="F209" s="3" t="s">
        <v>517</v>
      </c>
    </row>
    <row r="210" spans="2:6">
      <c r="B210" s="93">
        <v>515</v>
      </c>
      <c r="D210" s="147">
        <v>9654.3986266756274</v>
      </c>
      <c r="F210" s="3" t="s">
        <v>517</v>
      </c>
    </row>
    <row r="211" spans="2:6">
      <c r="B211" s="93">
        <v>516</v>
      </c>
      <c r="D211" s="147">
        <v>11416.655239751346</v>
      </c>
      <c r="F211" s="3" t="s">
        <v>517</v>
      </c>
    </row>
    <row r="212" spans="2:6">
      <c r="B212" s="93">
        <v>517</v>
      </c>
      <c r="D212" s="147">
        <v>17633.404807314058</v>
      </c>
      <c r="F212" s="3" t="s">
        <v>517</v>
      </c>
    </row>
    <row r="213" spans="2:6">
      <c r="B213" s="93">
        <v>518</v>
      </c>
      <c r="D213" s="147">
        <v>15300.61437397597</v>
      </c>
      <c r="F213" s="3" t="s">
        <v>517</v>
      </c>
    </row>
    <row r="214" spans="2:6">
      <c r="B214" s="93">
        <v>519</v>
      </c>
      <c r="D214" s="147">
        <v>16001.249643380297</v>
      </c>
      <c r="F214" s="3" t="s">
        <v>517</v>
      </c>
    </row>
    <row r="215" spans="2:6">
      <c r="B215" s="93">
        <v>520</v>
      </c>
      <c r="D215" s="147">
        <v>20208.996722083291</v>
      </c>
      <c r="F215" s="3" t="s">
        <v>517</v>
      </c>
    </row>
    <row r="216" spans="2:6">
      <c r="B216" s="93">
        <v>521</v>
      </c>
      <c r="D216" s="147">
        <v>58527.314744578129</v>
      </c>
      <c r="F216" s="3" t="s">
        <v>517</v>
      </c>
    </row>
    <row r="217" spans="2:6">
      <c r="B217" s="93">
        <v>522</v>
      </c>
      <c r="D217" s="147">
        <v>247531.06540005477</v>
      </c>
      <c r="F217" s="3" t="s">
        <v>517</v>
      </c>
    </row>
    <row r="218" spans="2:6">
      <c r="B218" s="93">
        <v>523</v>
      </c>
      <c r="D218" s="147">
        <v>31800.173255745365</v>
      </c>
      <c r="F218" s="3" t="s">
        <v>517</v>
      </c>
    </row>
    <row r="219" spans="2:6">
      <c r="B219" s="93">
        <v>524</v>
      </c>
      <c r="D219" s="147">
        <v>0</v>
      </c>
      <c r="F219" s="3" t="s">
        <v>517</v>
      </c>
    </row>
    <row r="220" spans="2:6">
      <c r="B220" s="93">
        <v>525</v>
      </c>
      <c r="D220" s="147">
        <v>0</v>
      </c>
      <c r="F220" s="3" t="s">
        <v>517</v>
      </c>
    </row>
    <row r="221" spans="2:6">
      <c r="B221" s="93">
        <v>526</v>
      </c>
      <c r="D221" s="147">
        <v>0</v>
      </c>
      <c r="F221" s="3" t="s">
        <v>517</v>
      </c>
    </row>
    <row r="222" spans="2:6">
      <c r="B222" s="93">
        <v>527</v>
      </c>
      <c r="D222" s="147">
        <v>0</v>
      </c>
      <c r="F222" s="3" t="s">
        <v>517</v>
      </c>
    </row>
    <row r="223" spans="2:6">
      <c r="B223" s="93">
        <v>528</v>
      </c>
      <c r="D223" s="147">
        <v>0</v>
      </c>
      <c r="F223" s="3" t="s">
        <v>517</v>
      </c>
    </row>
    <row r="224" spans="2:6">
      <c r="B224" s="93">
        <v>529</v>
      </c>
      <c r="D224" s="147">
        <v>0</v>
      </c>
      <c r="F224" s="3" t="s">
        <v>517</v>
      </c>
    </row>
    <row r="225" spans="2:6">
      <c r="B225" s="93">
        <v>530</v>
      </c>
      <c r="D225" s="147">
        <v>0</v>
      </c>
      <c r="F225" s="3" t="s">
        <v>517</v>
      </c>
    </row>
    <row r="226" spans="2:6">
      <c r="B226" s="93">
        <v>531</v>
      </c>
      <c r="D226" s="147">
        <v>2913299.7564751511</v>
      </c>
      <c r="F226" s="3" t="s">
        <v>517</v>
      </c>
    </row>
    <row r="227" spans="2:6">
      <c r="B227" s="132">
        <v>532</v>
      </c>
      <c r="D227" s="284">
        <v>0</v>
      </c>
    </row>
    <row r="228" spans="2:6">
      <c r="B228" s="132">
        <v>533</v>
      </c>
      <c r="D228" s="284">
        <v>0</v>
      </c>
    </row>
    <row r="229" spans="2:6">
      <c r="B229" s="132">
        <v>534</v>
      </c>
      <c r="D229" s="284">
        <v>0</v>
      </c>
    </row>
    <row r="230" spans="2:6">
      <c r="B230" s="132">
        <v>535</v>
      </c>
      <c r="D230" s="284">
        <v>0</v>
      </c>
    </row>
    <row r="231" spans="2:6">
      <c r="B231" s="132">
        <v>536</v>
      </c>
      <c r="D231" s="284">
        <v>0</v>
      </c>
    </row>
    <row r="232" spans="2:6">
      <c r="B232" s="132">
        <v>537</v>
      </c>
      <c r="D232" s="284">
        <v>0</v>
      </c>
    </row>
    <row r="233" spans="2:6">
      <c r="B233" s="132">
        <v>538</v>
      </c>
      <c r="D233" s="284">
        <v>1574.447054456984</v>
      </c>
    </row>
    <row r="234" spans="2:6">
      <c r="B234" s="132">
        <v>539</v>
      </c>
      <c r="D234" s="284">
        <v>20479.328356270184</v>
      </c>
    </row>
    <row r="235" spans="2:6">
      <c r="B235" s="132">
        <v>540</v>
      </c>
      <c r="D235" s="284">
        <v>25374.385345644296</v>
      </c>
    </row>
    <row r="236" spans="2:6">
      <c r="B236" s="132">
        <v>541</v>
      </c>
      <c r="D236" s="284">
        <v>19518.619853143853</v>
      </c>
    </row>
    <row r="237" spans="2:6">
      <c r="B237" s="132">
        <v>542</v>
      </c>
      <c r="D237" s="284">
        <v>111800.93961557576</v>
      </c>
    </row>
    <row r="238" spans="2:6">
      <c r="B238" s="132">
        <v>543</v>
      </c>
      <c r="D238" s="284">
        <v>31700.152105729732</v>
      </c>
    </row>
    <row r="239" spans="2:6">
      <c r="B239" s="132">
        <v>544</v>
      </c>
      <c r="D239" s="284">
        <v>50171.039481668777</v>
      </c>
    </row>
    <row r="240" spans="2:6">
      <c r="B240" s="132">
        <v>545</v>
      </c>
      <c r="D240" s="284">
        <v>20841.942479994177</v>
      </c>
    </row>
    <row r="241" spans="2:4">
      <c r="B241" s="132">
        <v>546</v>
      </c>
      <c r="D241" s="284">
        <v>21512.630367935792</v>
      </c>
    </row>
    <row r="242" spans="2:4">
      <c r="B242" s="132">
        <v>547</v>
      </c>
      <c r="D242" s="284">
        <v>125308.74203121607</v>
      </c>
    </row>
    <row r="243" spans="2:4">
      <c r="B243" s="132">
        <v>548</v>
      </c>
      <c r="D243" s="284">
        <v>10935.593498707885</v>
      </c>
    </row>
    <row r="244" spans="2:4">
      <c r="B244" s="132">
        <v>549</v>
      </c>
      <c r="D244" s="284">
        <v>626.06137659381329</v>
      </c>
    </row>
    <row r="245" spans="2:4">
      <c r="B245" s="132">
        <v>550</v>
      </c>
      <c r="D245" s="284">
        <v>1810.4047177063972</v>
      </c>
    </row>
    <row r="246" spans="2:4">
      <c r="B246" s="132">
        <v>551</v>
      </c>
      <c r="D246" s="284">
        <v>10852.493952417557</v>
      </c>
    </row>
    <row r="247" spans="2:4">
      <c r="B247" s="132">
        <v>552</v>
      </c>
      <c r="D247" s="284">
        <v>8422.2344911531891</v>
      </c>
    </row>
    <row r="248" spans="2:4">
      <c r="B248" s="132">
        <v>553</v>
      </c>
      <c r="D248" s="284">
        <v>104614.15808228625</v>
      </c>
    </row>
    <row r="249" spans="2:4">
      <c r="B249" s="132">
        <v>554</v>
      </c>
      <c r="D249" s="284">
        <v>49487.380757693187</v>
      </c>
    </row>
    <row r="250" spans="2:4">
      <c r="B250" s="132">
        <v>555</v>
      </c>
      <c r="D250" s="284">
        <v>6751.8169181566982</v>
      </c>
    </row>
    <row r="251" spans="2:4">
      <c r="B251" s="132">
        <v>556</v>
      </c>
      <c r="D251" s="284">
        <v>69100.503781985579</v>
      </c>
    </row>
    <row r="252" spans="2:4">
      <c r="B252" s="132">
        <v>557</v>
      </c>
      <c r="D252" s="284">
        <v>5340.5922809351332</v>
      </c>
    </row>
    <row r="253" spans="2:4">
      <c r="B253" s="132">
        <v>558</v>
      </c>
      <c r="D253" s="284">
        <v>6203.2247031267789</v>
      </c>
    </row>
    <row r="254" spans="2:4">
      <c r="B254" s="132">
        <v>559</v>
      </c>
      <c r="D254" s="284">
        <v>367448.10804205487</v>
      </c>
    </row>
    <row r="255" spans="2:4">
      <c r="B255" s="132">
        <v>560</v>
      </c>
      <c r="D255" s="284">
        <v>493283.8055615066</v>
      </c>
    </row>
    <row r="256" spans="2:4">
      <c r="B256" s="132">
        <v>561</v>
      </c>
      <c r="D256" s="284">
        <v>3398.0182232575817</v>
      </c>
    </row>
    <row r="257" spans="2:4">
      <c r="B257" s="132">
        <v>562</v>
      </c>
      <c r="D257" s="284">
        <v>415690.8352187156</v>
      </c>
    </row>
    <row r="258" spans="2:4">
      <c r="B258" s="132">
        <v>563</v>
      </c>
      <c r="D258" s="284">
        <v>0</v>
      </c>
    </row>
    <row r="259" spans="2:4">
      <c r="B259" s="132">
        <v>564</v>
      </c>
      <c r="D259" s="284">
        <v>0</v>
      </c>
    </row>
    <row r="260" spans="2:4">
      <c r="B260" s="132">
        <v>565</v>
      </c>
      <c r="D260" s="284">
        <v>0</v>
      </c>
    </row>
    <row r="261" spans="2:4">
      <c r="B261" s="132">
        <v>566</v>
      </c>
      <c r="D261" s="284">
        <v>0</v>
      </c>
    </row>
    <row r="262" spans="2:4">
      <c r="B262" s="132">
        <v>567</v>
      </c>
      <c r="D262" s="284">
        <v>0</v>
      </c>
    </row>
    <row r="263" spans="2:4">
      <c r="B263" s="132">
        <v>568</v>
      </c>
      <c r="D263" s="284">
        <v>0</v>
      </c>
    </row>
    <row r="264" spans="2:4">
      <c r="B264" s="132">
        <v>569</v>
      </c>
      <c r="D264" s="284">
        <v>0</v>
      </c>
    </row>
    <row r="265" spans="2:4">
      <c r="B265" s="132">
        <v>570</v>
      </c>
      <c r="D265" s="284">
        <v>0</v>
      </c>
    </row>
    <row r="266" spans="2:4">
      <c r="B266" s="132">
        <v>571</v>
      </c>
      <c r="D266" s="284">
        <v>0</v>
      </c>
    </row>
    <row r="267" spans="2:4">
      <c r="B267" s="132">
        <v>572</v>
      </c>
      <c r="D267" s="284">
        <v>0</v>
      </c>
    </row>
    <row r="268" spans="2:4">
      <c r="B268" s="132">
        <v>573</v>
      </c>
      <c r="D268" s="284">
        <v>53427.92963177264</v>
      </c>
    </row>
    <row r="269" spans="2:4">
      <c r="B269" s="132">
        <v>574</v>
      </c>
      <c r="D269" s="284">
        <v>6869.2461574103609</v>
      </c>
    </row>
    <row r="270" spans="2:4">
      <c r="B270" s="132">
        <v>575</v>
      </c>
      <c r="D270" s="284">
        <v>4716.7151587022527</v>
      </c>
    </row>
    <row r="271" spans="2:4">
      <c r="B271" s="132">
        <v>576</v>
      </c>
      <c r="D271" s="284">
        <v>65931.311505200705</v>
      </c>
    </row>
    <row r="272" spans="2:4">
      <c r="B272" s="132">
        <v>577</v>
      </c>
      <c r="D272" s="284">
        <v>24863.217055860056</v>
      </c>
    </row>
    <row r="273" spans="2:4">
      <c r="B273" s="132">
        <v>578</v>
      </c>
      <c r="D273" s="284">
        <v>21467.5396328608</v>
      </c>
    </row>
    <row r="274" spans="2:4">
      <c r="B274" s="132">
        <v>579</v>
      </c>
      <c r="D274" s="284">
        <v>83136.628234360018</v>
      </c>
    </row>
    <row r="275" spans="2:4">
      <c r="B275" s="132">
        <v>580</v>
      </c>
      <c r="D275" s="284">
        <v>41879.587518857079</v>
      </c>
    </row>
    <row r="276" spans="2:4">
      <c r="B276" s="132">
        <v>581</v>
      </c>
      <c r="D276" s="284">
        <v>16441.216799999998</v>
      </c>
    </row>
    <row r="277" spans="2:4">
      <c r="B277" s="132">
        <v>582</v>
      </c>
      <c r="D277" s="284">
        <v>0</v>
      </c>
    </row>
    <row r="278" spans="2:4">
      <c r="B278" s="132">
        <v>583</v>
      </c>
      <c r="D278" s="284">
        <v>156251.04854529988</v>
      </c>
    </row>
    <row r="279" spans="2:4">
      <c r="B279" s="132">
        <v>584</v>
      </c>
      <c r="D279" s="284">
        <v>571344.07191404735</v>
      </c>
    </row>
    <row r="280" spans="2:4">
      <c r="B280" s="132">
        <v>585</v>
      </c>
      <c r="D280" s="284">
        <v>16920.652386594666</v>
      </c>
    </row>
    <row r="281" spans="2:4">
      <c r="B281" s="132">
        <v>586</v>
      </c>
      <c r="D281" s="284">
        <v>161395.41974096847</v>
      </c>
    </row>
    <row r="282" spans="2:4">
      <c r="B282" s="132">
        <v>587</v>
      </c>
      <c r="D282" s="284">
        <v>107094.4472815734</v>
      </c>
    </row>
    <row r="283" spans="2:4">
      <c r="B283" s="132">
        <v>588</v>
      </c>
      <c r="D283" s="284">
        <v>67773.247093874292</v>
      </c>
    </row>
    <row r="284" spans="2:4">
      <c r="B284" s="132">
        <v>589</v>
      </c>
      <c r="D284" s="284">
        <v>520303.7394086328</v>
      </c>
    </row>
    <row r="285" spans="2:4">
      <c r="B285" s="132">
        <v>590</v>
      </c>
      <c r="D285" s="284">
        <v>0</v>
      </c>
    </row>
    <row r="286" spans="2:4">
      <c r="B286" s="132">
        <v>591</v>
      </c>
      <c r="D286" s="284">
        <v>0</v>
      </c>
    </row>
    <row r="287" spans="2:4">
      <c r="B287" s="132">
        <v>592</v>
      </c>
      <c r="D287" s="284">
        <v>0</v>
      </c>
    </row>
    <row r="288" spans="2:4">
      <c r="B288" s="132">
        <v>593</v>
      </c>
      <c r="D288" s="284">
        <v>0</v>
      </c>
    </row>
    <row r="289" spans="2:4">
      <c r="B289" s="132">
        <v>594</v>
      </c>
      <c r="D289" s="284">
        <v>0</v>
      </c>
    </row>
    <row r="290" spans="2:4">
      <c r="B290" s="132">
        <v>595</v>
      </c>
      <c r="D290" s="284">
        <v>0</v>
      </c>
    </row>
    <row r="291" spans="2:4">
      <c r="B291" s="132">
        <v>596</v>
      </c>
      <c r="D291" s="284">
        <v>0</v>
      </c>
    </row>
    <row r="292" spans="2:4">
      <c r="B292" s="132">
        <v>597</v>
      </c>
      <c r="D292" s="284">
        <v>0</v>
      </c>
    </row>
    <row r="293" spans="2:4">
      <c r="B293" s="132">
        <v>598</v>
      </c>
      <c r="D293" s="284">
        <v>0</v>
      </c>
    </row>
    <row r="294" spans="2:4">
      <c r="B294" s="132">
        <v>599</v>
      </c>
      <c r="D294" s="284">
        <v>0</v>
      </c>
    </row>
    <row r="295" spans="2:4">
      <c r="B295" s="132">
        <v>600</v>
      </c>
      <c r="D295" s="284">
        <v>0</v>
      </c>
    </row>
    <row r="296" spans="2:4">
      <c r="B296" s="132">
        <v>601</v>
      </c>
      <c r="D296" s="284">
        <v>0</v>
      </c>
    </row>
    <row r="297" spans="2:4">
      <c r="B297" s="132">
        <v>602</v>
      </c>
      <c r="D297" s="284">
        <v>0</v>
      </c>
    </row>
    <row r="298" spans="2:4">
      <c r="B298" s="132">
        <v>603</v>
      </c>
      <c r="D298" s="284">
        <v>5866.8839006931503</v>
      </c>
    </row>
    <row r="299" spans="2:4">
      <c r="B299" s="132">
        <v>604</v>
      </c>
      <c r="D299" s="284">
        <v>9075542.9359124992</v>
      </c>
    </row>
    <row r="300" spans="2:4">
      <c r="B300" s="132">
        <v>605</v>
      </c>
      <c r="D300" s="284">
        <v>87331.73753895532</v>
      </c>
    </row>
    <row r="301" spans="2:4">
      <c r="B301" s="132">
        <v>606</v>
      </c>
      <c r="D301" s="284">
        <v>20500.533572624918</v>
      </c>
    </row>
    <row r="302" spans="2:4">
      <c r="B302" s="132">
        <v>607</v>
      </c>
      <c r="D302" s="284">
        <v>228572.72715228627</v>
      </c>
    </row>
    <row r="303" spans="2:4">
      <c r="B303" s="132">
        <v>608</v>
      </c>
      <c r="D303" s="284">
        <v>287131.81151071272</v>
      </c>
    </row>
    <row r="304" spans="2:4">
      <c r="B304" s="132">
        <v>609</v>
      </c>
      <c r="D304" s="284">
        <v>193601.40516849293</v>
      </c>
    </row>
    <row r="305" spans="2:4">
      <c r="B305" s="132">
        <v>610</v>
      </c>
      <c r="D305" s="284">
        <v>800920.7553862785</v>
      </c>
    </row>
    <row r="306" spans="2:4">
      <c r="B306" s="132">
        <v>611</v>
      </c>
      <c r="D306" s="284">
        <v>668161.29475516581</v>
      </c>
    </row>
    <row r="307" spans="2:4">
      <c r="B307" s="132">
        <v>612</v>
      </c>
      <c r="D307" s="284">
        <v>1872522.2209963768</v>
      </c>
    </row>
    <row r="308" spans="2:4">
      <c r="B308" s="132">
        <v>613</v>
      </c>
      <c r="D308" s="284">
        <v>2079569.9240820273</v>
      </c>
    </row>
    <row r="309" spans="2:4">
      <c r="B309" s="132">
        <v>614</v>
      </c>
      <c r="D309" s="284">
        <v>206182.49436233655</v>
      </c>
    </row>
    <row r="310" spans="2:4">
      <c r="B310" s="132">
        <v>615</v>
      </c>
      <c r="D310" s="284">
        <v>166559.3552970431</v>
      </c>
    </row>
    <row r="311" spans="2:4">
      <c r="B311" s="132">
        <v>616</v>
      </c>
      <c r="D311" s="284">
        <v>1045405.8018708032</v>
      </c>
    </row>
    <row r="312" spans="2:4">
      <c r="B312" s="132">
        <v>617</v>
      </c>
      <c r="D312" s="284">
        <v>3985882.0977839921</v>
      </c>
    </row>
    <row r="313" spans="2:4">
      <c r="B313" s="132">
        <v>618</v>
      </c>
      <c r="D313" s="284">
        <v>41545.737407650391</v>
      </c>
    </row>
    <row r="314" spans="2:4">
      <c r="B314" s="132">
        <v>619</v>
      </c>
      <c r="D314" s="284">
        <v>4236969.0556051834</v>
      </c>
    </row>
    <row r="315" spans="2:4">
      <c r="B315" s="132">
        <v>620</v>
      </c>
      <c r="D315" s="284">
        <v>1309899.9728682514</v>
      </c>
    </row>
    <row r="316" spans="2:4">
      <c r="B316" s="132">
        <v>621</v>
      </c>
      <c r="D316" s="284">
        <v>352279.26825206354</v>
      </c>
    </row>
    <row r="317" spans="2:4">
      <c r="B317" s="132">
        <v>622</v>
      </c>
      <c r="D317" s="284">
        <v>8614670.2533826157</v>
      </c>
    </row>
    <row r="318" spans="2:4">
      <c r="B318" s="132">
        <v>623</v>
      </c>
      <c r="D318" s="284">
        <v>205179.23220155045</v>
      </c>
    </row>
    <row r="319" spans="2:4">
      <c r="B319" s="132">
        <v>624</v>
      </c>
      <c r="D319" s="284">
        <v>15286337.673415478</v>
      </c>
    </row>
    <row r="320" spans="2:4">
      <c r="B320" s="132">
        <v>625</v>
      </c>
      <c r="D320" s="284">
        <v>132877.15359999999</v>
      </c>
    </row>
    <row r="321" spans="2:4">
      <c r="B321" s="132">
        <v>626</v>
      </c>
      <c r="D321" s="284">
        <v>0</v>
      </c>
    </row>
    <row r="322" spans="2:4">
      <c r="B322" s="132">
        <v>627</v>
      </c>
      <c r="D322" s="284">
        <v>0</v>
      </c>
    </row>
    <row r="323" spans="2:4">
      <c r="B323" s="132">
        <v>628</v>
      </c>
      <c r="D323" s="284">
        <v>1302.4440570578504</v>
      </c>
    </row>
    <row r="324" spans="2:4">
      <c r="B324" s="132">
        <v>629</v>
      </c>
      <c r="D324" s="284">
        <v>5160.0974238485833</v>
      </c>
    </row>
    <row r="325" spans="2:4">
      <c r="B325" s="132">
        <v>630</v>
      </c>
      <c r="D325" s="284">
        <v>62368.739652133881</v>
      </c>
    </row>
    <row r="326" spans="2:4">
      <c r="B326" s="132">
        <v>631</v>
      </c>
      <c r="D326" s="284">
        <v>30973.850514933041</v>
      </c>
    </row>
    <row r="327" spans="2:4">
      <c r="B327" s="132">
        <v>632</v>
      </c>
      <c r="D327" s="284">
        <v>66842.607864033591</v>
      </c>
    </row>
    <row r="328" spans="2:4">
      <c r="B328" s="132">
        <v>633</v>
      </c>
      <c r="D328" s="284">
        <v>93362.46843644914</v>
      </c>
    </row>
    <row r="329" spans="2:4">
      <c r="B329" s="132">
        <v>634</v>
      </c>
      <c r="D329" s="284">
        <v>0</v>
      </c>
    </row>
    <row r="330" spans="2:4">
      <c r="B330" s="132">
        <v>635</v>
      </c>
      <c r="D330" s="284">
        <v>0</v>
      </c>
    </row>
    <row r="331" spans="2:4">
      <c r="B331" s="132">
        <v>636</v>
      </c>
      <c r="D331" s="284">
        <v>3167.6844298719025</v>
      </c>
    </row>
    <row r="332" spans="2:4">
      <c r="B332" s="132">
        <v>637</v>
      </c>
      <c r="D332" s="284">
        <v>8760.1489617965944</v>
      </c>
    </row>
    <row r="333" spans="2:4">
      <c r="B333" s="132">
        <v>638</v>
      </c>
      <c r="D333" s="284">
        <v>3367.2299483855559</v>
      </c>
    </row>
    <row r="334" spans="2:4">
      <c r="B334" s="132">
        <v>639</v>
      </c>
      <c r="D334" s="284">
        <v>103376.24222389152</v>
      </c>
    </row>
    <row r="335" spans="2:4">
      <c r="B335" s="132">
        <v>640</v>
      </c>
      <c r="D335" s="284">
        <v>46475.668533117961</v>
      </c>
    </row>
    <row r="336" spans="2:4">
      <c r="B336" s="132">
        <v>641</v>
      </c>
      <c r="D336" s="284">
        <v>16985.961159910781</v>
      </c>
    </row>
    <row r="337" spans="2:4">
      <c r="B337" s="132">
        <v>642</v>
      </c>
      <c r="D337" s="284">
        <v>26102.739490909091</v>
      </c>
    </row>
    <row r="338" spans="2:4">
      <c r="B338" s="132">
        <v>643</v>
      </c>
      <c r="D338" s="284">
        <v>0</v>
      </c>
    </row>
    <row r="339" spans="2:4">
      <c r="B339" s="132">
        <v>644</v>
      </c>
      <c r="D339" s="284">
        <v>0</v>
      </c>
    </row>
    <row r="340" spans="2:4">
      <c r="B340" s="132">
        <v>645</v>
      </c>
      <c r="D340" s="284">
        <v>0</v>
      </c>
    </row>
    <row r="341" spans="2:4">
      <c r="B341" s="132">
        <v>646</v>
      </c>
      <c r="D341" s="284">
        <v>0</v>
      </c>
    </row>
    <row r="342" spans="2:4">
      <c r="B342" s="132">
        <v>647</v>
      </c>
      <c r="D342" s="284">
        <v>26595.363825908324</v>
      </c>
    </row>
    <row r="343" spans="2:4">
      <c r="B343" s="132">
        <v>648</v>
      </c>
      <c r="D343" s="284">
        <v>4399.4836460310435</v>
      </c>
    </row>
    <row r="344" spans="2:4">
      <c r="B344" s="132"/>
      <c r="D344" s="132"/>
    </row>
    <row r="345" spans="2:4">
      <c r="B345" s="132"/>
      <c r="D345" s="132"/>
    </row>
    <row r="346" spans="2:4">
      <c r="B346" s="132"/>
      <c r="D346" s="132"/>
    </row>
    <row r="347" spans="2:4">
      <c r="B347" s="132"/>
      <c r="D347" s="132"/>
    </row>
    <row r="348" spans="2:4">
      <c r="B348" s="132"/>
      <c r="D348" s="132"/>
    </row>
    <row r="349" spans="2:4">
      <c r="B349" s="132"/>
      <c r="D349" s="132"/>
    </row>
    <row r="350" spans="2:4">
      <c r="B350" s="132"/>
      <c r="D350" s="132"/>
    </row>
    <row r="351" spans="2:4">
      <c r="B351" s="132"/>
      <c r="D351" s="132"/>
    </row>
    <row r="352" spans="2:4">
      <c r="B352" s="132"/>
      <c r="D352" s="132"/>
    </row>
    <row r="353" spans="2:4">
      <c r="B353" s="132"/>
      <c r="D353" s="132"/>
    </row>
    <row r="354" spans="2:4">
      <c r="B354" s="132"/>
      <c r="D354" s="132"/>
    </row>
    <row r="355" spans="2:4">
      <c r="B355" s="132"/>
      <c r="D355" s="132"/>
    </row>
    <row r="356" spans="2:4">
      <c r="B356" s="132"/>
      <c r="D356" s="132"/>
    </row>
    <row r="357" spans="2:4">
      <c r="B357" s="132"/>
      <c r="D357" s="132"/>
    </row>
    <row r="358" spans="2:4">
      <c r="B358" s="132"/>
      <c r="D358" s="132"/>
    </row>
    <row r="359" spans="2:4">
      <c r="B359" s="132"/>
      <c r="D359" s="132"/>
    </row>
    <row r="360" spans="2:4">
      <c r="B360" s="132"/>
      <c r="D360" s="132"/>
    </row>
    <row r="361" spans="2:4">
      <c r="B361" s="132"/>
      <c r="D361" s="132"/>
    </row>
    <row r="362" spans="2:4">
      <c r="B362" s="132"/>
      <c r="D362" s="132"/>
    </row>
    <row r="363" spans="2:4">
      <c r="B363" s="132"/>
      <c r="D363" s="132"/>
    </row>
    <row r="364" spans="2:4">
      <c r="B364" s="132"/>
      <c r="D364" s="132"/>
    </row>
    <row r="365" spans="2:4">
      <c r="B365" s="132"/>
      <c r="D365" s="132"/>
    </row>
    <row r="366" spans="2:4">
      <c r="B366" s="132"/>
      <c r="D366" s="132"/>
    </row>
    <row r="367" spans="2:4">
      <c r="B367" s="132"/>
      <c r="D367" s="132"/>
    </row>
    <row r="368" spans="2:4">
      <c r="B368" s="132"/>
      <c r="D368" s="132"/>
    </row>
    <row r="369" spans="2:4">
      <c r="B369" s="132"/>
      <c r="D369" s="132"/>
    </row>
    <row r="370" spans="2:4">
      <c r="B370" s="132"/>
      <c r="D370" s="132"/>
    </row>
    <row r="371" spans="2:4">
      <c r="B371" s="132"/>
      <c r="D371" s="132"/>
    </row>
    <row r="372" spans="2:4">
      <c r="B372" s="132"/>
      <c r="D372" s="132"/>
    </row>
    <row r="373" spans="2:4">
      <c r="B373" s="132"/>
      <c r="D373" s="132"/>
    </row>
    <row r="374" spans="2:4">
      <c r="B374" s="132"/>
      <c r="D374" s="132"/>
    </row>
    <row r="375" spans="2:4">
      <c r="B375" s="132"/>
      <c r="D375" s="132"/>
    </row>
    <row r="376" spans="2:4">
      <c r="B376" s="132"/>
      <c r="D376" s="132"/>
    </row>
    <row r="377" spans="2:4">
      <c r="B377" s="132"/>
      <c r="D377" s="132"/>
    </row>
    <row r="378" spans="2:4">
      <c r="B378" s="132"/>
      <c r="D378" s="132"/>
    </row>
    <row r="379" spans="2:4">
      <c r="B379" s="132"/>
      <c r="D379" s="132"/>
    </row>
    <row r="380" spans="2:4">
      <c r="B380" s="132"/>
      <c r="D380" s="132"/>
    </row>
    <row r="381" spans="2:4">
      <c r="B381" s="132"/>
      <c r="D381" s="132"/>
    </row>
    <row r="382" spans="2:4">
      <c r="B382" s="132"/>
      <c r="D382" s="132"/>
    </row>
    <row r="383" spans="2:4">
      <c r="B383" s="132"/>
      <c r="D383" s="132"/>
    </row>
    <row r="384" spans="2:4">
      <c r="B384" s="132"/>
      <c r="D384" s="132"/>
    </row>
    <row r="385" spans="2:4">
      <c r="B385" s="132"/>
      <c r="D385" s="132"/>
    </row>
    <row r="386" spans="2:4">
      <c r="B386" s="132"/>
      <c r="D386" s="132"/>
    </row>
    <row r="387" spans="2:4">
      <c r="B387" s="132"/>
      <c r="D387" s="132"/>
    </row>
    <row r="388" spans="2:4">
      <c r="B388" s="132"/>
      <c r="D388" s="132"/>
    </row>
    <row r="389" spans="2:4">
      <c r="B389" s="132"/>
      <c r="D389" s="132"/>
    </row>
    <row r="390" spans="2:4">
      <c r="B390" s="132"/>
      <c r="D390" s="132"/>
    </row>
    <row r="391" spans="2:4">
      <c r="B391" s="132"/>
      <c r="D391" s="132"/>
    </row>
    <row r="392" spans="2:4">
      <c r="B392" s="132"/>
      <c r="D392" s="132"/>
    </row>
    <row r="393" spans="2:4">
      <c r="B393" s="132"/>
      <c r="D393" s="132"/>
    </row>
    <row r="394" spans="2:4">
      <c r="B394" s="132"/>
      <c r="D394" s="132"/>
    </row>
    <row r="395" spans="2:4">
      <c r="B395" s="132"/>
      <c r="D395" s="132"/>
    </row>
    <row r="396" spans="2:4">
      <c r="B396" s="132"/>
      <c r="D396" s="132"/>
    </row>
    <row r="397" spans="2:4">
      <c r="B397" s="132"/>
      <c r="D397" s="132"/>
    </row>
    <row r="398" spans="2:4">
      <c r="B398" s="132"/>
      <c r="D398" s="132"/>
    </row>
    <row r="399" spans="2:4">
      <c r="B399" s="132"/>
      <c r="D399" s="132"/>
    </row>
    <row r="400" spans="2:4">
      <c r="B400" s="132"/>
      <c r="D400" s="132"/>
    </row>
    <row r="401" spans="2:4">
      <c r="B401" s="132"/>
      <c r="D401" s="132"/>
    </row>
    <row r="402" spans="2:4">
      <c r="B402" s="132"/>
      <c r="D402" s="132"/>
    </row>
    <row r="403" spans="2:4">
      <c r="B403" s="132"/>
      <c r="D403" s="132"/>
    </row>
    <row r="404" spans="2:4">
      <c r="B404" s="132"/>
      <c r="D404" s="132"/>
    </row>
    <row r="405" spans="2:4">
      <c r="B405" s="132"/>
      <c r="D405" s="132"/>
    </row>
    <row r="406" spans="2:4">
      <c r="B406" s="132"/>
      <c r="D406" s="132"/>
    </row>
    <row r="407" spans="2:4">
      <c r="B407" s="132"/>
      <c r="D407" s="132"/>
    </row>
    <row r="408" spans="2:4">
      <c r="B408" s="132"/>
      <c r="D408" s="132"/>
    </row>
    <row r="409" spans="2:4">
      <c r="B409" s="132"/>
      <c r="D409" s="132"/>
    </row>
    <row r="410" spans="2:4">
      <c r="B410" s="132"/>
      <c r="D410" s="132"/>
    </row>
    <row r="411" spans="2:4">
      <c r="B411" s="132"/>
      <c r="D411" s="132"/>
    </row>
    <row r="412" spans="2:4">
      <c r="B412" s="132"/>
      <c r="D412" s="132"/>
    </row>
    <row r="413" spans="2:4">
      <c r="B413" s="132"/>
      <c r="D413" s="132"/>
    </row>
    <row r="414" spans="2:4">
      <c r="B414" s="132"/>
      <c r="D414" s="132"/>
    </row>
    <row r="415" spans="2:4">
      <c r="B415" s="132"/>
      <c r="D415" s="132"/>
    </row>
    <row r="416" spans="2:4">
      <c r="B416" s="132"/>
      <c r="D416" s="132"/>
    </row>
    <row r="417" spans="2:4">
      <c r="B417" s="132"/>
      <c r="D417" s="132"/>
    </row>
    <row r="418" spans="2:4">
      <c r="B418" s="132"/>
      <c r="D418" s="132"/>
    </row>
    <row r="419" spans="2:4">
      <c r="B419" s="132"/>
      <c r="D419" s="132"/>
    </row>
    <row r="420" spans="2:4">
      <c r="B420" s="132"/>
      <c r="D420" s="132"/>
    </row>
    <row r="421" spans="2:4">
      <c r="B421" s="132"/>
      <c r="D421" s="132"/>
    </row>
    <row r="422" spans="2:4">
      <c r="B422" s="132"/>
      <c r="D422" s="132"/>
    </row>
    <row r="423" spans="2:4">
      <c r="B423" s="132"/>
      <c r="D423" s="132"/>
    </row>
    <row r="424" spans="2:4">
      <c r="B424" s="132"/>
      <c r="D424" s="132"/>
    </row>
    <row r="425" spans="2:4">
      <c r="B425" s="132"/>
      <c r="D425" s="132"/>
    </row>
    <row r="426" spans="2:4">
      <c r="B426" s="132"/>
      <c r="D426" s="132"/>
    </row>
  </sheetData>
  <mergeCells count="1">
    <mergeCell ref="B5:E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VYM6E4WDAQJW-1774619013-147</_dlc_DocId>
    <_dlc_DocIdUrl xmlns="0009d3ae-0f9e-47be-ae31-9d6cd8b104c4">
      <Url>https://gasunie.sharepoint.com/sites/20190841/_layouts/15/DocIdRedir.aspx?ID=VYM6E4WDAQJW-1774619013-147</Url>
      <Description>VYM6E4WDAQJW-1774619013-147</Description>
    </_dlc_DocIdUrl>
  </documentManagement>
</p:properties>
</file>

<file path=customXml/item2.xml>��< ? x m l   v e r s i o n = " 1 . 0 "   e n c o d i n g = " u t f - 1 6 " ? > < D a t a M a s h u p   s q m i d = " 0 2 6 1 0 2 1 6 - 1 3 f f - 4 e 2 2 - 8 9 1 c - 6 6 0 1 c b 2 3 8 5 f 6 "   x m l n s = " h t t p : / / s c h e m a s . m i c r o s o f t . c o m / D a t a M a s h u p " > A A A A A G k I A A B Q S w M E F A A C A A g A W l S u W O a r d y m j A A A A 9 g A A A B I A H A B D b 2 5 m a W c v U G F j a 2 F n Z S 5 4 b W w g o h g A K K A U A A A A A A A A A A A A A A A A A A A A A A A A A A A A h Y + x D o I w G I R f h X S n L X U x 5 K c O r m B M T I x r U y o 0 w o + h x f J u D j 6 S r y B G U T f H u / s u u b t f b 7 A a 2 y a 6 m N 7 Z D j O S U E 4 i g 7 o r L V Y Z G f w x X p K V h K 3 S J 1 W Z a I L R p a O z G a m 9 P 6 e M h R B o W N C u r 5 j g P G G H I t / p 2 r Q q t u i 8 Q m 3 I p 1 X + b x E J + 9 c Y K W g i O B V C U A 5 s N q G w + A X E t P e Z / p i w H h o / 9 E Z i E 2 9 y Y L M E 9 v 4 g H 1 B L A w Q U A A I A C A B a V K 5 Y 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W l S u W I q y / o d t B Q A A V B s A A B M A H A B G b 3 J t d W x h c y 9 T Z W N 0 a W 9 u M S 5 t I K I Y A C i g F A A A A A A A A A A A A A A A A A A A A A A A A A A A A O 1 Y X W / i R h R 9 j 7 T / Y e S 8 g A Q k h m x f t k S C T R t l m 4 R u o N k H h K I B X 5 w J 9 g w 7 H p M 2 i P / e O z Z g G 8 Y G N t 3 t r t o I B T B 3 7 v c 9 Z 2 Y C G C k m O O n G 7 / a 7 o 6 P g k U p w y L H 1 6 Y + r k 4 4 / F O G z R Z r E A / X m i O B f W 6 J 8 k 3 Q / e 7 U L q u i Q B h C U r N b 7 m + p N 9 + N 1 9 b T a a F T s s 0 b j 1 C p X 4 h V 3 F w / X t + 2 H S 1 y l F 8 / 7 t 9 S H p r V 6 b A 0 W f a 1 p s B R 3 h u L h i s 8 g U C A Z d 0 F b W 8 n O + 9 3 R I / i 0 a a G U V b l S 4 D e t j P C m t m P r A 6 X y v F k / r Z / q O H p 0 6 E G t C x 5 G f C e e g 9 K W u Q o B O n o k f b 2 O D M F l n N B x M H q U 7 G k G f E D O m 0 Q r K 6 8 N 3 L E n d N K F M f N Q h 2 O 0 k n F j a a H U P 7 b u Q c 4 o R x s u O S E h U 0 M J z M F v 1 g C 1 6 B J Y R E h C + n E h F K W T 6 I c P 1 C r n O m D n e L D p 5 9 q N F h Z / R k d U g S s k g w H 5 + Z x Y Z w 3 S V W w S K D F O b L X Q V 5 j S Q N l 7 m b D X N n S s 5 o R G k e q 0 E M o d E q c k Y B A 9 t s s 6 + t 1 r 7 V e s r R v W 1 v d c 2 z D a T V X m N + E J 3 8 e U z E A + s y c n 0 x 5 3 4 I s Z v B d e 6 P O g l K S 2 M r c + g V L g s a c J E F 1 z T K P V + 2 s K h O p K R X 2 q H 9 1 Q b T 7 7 r D P 1 Q U 6 W X 9 r Y 1 S g S T K m u t v W r 8 N A D / W n p r 1 a L X h H G P X j B s P B 7 K 1 Q Q S m u x V f G 3 a 7 8 v p Q i n J X N w F T K 3 N t p J a 8 1 J Y + y J e Q B 0 L O u m T w f D K f W t B R q a p y c / G I I j q b t q u G s W q F o 3 9 E v 9 b Z l B u U K U z i Y P P U 9 H h B / 8 I c j F d t C N p M 2 F V E m N 3 l b Q e o H r H Y n Z q F 1 A M A K u H x l U 1 3 N U N 7 T q 3 H z F i l v b e o 8 x G Q 7 8 S Z Q A F 2 b 4 L 9 V o L c e J f o x b L T F V x 6 x G P 6 B i O 3 p d c f X T W U 2 3 W q L 3 X n h Y R w c I B k s m q 5 q 7 g C V / Y W 6 m n 7 W Y X D W 0 w a P K f G 3 P X L u C R j F 0 1 Z f 2 T v n N E e P 7 h p d Q 4 i Y p / U + J O Z S 4 i y V M V L h B c L c A B t a p m / U l 9 v a n 1 v v 7 F b X u k r x D E t 5 2 p b H D l f p / n f p W W w F X C p h C h v h i A k k h 3 q G k k R n n h M 6 + L i k k I Q U I 2 N m I I g g 3 x f z V w d z g 1 Q + O 6 n n F / U L U R h J m i V P f N 2 x n f T U h 9 z 5 n j T z 4 R i T S h c i C T p z d N G q k Z O w 9 Z O q b M v V t m c a 2 T C G 4 Z 6 d p f V 7 B W e o I G U w x 9 Z N o d 0 x S 2 Q q e 0 F 7 R U J l Y K b P z q m s D c U N O P B o E U D y i O 9 A g v Z + P M a B Y 3 Q F H B d P M z / M 3 + 7 u 2 + A e h j X n T / + 8 B z k a 9 9 m i Q V S 1 M h 6 w N s C i J j D b I q I v h r R w f u n D L g I 8 U R u Q w I A H C A n + k 0 c j 7 o I i T U V s I c k X 9 Y O c 3 x K 7 s G s 6 U i 7 1 r Y x c U x + j m K w v 0 z a q w 6 o R / g n L s F O d 0 / B e 0 F 1 F N H t O Y i Q Z t r 8 m k X F m T y C Y v r P n H w C G R 7 Y Q 4 D u S N T U v f H 3 V E m 8 z X Y G Z C J w d D Z n S u x P R K c E M v b k 7 O Q F U V x b 3 L 2 I X 4 + R I S 2 9 S j f B R 3 q U h a M 1 K i 7 2 t c P Y G H 3 e C Z w X d 5 4 u m G w 9 Q V H h 5 c e g L n 3 C N K U h 5 M k S i q F T J M + Y R f K f 7 i 4 Y E n K n W V o O L J M / W Y A q a C k c A + 0 E m P w K I w 5 w W 4 t H 0 h O F / 5 l U r X 8 m I r M o w Z W p R x 7 I r M p a + p O 1 O Q V F 9 e Y 6 J w L K M U f 9 N d 3 r G e v o c c N w q 3 e 6 Y 1 W 8 o P 6 v E 8 T 3 T W e y d t f L V 6 J 6 2 e 7 s H f r y M O / N j S b 7 c Q Y p s s K / 8 I 4 / E S I H e V i q S 6 G T / 9 4 j G f c T Q O A V E h A j 4 n l 7 0 u a d f u a 7 q 5 L i / j z y n N G v I l T I D H u H a A 9 F q 2 8 K J z 9 9 5 n v 9 v 7 o s k z Y J p h G q / 4 R I h p X A 8 M D 6 S L F O X X w t q s R q Z A J 9 j Q q D u 6 k 9 h z c b K K 5 C z r c O V T r l k f 5 3 2 5 2 t k 8 Y 5 S X H m d 2 5 5 G + L R j + s c O y D Y e O j b O A + d C R u 3 l P t g e J w n d / A 1 B L A Q I t A B Q A A g A I A F p U r l j m q 3 c p o w A A A P Y A A A A S A A A A A A A A A A A A A A A A A A A A A A B D b 2 5 m a W c v U G F j a 2 F n Z S 5 4 b W x Q S w E C L Q A U A A I A C A B a V K 5 Y U 3 I 4 L J s A A A D h A A A A E w A A A A A A A A A A A A A A A A D v A A A A W 0 N v b n R l b n R f V H l w Z X N d L n h t b F B L A Q I t A B Q A A g A I A F p U r l i K s v 6 H b Q U A A F Q b A A A T A A A A A A A A A A A A A A A A A N c B A A B G b 3 J t d W x h c y 9 T Z W N 0 a W 9 u M S 5 t U E s F B g A A A A A D A A M A w g A A A J E H 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Z S A A A A A A A A R F I A A O + 7 v z w / e G 1 s I H Z l c n N p b 2 4 9 I j E u M C I g Z W 5 j b 2 R p b m c 9 I n V 0 Z i 0 4 I j 8 + P E x v Y 2 F s U G F j a 2 F n Z U 1 l d G F k Y X R h R m l s Z S B 4 b W x u c z p 4 c 2 k 9 I m h 0 d H A 6 L y 9 3 d 3 c u d z M u b 3 J n L z I w M D E v W E 1 M U 2 N o Z W 1 h L W l u c 3 R h b m N l I i B 4 b W x u c z p 4 c 2 Q 9 I m h 0 d H A 6 L y 9 3 d 3 c u d z M u b 3 J n L z I w M D E v W E 1 M U 2 N o Z W 1 h I j 4 8 S X R l b X M + P E l 0 Z W 0 + P E l 0 Z W 1 M b 2 N h d G l v b j 4 8 S X R l b V R 5 c G U + R m 9 y b X V s Y T w v S X R l b V R 5 c G U + P E l 0 Z W 1 Q Y X R o P l N l Y 3 R p b 2 4 x L 0 l u d m V z d G V y a W 5 n Z W 4 8 L 0 l 0 Z W 1 Q Y X R o P j w v S X R l b U x v Y 2 F 0 a W 9 u P j x T d G F i b G V F b n R y a W V z P j x F b n R y e S B U e X B l P S J G a W x s R X J y b 3 J D b 2 R l I i B W Y W x 1 Z T 0 i c 1 V u a 2 5 v d 2 4 i I C 8 + P E V u d H J 5 I F R 5 c G U 9 I k 5 h d m l n Y X R p b 2 5 T d G V w T m F t Z S I g V m F s d W U 9 I n N O Y X Z p Z 2 F 0 a W U i I C 8 + P E V u d H J 5 I F R 5 c G U 9 I k Z p b G x F c n J v c k N v d W 5 0 I i B W Y W x 1 Z T 0 i b D A 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l N j M z N T A z O S 1 m Y z h j L T Q z O T Q t O W I 0 N y 0 y M 2 I w M m Z l M G Q 5 M j E i I C 8 + P E V u d H J 5 I F R 5 c G U 9 I k Z p b G x M Y X N 0 V X B k Y X R l Z C I g V m F s d W U 9 I m Q y M D I 0 L T A 1 L T E 0 V D A 4 O j I z O j U w L j g y N D g 4 N D R a I i A v P j x F b n R y e S B U e X B l P S J O Y W 1 l V X B k Y X R l Z E F m d G V y R m l s b C I g V m F s d W U 9 I m w w I i A v P j x F b n R y e S B U e X B l P S J C d W Z m Z X J O Z X h 0 U m V m c m V z a C I g V m F s d W U 9 I m w x I i A v P j x F b n R y e S B U e X B l P S J G a W x s T 2 J q Z W N 0 V H l w Z S I g V m F s d W U 9 I n N U Y W J s Z S I g L z 4 8 R W 5 0 c n k g V H l w Z T 0 i U m V z d W x 0 V H l w Z S I g V m F s d W U 9 I n N U Y W J s Z S I g L z 4 8 R W 5 0 c n k g V H l w Z T 0 i R m l s b F R h c m d l d C I g V m F s d W U 9 I n N J b n Z l c 3 R l c m l u Z 2 V u X z I i I C 8 + P E V u d H J 5 I F R 5 c G U 9 I k x v Y W R l Z F R v Q W 5 h b H l z a X N T Z X J 2 a W N l c y I g V m F s d W U 9 I m w w I i A v P j x F b n R y e S B U e X B l P S J G a W x s Q 2 9 1 b n Q i I F Z h b H V l P S J s M C I g L z 4 8 R W 5 0 c n k g V H l w Z T 0 i R m l s b E N v b H V t b l R 5 c G V z I i B W Y W x 1 Z T 0 i c 0 F 3 V U Z C Z 1 l E I i A v P j x F b n R y e S B U e X B l P S J G a W x s Q 2 9 s d W 1 u T m F t Z X M i I F Z h b H V l P S J z W y Z x d W 9 0 O 0 l u Z G V 4 J n F 1 b 3 Q 7 L C Z x d W 9 0 O 0 l u d m V z d G V y a W 5 n c 2 J l Z H J h Z y Z x d W 9 0 O y w m c X V v d D t K Y W F y I G J l Z 2 l u I G F m c 2 N o c m l q d m V u J n F 1 b 3 Q 7 L C Z x d W 9 0 O 0 F j d G l 2 Y W N h d G V n b 3 J p Z S Z x d W 9 0 O y w m c X V v d D t C Z X N 0 Y W 5 k c 2 5 h Y W 0 m c X V v d D s s J n F 1 b 3 Q 7 V m V y c 2 l l J n F 1 b 3 Q 7 X S I g L z 4 8 R W 5 0 c n k g V H l w Z T 0 i Q W R k Z W R U b 0 R h d G F N b 2 R l b C I g V m F s d W U 9 I m w w I i A v P j x F b n R y e S B U e X B l P S J G a W x s U 3 R h d H V z I i B W Y W x 1 Z T 0 i c 1 d h a X R p b m d G b 3 J F e G N l b F J l Z n J l c 2 g i I C 8 + P E V u d H J 5 I F R 5 c G U 9 I l J l b G F 0 a W 9 u c 2 h p c E l u Z m 9 D b 2 5 0 Y W l u Z X I i I F Z h b H V l P S J z e y Z x d W 9 0 O 2 N v b H V t b k N v d W 5 0 J n F 1 b 3 Q 7 O j Y s J n F 1 b 3 Q 7 a 2 V 5 Q 2 9 s d W 1 u T m F t Z X M m c X V v d D s 6 W 1 0 s J n F 1 b 3 Q 7 c X V l c n l S Z W x h d G l v b n N o a X B z J n F 1 b 3 Q 7 O l t d L C Z x d W 9 0 O 2 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D b 2 x 1 b W 5 D b 3 V u d C Z x d W 9 0 O z o 2 L C Z x d W 9 0 O 0 t l e U N v b H V t b k 5 h b W V z J n F 1 b 3 Q 7 O l t d L C Z x d W 9 0 O 0 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S Z W x h d G l v b n N o a X B J b m Z v J n F 1 b 3 Q 7 O l t d f S I g L z 4 8 L 1 N 0 Y W J s Z U V u d H J p Z X M + P C 9 J d G V t P j x J d G V t P j x J d G V t T G 9 j Y X R p b 2 4 + P E l 0 Z W 1 U e X B l P k Z v c m 1 1 b G E 8 L 0 l 0 Z W 1 U e X B l P j x J d G V t U G F 0 a D 5 T Z W N 0 a W 9 u M S 9 E Z X N p b n Z l c 3 R l c m l u Z z w v S X R l b V B h d G g + P C 9 J d G V t T G 9 j Y X R p b 2 4 + P F N 0 Y W J s Z U V u d H J p Z X M + P E V u d H J 5 I F R 5 c G U 9 I k 5 h d m l n Y X R p b 2 5 T d G V w T m F t Z S I g V m F s d W U 9 I n N O Y X Z p Z 2 F 0 a W U i I C 8 + P E V u d H J 5 I F R 5 c G U 9 I k Z p b G x F b m F i b G V k I i B W Y W x 1 Z T 0 i b D E i I C 8 + P E V u d H J 5 I F R 5 c G U 9 I k Z p b G x D b 3 V u d C I g V m F s d W U 9 I m w 1 M z E i I C 8 + P E V u d H J 5 I F R 5 c G U 9 I k Z p b G x l Z E N v b X B s Z X R l U m V z d W x 0 V G 9 X b 3 J r c 2 h l Z X Q i I F Z h b H V l P S J s M S I g L z 4 8 R W 5 0 c n k g V H l w Z T 0 i Q W R k Z W R U b 0 R h d G F N b 2 R l b C I g V m F s d W U 9 I m w w I i A v P j x F b n R y e S B U e X B l P S J J c 1 B y a X Z h d G U i I F Z h b H V l P S J s M C I g L z 4 8 R W 5 0 c n k g V H l w Z T 0 i R m l s b E V y c m 9 y Q 2 9 1 b n Q i I F Z h b H V l P S J s M C I g L z 4 8 R W 5 0 c n k g V H l w Z T 0 i T m F t Z V V w Z G F 0 Z W R B Z n R l c k Z p b G w i I F Z h b H V l P S J s M C I g L z 4 8 R W 5 0 c n k g V H l w Z T 0 i Q n V m Z m V y T m V 4 d F J l Z n J l c 2 g i I F Z h b H V l P S J s M S I g L z 4 8 R W 5 0 c n k g V H l w Z T 0 i U m V z d W x 0 V H l w Z S I g V m F s d W U 9 I n N U Y W J s Z S I g L z 4 8 R W 5 0 c n k g V H l w Z T 0 i R m l s b F R h c m d l d C I g V m F s d W U 9 I n N E Z X N p b n Z l c 3 R l c m l u Z y I g L z 4 8 R W 5 0 c n k g V H l w Z T 0 i T G 9 h Z G V k V G 9 B b m F s e X N p c 1 N l c n Z p Y 2 V z I i B W Y W x 1 Z T 0 i b D A i I C 8 + P E V u d H J 5 I F R 5 c G U 9 I l F 1 Z X J 5 S U Q i I F Z h b H V l P S J z M G E 5 N z N m Z W I t O W M 0 Y y 0 0 N z h k L W F j Y 2 M t N m M 0 M D N j M z h l Z m N j I i A v P j x F b n R y e S B U e X B l P S J G a W x s V G 9 E Y X R h T W 9 k Z W x F b m F i b G V k I i B W Y W x 1 Z T 0 i b D A i I C 8 + P E V u d H J 5 I F R 5 c G U 9 I k Z p b G x F c n J v c k N v Z G U i I F Z h b H V l P S J z V W 5 r b m 9 3 b i I g L z 4 8 R W 5 0 c n k g V H l w Z T 0 i R m l s b E 9 i a m V j d F R 5 c G U i I F Z h b H V l P S J z V G F i b G U i I C 8 + P E V u d H J 5 I F R 5 c G U 9 I k Z p b G x M Y X N 0 V X B k Y X R l Z C I g V m F s d W U 9 I m Q y M D I 0 L T A 1 L T E 0 V D A 4 O j E 4 O j M x L j g 2 N T Y 2 N T J a I i A v P j x F b n R y e S B U e X B l P S J G a W x s Q 2 9 s d W 1 u V H l w Z X M i I F Z h b H V l P S J z Q X d Z Q 0 J R V U R C Z 0 0 9 I i A v P j x F b n R y e S B U e X B l P S J G a W x s Q 2 9 s d W 1 u T m F t Z X M i I F Z h b H V l P S J z W y Z x d W 9 0 O 0 l u Z G V 4 J n F 1 b 3 Q 7 L C Z x d W 9 0 O 0 F j d G l 2 Y W t s Y X N z Z S Z x d W 9 0 O y w m c X V v d D t P b 3 J z c H J v b m t l b G l q a y B p b n Z l c 3 R l c m l u Z 3 N q Y W F y J n F 1 b 3 Q 7 L C Z x d W 9 0 O 0 R l c 2 l u d m V z d G V y a W 5 n I C h v b 3 J z c H J v b m t l b G l q a 2 U g a W 5 2 Z X N 0 Z X J p b m d z Y m V k c m F n K S Z x d W 9 0 O y w m c X V v d D t P c G J y Z W 5 n c 3 R l b i B k a W U g c 2 F t Z W 5 o Y W 5 n Z W 4 g b W V 0 I G R l c 2 l u d m V z d G V y a W 5 n J n F 1 b 3 Q 7 L C Z x d W 9 0 O 0 p h Y X I m c X V v d D s s J n F 1 b 3 Q 7 Q m V z d G F u Z H N u Y W F t J n F 1 b 3 Q 7 L C Z x d W 9 0 O 1 Z l c n N p Z S 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A v P j w v U 3 R h Y m x l R W 5 0 c m l l c z 4 8 L 0 l 0 Z W 0 + P E l 0 Z W 0 + P E l 0 Z W 1 M b 2 N h d G l v b j 4 8 S X R l b V R 5 c G U + R m 9 y b X V s Y T w v S X R l b V R 5 c G U + P E l 0 Z W 1 Q Y X R o P l N l Y 3 R p b 2 4 x L 0 9 t e m V 0 P C 9 J d G V t U G F 0 a D 4 8 L 0 l 0 Z W 1 M b 2 N h d G l v b j 4 8 U 3 R h Y m x l R W 5 0 c m l l c z 4 8 R W 5 0 c n k g V H l w Z T 0 i R m l s b E V y c m 9 y Q 2 9 k Z S I g V m F s d W U 9 I n N V b m t u b 3 d u I i A v P j x F b n R y e S B U e X B l P S J C d W Z m Z X J O Z X h 0 U m V m c m V z a C I g V m F s d W U 9 I m w x I i A v P j x F b n R y e S B U e X B l P S J G a W x s R X J y b 3 J D b 3 V u d C I g V m F s d W U 9 I m w w I i A v P j x F b n R y e S B U e X B l P S J G a W x s R W 5 h Y m x l Z C I g V m F s d W U 9 I m w x I i A v P j x F b n R y e S B U e X B l P S J G a W x s T G F z d F V w Z G F 0 Z W Q i I F Z h b H V l P S J k M j A y N C 0 w N S 0 w M 1 Q x N D o y O T o y N S 4 2 N z I x M z g 2 W i I g L z 4 8 R W 5 0 c n k g V H l w Z T 0 i R m l s b G V k Q 2 9 t c G x l d G V S Z X N 1 b H R U b 1 d v c m t z a G V l d C I g V m F s d W U 9 I m w x I i A v P j x F b n R y e S B U e X B l P S J G a W x s Q 2 9 s d W 1 u V H l w Z X M i I F Z h b H V l P S J z Q m d Z R E J R V U Z C U V l E I i A v P j x F b n R y e S B U e X B l P S J G a W x s V G F y Z 2 V 0 T m F t Z U N 1 c 3 R v b W l 6 Z W Q i I F Z h b H V l P S J s M S I g L z 4 8 R W 5 0 c n k g V H l w Z T 0 i R m l s b F R v R G F 0 Y U 1 v Z G V s R W 5 h Y m x l Z C I g V m F s d W U 9 I m w w I i A v P j x F b n R y e S B U e X B l P S J J c 1 B y a X Z h d G U i I F Z h b H V l P S J s M C I g L z 4 8 R W 5 0 c n k g V H l w Z T 0 i R m l s b E N v b H V t b k 5 h b W V z I i B W Y W x 1 Z T 0 i c 1 s m c X V v d D t D Y X R l Z 2 9 y a W U m c X V v d D s s J n F 1 b 3 Q 7 U 3 V i Y 2 F 0 Z W d v c m l l J n F 1 b 3 Q 7 L C Z x d W 9 0 O 0 p h Y X I m c X V v d D s s J n F 1 b 3 Q 7 T 2 1 6 Z X R y Z W d 1 b G V y a W 5 n I H R h c m l l Z m d l c m V n d W x l Z X J k J n F 1 b 3 Q 7 L C Z x d W 9 0 O 0 9 2 Z X J i b 2 V r L S B l b i B 0 Z X J 1 Z 2 t v b 3 B y Z W d l b G l u Z y Z x d W 9 0 O y w m c X V v d D t W Z W l s a W 5 n Z 2 V s Z G V u J n F 1 b 3 Q 7 L C Z x d W 9 0 O 1 N h b G R v I G F k b W l u a X N 0 c m F 0 a W V 2 Z S B v b m J h b G F u c y Z x d W 9 0 O y w m c X V v d D t C Z X N 0 Y W 5 k c 2 5 h Y W 0 m c X V v d D s s J n F 1 b 3 Q 7 V m V y c 2 l l J n F 1 b 3 Q 7 X S I g L z 4 8 R W 5 0 c n k g V H l w Z T 0 i U m V z d W x 0 V H l w Z S I g V m F s d W U 9 I n N U Y W J s Z S I g L z 4 8 R W 5 0 c n k g V H l w Z T 0 i T m F 2 a W d h d G l v b l N 0 Z X B O Y W 1 l I i B W Y W x 1 Z T 0 i c 0 5 h d m l n Y X R p Z S I g L z 4 8 R W 5 0 c n k g V H l w Z T 0 i R m l s b E 9 i a m V j d F R 5 c G U i I F Z h b H V l P S J z V G F i b G U i I C 8 + P E V u d H J 5 I F R 5 c G U 9 I k 5 h b W V V c G R h d G V k Q W Z 0 Z X J G a W x s I i B W Y W x 1 Z T 0 i b D A i I C 8 + P E V u d H J 5 I F R 5 c G U 9 I k Z p b G x U Y X J n Z X Q i I F Z h b H V l P S J z T 2 1 6 Z X Q i I C 8 + P E V u d H J 5 I F R 5 c G U 9 I l F 1 Z X J 5 S U Q i I F Z h b H V l P S J z N j A 0 M W R k M G U t N z I 5 M C 0 0 N T F m L W E 3 O D Y t Y z l k N 2 Z h Z D g 3 N m U x I i A v P j x F b n R y e S B U e X B l P S J G a W x s Q 2 9 1 b n Q i I F Z h b H V l P S J s N C 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D b 2 x 1 b W 5 D b 3 V u d C Z x d W 9 0 O z o 5 L C Z x d W 9 0 O 0 t l e U N v b H V t b k 5 h b W V z J n F 1 b 3 Q 7 O l t d L C Z x d W 9 0 O 0 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1 J l b G F 0 a W 9 u c 2 h p c E l u Z m 8 m c X V v d D s 6 W 1 1 9 I i A v P j w v U 3 R h Y m x l R W 5 0 c m l l c z 4 8 L 0 l 0 Z W 0 + P E l 0 Z W 0 + P E l 0 Z W 1 M b 2 N h d G l v b j 4 8 S X R l b V R 5 c G U + R m 9 y b X V s Y T w v S X R l b V R 5 c G U + P E l 0 Z W 1 Q Y X R o P l N l Y 3 R p b 2 4 x L 1 d V S S U y R k 9 t Y m 9 1 d z w v S X R l b V B h d G g + P C 9 J d G V t T G 9 j Y X R p b 2 4 + P F N 0 Y W J s Z U V u d H J p Z X M + P E V u d H J 5 I F R 5 c G U 9 I k Z p b G x D b 3 V u d C I g V m F s d W U 9 I m w y M C I g L z 4 8 R W 5 0 c n k g V H l w Z T 0 i T m F 2 a W d h d G l v b l N 0 Z X B O Y W 1 l I i B W Y W x 1 Z T 0 i c 0 5 h d m l n Y X R p Z S I g L z 4 8 R W 5 0 c n k g V H l w Z T 0 i R m l s b E V u Y W J s Z W Q i I F Z h b H V l P S J s M S I g L z 4 8 R W 5 0 c n k g V H l w Z T 0 i R m l s b G V k Q 2 9 t c G x l d G V S Z X N 1 b H R U b 1 d v c m t z a G V l d C I g V m F s d W U 9 I m w x I i A v P j x F b n R y e S B U e X B l P S J G a W x s T G F z d F V w Z G F 0 Z W Q i I F Z h b H V l P S J k M j A y N C 0 w N S 0 x N F Q w O D o z N D o 1 M i 4 0 N z g y N D E 5 W i I g L z 4 8 R W 5 0 c n k g V H l w Z T 0 i S X N Q c m l 2 Y X R l I i B W Y W x 1 Z T 0 i b D A i I C 8 + P E V u d H J 5 I F R 5 c G U 9 I l F 1 Z X J 5 S U Q i I F Z h b H V l P S J z M T l j Y 2 U 3 N z M t M D M 3 Y y 0 0 Z m U z L T k y O T Q t Y z R j N T k x N j R k O D M w I i A v P j x F b n R y e S B U e X B l P S J O Y W 1 l V X B k Y X R l Z E F m d G V y R m l s b C I g V m F s d W U 9 I m w w I i A v P j x F b n R y e S B U e X B l P S J C d W Z m Z X J O Z X h 0 U m V m c m V z a C I g V m F s d W U 9 I m w x I i A v P j x F b n R y e S B U e X B l P S J G a W x s Q 2 9 s d W 1 u V H l w Z X M i I F Z h b H V l P S J z Q X d V R k J n W U d C Z z 0 9 I i A v P j x F b n R y e S B U e X B l P S J S Z X N 1 b H R U e X B l I i B W Y W x 1 Z T 0 i c 1 R h Y m x l I i A v P j x F b n R y e S B U e X B l P S J G a W x s V G F y Z 2 V 0 I i B W Y W x 1 Z T 0 i c 1 d V S V 9 P b W J v d X c i I C 8 + P E V u d H J 5 I F R 5 c G U 9 I k x v Y W R l Z F R v Q W 5 h b H l z a X N T Z X J 2 a W N l c y I g V m F s d W U 9 I m w w I i A v P j x F b n R y e S B U e X B l P S J B Z G R l Z F R v R G F 0 Y U 1 v Z G V s I i B W Y W x 1 Z T 0 i b D A i I C 8 + P E V u d H J 5 I F R 5 c G U 9 I k Z p b G x F c n J v c k N v d W 5 0 I i B W Y W x 1 Z T 0 i b D A i I C 8 + P E V u d H J 5 I F R 5 c G U 9 I k Z p b G x U b 0 R h d G F N b 2 R l b E V u Y W J s Z W Q i I F Z h b H V l P S J s M C I g L z 4 8 R W 5 0 c n k g V H l w Z T 0 i R m l s b E 9 i a m V j d F R 5 c G U i I F Z h b H V l P S J z V G F i b G U i I C 8 + P E V u d H J 5 I F R 5 c G U 9 I k Z p b G x F c n J v c k N v Z G U i I F Z h b H V l P S J z V W 5 r b m 9 3 b i I g L 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A v P j w v U 3 R h Y m x l R W 5 0 c m l l c z 4 8 L 0 l 0 Z W 0 + P E l 0 Z W 0 + P E l 0 Z W 1 M b 2 N h d G l v b j 4 8 S X R l b V R 5 c G U + R m 9 y b X V s Y T w v S X R l b V R 5 c G U + P E l 0 Z W 1 Q Y X R o P l N l Y 3 R p b 2 4 x L 0 9 w Z X J h d G l v b m V s Z S U y M G t v c 3 R l b j w v S X R l b V B h d G g + P C 9 J d G V t T G 9 j Y X R p b 2 4 + P F N 0 Y W J s Z U V u d H J p Z X M + P E V u d H J 5 I F R 5 c G U 9 I k Z p b G x D b 2 x 1 b W 5 O Y W 1 l c y I g V m F s d W U 9 I n N b J n F 1 b 3 Q 7 Q 2 F 0 Z W d v c m l l J n F 1 b 3 Q 7 L C Z x d W 9 0 O 1 N 1 Y m N h d G V n b 3 J p Z S Z x d W 9 0 O y w m c X V v d D t K Y W F y J n F 1 b 3 Q 7 L C Z x d W 9 0 O 1 R U L 0 J U L 0 F U J n F 1 b 3 Q 7 L C Z x d W 9 0 O 0 t D J n F 1 b 3 Q 7 L C Z x d W 9 0 O 0 J l c 3 R h b m R z b m F h b S Z x d W 9 0 O y w m c X V v d D t W Z X J z a W U m c X V v d D t d I i A v P j x F b n R y e S B U e X B l P S J C d W Z m Z X J O Z X h 0 U m V m c m V z a C I g V m F s d W U 9 I m w x I i A v P j x F b n R y e S B U e X B l P S J G a W x s Q 2 9 s d W 1 u V H l w Z X M i I F Z h b H V l P S J z Q m d Z R E J R V U d B d z 0 9 I i A v P j x F b n R y e S B U e X B l P S J G a W x s R W 5 h Y m x l Z C I g V m F s d W U 9 I m w x I i A v P j x F b n R y e S B U e X B l P S J G a W x s T G F z d F V w Z G F 0 Z W Q i I F Z h b H V l P S J k M j A y N C 0 w N S 0 w M 1 Q x N D o z N D o x O C 4 y M T Y 1 O T I z W i I g L z 4 8 R W 5 0 c n k g V H l w Z T 0 i R m l s b G V k Q 2 9 t c G x l d G V S Z X N 1 b H R U b 1 d v c m t z a G V l d C I g V m F s d W U 9 I m w x I i A v P j x F b n R y e S B U e X B l P S J G a W x s R X J y b 3 J D b 3 V u d C I g V m F s d W U 9 I m w w I i A v P j x F b n R y e S B U e X B l P S J G a W x s V G F y Z 2 V 0 T m F t Z U N 1 c 3 R v b W l 6 Z W Q i I F Z h b H V l P S J s M S I g L z 4 8 R W 5 0 c n k g V H l w Z T 0 i R m l s b F R v R G F 0 Y U 1 v Z G V s R W 5 h Y m x l Z C I g V m F s d W U 9 I m w w I i A v P j x F b n R y e S B U e X B l P S J J c 1 B y a X Z h d G U i I F Z h b H V l P S J s M C I g L z 4 8 R W 5 0 c n k g V H l w Z T 0 i U X V l c n l J R C I g V m F s d W U 9 I n M 0 M T F k Z m Q 4 Y S 0 y Y j k 4 L T Q 3 O W Q t O T I 0 M i 0 y N G Q 4 M D E x M z l m M T M i I C 8 + P E V u d H J 5 I F R 5 c G U 9 I k Z p b G x F c n J v c k N v Z G U i I F Z h b H V l P S J z V W 5 r b m 9 3 b i I g L z 4 8 R W 5 0 c n k g V H l w Z T 0 i U m V z d W x 0 V H l w Z S I g V m F s d W U 9 I n N U Y W J s Z S I g L z 4 8 R W 5 0 c n k g V H l w Z T 0 i T m F 2 a W d h d G l v b l N 0 Z X B O Y W 1 l I i B W Y W x 1 Z T 0 i c 0 5 h d m l n Y X R p Z S I g L z 4 8 R W 5 0 c n k g V H l w Z T 0 i R m l s b E 9 i a m V j d F R 5 c G U i I F Z h b H V l P S J z V G F i b G U i I C 8 + P E V u d H J 5 I F R 5 c G U 9 I k 5 h b W V V c G R h d G V k Q W Z 0 Z X J G a W x s I i B W Y W x 1 Z T 0 i b D A i I C 8 + P E V u d H J 5 I F R 5 c G U 9 I k Z p b G x U Y X J n Z X Q i I F Z h b H V l P S J z T 3 B l c m F 0 a W 9 u Z W x l X 2 t v c 3 R l b i I g L z 4 8 R W 5 0 c n k g V H l w Z T 0 i R m l s b F N 0 Y X R 1 c y I g V m F s d W U 9 I n N D b 2 1 w b G V 0 Z S I g L z 4 8 R W 5 0 c n k g V H l w Z T 0 i R m l s b E N v d W 5 0 I i B W Y W x 1 Z T 0 i b D Y i I C 8 + P E V u d H J 5 I F R 5 c G U 9 I l J l b G F 0 a W 9 u c 2 h p c E l u Z m 9 D b 2 5 0 Y W l u Z X I i I F Z h b H V l P S J z e y Z x d W 9 0 O 2 N v b H V t b k N v d W 5 0 J n F 1 b 3 Q 7 O j c s J n F 1 b 3 Q 7 a 2 V 5 Q 2 9 s d W 1 u T m F t Z X M m c X V v d D s 6 W 1 0 s J n F 1 b 3 Q 7 c X V l c n l S Z W x h d G l v b n N o a X B z J n F 1 b 3 Q 7 O l t d L C Z x d W 9 0 O 2 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0 N v b H V t b k N v d W 5 0 J n F 1 b 3 Q 7 O j c s J n F 1 b 3 Q 7 S 2 V 5 Q 2 9 s d W 1 u T m F t Z X M m c X V v d D s 6 W 1 0 s J n F 1 b 3 Q 7 Q 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U m V s Y X R p b 2 5 z a G l w S W 5 m b y Z x d W 9 0 O z p b X X 0 i I C 8 + P E V u d H J 5 I F R 5 c G U 9 I k F k Z G V k V G 9 E Y X R h T W 9 k Z W w i I F Z h b H V l P S J s M C I g L z 4 8 L 1 N 0 Y W J s Z U V u d H J p Z X M + P C 9 J d G V t P j x J d G V t P j x J d G V t T G 9 j Y X R p b 2 4 + P E l 0 Z W 1 U e X B l P k Z v c m 1 1 b G E 8 L 0 l 0 Z W 1 U e X B l P j x J d G V t U G F 0 a D 5 T Z W N 0 a W 9 u M S 9 J b n Z l c 3 R l c m l u Z 2 V u L 0 J y b 2 4 8 L 0 l 0 Z W 1 Q Y X R o P j w v S X R l b U x v Y 2 F 0 a W 9 u P j x T d G F i b G V F b n R y a W V z I C 8 + P C 9 J d G V t P j x J d G V t P j x J d G V t T G 9 j Y X R p b 2 4 + P E l 0 Z W 1 U e X B l P k Z v c m 1 1 b G E 8 L 0 l 0 Z W 1 U e X B l P j x J d G V t U G F 0 a D 5 T Z W N 0 a W 9 u M S 9 J b n Z l c 3 R l c m l u Z 2 V u L 1 J E X 0 x O Q l 9 H P C 9 J d G V t U G F 0 a D 4 8 L 0 l 0 Z W 1 M b 2 N h d G l v b j 4 8 U 3 R h Y m x l R W 5 0 c m l l c y A v P j w v S X R l b T 4 8 S X R l b T 4 8 S X R l b U x v Y 2 F 0 a W 9 u P j x J d G V t V H l w Z T 5 G b 3 J t d W x h P C 9 J d G V t V H l w Z T 4 8 S X R l b V B h d G g + U 2 V j d G l v b j E v S W 5 2 Z X N 0 Z X J p b m d l b i 9 k Y m 9 f S W 5 2 Z X N 0 Z X J p b m d l b j w v S X R l b V B h d G g + P C 9 J d G V t T G 9 j Y X R p b 2 4 + P F N 0 Y W J s Z U V u d H J p Z X M g L z 4 8 L 0 l 0 Z W 0 + P E l 0 Z W 0 + P E l 0 Z W 1 M b 2 N h d G l v b j 4 8 S X R l b V R 5 c G U + R m 9 y b X V s Y T w v S X R l b V R 5 c G U + P E l 0 Z W 1 Q Y X R o P l N l Y 3 R p b 2 4 x L 0 l u d m V z d G V y a W 5 n Z W 4 v S m F h c i U z R S U z R D I w M j A 8 L 0 l 0 Z W 1 Q Y X R o P j w v S X R l b U x v Y 2 F 0 a W 9 u P j x T d G F i b G V F b n R y a W V z I C 8 + P C 9 J d G V t P j x J d G V t P j x J d G V t T G 9 j Y X R p b 2 4 + P E l 0 Z W 1 U e X B l P k Z v c m 1 1 b G E 8 L 0 l 0 Z W 1 U e X B l P j x J d G V t U G F 0 a D 5 T Z W N 0 a W 9 u M S 9 J b n Z l c 3 R l c m l u Z 2 V u L 1 J p a m V u J T I w Z 2 V n c m 9 l c G V l c m Q 8 L 0 l 0 Z W 1 Q Y X R o P j w v S X R l b U x v Y 2 F 0 a W 9 u P j x T d G F i b G V F b n R y a W V z I C 8 + P C 9 J d G V t P j x J d G V t P j x J d G V t T G 9 j Y X R p b 2 4 + P E l 0 Z W 1 U e X B l P k Z v c m 1 1 b G E 8 L 0 l 0 Z W 1 U e X B l P j x J d G V t U G F 0 a D 5 T Z W N 0 a W 9 u M S 9 J b n Z l c 3 R l c m l u Z 2 V u L 1 J p a m V u J T I w Z 2 V z b 3 J 0 Z W V y Z D w v S X R l b V B h d G g + P C 9 J d G V t T G 9 j Y X R p b 2 4 + P F N 0 Y W J s Z U V u d H J p Z X M g L z 4 8 L 0 l 0 Z W 0 + P E l 0 Z W 0 + P E l 0 Z W 1 M b 2 N h d G l v b j 4 8 S X R l b V R 5 c G U + R m 9 y b X V s Y T w v S X R l b V R 5 c G U + P E l 0 Z W 1 Q Y X R o P l N l Y 3 R p b 2 4 x L 0 l u d m V z d G V y a W 5 n Z W 4 v S W 5 k Z X g l M j B 0 b 2 V n Z X Z v Z W d k P C 9 J d G V t U G F 0 a D 4 8 L 0 l 0 Z W 1 M b 2 N h d G l v b j 4 8 U 3 R h Y m x l R W 5 0 c m l l c y A v P j w v S X R l b T 4 8 S X R l b T 4 8 S X R l b U x v Y 2 F 0 a W 9 u P j x J d G V t V H l w Z T 5 G b 3 J t d W x h P C 9 J d G V t V H l w Z T 4 8 S X R l b V B h d G g + U 2 V j d G l v b j E v S W 5 2 Z X N 0 Z X J p b m d l b i 9 W b 2 x n b 3 J k Z S U y M H Z h b i U y M G t v b G 9 t b W V u J T I w Z 2 V 3 a W p 6 a W d k P C 9 J d G V t U G F 0 a D 4 8 L 0 l 0 Z W 1 M b 2 N h d G l v b j 4 8 U 3 R h Y m x l R W 5 0 c m l l c y A v P j w v S X R l b T 4 8 S X R l b T 4 8 S X R l b U x v Y 2 F 0 a W 9 u P j x J d G V t V H l w Z T 5 G b 3 J t d W x h P C 9 J d G V t V H l w Z T 4 8 S X R l b V B h d G g + U 2 V j d G l v b j E v R G V z a W 5 2 Z X N 0 Z X J p b m c v Q n J v b j w v S X R l b V B h d G g + P C 9 J d G V t T G 9 j Y X R p b 2 4 + P F N 0 Y W J s Z U V u d H J p Z X M g L z 4 8 L 0 l 0 Z W 0 + P E l 0 Z W 0 + P E l 0 Z W 1 M b 2 N h d G l v b j 4 8 S X R l b V R 5 c G U + R m 9 y b X V s Y T w v S X R l b V R 5 c G U + P E l 0 Z W 1 Q Y X R o P l N l Y 3 R p b 2 4 x L 0 R l c 2 l u d m V z d G V y a W 5 n L 1 J E X 0 x O Q l 9 H P C 9 J d G V t U G F 0 a D 4 8 L 0 l 0 Z W 1 M b 2 N h d G l v b j 4 8 U 3 R h Y m x l R W 5 0 c m l l c y A v P j w v S X R l b T 4 8 S X R l b T 4 8 S X R l b U x v Y 2 F 0 a W 9 u P j x J d G V t V H l w Z T 5 G b 3 J t d W x h P C 9 J d G V t V H l w Z T 4 8 S X R l b V B h d G g + U 2 V j d G l v b j E v R G V z a W 5 2 Z X N 0 Z X J p b m c v Z G J v X 0 l u d m V z d G V y a W 5 n Z W 4 8 L 0 l 0 Z W 1 Q Y X R o P j w v S X R l b U x v Y 2 F 0 a W 9 u P j x T d G F i b G V F b n R y a W V z I C 8 + P C 9 J d G V t P j x J d G V t P j x J d G V t T G 9 j Y X R p b 2 4 + P E l 0 Z W 1 U e X B l P k Z v c m 1 1 b G E 8 L 0 l 0 Z W 1 U e X B l P j x J d G V t U G F 0 a D 5 T Z W N 0 a W 9 u M S 9 E Z X N p b n Z l c 3 R l c m l u Z y 9 S a W p l b i U y M G d l Z m l s d G V y Z D w v S X R l b V B h d G g + P C 9 J d G V t T G 9 j Y X R p b 2 4 + P F N 0 Y W J s Z U V u d H J p Z X M g L z 4 8 L 0 l 0 Z W 0 + P E l 0 Z W 0 + P E l 0 Z W 1 M b 2 N h d G l v b j 4 8 S X R l b V R 5 c G U + R m 9 y b X V s Y T w v S X R l b V R 5 c G U + P E l 0 Z W 1 Q Y X R o P l N l Y 3 R p b 2 4 x L 0 R l c 2 l u d m V z d G V y a W 5 n L 1 J p a m V u J T I w Z 2 V z b 3 J 0 Z W V y Z D w v S X R l b V B h d G g + P C 9 J d G V t T G 9 j Y X R p b 2 4 + P F N 0 Y W J s Z U V u d H J p Z X M g L z 4 8 L 0 l 0 Z W 0 + P E l 0 Z W 0 + P E l 0 Z W 1 M b 2 N h d G l v b j 4 8 S X R l b V R 5 c G U + R m 9 y b X V s Y T w v S X R l b V R 5 c G U + P E l 0 Z W 1 Q Y X R o P l N l Y 3 R p b 2 4 x L 0 R l c 2 l u d m V z d G V y a W 5 n L 0 t v b G 9 t b W V u J T I w d m V y d 2 l q Z G V y Z D w v S X R l b V B h d G g + P C 9 J d G V t T G 9 j Y X R p b 2 4 + P F N 0 Y W J s Z U V u d H J p Z X M g L z 4 8 L 0 l 0 Z W 0 + P E l 0 Z W 0 + P E l 0 Z W 1 M b 2 N h d G l v b j 4 8 S X R l b V R 5 c G U + R m 9 y b X V s Y T w v S X R l b V R 5 c G U + P E l 0 Z W 1 Q Y X R o P l N l Y 3 R p b 2 4 x L 0 R l c 2 l u d m V z d G V y a W 5 n L 0 l u Z G V 4 J T I w d G 9 l Z 2 V 2 b 2 V n Z D w v S X R l b V B h d G g + P C 9 J d G V t T G 9 j Y X R p b 2 4 + P F N 0 Y W J s Z U V u d H J p Z X M g L z 4 8 L 0 l 0 Z W 0 + P E l 0 Z W 0 + P E l 0 Z W 1 M b 2 N h d G l v b j 4 8 S X R l b V R 5 c G U + R m 9 y b X V s Y T w v S X R l b V R 5 c G U + P E l 0 Z W 1 Q Y X R o P l N l Y 3 R p b 2 4 x L 0 R l c 2 l u d m V z d G V y a W 5 n L 1 Z v b G d v c m R l J T I w d m F u J T I w a 2 9 s b 2 1 t Z W 4 l M j B n Z X d p a n p p Z 2 Q 8 L 0 l 0 Z W 1 Q Y X R o P j w v S X R l b U x v Y 2 F 0 a W 9 u P j x T d G F i b G V F b n R y a W V z I C 8 + P C 9 J d G V t P j x J d G V t P j x J d G V t T G 9 j Y X R p b 2 4 + P E l 0 Z W 1 U e X B l P k Z v c m 1 1 b G E 8 L 0 l 0 Z W 1 U e X B l P j x J d G V t U G F 0 a D 5 T Z W N 0 a W 9 u M S 9 E Z X N p b n Z l c 3 R l c m l u Z y 9 L b 2 x v b W 1 l b i U y M H Z l c n d p a m R l c m Q x P C 9 J d G V t U G F 0 a D 4 8 L 0 l 0 Z W 1 M b 2 N h d G l v b j 4 8 U 3 R h Y m x l R W 5 0 c m l l c y A v P j w v S X R l b T 4 8 S X R l b T 4 8 S X R l b U x v Y 2 F 0 a W 9 u P j x J d G V t V H l w Z T 5 G b 3 J t d W x h P C 9 J d G V t V H l w Z T 4 8 S X R l b V B h d G g + U 2 V j d G l v b j E v R G V z a W 5 2 Z X N 0 Z X J p b m c v V m 9 s Z 2 9 y Z G U l M j B 2 Y W 4 l M j B r b 2 x v b W 1 l b i U y M G d l d 2 l q e m l n Z D E 8 L 0 l 0 Z W 1 Q Y X R o P j w v S X R l b U x v Y 2 F 0 a W 9 u P j x T d G F i b G V F b n R y a W V z I C 8 + P C 9 J d G V t P j x J d G V t P j x J d G V t T G 9 j Y X R p b 2 4 + P E l 0 Z W 1 U e X B l P k Z v c m 1 1 b G E 8 L 0 l 0 Z W 1 U e X B l P j x J d G V t U G F 0 a D 5 T Z W N 0 a W 9 u M S 9 P b X p l d C 9 C c m 9 u P C 9 J d G V t U G F 0 a D 4 8 L 0 l 0 Z W 1 M b 2 N h d G l v b j 4 8 U 3 R h Y m x l R W 5 0 c m l l c y A v P j w v S X R l b T 4 8 S X R l b T 4 8 S X R l b U x v Y 2 F 0 a W 9 u P j x J d G V t V H l w Z T 5 G b 3 J t d W x h P C 9 J d G V t V H l w Z T 4 8 S X R l b V B h d G g + U 2 V j d G l v b j E v T 2 1 6 Z X Q v Z G J v X 0 R l c 2 l u d m V z d G V y a W 5 n Z W 4 8 L 0 l 0 Z W 1 Q Y X R o P j w v S X R l b U x v Y 2 F 0 a W 9 u P j x T d G F i b G V F b n R y a W V z I C 8 + P C 9 J d G V t P j x J d G V t P j x J d G V t T G 9 j Y X R p b 2 4 + P E l 0 Z W 1 U e X B l P k Z v c m 1 1 b G E 8 L 0 l 0 Z W 1 U e X B l P j x J d G V t U G F 0 a D 5 T Z W N 0 a W 9 u M S 9 P b X p l d C 9 S a W p l b i U y M G d l Z m l s d G V y Z D w v S X R l b V B h d G g + P C 9 J d G V t T G 9 j Y X R p b 2 4 + P F N 0 Y W J s Z U V u d H J p Z X M g L z 4 8 L 0 l 0 Z W 0 + P E l 0 Z W 0 + P E l 0 Z W 1 M b 2 N h d G l v b j 4 8 S X R l b V R 5 c G U + R m 9 y b X V s Y T w v S X R l b V R 5 c G U + P E l 0 Z W 1 Q Y X R o P l N l Y 3 R p b 2 4 x L 0 9 t e m V 0 L 0 t v b G 9 t b W V u J T I w d m V y d 2 l q Z G V y Z D w v S X R l b V B h d G g + P C 9 J d G V t T G 9 j Y X R p b 2 4 + P F N 0 Y W J s Z U V u d H J p Z X M g L z 4 8 L 0 l 0 Z W 0 + P E l 0 Z W 0 + P E l 0 Z W 1 M b 2 N h d G l v b j 4 8 S X R l b V R 5 c G U + R m 9 y b X V s Y T w v S X R l b V R 5 c G U + P E l 0 Z W 1 Q Y X R o P l N l Y 3 R p b 2 4 x L 0 9 t e m V 0 L 1 J p a m V u J T I w Z 2 V m a W x 0 Z X J k M T w v S X R l b V B h d G g + P C 9 J d G V t T G 9 j Y X R p b 2 4 + P F N 0 Y W J s Z U V u d H J p Z X M g L z 4 8 L 0 l 0 Z W 0 + P E l 0 Z W 0 + P E l 0 Z W 1 M b 2 N h d G l v b j 4 8 S X R l b V R 5 c G U + R m 9 y b X V s Y T w v S X R l b V R 5 c G U + P E l 0 Z W 1 Q Y X R o P l N l Y 3 R p b 2 4 x L 0 9 t e m V 0 L 0 t v b G 9 t b W V u J T I w d m V y d 2 l q Z G V y Z D E 8 L 0 l 0 Z W 1 Q Y X R o P j w v S X R l b U x v Y 2 F 0 a W 9 u P j x T d G F i b G V F b n R y a W V z I C 8 + P C 9 J d G V t P j x J d G V t P j x J d G V t T G 9 j Y X R p b 2 4 + P E l 0 Z W 1 U e X B l P k Z v c m 1 1 b G E 8 L 0 l 0 Z W 1 U e X B l P j x J d G V t U G F 0 a D 5 T Z W N 0 a W 9 u M S 9 X V U k l M k Z P b W J v d X c v Q n J v b j w v S X R l b V B h d G g + P C 9 J d G V t T G 9 j Y X R p b 2 4 + P F N 0 Y W J s Z U V u d H J p Z X M g L z 4 8 L 0 l 0 Z W 0 + P E l 0 Z W 0 + P E l 0 Z W 1 M b 2 N h d G l v b j 4 8 S X R l b V R 5 c G U + R m 9 y b X V s Y T w v S X R l b V R 5 c G U + P E l 0 Z W 1 Q Y X R o P l N l Y 3 R p b 2 4 x L 1 d V S S U y R k 9 t Y m 9 1 d y 9 S R F 9 M T k J f R z w v S X R l b V B h d G g + P C 9 J d G V t T G 9 j Y X R p b 2 4 + P F N 0 Y W J s Z U V u d H J p Z X M g L z 4 8 L 0 l 0 Z W 0 + P E l 0 Z W 0 + P E l 0 Z W 1 M b 2 N h d G l v b j 4 8 S X R l b V R 5 c G U + R m 9 y b X V s Y T w v S X R l b V R 5 c G U + P E l 0 Z W 1 Q Y X R o P l N l Y 3 R p b 2 4 x L 1 d V S S U y R k 9 t Y m 9 1 d y 9 k Y m 9 f S W 5 2 Z X N 0 Z X J p b m d l b j w v S X R l b V B h d G g + P C 9 J d G V t T G 9 j Y X R p b 2 4 + P F N 0 Y W J s Z U V u d H J p Z X M g L z 4 8 L 0 l 0 Z W 0 + P E l 0 Z W 0 + P E l 0 Z W 1 M b 2 N h d G l v b j 4 8 S X R l b V R 5 c G U + R m 9 y b X V s Y T w v S X R l b V R 5 c G U + P E l 0 Z W 1 Q Y X R o P l N l Y 3 R p b 2 4 x L 1 d V S S U y R k 9 t Y m 9 1 d y 9 K Y W F y J T N F J T N E M j A y M D w v S X R l b V B h d G g + P C 9 J d G V t T G 9 j Y X R p b 2 4 + P F N 0 Y W J s Z U V u d H J p Z X M g L z 4 8 L 0 l 0 Z W 0 + P E l 0 Z W 0 + P E l 0 Z W 1 M b 2 N h d G l v b j 4 8 S X R l b V R 5 c G U + R m 9 y b X V s Y T w v S X R l b V R 5 c G U + P E l 0 Z W 1 Q Y X R o P l N l Y 3 R p b 2 4 x L 1 d V S S U y R k 9 t Y m 9 1 d y 9 S a W p l b i U y M G d l Z m l s d G V y Z D w v S X R l b V B h d G g + P C 9 J d G V t T G 9 j Y X R p b 2 4 + P F N 0 Y W J s Z U V u d H J p Z X M g L z 4 8 L 0 l 0 Z W 0 + P E l 0 Z W 0 + P E l 0 Z W 1 M b 2 N h d G l v b j 4 8 S X R l b V R 5 c G U + R m 9 y b X V s Y T w v S X R l b V R 5 c G U + P E l 0 Z W 1 Q Y X R o P l N l Y 3 R p b 2 4 x L 1 d V S S U y R k 9 t Y m 9 1 d y 9 S a W p l b i U y M G d l Z m l s d G V y Z D E 8 L 0 l 0 Z W 1 Q Y X R o P j w v S X R l b U x v Y 2 F 0 a W 9 u P j x T d G F i b G V F b n R y a W V z I C 8 + P C 9 J d G V t P j x J d G V t P j x J d G V t T G 9 j Y X R p b 2 4 + P E l 0 Z W 1 U e X B l P k Z v c m 1 1 b G E 8 L 0 l 0 Z W 1 U e X B l P j x J d G V t U G F 0 a D 5 T Z W N 0 a W 9 u M S 9 X V U k l M k Z P b W J v d X c v S W 5 k Z X g l M j B 0 b 2 V n Z X Z v Z W d k P C 9 J d G V t U G F 0 a D 4 8 L 0 l 0 Z W 1 M b 2 N h d G l v b j 4 8 U 3 R h Y m x l R W 5 0 c m l l c y A v P j w v S X R l b T 4 8 S X R l b T 4 8 S X R l b U x v Y 2 F 0 a W 9 u P j x J d G V t V H l w Z T 5 G b 3 J t d W x h P C 9 J d G V t V H l w Z T 4 8 S X R l b V B h d G g + U 2 V j d G l v b j E v V 1 V J J T J G T 2 1 i b 3 V 3 L 1 Z v b G d v c m R l J T I w d m F u J T I w a 2 9 s b 2 1 t Z W 4 l M j B n Z X d p a n p p Z 2 Q 8 L 0 l 0 Z W 1 Q Y X R o P j w v S X R l b U x v Y 2 F 0 a W 9 u P j x T d G F i b G V F b n R y a W V z I C 8 + P C 9 J d G V t P j x J d G V t P j x J d G V t T G 9 j Y X R p b 2 4 + P E l 0 Z W 1 U e X B l P k Z v c m 1 1 b G E 8 L 0 l 0 Z W 1 U e X B l P j x J d G V t U G F 0 a D 5 T Z W N 0 a W 9 u M S 9 X V U k l M k Z P b W J v d X c v S 2 9 s b 2 1 t Z W 4 l M j B 2 Z X J 3 a W p k Z X J k P C 9 J d G V t U G F 0 a D 4 8 L 0 l 0 Z W 1 M b 2 N h d G l v b j 4 8 U 3 R h Y m x l R W 5 0 c m l l c y A v P j w v S X R l b T 4 8 S X R l b T 4 8 S X R l b U x v Y 2 F 0 a W 9 u P j x J d G V t V H l w Z T 5 G b 3 J t d W x h P C 9 J d G V t V H l w Z T 4 8 S X R l b V B h d G g + U 2 V j d G l v b j E v T 3 B l c m F 0 a W 9 u Z W x l J T I w a 2 9 z d G V u L 0 J y b 2 4 8 L 0 l 0 Z W 1 Q Y X R o P j w v S X R l b U x v Y 2 F 0 a W 9 u P j x T d G F i b G V F b n R y a W V z I C 8 + P C 9 J d G V t P j x J d G V t P j x J d G V t T G 9 j Y X R p b 2 4 + P E l 0 Z W 1 U e X B l P k Z v c m 1 1 b G E 8 L 0 l 0 Z W 1 U e X B l P j x J d G V t U G F 0 a D 5 T Z W N 0 a W 9 u M S 9 P c G V y Y X R p b 2 5 l b G U l M j B r b 3 N 0 Z W 4 v U k R f T E 5 C X 0 c 8 L 0 l 0 Z W 1 Q Y X R o P j w v S X R l b U x v Y 2 F 0 a W 9 u P j x T d G F i b G V F b n R y a W V z I C 8 + P C 9 J d G V t P j x J d G V t P j x J d G V t T G 9 j Y X R p b 2 4 + P E l 0 Z W 1 U e X B l P k Z v c m 1 1 b G E 8 L 0 l 0 Z W 1 U e X B l P j x J d G V t U G F 0 a D 5 T Z W N 0 a W 9 u M S 9 P c G V y Y X R p b 2 5 l b G U l M j B r b 3 N 0 Z W 4 v Z G J v X 0 9 w Z X J h d G l v b m V s Z S U y M G t v c 3 R l b j w v S X R l b V B h d G g + P C 9 J d G V t T G 9 j Y X R p b 2 4 + P F N 0 Y W J s Z U V u d H J p Z X M g L z 4 8 L 0 l 0 Z W 0 + P E l 0 Z W 0 + P E l 0 Z W 1 M b 2 N h d G l v b j 4 8 S X R l b V R 5 c G U + R m 9 y b X V s Y T w v S X R l b V R 5 c G U + P E l 0 Z W 1 Q Y X R o P l N l Y 3 R p b 2 4 x L 0 9 w Z X J h d G l v b m V s Z S U y M G t v c 3 R l b i 9 L b 2 x v b W 1 l b i U y M H Z l c n d p a m R l c m Q 8 L 0 l 0 Z W 1 Q Y X R o P j w v S X R l b U x v Y 2 F 0 a W 9 u P j x T d G F i b G V F b n R y a W V z I C 8 + P C 9 J d G V t P j x J d G V t P j x J d G V t T G 9 j Y X R p b 2 4 + P E l 0 Z W 1 U e X B l P k Z v c m 1 1 b G E 8 L 0 l 0 Z W 1 U e X B l P j x J d G V t U G F 0 a D 5 T Z W N 0 a W 9 u M S 9 J b n Z l c 3 R l c m l u Z 2 V u L 0 F h b m d l c G F z d D E 8 L 0 l 0 Z W 1 Q Y X R o P j w v S X R l b U x v Y 2 F 0 a W 9 u P j x T d G F i b G V F b n R y a W V z I C 8 + P C 9 J d G V t P j x J d G V t P j x J d G V t T G 9 j Y X R p b 2 4 + P E l 0 Z W 1 U e X B l P k Z v c m 1 1 b G E 8 L 0 l 0 Z W 1 U e X B l P j x J d G V t U G F 0 a D 5 T Z W N 0 a W 9 u M S 9 J b n Z l c 3 R l c m l u Z 2 V u L 0 F h b m d l c G F z d D I 8 L 0 l 0 Z W 1 Q Y X R o P j w v S X R l b U x v Y 2 F 0 a W 9 u P j x T d G F i b G V F b n R y a W V z I C 8 + P C 9 J d G V t P j x J d G V t P j x J d G V t T G 9 j Y X R p b 2 4 + P E l 0 Z W 1 U e X B l P k Z v c m 1 1 b G E 8 L 0 l 0 Z W 1 U e X B l P j x J d G V t U G F 0 a D 5 T Z W N 0 a W 9 u M S 9 P c G V y Y X R p b 2 5 l b G U l M j B r b 3 N 0 Z W 4 v U m l q Z W 4 l M j B n Z W Z p b H R l c m Q 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S W 5 2 Z X N 0 Z X J p b m d l b i 9 B Y W 5 n Z X B h c 3 Q z P C 9 J d G V t U G F 0 a D 4 8 L 0 l 0 Z W 1 M b 2 N h d G l v b j 4 8 U 3 R h Y m x l R W 5 0 c m l l c y A v P j w v S X R l b T 4 8 S X R l b T 4 8 S X R l b U x v Y 2 F 0 a W 9 u P j x J d G V t V H l w Z T 5 G b 3 J t d W x h P C 9 J d G V t V H l w Z T 4 8 S X R l b V B h d G g + U 2 V j d G l v b j E v V 1 V J J T J G T 2 1 i b 3 V 3 L 0 F h b m d l c G F z d D E 8 L 0 l 0 Z W 1 Q Y X R o P j w v S X R l b U x v Y 2 F 0 a W 9 u P j x T d G F i b G V F b n R y a W V z I C 8 + P C 9 J d G V t P j x J d G V t P j x J d G V t T G 9 j Y X R p b 2 4 + P E l 0 Z W 1 U e X B l P k Z v c m 1 1 b G E 8 L 0 l 0 Z W 1 U e X B l P j x J d G V t U G F 0 a D 5 T Z W N 0 a W 9 u M S 9 E Z X N p b n Z l c 3 R l c m l u Z y 9 B Y W 5 n Z X B h c 3 Q x P C 9 J d G V t U G F 0 a D 4 8 L 0 l 0 Z W 1 M b 2 N h d G l v b j 4 8 U 3 R h Y m x l R W 5 0 c m l l c y A v P j w v S X R l b T 4 8 S X R l b T 4 8 S X R l b U x v Y 2 F 0 a W 9 u P j x J d G V t V H l w Z T 5 G b 3 J t d W x h P C 9 J d G V t V H l w Z T 4 8 S X R l b V B h d G g + U 2 V j d G l v b j E v R G V z a W 5 2 Z X N 0 Z X J p b m c v Q W F u Z 2 V w Y X N 0 M j w v S X R l b V B h d G g + P C 9 J d G V t T G 9 j Y X R p b 2 4 + P F N 0 Y W J s Z U V u d H J p Z X M g L z 4 8 L 0 l 0 Z W 0 + P E l 0 Z W 0 + P E l 0 Z W 1 M b 2 N h d G l v b j 4 8 S X R l b V R 5 c G U + R m 9 y b X V s Y T w v S X R l b V R 5 c G U + P E l 0 Z W 1 Q Y X R o P l N l Y 3 R p b 2 4 x L 0 9 w Z X J h d G l v b m V s Z S U y M G t v c 3 R l b i 9 B Y W 5 n Z X B h c 3 Q x P C 9 J d G V t U G F 0 a D 4 8 L 0 l 0 Z W 1 M b 2 N h d G l v b j 4 8 U 3 R h Y m x l R W 5 0 c m l l c y A v P j w v S X R l b T 4 8 S X R l b T 4 8 S X R l b U x v Y 2 F 0 a W 9 u P j x J d G V t V H l w Z T 5 G b 3 J t d W x h P C 9 J d G V t V H l w Z T 4 8 S X R l b V B h d G g + U 2 V j d G l v b j E v V 1 V J J T J G T 2 1 i b 3 V 3 L 0 F h b m d l c G F z d D I 8 L 0 l 0 Z W 1 Q Y X R o P j w v S X R l b U x v Y 2 F 0 a W 9 u P j x T d G F i b G V F b n R y a W V z I C 8 + P C 9 J d G V t P j x J d G V t P j x J d G V t T G 9 j Y X R p b 2 4 + P E l 0 Z W 1 U e X B l P k Z v c m 1 1 b G E 8 L 0 l 0 Z W 1 U e X B l P j x J d G V t U G F 0 a D 5 T Z W N 0 a W 9 u M S 9 X V U k l M k Z P b W J v d X c v Q W F u Z 2 V w Y X N 0 M z w v S X R l b V B h d G g + P C 9 J d G V t T G 9 j Y X R p b 2 4 + P F N 0 Y W J s Z U V u d H J p Z X M g L z 4 8 L 0 l 0 Z W 0 + P E l 0 Z W 0 + P E l 0 Z W 1 M b 2 N h d G l v b j 4 8 S X R l b V R 5 c G U + R m 9 y b X V s Y T w v S X R l b V R 5 c G U + P E l 0 Z W 1 Q Y X R o P l N l Y 3 R p b 2 4 x L 1 d V S S U y R k 9 t Y m 9 1 d y 9 B Y W 5 n Z X B h c 3 Q 1 P C 9 J d G V t U G F 0 a D 4 8 L 0 l 0 Z W 1 M b 2 N h d G l v b j 4 8 U 3 R h Y m x l R W 5 0 c m l l c y A v P j w v S X R l b T 4 8 L 0 l 0 Z W 1 z P j w v T G 9 j Y W x Q Y W N r Y W d l T W V 0 Y W R h d G F G a W x l P h Y A A A B Q S w U G A A A A A A A A A A A A A A A A A A A A A A A A 2 g A A A A E A A A D Q j J 3 f A R X R E Y x 6 A M B P w p f r A Q A A A O n n M M L n E z d N s f B v 9 M F C D C I A A A A A A g A A A A A A A 2 Y A A M A A A A A Q A A A A 6 S Q i s c I I A D + w b b g e o O I 9 C w A A A A A E g A A A o A A A A B A A A A B n 4 o z 5 q l x 1 w W a W d f M O F p a 4 U A A A A K w s q Z 3 W k d d H R J u j 2 a 2 M m H / d O + P o B 6 Q Y + e 8 k l F u T L k 4 L f s d / Y Q L 7 N L e T q 7 i S y W h z e f k I i p 2 i 2 1 F 6 X v c F u B e B k f h x p 4 K Z V w / f S M X u t h B K V G w b F A A A A M Z g i H B M O X R I 7 c l U / l Q i w 0 E X H t l p < / 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0FBAC038A508248800D947EBADE59DB" ma:contentTypeVersion="4" ma:contentTypeDescription="Een nieuw document maken." ma:contentTypeScope="" ma:versionID="57ab29150ab310ba155e42bacc180b65">
  <xsd:schema xmlns:xsd="http://www.w3.org/2001/XMLSchema" xmlns:xs="http://www.w3.org/2001/XMLSchema" xmlns:p="http://schemas.microsoft.com/office/2006/metadata/properties" xmlns:ns2="0009d3ae-0f9e-47be-ae31-9d6cd8b104c4" xmlns:ns3="e86c01b2-c361-4e91-84fb-339b9c7d1ada" targetNamespace="http://schemas.microsoft.com/office/2006/metadata/properties" ma:root="true" ma:fieldsID="d93ba427e271b5e92c1d68aeb35482cd" ns2:_="" ns3:_="">
    <xsd:import namespace="0009d3ae-0f9e-47be-ae31-9d6cd8b104c4"/>
    <xsd:import namespace="e86c01b2-c361-4e91-84fb-339b9c7d1a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6c01b2-c361-4e91-84fb-339b9c7d1a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DAB9D1-B815-4B0E-93E7-4496A7FE99F6}">
  <ds:schemaRefs>
    <ds:schemaRef ds:uri="e86c01b2-c361-4e91-84fb-339b9c7d1ada"/>
    <ds:schemaRef ds:uri="http://schemas.microsoft.com/office/2006/documentManagement/types"/>
    <ds:schemaRef ds:uri="http://purl.org/dc/dcmitype/"/>
    <ds:schemaRef ds:uri="http://purl.org/dc/elements/1.1/"/>
    <ds:schemaRef ds:uri="http://schemas.microsoft.com/office/2006/metadata/properties"/>
    <ds:schemaRef ds:uri="0009d3ae-0f9e-47be-ae31-9d6cd8b104c4"/>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CCC0C11-BCA0-40B0-A1EB-00F8BE4AEEA8}">
  <ds:schemaRefs>
    <ds:schemaRef ds:uri="http://schemas.microsoft.com/DataMashup"/>
  </ds:schemaRefs>
</ds:datastoreItem>
</file>

<file path=customXml/itemProps3.xml><?xml version="1.0" encoding="utf-8"?>
<ds:datastoreItem xmlns:ds="http://schemas.openxmlformats.org/officeDocument/2006/customXml" ds:itemID="{00E5CB12-C0DC-4936-8D5D-45A82643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e86c01b2-c361-4e91-84fb-339b9c7d1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5.xml><?xml version="1.0" encoding="utf-8"?>
<ds:datastoreItem xmlns:ds="http://schemas.openxmlformats.org/officeDocument/2006/customXml" ds:itemID="{3F476EE9-57EE-4A57-9645-1C093EDB7B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33</vt:i4>
      </vt:variant>
    </vt:vector>
  </HeadingPairs>
  <TitlesOfParts>
    <vt:vector size="33" baseType="lpstr">
      <vt:lpstr>Titelblad</vt:lpstr>
      <vt:lpstr>Toelichting</vt:lpstr>
      <vt:lpstr>Bronnen en toepassingen</vt:lpstr>
      <vt:lpstr>1. Entry- en exittarieven</vt:lpstr>
      <vt:lpstr>Input --&gt;</vt:lpstr>
      <vt:lpstr>2. Parameters</vt:lpstr>
      <vt:lpstr>3. Input (des)investeringen </vt:lpstr>
      <vt:lpstr>4. Input nacalculaties</vt:lpstr>
      <vt:lpstr>5. Input GAW-waarde desinv.</vt:lpstr>
      <vt:lpstr>6. Input incidentele corr. WQA</vt:lpstr>
      <vt:lpstr>7. Input IC peakshaver</vt:lpstr>
      <vt:lpstr>8. Input IC huur Gasunie</vt:lpstr>
      <vt:lpstr>9. Input incidentele correcties</vt:lpstr>
      <vt:lpstr>10. Input capaciteit</vt:lpstr>
      <vt:lpstr>Input database --&gt;</vt:lpstr>
      <vt:lpstr>11. Investeringen (WUI+ombouw)</vt:lpstr>
      <vt:lpstr>12. Investeringen (bijschatten)</vt:lpstr>
      <vt:lpstr>13. Desinvesteringen</vt:lpstr>
      <vt:lpstr>14. Omzet</vt:lpstr>
      <vt:lpstr>15. Operationele kosten</vt:lpstr>
      <vt:lpstr>Berekeningen --&gt;</vt:lpstr>
      <vt:lpstr>16. WUI &amp; ombouwtaak</vt:lpstr>
      <vt:lpstr>17. Nacalculatie bijschatten</vt:lpstr>
      <vt:lpstr>18. Nacalculatie desinv.</vt:lpstr>
      <vt:lpstr>19. Indexatie desinvesteringen</vt:lpstr>
      <vt:lpstr>20. Nacalculaties</vt:lpstr>
      <vt:lpstr>21. Correctie WQA</vt:lpstr>
      <vt:lpstr>22. Correctie assetoverdracht</vt:lpstr>
      <vt:lpstr>23. Correctie peakshaver</vt:lpstr>
      <vt:lpstr>24. Incidentele correcties</vt:lpstr>
      <vt:lpstr>25. Toegestane inkomsten</vt:lpstr>
      <vt:lpstr>26. RPM</vt:lpstr>
      <vt:lpstr>27.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2025-03-12T09:51:54Z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0x01010010FBAC038A508248800D947EBADE59DB</vt:lpwstr>
  </property>
  <property fmtid="{D5CDD505-2E9C-101B-9397-08002B2CF9AE}" pid="3" name="_dlc_DocIdItemGuid">
    <vt:lpwstr>b51a2aed-3b4e-4c0c-af4d-d23fe45e65a8</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